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LANZIERI\Downloads\Documents\DIVERS\amisep\"/>
    </mc:Choice>
  </mc:AlternateContent>
  <bookViews>
    <workbookView xWindow="0" yWindow="240" windowWidth="24000" windowHeight="9495" firstSheet="1" activeTab="3"/>
  </bookViews>
  <sheets>
    <sheet name="BDD" sheetId="15" r:id="rId1"/>
    <sheet name="PPa2019" sheetId="2" r:id="rId2"/>
    <sheet name="PRESENCES C-E" sheetId="4" state="hidden" r:id="rId3"/>
    <sheet name="FEC" sheetId="11" r:id="rId4"/>
    <sheet name="FEAS" sheetId="17" r:id="rId5"/>
    <sheet name="STATS" sheetId="5" state="hidden" r:id="rId6"/>
    <sheet name="LISTES" sheetId="3" r:id="rId7"/>
    <sheet name="Feuil1" sheetId="14" r:id="rId8"/>
  </sheets>
  <definedNames>
    <definedName name="_xlnm._FilterDatabase" localSheetId="1" hidden="1">'PPa2019'!$A$1:$DD$201</definedName>
    <definedName name="_xlnm.Print_Titles" localSheetId="4">FEAS!$2:$13</definedName>
    <definedName name="_xlnm.Print_Titles" localSheetId="3">FEC!$4:$11</definedName>
    <definedName name="_xlnm.Print_Titles" localSheetId="1">'PPa2019'!$D:$E</definedName>
    <definedName name="_xlnm.Print_Area" localSheetId="0">BDD!$A$1:$I$29</definedName>
    <definedName name="_xlnm.Print_Area" localSheetId="4">FEAS!$A$2:$M$55</definedName>
    <definedName name="_xlnm.Print_Area" localSheetId="3">FEC!$A$4:$Z$46</definedName>
  </definedNames>
  <calcPr calcId="152511"/>
</workbook>
</file>

<file path=xl/calcChain.xml><?xml version="1.0" encoding="utf-8"?>
<calcChain xmlns="http://schemas.openxmlformats.org/spreadsheetml/2006/main">
  <c r="I5" i="11" l="1"/>
  <c r="R10" i="11" l="1"/>
  <c r="P10" i="11"/>
  <c r="W5" i="11" l="1"/>
  <c r="W6" i="11"/>
  <c r="P7" i="11"/>
  <c r="W7" i="11"/>
  <c r="P8" i="11"/>
  <c r="C6" i="17"/>
  <c r="C5" i="17"/>
  <c r="J5" i="17"/>
  <c r="J4" i="17"/>
  <c r="J3" i="17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I7" i="11" l="1"/>
  <c r="CY2" i="2" l="1"/>
  <c r="CY3" i="2"/>
  <c r="CY4" i="2"/>
  <c r="CY5" i="2"/>
  <c r="CY6" i="2"/>
  <c r="CY7" i="2"/>
  <c r="CY8" i="2"/>
  <c r="CY9" i="2"/>
  <c r="CY10" i="2"/>
  <c r="CY11" i="2"/>
  <c r="CY12" i="2"/>
  <c r="CY13" i="2"/>
  <c r="CY14" i="2"/>
  <c r="CY15" i="2"/>
  <c r="CY16" i="2"/>
  <c r="CY17" i="2"/>
  <c r="CY18" i="2"/>
  <c r="CY19" i="2"/>
  <c r="CY20" i="2"/>
  <c r="CY21" i="2"/>
  <c r="CY22" i="2"/>
  <c r="CY23" i="2"/>
  <c r="CY24" i="2"/>
  <c r="CY25" i="2"/>
  <c r="CY26" i="2"/>
  <c r="CY27" i="2"/>
  <c r="CY28" i="2"/>
  <c r="CY29" i="2"/>
  <c r="CY30" i="2"/>
  <c r="CY31" i="2"/>
  <c r="CY32" i="2"/>
  <c r="CY33" i="2"/>
  <c r="CY34" i="2"/>
  <c r="CY35" i="2"/>
  <c r="CY36" i="2"/>
  <c r="CY37" i="2"/>
  <c r="CY38" i="2"/>
  <c r="CY39" i="2"/>
  <c r="CY40" i="2"/>
  <c r="CY41" i="2"/>
  <c r="CY42" i="2"/>
  <c r="CY43" i="2"/>
  <c r="CY44" i="2"/>
  <c r="CY45" i="2"/>
  <c r="CY46" i="2"/>
  <c r="CY47" i="2"/>
  <c r="CY48" i="2"/>
  <c r="CY49" i="2"/>
  <c r="CY50" i="2"/>
  <c r="CY51" i="2"/>
  <c r="CY52" i="2"/>
  <c r="CY53" i="2"/>
  <c r="CY54" i="2"/>
  <c r="CY55" i="2"/>
  <c r="CY56" i="2"/>
  <c r="CY57" i="2"/>
  <c r="CY58" i="2"/>
  <c r="CY59" i="2"/>
  <c r="CY60" i="2"/>
  <c r="CY61" i="2"/>
  <c r="CY62" i="2"/>
  <c r="CY63" i="2"/>
  <c r="CY64" i="2"/>
  <c r="CY65" i="2"/>
  <c r="CY66" i="2"/>
  <c r="CY67" i="2"/>
  <c r="CY68" i="2"/>
  <c r="CY69" i="2"/>
  <c r="CY70" i="2"/>
  <c r="CY71" i="2"/>
  <c r="CY72" i="2"/>
  <c r="CY73" i="2"/>
  <c r="CY74" i="2"/>
  <c r="CY75" i="2"/>
  <c r="CY76" i="2"/>
  <c r="CY77" i="2"/>
  <c r="CY78" i="2"/>
  <c r="CY79" i="2"/>
  <c r="CY80" i="2"/>
  <c r="CY81" i="2"/>
  <c r="CY82" i="2"/>
  <c r="CY83" i="2"/>
  <c r="CY84" i="2"/>
  <c r="CY85" i="2"/>
  <c r="CY86" i="2"/>
  <c r="CY87" i="2"/>
  <c r="CY88" i="2"/>
  <c r="CY89" i="2"/>
  <c r="CY90" i="2"/>
  <c r="CY91" i="2"/>
  <c r="CY92" i="2"/>
  <c r="CY93" i="2"/>
  <c r="CY94" i="2"/>
  <c r="CY95" i="2"/>
  <c r="CY96" i="2"/>
  <c r="CY97" i="2"/>
  <c r="CY98" i="2"/>
  <c r="CY99" i="2"/>
  <c r="CY100" i="2"/>
  <c r="CY101" i="2"/>
  <c r="CY102" i="2"/>
  <c r="CY103" i="2"/>
  <c r="CY104" i="2"/>
  <c r="CY105" i="2"/>
  <c r="CY106" i="2"/>
  <c r="CY107" i="2"/>
  <c r="CY108" i="2"/>
  <c r="CY109" i="2"/>
  <c r="CY110" i="2"/>
  <c r="CY111" i="2"/>
  <c r="CY112" i="2"/>
  <c r="CY113" i="2"/>
  <c r="CY114" i="2"/>
  <c r="CY115" i="2"/>
  <c r="CY116" i="2"/>
  <c r="CY117" i="2"/>
  <c r="CY118" i="2"/>
  <c r="CY119" i="2"/>
  <c r="CY120" i="2"/>
  <c r="CY121" i="2"/>
  <c r="CY122" i="2"/>
  <c r="CY123" i="2"/>
  <c r="CY124" i="2"/>
  <c r="CY125" i="2"/>
  <c r="CY126" i="2"/>
  <c r="CY127" i="2"/>
  <c r="CY128" i="2"/>
  <c r="CY129" i="2"/>
  <c r="CY130" i="2"/>
  <c r="CY131" i="2"/>
  <c r="CY132" i="2"/>
  <c r="CY133" i="2"/>
  <c r="CY134" i="2"/>
  <c r="CY135" i="2"/>
  <c r="CY136" i="2"/>
  <c r="CY137" i="2"/>
  <c r="CY138" i="2"/>
  <c r="CY139" i="2"/>
  <c r="CY140" i="2"/>
  <c r="CY141" i="2"/>
  <c r="CY142" i="2"/>
  <c r="CY143" i="2"/>
  <c r="CY144" i="2"/>
  <c r="CY145" i="2"/>
  <c r="CY146" i="2"/>
  <c r="CY147" i="2"/>
  <c r="CY148" i="2"/>
  <c r="CY149" i="2"/>
  <c r="CY150" i="2"/>
  <c r="CY151" i="2"/>
  <c r="CY152" i="2"/>
  <c r="CY153" i="2"/>
  <c r="CY154" i="2"/>
  <c r="CY155" i="2"/>
  <c r="CY156" i="2"/>
  <c r="CY157" i="2"/>
  <c r="CY158" i="2"/>
  <c r="CY159" i="2"/>
  <c r="CY160" i="2"/>
  <c r="CY161" i="2"/>
  <c r="CY162" i="2"/>
  <c r="CY163" i="2"/>
  <c r="CY164" i="2"/>
  <c r="CY165" i="2"/>
  <c r="CY166" i="2"/>
  <c r="CY167" i="2"/>
  <c r="CY168" i="2"/>
  <c r="CY169" i="2"/>
  <c r="CY170" i="2"/>
  <c r="CY171" i="2"/>
  <c r="CY172" i="2"/>
  <c r="CY173" i="2"/>
  <c r="CY174" i="2"/>
  <c r="CY175" i="2"/>
  <c r="CY176" i="2"/>
  <c r="CY177" i="2"/>
  <c r="CY178" i="2"/>
  <c r="CY179" i="2"/>
  <c r="CY180" i="2"/>
  <c r="CY181" i="2"/>
  <c r="CY182" i="2"/>
  <c r="CY183" i="2"/>
  <c r="CY184" i="2"/>
  <c r="CY185" i="2"/>
  <c r="CY186" i="2"/>
  <c r="CY187" i="2"/>
  <c r="CY188" i="2"/>
  <c r="CY189" i="2"/>
  <c r="CY190" i="2"/>
  <c r="CY191" i="2"/>
  <c r="CY192" i="2"/>
  <c r="CY193" i="2"/>
  <c r="CY194" i="2"/>
  <c r="CY195" i="2"/>
  <c r="CY196" i="2"/>
  <c r="CY197" i="2"/>
  <c r="CY198" i="2"/>
  <c r="CY199" i="2"/>
  <c r="CY200" i="2"/>
  <c r="CY201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CV12" i="2"/>
  <c r="CW12" i="2"/>
  <c r="CX12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S13" i="2"/>
  <c r="CT13" i="2"/>
  <c r="CU13" i="2"/>
  <c r="CV13" i="2"/>
  <c r="CW13" i="2"/>
  <c r="CX13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CV35" i="2"/>
  <c r="CW35" i="2"/>
  <c r="CX35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CL36" i="2"/>
  <c r="CM36" i="2"/>
  <c r="CN36" i="2"/>
  <c r="CO36" i="2"/>
  <c r="CP36" i="2"/>
  <c r="CQ36" i="2"/>
  <c r="CR36" i="2"/>
  <c r="CS36" i="2"/>
  <c r="CT36" i="2"/>
  <c r="CU36" i="2"/>
  <c r="CV36" i="2"/>
  <c r="CW36" i="2"/>
  <c r="CX36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CV37" i="2"/>
  <c r="CW37" i="2"/>
  <c r="CX37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CV38" i="2"/>
  <c r="CW38" i="2"/>
  <c r="CX38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CV39" i="2"/>
  <c r="CW39" i="2"/>
  <c r="CX39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CV40" i="2"/>
  <c r="CW40" i="2"/>
  <c r="CX40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CV41" i="2"/>
  <c r="CW41" i="2"/>
  <c r="CX41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CL42" i="2"/>
  <c r="CM42" i="2"/>
  <c r="CN42" i="2"/>
  <c r="CO42" i="2"/>
  <c r="CP42" i="2"/>
  <c r="CQ42" i="2"/>
  <c r="CR42" i="2"/>
  <c r="CS42" i="2"/>
  <c r="CT42" i="2"/>
  <c r="CU42" i="2"/>
  <c r="CV42" i="2"/>
  <c r="CW42" i="2"/>
  <c r="CX42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CV43" i="2"/>
  <c r="CW43" i="2"/>
  <c r="CX43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CL44" i="2"/>
  <c r="CM44" i="2"/>
  <c r="CN44" i="2"/>
  <c r="CO44" i="2"/>
  <c r="CP44" i="2"/>
  <c r="CQ44" i="2"/>
  <c r="CR44" i="2"/>
  <c r="CS44" i="2"/>
  <c r="CT44" i="2"/>
  <c r="CU44" i="2"/>
  <c r="CV44" i="2"/>
  <c r="CW44" i="2"/>
  <c r="CX44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CV45" i="2"/>
  <c r="CW45" i="2"/>
  <c r="CX45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CV46" i="2"/>
  <c r="CW46" i="2"/>
  <c r="CX46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CV47" i="2"/>
  <c r="CW47" i="2"/>
  <c r="CX47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CL48" i="2"/>
  <c r="CM48" i="2"/>
  <c r="CN48" i="2"/>
  <c r="CO48" i="2"/>
  <c r="CP48" i="2"/>
  <c r="CQ48" i="2"/>
  <c r="CR48" i="2"/>
  <c r="CS48" i="2"/>
  <c r="CT48" i="2"/>
  <c r="CU48" i="2"/>
  <c r="CV48" i="2"/>
  <c r="CW48" i="2"/>
  <c r="CX48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CL49" i="2"/>
  <c r="CM49" i="2"/>
  <c r="CN49" i="2"/>
  <c r="CO49" i="2"/>
  <c r="CP49" i="2"/>
  <c r="CQ49" i="2"/>
  <c r="CR49" i="2"/>
  <c r="CS49" i="2"/>
  <c r="CT49" i="2"/>
  <c r="CU49" i="2"/>
  <c r="CV49" i="2"/>
  <c r="CW49" i="2"/>
  <c r="CX49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CO50" i="2"/>
  <c r="CP50" i="2"/>
  <c r="CQ50" i="2"/>
  <c r="CR50" i="2"/>
  <c r="CS50" i="2"/>
  <c r="CT50" i="2"/>
  <c r="CU50" i="2"/>
  <c r="CV50" i="2"/>
  <c r="CW50" i="2"/>
  <c r="CX50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CO51" i="2"/>
  <c r="CP51" i="2"/>
  <c r="CQ51" i="2"/>
  <c r="CR51" i="2"/>
  <c r="CS51" i="2"/>
  <c r="CT51" i="2"/>
  <c r="CU51" i="2"/>
  <c r="CV51" i="2"/>
  <c r="CW51" i="2"/>
  <c r="CX51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CV52" i="2"/>
  <c r="CW52" i="2"/>
  <c r="CX52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CO53" i="2"/>
  <c r="CP53" i="2"/>
  <c r="CQ53" i="2"/>
  <c r="CR53" i="2"/>
  <c r="CS53" i="2"/>
  <c r="CT53" i="2"/>
  <c r="CU53" i="2"/>
  <c r="CV53" i="2"/>
  <c r="CW53" i="2"/>
  <c r="CX53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CO54" i="2"/>
  <c r="CP54" i="2"/>
  <c r="CQ54" i="2"/>
  <c r="CR54" i="2"/>
  <c r="CS54" i="2"/>
  <c r="CT54" i="2"/>
  <c r="CU54" i="2"/>
  <c r="CV54" i="2"/>
  <c r="CW54" i="2"/>
  <c r="CX54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CV55" i="2"/>
  <c r="CW55" i="2"/>
  <c r="CX55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CV56" i="2"/>
  <c r="CW56" i="2"/>
  <c r="CX56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L57" i="2"/>
  <c r="CM57" i="2"/>
  <c r="CN57" i="2"/>
  <c r="CO57" i="2"/>
  <c r="CP57" i="2"/>
  <c r="CQ57" i="2"/>
  <c r="CR57" i="2"/>
  <c r="CS57" i="2"/>
  <c r="CT57" i="2"/>
  <c r="CU57" i="2"/>
  <c r="CV57" i="2"/>
  <c r="CW57" i="2"/>
  <c r="CX57" i="2"/>
  <c r="BZ58" i="2"/>
  <c r="CA58" i="2"/>
  <c r="CB58" i="2"/>
  <c r="CC58" i="2"/>
  <c r="CD58" i="2"/>
  <c r="CE58" i="2"/>
  <c r="CF58" i="2"/>
  <c r="CG58" i="2"/>
  <c r="CH58" i="2"/>
  <c r="CI58" i="2"/>
  <c r="CJ58" i="2"/>
  <c r="CK58" i="2"/>
  <c r="CL58" i="2"/>
  <c r="CM58" i="2"/>
  <c r="CN58" i="2"/>
  <c r="CO58" i="2"/>
  <c r="CP58" i="2"/>
  <c r="CQ58" i="2"/>
  <c r="CR58" i="2"/>
  <c r="CS58" i="2"/>
  <c r="CT58" i="2"/>
  <c r="CU58" i="2"/>
  <c r="CV58" i="2"/>
  <c r="CW58" i="2"/>
  <c r="CX58" i="2"/>
  <c r="BZ59" i="2"/>
  <c r="CA59" i="2"/>
  <c r="CB59" i="2"/>
  <c r="CC59" i="2"/>
  <c r="CD59" i="2"/>
  <c r="CE59" i="2"/>
  <c r="CF59" i="2"/>
  <c r="CG59" i="2"/>
  <c r="CH59" i="2"/>
  <c r="CI59" i="2"/>
  <c r="CJ59" i="2"/>
  <c r="CK59" i="2"/>
  <c r="CL59" i="2"/>
  <c r="CM59" i="2"/>
  <c r="CN59" i="2"/>
  <c r="CO59" i="2"/>
  <c r="CP59" i="2"/>
  <c r="CQ59" i="2"/>
  <c r="CR59" i="2"/>
  <c r="CS59" i="2"/>
  <c r="CT59" i="2"/>
  <c r="CU59" i="2"/>
  <c r="CV59" i="2"/>
  <c r="CW59" i="2"/>
  <c r="CX59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CV60" i="2"/>
  <c r="CW60" i="2"/>
  <c r="CX60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BZ62" i="2"/>
  <c r="CA62" i="2"/>
  <c r="CB62" i="2"/>
  <c r="CC62" i="2"/>
  <c r="CD62" i="2"/>
  <c r="CE62" i="2"/>
  <c r="CF62" i="2"/>
  <c r="CG62" i="2"/>
  <c r="CH62" i="2"/>
  <c r="CI62" i="2"/>
  <c r="CJ62" i="2"/>
  <c r="CK62" i="2"/>
  <c r="CL62" i="2"/>
  <c r="CM62" i="2"/>
  <c r="CN62" i="2"/>
  <c r="CO62" i="2"/>
  <c r="CP62" i="2"/>
  <c r="CQ62" i="2"/>
  <c r="CR62" i="2"/>
  <c r="CS62" i="2"/>
  <c r="CT62" i="2"/>
  <c r="CU62" i="2"/>
  <c r="CV62" i="2"/>
  <c r="CW62" i="2"/>
  <c r="CX62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CL63" i="2"/>
  <c r="CM63" i="2"/>
  <c r="CN63" i="2"/>
  <c r="CO63" i="2"/>
  <c r="CP63" i="2"/>
  <c r="CQ63" i="2"/>
  <c r="CR63" i="2"/>
  <c r="CS63" i="2"/>
  <c r="CT63" i="2"/>
  <c r="CU63" i="2"/>
  <c r="CV63" i="2"/>
  <c r="CW63" i="2"/>
  <c r="CX63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CL64" i="2"/>
  <c r="CM64" i="2"/>
  <c r="CN64" i="2"/>
  <c r="CO64" i="2"/>
  <c r="CP64" i="2"/>
  <c r="CQ64" i="2"/>
  <c r="CR64" i="2"/>
  <c r="CS64" i="2"/>
  <c r="CT64" i="2"/>
  <c r="CU64" i="2"/>
  <c r="CV64" i="2"/>
  <c r="CW64" i="2"/>
  <c r="CX64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CL65" i="2"/>
  <c r="CM65" i="2"/>
  <c r="CN65" i="2"/>
  <c r="CO65" i="2"/>
  <c r="CP65" i="2"/>
  <c r="CQ65" i="2"/>
  <c r="CR65" i="2"/>
  <c r="CS65" i="2"/>
  <c r="CT65" i="2"/>
  <c r="CU65" i="2"/>
  <c r="CV65" i="2"/>
  <c r="CW65" i="2"/>
  <c r="CX65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CL66" i="2"/>
  <c r="CM66" i="2"/>
  <c r="CN66" i="2"/>
  <c r="CO66" i="2"/>
  <c r="CP66" i="2"/>
  <c r="CQ66" i="2"/>
  <c r="CR66" i="2"/>
  <c r="CS66" i="2"/>
  <c r="CT66" i="2"/>
  <c r="CU66" i="2"/>
  <c r="CV66" i="2"/>
  <c r="CW66" i="2"/>
  <c r="CX66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CL67" i="2"/>
  <c r="CM67" i="2"/>
  <c r="CN67" i="2"/>
  <c r="CO67" i="2"/>
  <c r="CP67" i="2"/>
  <c r="CQ67" i="2"/>
  <c r="CR67" i="2"/>
  <c r="CS67" i="2"/>
  <c r="CT67" i="2"/>
  <c r="CU67" i="2"/>
  <c r="CV67" i="2"/>
  <c r="CW67" i="2"/>
  <c r="CX67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CL68" i="2"/>
  <c r="CM68" i="2"/>
  <c r="CN68" i="2"/>
  <c r="CO68" i="2"/>
  <c r="CP68" i="2"/>
  <c r="CQ68" i="2"/>
  <c r="CR68" i="2"/>
  <c r="CS68" i="2"/>
  <c r="CT68" i="2"/>
  <c r="CU68" i="2"/>
  <c r="CV68" i="2"/>
  <c r="CW68" i="2"/>
  <c r="CX68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CL69" i="2"/>
  <c r="CM69" i="2"/>
  <c r="CN69" i="2"/>
  <c r="CO69" i="2"/>
  <c r="CP69" i="2"/>
  <c r="CQ69" i="2"/>
  <c r="CR69" i="2"/>
  <c r="CS69" i="2"/>
  <c r="CT69" i="2"/>
  <c r="CU69" i="2"/>
  <c r="CV69" i="2"/>
  <c r="CW69" i="2"/>
  <c r="CX69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CV70" i="2"/>
  <c r="CW70" i="2"/>
  <c r="CX70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L71" i="2"/>
  <c r="CM71" i="2"/>
  <c r="CN71" i="2"/>
  <c r="CO71" i="2"/>
  <c r="CP71" i="2"/>
  <c r="CQ71" i="2"/>
  <c r="CR71" i="2"/>
  <c r="CS71" i="2"/>
  <c r="CT71" i="2"/>
  <c r="CU71" i="2"/>
  <c r="CV71" i="2"/>
  <c r="CW71" i="2"/>
  <c r="CX71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CL72" i="2"/>
  <c r="CM72" i="2"/>
  <c r="CN72" i="2"/>
  <c r="CO72" i="2"/>
  <c r="CP72" i="2"/>
  <c r="CQ72" i="2"/>
  <c r="CR72" i="2"/>
  <c r="CS72" i="2"/>
  <c r="CT72" i="2"/>
  <c r="CU72" i="2"/>
  <c r="CV72" i="2"/>
  <c r="CW72" i="2"/>
  <c r="CX72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CL73" i="2"/>
  <c r="CM73" i="2"/>
  <c r="CN73" i="2"/>
  <c r="CO73" i="2"/>
  <c r="CP73" i="2"/>
  <c r="CQ73" i="2"/>
  <c r="CR73" i="2"/>
  <c r="CS73" i="2"/>
  <c r="CT73" i="2"/>
  <c r="CU73" i="2"/>
  <c r="CV73" i="2"/>
  <c r="CW73" i="2"/>
  <c r="CX73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CL74" i="2"/>
  <c r="CM74" i="2"/>
  <c r="CN74" i="2"/>
  <c r="CO74" i="2"/>
  <c r="CP74" i="2"/>
  <c r="CQ74" i="2"/>
  <c r="CR74" i="2"/>
  <c r="CS74" i="2"/>
  <c r="CT74" i="2"/>
  <c r="CU74" i="2"/>
  <c r="CV74" i="2"/>
  <c r="CW74" i="2"/>
  <c r="CX74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CL75" i="2"/>
  <c r="CM75" i="2"/>
  <c r="CN75" i="2"/>
  <c r="CO75" i="2"/>
  <c r="CP75" i="2"/>
  <c r="CQ75" i="2"/>
  <c r="CR75" i="2"/>
  <c r="CS75" i="2"/>
  <c r="CT75" i="2"/>
  <c r="CU75" i="2"/>
  <c r="CV75" i="2"/>
  <c r="CW75" i="2"/>
  <c r="CX75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CL76" i="2"/>
  <c r="CM76" i="2"/>
  <c r="CN76" i="2"/>
  <c r="CO76" i="2"/>
  <c r="CP76" i="2"/>
  <c r="CQ76" i="2"/>
  <c r="CR76" i="2"/>
  <c r="CS76" i="2"/>
  <c r="CT76" i="2"/>
  <c r="CU76" i="2"/>
  <c r="CV76" i="2"/>
  <c r="CW76" i="2"/>
  <c r="CX76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CL77" i="2"/>
  <c r="CM77" i="2"/>
  <c r="CN77" i="2"/>
  <c r="CO77" i="2"/>
  <c r="CP77" i="2"/>
  <c r="CQ77" i="2"/>
  <c r="CR77" i="2"/>
  <c r="CS77" i="2"/>
  <c r="CT77" i="2"/>
  <c r="CU77" i="2"/>
  <c r="CV77" i="2"/>
  <c r="CW77" i="2"/>
  <c r="CX77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CL78" i="2"/>
  <c r="CM78" i="2"/>
  <c r="CN78" i="2"/>
  <c r="CO78" i="2"/>
  <c r="CP78" i="2"/>
  <c r="CQ78" i="2"/>
  <c r="CR78" i="2"/>
  <c r="CS78" i="2"/>
  <c r="CT78" i="2"/>
  <c r="CU78" i="2"/>
  <c r="CV78" i="2"/>
  <c r="CW78" i="2"/>
  <c r="CX78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CL79" i="2"/>
  <c r="CM79" i="2"/>
  <c r="CN79" i="2"/>
  <c r="CO79" i="2"/>
  <c r="CP79" i="2"/>
  <c r="CQ79" i="2"/>
  <c r="CR79" i="2"/>
  <c r="CS79" i="2"/>
  <c r="CT79" i="2"/>
  <c r="CU79" i="2"/>
  <c r="CV79" i="2"/>
  <c r="CW79" i="2"/>
  <c r="CX79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CL80" i="2"/>
  <c r="CM80" i="2"/>
  <c r="CN80" i="2"/>
  <c r="CO80" i="2"/>
  <c r="CP80" i="2"/>
  <c r="CQ80" i="2"/>
  <c r="CR80" i="2"/>
  <c r="CS80" i="2"/>
  <c r="CT80" i="2"/>
  <c r="CU80" i="2"/>
  <c r="CV80" i="2"/>
  <c r="CW80" i="2"/>
  <c r="CX80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CL81" i="2"/>
  <c r="CM81" i="2"/>
  <c r="CN81" i="2"/>
  <c r="CO81" i="2"/>
  <c r="CP81" i="2"/>
  <c r="CQ81" i="2"/>
  <c r="CR81" i="2"/>
  <c r="CS81" i="2"/>
  <c r="CT81" i="2"/>
  <c r="CU81" i="2"/>
  <c r="CV81" i="2"/>
  <c r="CW81" i="2"/>
  <c r="CX81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CL82" i="2"/>
  <c r="CM82" i="2"/>
  <c r="CN82" i="2"/>
  <c r="CO82" i="2"/>
  <c r="CP82" i="2"/>
  <c r="CQ82" i="2"/>
  <c r="CR82" i="2"/>
  <c r="CS82" i="2"/>
  <c r="CT82" i="2"/>
  <c r="CU82" i="2"/>
  <c r="CV82" i="2"/>
  <c r="CW82" i="2"/>
  <c r="CX82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CL83" i="2"/>
  <c r="CM83" i="2"/>
  <c r="CN83" i="2"/>
  <c r="CO83" i="2"/>
  <c r="CP83" i="2"/>
  <c r="CQ83" i="2"/>
  <c r="CR83" i="2"/>
  <c r="CS83" i="2"/>
  <c r="CT83" i="2"/>
  <c r="CU83" i="2"/>
  <c r="CV83" i="2"/>
  <c r="CW83" i="2"/>
  <c r="CX83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CL84" i="2"/>
  <c r="CM84" i="2"/>
  <c r="CN84" i="2"/>
  <c r="CO84" i="2"/>
  <c r="CP84" i="2"/>
  <c r="CQ84" i="2"/>
  <c r="CR84" i="2"/>
  <c r="CS84" i="2"/>
  <c r="CT84" i="2"/>
  <c r="CU84" i="2"/>
  <c r="CV84" i="2"/>
  <c r="CW84" i="2"/>
  <c r="CX84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CL85" i="2"/>
  <c r="CM85" i="2"/>
  <c r="CN85" i="2"/>
  <c r="CO85" i="2"/>
  <c r="CP85" i="2"/>
  <c r="CQ85" i="2"/>
  <c r="CR85" i="2"/>
  <c r="CS85" i="2"/>
  <c r="CT85" i="2"/>
  <c r="CU85" i="2"/>
  <c r="CV85" i="2"/>
  <c r="CW85" i="2"/>
  <c r="CX85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CL86" i="2"/>
  <c r="CM86" i="2"/>
  <c r="CN86" i="2"/>
  <c r="CO86" i="2"/>
  <c r="CP86" i="2"/>
  <c r="CQ86" i="2"/>
  <c r="CR86" i="2"/>
  <c r="CS86" i="2"/>
  <c r="CT86" i="2"/>
  <c r="CU86" i="2"/>
  <c r="CV86" i="2"/>
  <c r="CW86" i="2"/>
  <c r="CX86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CL87" i="2"/>
  <c r="CM87" i="2"/>
  <c r="CN87" i="2"/>
  <c r="CO87" i="2"/>
  <c r="CP87" i="2"/>
  <c r="CQ87" i="2"/>
  <c r="CR87" i="2"/>
  <c r="CS87" i="2"/>
  <c r="CT87" i="2"/>
  <c r="CU87" i="2"/>
  <c r="CV87" i="2"/>
  <c r="CW87" i="2"/>
  <c r="CX87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CL89" i="2"/>
  <c r="CM89" i="2"/>
  <c r="CN89" i="2"/>
  <c r="CO89" i="2"/>
  <c r="CP89" i="2"/>
  <c r="CQ89" i="2"/>
  <c r="CR89" i="2"/>
  <c r="CS89" i="2"/>
  <c r="CT89" i="2"/>
  <c r="CU89" i="2"/>
  <c r="CV89" i="2"/>
  <c r="CW89" i="2"/>
  <c r="CX89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CL90" i="2"/>
  <c r="CM90" i="2"/>
  <c r="CN90" i="2"/>
  <c r="CO90" i="2"/>
  <c r="CP90" i="2"/>
  <c r="CQ90" i="2"/>
  <c r="CR90" i="2"/>
  <c r="CS90" i="2"/>
  <c r="CT90" i="2"/>
  <c r="CU90" i="2"/>
  <c r="CV90" i="2"/>
  <c r="CW90" i="2"/>
  <c r="CX90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CL91" i="2"/>
  <c r="CM91" i="2"/>
  <c r="CN91" i="2"/>
  <c r="CO91" i="2"/>
  <c r="CP91" i="2"/>
  <c r="CQ91" i="2"/>
  <c r="CR91" i="2"/>
  <c r="CS91" i="2"/>
  <c r="CT91" i="2"/>
  <c r="CU91" i="2"/>
  <c r="CV91" i="2"/>
  <c r="CW91" i="2"/>
  <c r="CX91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CL92" i="2"/>
  <c r="CM92" i="2"/>
  <c r="CN92" i="2"/>
  <c r="CO92" i="2"/>
  <c r="CP92" i="2"/>
  <c r="CQ92" i="2"/>
  <c r="CR92" i="2"/>
  <c r="CS92" i="2"/>
  <c r="CT92" i="2"/>
  <c r="CU92" i="2"/>
  <c r="CV92" i="2"/>
  <c r="CW92" i="2"/>
  <c r="CX92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CL93" i="2"/>
  <c r="CM93" i="2"/>
  <c r="CN93" i="2"/>
  <c r="CO93" i="2"/>
  <c r="CP93" i="2"/>
  <c r="CQ93" i="2"/>
  <c r="CR93" i="2"/>
  <c r="CS93" i="2"/>
  <c r="CT93" i="2"/>
  <c r="CU93" i="2"/>
  <c r="CV93" i="2"/>
  <c r="CW93" i="2"/>
  <c r="CX93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CL94" i="2"/>
  <c r="CM94" i="2"/>
  <c r="CN94" i="2"/>
  <c r="CO94" i="2"/>
  <c r="CP94" i="2"/>
  <c r="CQ94" i="2"/>
  <c r="CR94" i="2"/>
  <c r="CS94" i="2"/>
  <c r="CT94" i="2"/>
  <c r="CU94" i="2"/>
  <c r="CV94" i="2"/>
  <c r="CW94" i="2"/>
  <c r="CX94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CL95" i="2"/>
  <c r="CM95" i="2"/>
  <c r="CN95" i="2"/>
  <c r="CO95" i="2"/>
  <c r="CP95" i="2"/>
  <c r="CQ95" i="2"/>
  <c r="CR95" i="2"/>
  <c r="CS95" i="2"/>
  <c r="CT95" i="2"/>
  <c r="CU95" i="2"/>
  <c r="CV95" i="2"/>
  <c r="CW95" i="2"/>
  <c r="CX95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CL96" i="2"/>
  <c r="CM96" i="2"/>
  <c r="CN96" i="2"/>
  <c r="CO96" i="2"/>
  <c r="CP96" i="2"/>
  <c r="CQ96" i="2"/>
  <c r="CR96" i="2"/>
  <c r="CS96" i="2"/>
  <c r="CT96" i="2"/>
  <c r="CU96" i="2"/>
  <c r="CV96" i="2"/>
  <c r="CW96" i="2"/>
  <c r="CX96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CL97" i="2"/>
  <c r="CM97" i="2"/>
  <c r="CN97" i="2"/>
  <c r="CO97" i="2"/>
  <c r="CP97" i="2"/>
  <c r="CQ97" i="2"/>
  <c r="CR97" i="2"/>
  <c r="CS97" i="2"/>
  <c r="CT97" i="2"/>
  <c r="CU97" i="2"/>
  <c r="CV97" i="2"/>
  <c r="CW97" i="2"/>
  <c r="CX97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CL98" i="2"/>
  <c r="CM98" i="2"/>
  <c r="CN98" i="2"/>
  <c r="CO98" i="2"/>
  <c r="CP98" i="2"/>
  <c r="CQ98" i="2"/>
  <c r="CR98" i="2"/>
  <c r="CS98" i="2"/>
  <c r="CT98" i="2"/>
  <c r="CU98" i="2"/>
  <c r="CV98" i="2"/>
  <c r="CW98" i="2"/>
  <c r="CX98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CL99" i="2"/>
  <c r="CM99" i="2"/>
  <c r="CN99" i="2"/>
  <c r="CO99" i="2"/>
  <c r="CP99" i="2"/>
  <c r="CQ99" i="2"/>
  <c r="CR99" i="2"/>
  <c r="CS99" i="2"/>
  <c r="CT99" i="2"/>
  <c r="CU99" i="2"/>
  <c r="CV99" i="2"/>
  <c r="CW99" i="2"/>
  <c r="CX99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CL100" i="2"/>
  <c r="CM100" i="2"/>
  <c r="CN100" i="2"/>
  <c r="CO100" i="2"/>
  <c r="CP100" i="2"/>
  <c r="CQ100" i="2"/>
  <c r="CR100" i="2"/>
  <c r="CS100" i="2"/>
  <c r="CT100" i="2"/>
  <c r="CU100" i="2"/>
  <c r="CV100" i="2"/>
  <c r="CW100" i="2"/>
  <c r="CX100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CL101" i="2"/>
  <c r="CM101" i="2"/>
  <c r="CN101" i="2"/>
  <c r="CO101" i="2"/>
  <c r="CP101" i="2"/>
  <c r="CQ101" i="2"/>
  <c r="CR101" i="2"/>
  <c r="CS101" i="2"/>
  <c r="CT101" i="2"/>
  <c r="CU101" i="2"/>
  <c r="CV101" i="2"/>
  <c r="CW101" i="2"/>
  <c r="CX101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CL102" i="2"/>
  <c r="CM102" i="2"/>
  <c r="CN102" i="2"/>
  <c r="CO102" i="2"/>
  <c r="CP102" i="2"/>
  <c r="CQ102" i="2"/>
  <c r="CR102" i="2"/>
  <c r="CS102" i="2"/>
  <c r="CT102" i="2"/>
  <c r="CU102" i="2"/>
  <c r="CV102" i="2"/>
  <c r="CW102" i="2"/>
  <c r="CX102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CL103" i="2"/>
  <c r="CM103" i="2"/>
  <c r="CN103" i="2"/>
  <c r="CO103" i="2"/>
  <c r="CP103" i="2"/>
  <c r="CQ103" i="2"/>
  <c r="CR103" i="2"/>
  <c r="CS103" i="2"/>
  <c r="CT103" i="2"/>
  <c r="CU103" i="2"/>
  <c r="CV103" i="2"/>
  <c r="CW103" i="2"/>
  <c r="CX103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CV104" i="2"/>
  <c r="CW104" i="2"/>
  <c r="CX104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CV105" i="2"/>
  <c r="CW105" i="2"/>
  <c r="CX105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CV106" i="2"/>
  <c r="CW106" i="2"/>
  <c r="CX106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CV107" i="2"/>
  <c r="CW107" i="2"/>
  <c r="CX107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CV108" i="2"/>
  <c r="CW108" i="2"/>
  <c r="CX108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CV109" i="2"/>
  <c r="CW109" i="2"/>
  <c r="CX109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CV110" i="2"/>
  <c r="CW110" i="2"/>
  <c r="CX110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CV111" i="2"/>
  <c r="CW111" i="2"/>
  <c r="CX111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CV112" i="2"/>
  <c r="CW112" i="2"/>
  <c r="CX112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CV113" i="2"/>
  <c r="CW113" i="2"/>
  <c r="CX113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CV114" i="2"/>
  <c r="CW114" i="2"/>
  <c r="CX114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CL115" i="2"/>
  <c r="CM115" i="2"/>
  <c r="CN115" i="2"/>
  <c r="CO115" i="2"/>
  <c r="CP115" i="2"/>
  <c r="CQ115" i="2"/>
  <c r="CR115" i="2"/>
  <c r="CS115" i="2"/>
  <c r="CT115" i="2"/>
  <c r="CU115" i="2"/>
  <c r="CV115" i="2"/>
  <c r="CW115" i="2"/>
  <c r="CX115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CL116" i="2"/>
  <c r="CM116" i="2"/>
  <c r="CN116" i="2"/>
  <c r="CO116" i="2"/>
  <c r="CP116" i="2"/>
  <c r="CQ116" i="2"/>
  <c r="CR116" i="2"/>
  <c r="CS116" i="2"/>
  <c r="CT116" i="2"/>
  <c r="CU116" i="2"/>
  <c r="CV116" i="2"/>
  <c r="CW116" i="2"/>
  <c r="CX116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CL117" i="2"/>
  <c r="CM117" i="2"/>
  <c r="CN117" i="2"/>
  <c r="CO117" i="2"/>
  <c r="CP117" i="2"/>
  <c r="CQ117" i="2"/>
  <c r="CR117" i="2"/>
  <c r="CS117" i="2"/>
  <c r="CT117" i="2"/>
  <c r="CU117" i="2"/>
  <c r="CV117" i="2"/>
  <c r="CW117" i="2"/>
  <c r="CX117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CL118" i="2"/>
  <c r="CM118" i="2"/>
  <c r="CN118" i="2"/>
  <c r="CO118" i="2"/>
  <c r="CP118" i="2"/>
  <c r="CQ118" i="2"/>
  <c r="CR118" i="2"/>
  <c r="CS118" i="2"/>
  <c r="CT118" i="2"/>
  <c r="CU118" i="2"/>
  <c r="CV118" i="2"/>
  <c r="CW118" i="2"/>
  <c r="CX118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CL119" i="2"/>
  <c r="CM119" i="2"/>
  <c r="CN119" i="2"/>
  <c r="CO119" i="2"/>
  <c r="CP119" i="2"/>
  <c r="CQ119" i="2"/>
  <c r="CR119" i="2"/>
  <c r="CS119" i="2"/>
  <c r="CT119" i="2"/>
  <c r="CU119" i="2"/>
  <c r="CV119" i="2"/>
  <c r="CW119" i="2"/>
  <c r="CX119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CL120" i="2"/>
  <c r="CM120" i="2"/>
  <c r="CN120" i="2"/>
  <c r="CO120" i="2"/>
  <c r="CP120" i="2"/>
  <c r="CQ120" i="2"/>
  <c r="CR120" i="2"/>
  <c r="CS120" i="2"/>
  <c r="CT120" i="2"/>
  <c r="CU120" i="2"/>
  <c r="CV120" i="2"/>
  <c r="CW120" i="2"/>
  <c r="CX120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CL121" i="2"/>
  <c r="CM121" i="2"/>
  <c r="CN121" i="2"/>
  <c r="CO121" i="2"/>
  <c r="CP121" i="2"/>
  <c r="CQ121" i="2"/>
  <c r="CR121" i="2"/>
  <c r="CS121" i="2"/>
  <c r="CT121" i="2"/>
  <c r="CU121" i="2"/>
  <c r="CV121" i="2"/>
  <c r="CW121" i="2"/>
  <c r="CX121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CL122" i="2"/>
  <c r="CM122" i="2"/>
  <c r="CN122" i="2"/>
  <c r="CO122" i="2"/>
  <c r="CP122" i="2"/>
  <c r="CQ122" i="2"/>
  <c r="CR122" i="2"/>
  <c r="CS122" i="2"/>
  <c r="CT122" i="2"/>
  <c r="CU122" i="2"/>
  <c r="CV122" i="2"/>
  <c r="CW122" i="2"/>
  <c r="CX122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CL123" i="2"/>
  <c r="CM123" i="2"/>
  <c r="CN123" i="2"/>
  <c r="CO123" i="2"/>
  <c r="CP123" i="2"/>
  <c r="CQ123" i="2"/>
  <c r="CR123" i="2"/>
  <c r="CS123" i="2"/>
  <c r="CT123" i="2"/>
  <c r="CU123" i="2"/>
  <c r="CV123" i="2"/>
  <c r="CW123" i="2"/>
  <c r="CX123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CL124" i="2"/>
  <c r="CM124" i="2"/>
  <c r="CN124" i="2"/>
  <c r="CO124" i="2"/>
  <c r="CP124" i="2"/>
  <c r="CQ124" i="2"/>
  <c r="CR124" i="2"/>
  <c r="CS124" i="2"/>
  <c r="CT124" i="2"/>
  <c r="CU124" i="2"/>
  <c r="CV124" i="2"/>
  <c r="CW124" i="2"/>
  <c r="CX124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CL125" i="2"/>
  <c r="CM125" i="2"/>
  <c r="CN125" i="2"/>
  <c r="CO125" i="2"/>
  <c r="CP125" i="2"/>
  <c r="CQ125" i="2"/>
  <c r="CR125" i="2"/>
  <c r="CS125" i="2"/>
  <c r="CT125" i="2"/>
  <c r="CU125" i="2"/>
  <c r="CV125" i="2"/>
  <c r="CW125" i="2"/>
  <c r="CX125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CL126" i="2"/>
  <c r="CM126" i="2"/>
  <c r="CN126" i="2"/>
  <c r="CO126" i="2"/>
  <c r="CP126" i="2"/>
  <c r="CQ126" i="2"/>
  <c r="CR126" i="2"/>
  <c r="CS126" i="2"/>
  <c r="CT126" i="2"/>
  <c r="CU126" i="2"/>
  <c r="CV126" i="2"/>
  <c r="CW126" i="2"/>
  <c r="CX126" i="2"/>
  <c r="BZ127" i="2"/>
  <c r="CA127" i="2"/>
  <c r="CB127" i="2"/>
  <c r="CC127" i="2"/>
  <c r="CD127" i="2"/>
  <c r="CE127" i="2"/>
  <c r="CF127" i="2"/>
  <c r="CG127" i="2"/>
  <c r="CH127" i="2"/>
  <c r="CI127" i="2"/>
  <c r="CJ127" i="2"/>
  <c r="CK127" i="2"/>
  <c r="CL127" i="2"/>
  <c r="CM127" i="2"/>
  <c r="CN127" i="2"/>
  <c r="CO127" i="2"/>
  <c r="CP127" i="2"/>
  <c r="CQ127" i="2"/>
  <c r="CR127" i="2"/>
  <c r="CS127" i="2"/>
  <c r="CT127" i="2"/>
  <c r="CU127" i="2"/>
  <c r="CV127" i="2"/>
  <c r="CW127" i="2"/>
  <c r="CX127" i="2"/>
  <c r="BZ128" i="2"/>
  <c r="CA128" i="2"/>
  <c r="CB128" i="2"/>
  <c r="CC128" i="2"/>
  <c r="CD128" i="2"/>
  <c r="CE128" i="2"/>
  <c r="CF128" i="2"/>
  <c r="CG128" i="2"/>
  <c r="CH128" i="2"/>
  <c r="CI128" i="2"/>
  <c r="CJ128" i="2"/>
  <c r="CK128" i="2"/>
  <c r="CL128" i="2"/>
  <c r="CM128" i="2"/>
  <c r="CN128" i="2"/>
  <c r="CO128" i="2"/>
  <c r="CP128" i="2"/>
  <c r="CQ128" i="2"/>
  <c r="CR128" i="2"/>
  <c r="CS128" i="2"/>
  <c r="CT128" i="2"/>
  <c r="CU128" i="2"/>
  <c r="CV128" i="2"/>
  <c r="CW128" i="2"/>
  <c r="CX128" i="2"/>
  <c r="BZ129" i="2"/>
  <c r="CA129" i="2"/>
  <c r="CB129" i="2"/>
  <c r="CC129" i="2"/>
  <c r="CD129" i="2"/>
  <c r="CE129" i="2"/>
  <c r="CF129" i="2"/>
  <c r="CG129" i="2"/>
  <c r="CH129" i="2"/>
  <c r="CI129" i="2"/>
  <c r="CJ129" i="2"/>
  <c r="CK129" i="2"/>
  <c r="CL129" i="2"/>
  <c r="CM129" i="2"/>
  <c r="CN129" i="2"/>
  <c r="CO129" i="2"/>
  <c r="CP129" i="2"/>
  <c r="CQ129" i="2"/>
  <c r="CR129" i="2"/>
  <c r="CS129" i="2"/>
  <c r="CT129" i="2"/>
  <c r="CU129" i="2"/>
  <c r="CV129" i="2"/>
  <c r="CW129" i="2"/>
  <c r="CX129" i="2"/>
  <c r="BZ130" i="2"/>
  <c r="CA130" i="2"/>
  <c r="CB130" i="2"/>
  <c r="CC130" i="2"/>
  <c r="CD130" i="2"/>
  <c r="CE130" i="2"/>
  <c r="CF130" i="2"/>
  <c r="CG130" i="2"/>
  <c r="CH130" i="2"/>
  <c r="CI130" i="2"/>
  <c r="CJ130" i="2"/>
  <c r="CK130" i="2"/>
  <c r="CL130" i="2"/>
  <c r="CM130" i="2"/>
  <c r="CN130" i="2"/>
  <c r="CO130" i="2"/>
  <c r="CP130" i="2"/>
  <c r="CQ130" i="2"/>
  <c r="CR130" i="2"/>
  <c r="CS130" i="2"/>
  <c r="CT130" i="2"/>
  <c r="CU130" i="2"/>
  <c r="CV130" i="2"/>
  <c r="CW130" i="2"/>
  <c r="CX130" i="2"/>
  <c r="BZ131" i="2"/>
  <c r="CA131" i="2"/>
  <c r="CB131" i="2"/>
  <c r="CC131" i="2"/>
  <c r="CD131" i="2"/>
  <c r="CE131" i="2"/>
  <c r="CF131" i="2"/>
  <c r="CG131" i="2"/>
  <c r="CH131" i="2"/>
  <c r="CI131" i="2"/>
  <c r="CJ131" i="2"/>
  <c r="CK131" i="2"/>
  <c r="CL131" i="2"/>
  <c r="CM131" i="2"/>
  <c r="CN131" i="2"/>
  <c r="CO131" i="2"/>
  <c r="CP131" i="2"/>
  <c r="CQ131" i="2"/>
  <c r="CR131" i="2"/>
  <c r="CS131" i="2"/>
  <c r="CT131" i="2"/>
  <c r="CU131" i="2"/>
  <c r="CV131" i="2"/>
  <c r="CW131" i="2"/>
  <c r="CX131" i="2"/>
  <c r="BZ132" i="2"/>
  <c r="CA132" i="2"/>
  <c r="CB132" i="2"/>
  <c r="CC132" i="2"/>
  <c r="CD132" i="2"/>
  <c r="CE132" i="2"/>
  <c r="CF132" i="2"/>
  <c r="CG132" i="2"/>
  <c r="CH132" i="2"/>
  <c r="CI132" i="2"/>
  <c r="CJ132" i="2"/>
  <c r="CK132" i="2"/>
  <c r="CL132" i="2"/>
  <c r="CM132" i="2"/>
  <c r="CN132" i="2"/>
  <c r="CO132" i="2"/>
  <c r="CP132" i="2"/>
  <c r="CQ132" i="2"/>
  <c r="CR132" i="2"/>
  <c r="CS132" i="2"/>
  <c r="CT132" i="2"/>
  <c r="CU132" i="2"/>
  <c r="CV132" i="2"/>
  <c r="CW132" i="2"/>
  <c r="CX132" i="2"/>
  <c r="BZ133" i="2"/>
  <c r="CA133" i="2"/>
  <c r="CB133" i="2"/>
  <c r="CC133" i="2"/>
  <c r="CD133" i="2"/>
  <c r="CE133" i="2"/>
  <c r="CF133" i="2"/>
  <c r="CG133" i="2"/>
  <c r="CH133" i="2"/>
  <c r="CI133" i="2"/>
  <c r="CJ133" i="2"/>
  <c r="CK133" i="2"/>
  <c r="CL133" i="2"/>
  <c r="CM133" i="2"/>
  <c r="CN133" i="2"/>
  <c r="CO133" i="2"/>
  <c r="CP133" i="2"/>
  <c r="CQ133" i="2"/>
  <c r="CR133" i="2"/>
  <c r="CS133" i="2"/>
  <c r="CT133" i="2"/>
  <c r="CU133" i="2"/>
  <c r="CV133" i="2"/>
  <c r="CW133" i="2"/>
  <c r="CX133" i="2"/>
  <c r="BZ134" i="2"/>
  <c r="CA134" i="2"/>
  <c r="CB134" i="2"/>
  <c r="CC134" i="2"/>
  <c r="CD134" i="2"/>
  <c r="CE134" i="2"/>
  <c r="CF134" i="2"/>
  <c r="CG134" i="2"/>
  <c r="CH134" i="2"/>
  <c r="CI134" i="2"/>
  <c r="CJ134" i="2"/>
  <c r="CK134" i="2"/>
  <c r="CL134" i="2"/>
  <c r="CM134" i="2"/>
  <c r="CN134" i="2"/>
  <c r="CO134" i="2"/>
  <c r="CP134" i="2"/>
  <c r="CQ134" i="2"/>
  <c r="CR134" i="2"/>
  <c r="CS134" i="2"/>
  <c r="CT134" i="2"/>
  <c r="CU134" i="2"/>
  <c r="CV134" i="2"/>
  <c r="CW134" i="2"/>
  <c r="CX134" i="2"/>
  <c r="BZ135" i="2"/>
  <c r="CA135" i="2"/>
  <c r="CB135" i="2"/>
  <c r="CC135" i="2"/>
  <c r="CD135" i="2"/>
  <c r="CE135" i="2"/>
  <c r="CF135" i="2"/>
  <c r="CG135" i="2"/>
  <c r="CH135" i="2"/>
  <c r="CI135" i="2"/>
  <c r="CJ135" i="2"/>
  <c r="CK135" i="2"/>
  <c r="CL135" i="2"/>
  <c r="CM135" i="2"/>
  <c r="CN135" i="2"/>
  <c r="CO135" i="2"/>
  <c r="CP135" i="2"/>
  <c r="CQ135" i="2"/>
  <c r="CR135" i="2"/>
  <c r="CS135" i="2"/>
  <c r="CT135" i="2"/>
  <c r="CU135" i="2"/>
  <c r="CV135" i="2"/>
  <c r="CW135" i="2"/>
  <c r="CX135" i="2"/>
  <c r="BZ136" i="2"/>
  <c r="CA136" i="2"/>
  <c r="CB136" i="2"/>
  <c r="CC136" i="2"/>
  <c r="CD136" i="2"/>
  <c r="CE136" i="2"/>
  <c r="CF136" i="2"/>
  <c r="CG136" i="2"/>
  <c r="CH136" i="2"/>
  <c r="CI136" i="2"/>
  <c r="CJ136" i="2"/>
  <c r="CK136" i="2"/>
  <c r="CL136" i="2"/>
  <c r="CM136" i="2"/>
  <c r="CN136" i="2"/>
  <c r="CO136" i="2"/>
  <c r="CP136" i="2"/>
  <c r="CQ136" i="2"/>
  <c r="CR136" i="2"/>
  <c r="CS136" i="2"/>
  <c r="CT136" i="2"/>
  <c r="CU136" i="2"/>
  <c r="CV136" i="2"/>
  <c r="CW136" i="2"/>
  <c r="CX136" i="2"/>
  <c r="BZ137" i="2"/>
  <c r="CA137" i="2"/>
  <c r="CB137" i="2"/>
  <c r="CC137" i="2"/>
  <c r="CD137" i="2"/>
  <c r="CE137" i="2"/>
  <c r="CF137" i="2"/>
  <c r="CG137" i="2"/>
  <c r="CH137" i="2"/>
  <c r="CI137" i="2"/>
  <c r="CJ137" i="2"/>
  <c r="CK137" i="2"/>
  <c r="CL137" i="2"/>
  <c r="CM137" i="2"/>
  <c r="CN137" i="2"/>
  <c r="CO137" i="2"/>
  <c r="CP137" i="2"/>
  <c r="CQ137" i="2"/>
  <c r="CR137" i="2"/>
  <c r="CS137" i="2"/>
  <c r="CT137" i="2"/>
  <c r="CU137" i="2"/>
  <c r="CV137" i="2"/>
  <c r="CW137" i="2"/>
  <c r="CX137" i="2"/>
  <c r="BZ138" i="2"/>
  <c r="CA138" i="2"/>
  <c r="CB138" i="2"/>
  <c r="CC138" i="2"/>
  <c r="CD138" i="2"/>
  <c r="CE138" i="2"/>
  <c r="CF138" i="2"/>
  <c r="CG138" i="2"/>
  <c r="CH138" i="2"/>
  <c r="CI138" i="2"/>
  <c r="CJ138" i="2"/>
  <c r="CK138" i="2"/>
  <c r="CL138" i="2"/>
  <c r="CM138" i="2"/>
  <c r="CN138" i="2"/>
  <c r="CO138" i="2"/>
  <c r="CP138" i="2"/>
  <c r="CQ138" i="2"/>
  <c r="CR138" i="2"/>
  <c r="CS138" i="2"/>
  <c r="CT138" i="2"/>
  <c r="CU138" i="2"/>
  <c r="CV138" i="2"/>
  <c r="CW138" i="2"/>
  <c r="CX138" i="2"/>
  <c r="BZ139" i="2"/>
  <c r="CA139" i="2"/>
  <c r="CB139" i="2"/>
  <c r="CC139" i="2"/>
  <c r="CD139" i="2"/>
  <c r="CE139" i="2"/>
  <c r="CF139" i="2"/>
  <c r="CG139" i="2"/>
  <c r="CH139" i="2"/>
  <c r="CI139" i="2"/>
  <c r="CJ139" i="2"/>
  <c r="CK139" i="2"/>
  <c r="CL139" i="2"/>
  <c r="CM139" i="2"/>
  <c r="CN139" i="2"/>
  <c r="CO139" i="2"/>
  <c r="CP139" i="2"/>
  <c r="CQ139" i="2"/>
  <c r="CR139" i="2"/>
  <c r="CS139" i="2"/>
  <c r="CT139" i="2"/>
  <c r="CU139" i="2"/>
  <c r="CV139" i="2"/>
  <c r="CW139" i="2"/>
  <c r="CX139" i="2"/>
  <c r="BZ140" i="2"/>
  <c r="CA140" i="2"/>
  <c r="CB140" i="2"/>
  <c r="CC140" i="2"/>
  <c r="CD140" i="2"/>
  <c r="CE140" i="2"/>
  <c r="CF140" i="2"/>
  <c r="CG140" i="2"/>
  <c r="CH140" i="2"/>
  <c r="CI140" i="2"/>
  <c r="CJ140" i="2"/>
  <c r="CK140" i="2"/>
  <c r="CL140" i="2"/>
  <c r="CM140" i="2"/>
  <c r="CN140" i="2"/>
  <c r="CO140" i="2"/>
  <c r="CP140" i="2"/>
  <c r="CQ140" i="2"/>
  <c r="CR140" i="2"/>
  <c r="CS140" i="2"/>
  <c r="CT140" i="2"/>
  <c r="CU140" i="2"/>
  <c r="CV140" i="2"/>
  <c r="CW140" i="2"/>
  <c r="CX140" i="2"/>
  <c r="BZ141" i="2"/>
  <c r="CA141" i="2"/>
  <c r="CB141" i="2"/>
  <c r="CC141" i="2"/>
  <c r="CD141" i="2"/>
  <c r="CE141" i="2"/>
  <c r="CF141" i="2"/>
  <c r="CG141" i="2"/>
  <c r="CH141" i="2"/>
  <c r="CI141" i="2"/>
  <c r="CJ141" i="2"/>
  <c r="CK141" i="2"/>
  <c r="CL141" i="2"/>
  <c r="CM141" i="2"/>
  <c r="CN141" i="2"/>
  <c r="CO141" i="2"/>
  <c r="CP141" i="2"/>
  <c r="CQ141" i="2"/>
  <c r="CR141" i="2"/>
  <c r="CS141" i="2"/>
  <c r="CT141" i="2"/>
  <c r="CU141" i="2"/>
  <c r="CV141" i="2"/>
  <c r="CW141" i="2"/>
  <c r="CX141" i="2"/>
  <c r="BZ142" i="2"/>
  <c r="CA142" i="2"/>
  <c r="CB142" i="2"/>
  <c r="CC142" i="2"/>
  <c r="CD142" i="2"/>
  <c r="CE142" i="2"/>
  <c r="CF142" i="2"/>
  <c r="CG142" i="2"/>
  <c r="CH142" i="2"/>
  <c r="CI142" i="2"/>
  <c r="CJ142" i="2"/>
  <c r="CK142" i="2"/>
  <c r="CL142" i="2"/>
  <c r="CM142" i="2"/>
  <c r="CN142" i="2"/>
  <c r="CO142" i="2"/>
  <c r="CP142" i="2"/>
  <c r="CQ142" i="2"/>
  <c r="CR142" i="2"/>
  <c r="CS142" i="2"/>
  <c r="CT142" i="2"/>
  <c r="CU142" i="2"/>
  <c r="CV142" i="2"/>
  <c r="CW142" i="2"/>
  <c r="CX142" i="2"/>
  <c r="BZ143" i="2"/>
  <c r="CA143" i="2"/>
  <c r="CB143" i="2"/>
  <c r="CC143" i="2"/>
  <c r="CD143" i="2"/>
  <c r="CE143" i="2"/>
  <c r="CF143" i="2"/>
  <c r="CG143" i="2"/>
  <c r="CH143" i="2"/>
  <c r="CI143" i="2"/>
  <c r="CJ143" i="2"/>
  <c r="CK143" i="2"/>
  <c r="CL143" i="2"/>
  <c r="CM143" i="2"/>
  <c r="CN143" i="2"/>
  <c r="CO143" i="2"/>
  <c r="CP143" i="2"/>
  <c r="CQ143" i="2"/>
  <c r="CR143" i="2"/>
  <c r="CS143" i="2"/>
  <c r="CT143" i="2"/>
  <c r="CU143" i="2"/>
  <c r="CV143" i="2"/>
  <c r="CW143" i="2"/>
  <c r="CX143" i="2"/>
  <c r="BZ144" i="2"/>
  <c r="CA144" i="2"/>
  <c r="CB144" i="2"/>
  <c r="CC144" i="2"/>
  <c r="CD144" i="2"/>
  <c r="CE144" i="2"/>
  <c r="CF144" i="2"/>
  <c r="CG144" i="2"/>
  <c r="CH144" i="2"/>
  <c r="CI144" i="2"/>
  <c r="CJ144" i="2"/>
  <c r="CK144" i="2"/>
  <c r="CL144" i="2"/>
  <c r="CM144" i="2"/>
  <c r="CN144" i="2"/>
  <c r="CO144" i="2"/>
  <c r="CP144" i="2"/>
  <c r="CQ144" i="2"/>
  <c r="CR144" i="2"/>
  <c r="CS144" i="2"/>
  <c r="CT144" i="2"/>
  <c r="CU144" i="2"/>
  <c r="CV144" i="2"/>
  <c r="CW144" i="2"/>
  <c r="CX144" i="2"/>
  <c r="BZ145" i="2"/>
  <c r="CA145" i="2"/>
  <c r="CB145" i="2"/>
  <c r="CC145" i="2"/>
  <c r="CD145" i="2"/>
  <c r="CE145" i="2"/>
  <c r="CF145" i="2"/>
  <c r="CG145" i="2"/>
  <c r="CH145" i="2"/>
  <c r="CI145" i="2"/>
  <c r="CJ145" i="2"/>
  <c r="CK145" i="2"/>
  <c r="CL145" i="2"/>
  <c r="CM145" i="2"/>
  <c r="CN145" i="2"/>
  <c r="CO145" i="2"/>
  <c r="CP145" i="2"/>
  <c r="CQ145" i="2"/>
  <c r="CR145" i="2"/>
  <c r="CS145" i="2"/>
  <c r="CT145" i="2"/>
  <c r="CU145" i="2"/>
  <c r="CV145" i="2"/>
  <c r="CW145" i="2"/>
  <c r="CX145" i="2"/>
  <c r="BZ146" i="2"/>
  <c r="CA146" i="2"/>
  <c r="CB146" i="2"/>
  <c r="CC146" i="2"/>
  <c r="CD146" i="2"/>
  <c r="CE146" i="2"/>
  <c r="CF146" i="2"/>
  <c r="CG146" i="2"/>
  <c r="CH146" i="2"/>
  <c r="CI146" i="2"/>
  <c r="CJ146" i="2"/>
  <c r="CK146" i="2"/>
  <c r="CL146" i="2"/>
  <c r="CM146" i="2"/>
  <c r="CN146" i="2"/>
  <c r="CO146" i="2"/>
  <c r="CP146" i="2"/>
  <c r="CQ146" i="2"/>
  <c r="CR146" i="2"/>
  <c r="CS146" i="2"/>
  <c r="CT146" i="2"/>
  <c r="CU146" i="2"/>
  <c r="CV146" i="2"/>
  <c r="CW146" i="2"/>
  <c r="CX146" i="2"/>
  <c r="BZ147" i="2"/>
  <c r="CA147" i="2"/>
  <c r="CB147" i="2"/>
  <c r="CC147" i="2"/>
  <c r="CD147" i="2"/>
  <c r="CE147" i="2"/>
  <c r="CF147" i="2"/>
  <c r="CG147" i="2"/>
  <c r="CH147" i="2"/>
  <c r="CI147" i="2"/>
  <c r="CJ147" i="2"/>
  <c r="CK147" i="2"/>
  <c r="CL147" i="2"/>
  <c r="CM147" i="2"/>
  <c r="CN147" i="2"/>
  <c r="CO147" i="2"/>
  <c r="CP147" i="2"/>
  <c r="CQ147" i="2"/>
  <c r="CR147" i="2"/>
  <c r="CS147" i="2"/>
  <c r="CT147" i="2"/>
  <c r="CU147" i="2"/>
  <c r="CV147" i="2"/>
  <c r="CW147" i="2"/>
  <c r="CX147" i="2"/>
  <c r="BZ148" i="2"/>
  <c r="CA148" i="2"/>
  <c r="CB148" i="2"/>
  <c r="CC148" i="2"/>
  <c r="CD148" i="2"/>
  <c r="CE148" i="2"/>
  <c r="CF148" i="2"/>
  <c r="CG148" i="2"/>
  <c r="CH148" i="2"/>
  <c r="CI148" i="2"/>
  <c r="CJ148" i="2"/>
  <c r="CK148" i="2"/>
  <c r="CL148" i="2"/>
  <c r="CM148" i="2"/>
  <c r="CN148" i="2"/>
  <c r="CO148" i="2"/>
  <c r="CP148" i="2"/>
  <c r="CQ148" i="2"/>
  <c r="CR148" i="2"/>
  <c r="CS148" i="2"/>
  <c r="CT148" i="2"/>
  <c r="CU148" i="2"/>
  <c r="CV148" i="2"/>
  <c r="CW148" i="2"/>
  <c r="CX148" i="2"/>
  <c r="BZ149" i="2"/>
  <c r="CA149" i="2"/>
  <c r="CB149" i="2"/>
  <c r="CC149" i="2"/>
  <c r="CD149" i="2"/>
  <c r="CE149" i="2"/>
  <c r="CF149" i="2"/>
  <c r="CG149" i="2"/>
  <c r="CH149" i="2"/>
  <c r="CI149" i="2"/>
  <c r="CJ149" i="2"/>
  <c r="CK149" i="2"/>
  <c r="CL149" i="2"/>
  <c r="CM149" i="2"/>
  <c r="CN149" i="2"/>
  <c r="CO149" i="2"/>
  <c r="CP149" i="2"/>
  <c r="CQ149" i="2"/>
  <c r="CR149" i="2"/>
  <c r="CS149" i="2"/>
  <c r="CT149" i="2"/>
  <c r="CU149" i="2"/>
  <c r="CV149" i="2"/>
  <c r="CW149" i="2"/>
  <c r="CX149" i="2"/>
  <c r="BZ150" i="2"/>
  <c r="CA150" i="2"/>
  <c r="CB150" i="2"/>
  <c r="CC150" i="2"/>
  <c r="CD150" i="2"/>
  <c r="CE150" i="2"/>
  <c r="CF150" i="2"/>
  <c r="CG150" i="2"/>
  <c r="CH150" i="2"/>
  <c r="CI150" i="2"/>
  <c r="CJ150" i="2"/>
  <c r="CK150" i="2"/>
  <c r="CL150" i="2"/>
  <c r="CM150" i="2"/>
  <c r="CN150" i="2"/>
  <c r="CO150" i="2"/>
  <c r="CP150" i="2"/>
  <c r="CQ150" i="2"/>
  <c r="CR150" i="2"/>
  <c r="CS150" i="2"/>
  <c r="CT150" i="2"/>
  <c r="CU150" i="2"/>
  <c r="CV150" i="2"/>
  <c r="CW150" i="2"/>
  <c r="CX150" i="2"/>
  <c r="BZ151" i="2"/>
  <c r="CA151" i="2"/>
  <c r="CB151" i="2"/>
  <c r="CC151" i="2"/>
  <c r="CD151" i="2"/>
  <c r="CE151" i="2"/>
  <c r="CF151" i="2"/>
  <c r="CG151" i="2"/>
  <c r="CH151" i="2"/>
  <c r="CI151" i="2"/>
  <c r="CJ151" i="2"/>
  <c r="CK151" i="2"/>
  <c r="CL151" i="2"/>
  <c r="CM151" i="2"/>
  <c r="CN151" i="2"/>
  <c r="CO151" i="2"/>
  <c r="CP151" i="2"/>
  <c r="CQ151" i="2"/>
  <c r="CR151" i="2"/>
  <c r="CS151" i="2"/>
  <c r="CT151" i="2"/>
  <c r="CU151" i="2"/>
  <c r="CV151" i="2"/>
  <c r="CW151" i="2"/>
  <c r="CX151" i="2"/>
  <c r="BZ152" i="2"/>
  <c r="CA152" i="2"/>
  <c r="CB152" i="2"/>
  <c r="CC152" i="2"/>
  <c r="CD152" i="2"/>
  <c r="CE152" i="2"/>
  <c r="CF152" i="2"/>
  <c r="CG152" i="2"/>
  <c r="CH152" i="2"/>
  <c r="CI152" i="2"/>
  <c r="CJ152" i="2"/>
  <c r="CK152" i="2"/>
  <c r="CL152" i="2"/>
  <c r="CM152" i="2"/>
  <c r="CN152" i="2"/>
  <c r="CO152" i="2"/>
  <c r="CP152" i="2"/>
  <c r="CQ152" i="2"/>
  <c r="CR152" i="2"/>
  <c r="CS152" i="2"/>
  <c r="CT152" i="2"/>
  <c r="CU152" i="2"/>
  <c r="CV152" i="2"/>
  <c r="CW152" i="2"/>
  <c r="CX152" i="2"/>
  <c r="BZ153" i="2"/>
  <c r="CA153" i="2"/>
  <c r="CB153" i="2"/>
  <c r="CC153" i="2"/>
  <c r="CD153" i="2"/>
  <c r="CE153" i="2"/>
  <c r="CF153" i="2"/>
  <c r="CG153" i="2"/>
  <c r="CH153" i="2"/>
  <c r="CI153" i="2"/>
  <c r="CJ153" i="2"/>
  <c r="CK153" i="2"/>
  <c r="CL153" i="2"/>
  <c r="CM153" i="2"/>
  <c r="CN153" i="2"/>
  <c r="CO153" i="2"/>
  <c r="CP153" i="2"/>
  <c r="CQ153" i="2"/>
  <c r="CR153" i="2"/>
  <c r="CS153" i="2"/>
  <c r="CT153" i="2"/>
  <c r="CU153" i="2"/>
  <c r="CV153" i="2"/>
  <c r="CW153" i="2"/>
  <c r="CX153" i="2"/>
  <c r="BZ154" i="2"/>
  <c r="CA154" i="2"/>
  <c r="CB154" i="2"/>
  <c r="CC154" i="2"/>
  <c r="CD154" i="2"/>
  <c r="CE154" i="2"/>
  <c r="CF154" i="2"/>
  <c r="CG154" i="2"/>
  <c r="CH154" i="2"/>
  <c r="CI154" i="2"/>
  <c r="CJ154" i="2"/>
  <c r="CK154" i="2"/>
  <c r="CL154" i="2"/>
  <c r="CM154" i="2"/>
  <c r="CN154" i="2"/>
  <c r="CO154" i="2"/>
  <c r="CP154" i="2"/>
  <c r="CQ154" i="2"/>
  <c r="CR154" i="2"/>
  <c r="CS154" i="2"/>
  <c r="CT154" i="2"/>
  <c r="CU154" i="2"/>
  <c r="CV154" i="2"/>
  <c r="CW154" i="2"/>
  <c r="CX154" i="2"/>
  <c r="BZ155" i="2"/>
  <c r="CA155" i="2"/>
  <c r="CB155" i="2"/>
  <c r="CC155" i="2"/>
  <c r="CD155" i="2"/>
  <c r="CE155" i="2"/>
  <c r="CF155" i="2"/>
  <c r="CG155" i="2"/>
  <c r="CH155" i="2"/>
  <c r="CI155" i="2"/>
  <c r="CJ155" i="2"/>
  <c r="CK155" i="2"/>
  <c r="CL155" i="2"/>
  <c r="CM155" i="2"/>
  <c r="CN155" i="2"/>
  <c r="CO155" i="2"/>
  <c r="CP155" i="2"/>
  <c r="CQ155" i="2"/>
  <c r="CR155" i="2"/>
  <c r="CS155" i="2"/>
  <c r="CT155" i="2"/>
  <c r="CU155" i="2"/>
  <c r="CV155" i="2"/>
  <c r="CW155" i="2"/>
  <c r="CX155" i="2"/>
  <c r="BZ156" i="2"/>
  <c r="CA156" i="2"/>
  <c r="CB156" i="2"/>
  <c r="CC156" i="2"/>
  <c r="CD156" i="2"/>
  <c r="CE156" i="2"/>
  <c r="CF156" i="2"/>
  <c r="CG156" i="2"/>
  <c r="CH156" i="2"/>
  <c r="CI156" i="2"/>
  <c r="CJ156" i="2"/>
  <c r="CK156" i="2"/>
  <c r="CL156" i="2"/>
  <c r="CM156" i="2"/>
  <c r="CN156" i="2"/>
  <c r="CO156" i="2"/>
  <c r="CP156" i="2"/>
  <c r="CQ156" i="2"/>
  <c r="CR156" i="2"/>
  <c r="CS156" i="2"/>
  <c r="CT156" i="2"/>
  <c r="CU156" i="2"/>
  <c r="CV156" i="2"/>
  <c r="CW156" i="2"/>
  <c r="CX156" i="2"/>
  <c r="BZ157" i="2"/>
  <c r="CA157" i="2"/>
  <c r="CB157" i="2"/>
  <c r="CC157" i="2"/>
  <c r="CD157" i="2"/>
  <c r="CE157" i="2"/>
  <c r="CF157" i="2"/>
  <c r="CG157" i="2"/>
  <c r="CH157" i="2"/>
  <c r="CI157" i="2"/>
  <c r="CJ157" i="2"/>
  <c r="CK157" i="2"/>
  <c r="CL157" i="2"/>
  <c r="CM157" i="2"/>
  <c r="CN157" i="2"/>
  <c r="CO157" i="2"/>
  <c r="CP157" i="2"/>
  <c r="CQ157" i="2"/>
  <c r="CR157" i="2"/>
  <c r="CS157" i="2"/>
  <c r="CT157" i="2"/>
  <c r="CU157" i="2"/>
  <c r="CV157" i="2"/>
  <c r="CW157" i="2"/>
  <c r="CX157" i="2"/>
  <c r="BZ158" i="2"/>
  <c r="CA158" i="2"/>
  <c r="CB158" i="2"/>
  <c r="CC158" i="2"/>
  <c r="CD158" i="2"/>
  <c r="CE158" i="2"/>
  <c r="CF158" i="2"/>
  <c r="CG158" i="2"/>
  <c r="CH158" i="2"/>
  <c r="CI158" i="2"/>
  <c r="CJ158" i="2"/>
  <c r="CK158" i="2"/>
  <c r="CL158" i="2"/>
  <c r="CM158" i="2"/>
  <c r="CN158" i="2"/>
  <c r="CO158" i="2"/>
  <c r="CP158" i="2"/>
  <c r="CQ158" i="2"/>
  <c r="CR158" i="2"/>
  <c r="CS158" i="2"/>
  <c r="CT158" i="2"/>
  <c r="CU158" i="2"/>
  <c r="CV158" i="2"/>
  <c r="CW158" i="2"/>
  <c r="CX158" i="2"/>
  <c r="BZ159" i="2"/>
  <c r="CA159" i="2"/>
  <c r="CB159" i="2"/>
  <c r="CC159" i="2"/>
  <c r="CD159" i="2"/>
  <c r="CE159" i="2"/>
  <c r="CF159" i="2"/>
  <c r="CG159" i="2"/>
  <c r="CH159" i="2"/>
  <c r="CI159" i="2"/>
  <c r="CJ159" i="2"/>
  <c r="CK159" i="2"/>
  <c r="CL159" i="2"/>
  <c r="CM159" i="2"/>
  <c r="CN159" i="2"/>
  <c r="CO159" i="2"/>
  <c r="CP159" i="2"/>
  <c r="CQ159" i="2"/>
  <c r="CR159" i="2"/>
  <c r="CS159" i="2"/>
  <c r="CT159" i="2"/>
  <c r="CU159" i="2"/>
  <c r="CV159" i="2"/>
  <c r="CW159" i="2"/>
  <c r="CX159" i="2"/>
  <c r="BZ160" i="2"/>
  <c r="CA160" i="2"/>
  <c r="CB160" i="2"/>
  <c r="CC160" i="2"/>
  <c r="CD160" i="2"/>
  <c r="CE160" i="2"/>
  <c r="CF160" i="2"/>
  <c r="CG160" i="2"/>
  <c r="CH160" i="2"/>
  <c r="CI160" i="2"/>
  <c r="CJ160" i="2"/>
  <c r="CK160" i="2"/>
  <c r="CL160" i="2"/>
  <c r="CM160" i="2"/>
  <c r="CN160" i="2"/>
  <c r="CO160" i="2"/>
  <c r="CP160" i="2"/>
  <c r="CQ160" i="2"/>
  <c r="CR160" i="2"/>
  <c r="CS160" i="2"/>
  <c r="CT160" i="2"/>
  <c r="CU160" i="2"/>
  <c r="CV160" i="2"/>
  <c r="CW160" i="2"/>
  <c r="CX160" i="2"/>
  <c r="BZ161" i="2"/>
  <c r="CA161" i="2"/>
  <c r="CB161" i="2"/>
  <c r="CC161" i="2"/>
  <c r="CD161" i="2"/>
  <c r="CE161" i="2"/>
  <c r="CF161" i="2"/>
  <c r="CG161" i="2"/>
  <c r="CH161" i="2"/>
  <c r="CI161" i="2"/>
  <c r="CJ161" i="2"/>
  <c r="CK161" i="2"/>
  <c r="CL161" i="2"/>
  <c r="CM161" i="2"/>
  <c r="CN161" i="2"/>
  <c r="CO161" i="2"/>
  <c r="CP161" i="2"/>
  <c r="CQ161" i="2"/>
  <c r="CR161" i="2"/>
  <c r="CS161" i="2"/>
  <c r="CT161" i="2"/>
  <c r="CU161" i="2"/>
  <c r="CV161" i="2"/>
  <c r="CW161" i="2"/>
  <c r="CX161" i="2"/>
  <c r="BZ162" i="2"/>
  <c r="CA162" i="2"/>
  <c r="CB162" i="2"/>
  <c r="CC162" i="2"/>
  <c r="CD162" i="2"/>
  <c r="CE162" i="2"/>
  <c r="CF162" i="2"/>
  <c r="CG162" i="2"/>
  <c r="CH162" i="2"/>
  <c r="CI162" i="2"/>
  <c r="CJ162" i="2"/>
  <c r="CK162" i="2"/>
  <c r="CL162" i="2"/>
  <c r="CM162" i="2"/>
  <c r="CN162" i="2"/>
  <c r="CO162" i="2"/>
  <c r="CP162" i="2"/>
  <c r="CQ162" i="2"/>
  <c r="CR162" i="2"/>
  <c r="CS162" i="2"/>
  <c r="CT162" i="2"/>
  <c r="CU162" i="2"/>
  <c r="CV162" i="2"/>
  <c r="CW162" i="2"/>
  <c r="CX162" i="2"/>
  <c r="BZ163" i="2"/>
  <c r="CA163" i="2"/>
  <c r="CB163" i="2"/>
  <c r="CC163" i="2"/>
  <c r="CD163" i="2"/>
  <c r="CE163" i="2"/>
  <c r="CF163" i="2"/>
  <c r="CG163" i="2"/>
  <c r="CH163" i="2"/>
  <c r="CI163" i="2"/>
  <c r="CJ163" i="2"/>
  <c r="CK163" i="2"/>
  <c r="CL163" i="2"/>
  <c r="CM163" i="2"/>
  <c r="CN163" i="2"/>
  <c r="CO163" i="2"/>
  <c r="CP163" i="2"/>
  <c r="CQ163" i="2"/>
  <c r="CR163" i="2"/>
  <c r="CS163" i="2"/>
  <c r="CT163" i="2"/>
  <c r="CU163" i="2"/>
  <c r="CV163" i="2"/>
  <c r="CW163" i="2"/>
  <c r="CX163" i="2"/>
  <c r="BZ164" i="2"/>
  <c r="CA164" i="2"/>
  <c r="CB164" i="2"/>
  <c r="CC164" i="2"/>
  <c r="CD164" i="2"/>
  <c r="CE164" i="2"/>
  <c r="CF164" i="2"/>
  <c r="CG164" i="2"/>
  <c r="CH164" i="2"/>
  <c r="CI164" i="2"/>
  <c r="CJ164" i="2"/>
  <c r="CK164" i="2"/>
  <c r="CL164" i="2"/>
  <c r="CM164" i="2"/>
  <c r="CN164" i="2"/>
  <c r="CO164" i="2"/>
  <c r="CP164" i="2"/>
  <c r="CQ164" i="2"/>
  <c r="CR164" i="2"/>
  <c r="CS164" i="2"/>
  <c r="CT164" i="2"/>
  <c r="CU164" i="2"/>
  <c r="CV164" i="2"/>
  <c r="CW164" i="2"/>
  <c r="CX164" i="2"/>
  <c r="BZ165" i="2"/>
  <c r="CA165" i="2"/>
  <c r="CB165" i="2"/>
  <c r="CC165" i="2"/>
  <c r="CD165" i="2"/>
  <c r="CE165" i="2"/>
  <c r="CF165" i="2"/>
  <c r="CG165" i="2"/>
  <c r="CH165" i="2"/>
  <c r="CI165" i="2"/>
  <c r="CJ165" i="2"/>
  <c r="CK165" i="2"/>
  <c r="CL165" i="2"/>
  <c r="CM165" i="2"/>
  <c r="CN165" i="2"/>
  <c r="CO165" i="2"/>
  <c r="CP165" i="2"/>
  <c r="CQ165" i="2"/>
  <c r="CR165" i="2"/>
  <c r="CS165" i="2"/>
  <c r="CT165" i="2"/>
  <c r="CU165" i="2"/>
  <c r="CV165" i="2"/>
  <c r="CW165" i="2"/>
  <c r="CX165" i="2"/>
  <c r="BZ166" i="2"/>
  <c r="CA166" i="2"/>
  <c r="CB166" i="2"/>
  <c r="CC166" i="2"/>
  <c r="CD166" i="2"/>
  <c r="CE166" i="2"/>
  <c r="CF166" i="2"/>
  <c r="CG166" i="2"/>
  <c r="CH166" i="2"/>
  <c r="CI166" i="2"/>
  <c r="CJ166" i="2"/>
  <c r="CK166" i="2"/>
  <c r="CL166" i="2"/>
  <c r="CM166" i="2"/>
  <c r="CN166" i="2"/>
  <c r="CO166" i="2"/>
  <c r="CP166" i="2"/>
  <c r="CQ166" i="2"/>
  <c r="CR166" i="2"/>
  <c r="CS166" i="2"/>
  <c r="CT166" i="2"/>
  <c r="CU166" i="2"/>
  <c r="CV166" i="2"/>
  <c r="CW166" i="2"/>
  <c r="CX166" i="2"/>
  <c r="BZ167" i="2"/>
  <c r="CA167" i="2"/>
  <c r="CB167" i="2"/>
  <c r="CC167" i="2"/>
  <c r="CD167" i="2"/>
  <c r="CE167" i="2"/>
  <c r="CF167" i="2"/>
  <c r="CG167" i="2"/>
  <c r="CH167" i="2"/>
  <c r="CI167" i="2"/>
  <c r="CJ167" i="2"/>
  <c r="CK167" i="2"/>
  <c r="CL167" i="2"/>
  <c r="CM167" i="2"/>
  <c r="CN167" i="2"/>
  <c r="CO167" i="2"/>
  <c r="CP167" i="2"/>
  <c r="CQ167" i="2"/>
  <c r="CR167" i="2"/>
  <c r="CS167" i="2"/>
  <c r="CT167" i="2"/>
  <c r="CU167" i="2"/>
  <c r="CV167" i="2"/>
  <c r="CW167" i="2"/>
  <c r="CX167" i="2"/>
  <c r="BZ168" i="2"/>
  <c r="CA168" i="2"/>
  <c r="CB168" i="2"/>
  <c r="CC168" i="2"/>
  <c r="CD168" i="2"/>
  <c r="CE168" i="2"/>
  <c r="CF168" i="2"/>
  <c r="CG168" i="2"/>
  <c r="CH168" i="2"/>
  <c r="CI168" i="2"/>
  <c r="CJ168" i="2"/>
  <c r="CK168" i="2"/>
  <c r="CL168" i="2"/>
  <c r="CM168" i="2"/>
  <c r="CN168" i="2"/>
  <c r="CO168" i="2"/>
  <c r="CP168" i="2"/>
  <c r="CQ168" i="2"/>
  <c r="CR168" i="2"/>
  <c r="CS168" i="2"/>
  <c r="CT168" i="2"/>
  <c r="CU168" i="2"/>
  <c r="CV168" i="2"/>
  <c r="CW168" i="2"/>
  <c r="CX168" i="2"/>
  <c r="BZ169" i="2"/>
  <c r="CA169" i="2"/>
  <c r="CB169" i="2"/>
  <c r="CC169" i="2"/>
  <c r="CD169" i="2"/>
  <c r="CE169" i="2"/>
  <c r="CF169" i="2"/>
  <c r="CG169" i="2"/>
  <c r="CH169" i="2"/>
  <c r="CI169" i="2"/>
  <c r="CJ169" i="2"/>
  <c r="CK169" i="2"/>
  <c r="CL169" i="2"/>
  <c r="CM169" i="2"/>
  <c r="CN169" i="2"/>
  <c r="CO169" i="2"/>
  <c r="CP169" i="2"/>
  <c r="CQ169" i="2"/>
  <c r="CR169" i="2"/>
  <c r="CS169" i="2"/>
  <c r="CT169" i="2"/>
  <c r="CU169" i="2"/>
  <c r="CV169" i="2"/>
  <c r="CW169" i="2"/>
  <c r="CX169" i="2"/>
  <c r="BZ170" i="2"/>
  <c r="CA170" i="2"/>
  <c r="CB170" i="2"/>
  <c r="CC170" i="2"/>
  <c r="CD170" i="2"/>
  <c r="CE170" i="2"/>
  <c r="CF170" i="2"/>
  <c r="CG170" i="2"/>
  <c r="CH170" i="2"/>
  <c r="CI170" i="2"/>
  <c r="CJ170" i="2"/>
  <c r="CK170" i="2"/>
  <c r="CL170" i="2"/>
  <c r="CM170" i="2"/>
  <c r="CN170" i="2"/>
  <c r="CO170" i="2"/>
  <c r="CP170" i="2"/>
  <c r="CQ170" i="2"/>
  <c r="CR170" i="2"/>
  <c r="CS170" i="2"/>
  <c r="CT170" i="2"/>
  <c r="CU170" i="2"/>
  <c r="CV170" i="2"/>
  <c r="CW170" i="2"/>
  <c r="CX170" i="2"/>
  <c r="BZ171" i="2"/>
  <c r="CA171" i="2"/>
  <c r="CB171" i="2"/>
  <c r="CC171" i="2"/>
  <c r="CD171" i="2"/>
  <c r="CE171" i="2"/>
  <c r="CF171" i="2"/>
  <c r="CG171" i="2"/>
  <c r="CH171" i="2"/>
  <c r="CI171" i="2"/>
  <c r="CJ171" i="2"/>
  <c r="CK171" i="2"/>
  <c r="CL171" i="2"/>
  <c r="CM171" i="2"/>
  <c r="CN171" i="2"/>
  <c r="CO171" i="2"/>
  <c r="CP171" i="2"/>
  <c r="CQ171" i="2"/>
  <c r="CR171" i="2"/>
  <c r="CS171" i="2"/>
  <c r="CT171" i="2"/>
  <c r="CU171" i="2"/>
  <c r="CV171" i="2"/>
  <c r="CW171" i="2"/>
  <c r="CX171" i="2"/>
  <c r="BZ172" i="2"/>
  <c r="CA172" i="2"/>
  <c r="CB172" i="2"/>
  <c r="CC172" i="2"/>
  <c r="CD172" i="2"/>
  <c r="CE172" i="2"/>
  <c r="CF172" i="2"/>
  <c r="CG172" i="2"/>
  <c r="CH172" i="2"/>
  <c r="CI172" i="2"/>
  <c r="CJ172" i="2"/>
  <c r="CK172" i="2"/>
  <c r="CL172" i="2"/>
  <c r="CM172" i="2"/>
  <c r="CN172" i="2"/>
  <c r="CO172" i="2"/>
  <c r="CP172" i="2"/>
  <c r="CQ172" i="2"/>
  <c r="CR172" i="2"/>
  <c r="CS172" i="2"/>
  <c r="CT172" i="2"/>
  <c r="CU172" i="2"/>
  <c r="CV172" i="2"/>
  <c r="CW172" i="2"/>
  <c r="CX172" i="2"/>
  <c r="BZ173" i="2"/>
  <c r="CA173" i="2"/>
  <c r="CB173" i="2"/>
  <c r="CC173" i="2"/>
  <c r="CD173" i="2"/>
  <c r="CE173" i="2"/>
  <c r="CF173" i="2"/>
  <c r="CG173" i="2"/>
  <c r="CH173" i="2"/>
  <c r="CI173" i="2"/>
  <c r="CJ173" i="2"/>
  <c r="CK173" i="2"/>
  <c r="CL173" i="2"/>
  <c r="CM173" i="2"/>
  <c r="CN173" i="2"/>
  <c r="CO173" i="2"/>
  <c r="CP173" i="2"/>
  <c r="CQ173" i="2"/>
  <c r="CR173" i="2"/>
  <c r="CS173" i="2"/>
  <c r="CT173" i="2"/>
  <c r="CU173" i="2"/>
  <c r="CV173" i="2"/>
  <c r="CW173" i="2"/>
  <c r="CX173" i="2"/>
  <c r="BZ174" i="2"/>
  <c r="CA174" i="2"/>
  <c r="CB174" i="2"/>
  <c r="CC174" i="2"/>
  <c r="CD174" i="2"/>
  <c r="CE174" i="2"/>
  <c r="CF174" i="2"/>
  <c r="CG174" i="2"/>
  <c r="CH174" i="2"/>
  <c r="CI174" i="2"/>
  <c r="CJ174" i="2"/>
  <c r="CK174" i="2"/>
  <c r="CL174" i="2"/>
  <c r="CM174" i="2"/>
  <c r="CN174" i="2"/>
  <c r="CO174" i="2"/>
  <c r="CP174" i="2"/>
  <c r="CQ174" i="2"/>
  <c r="CR174" i="2"/>
  <c r="CS174" i="2"/>
  <c r="CT174" i="2"/>
  <c r="CU174" i="2"/>
  <c r="CV174" i="2"/>
  <c r="CW174" i="2"/>
  <c r="CX174" i="2"/>
  <c r="BZ175" i="2"/>
  <c r="CA175" i="2"/>
  <c r="CB175" i="2"/>
  <c r="CC175" i="2"/>
  <c r="CD175" i="2"/>
  <c r="CE175" i="2"/>
  <c r="CF175" i="2"/>
  <c r="CG175" i="2"/>
  <c r="CH175" i="2"/>
  <c r="CI175" i="2"/>
  <c r="CJ175" i="2"/>
  <c r="CK175" i="2"/>
  <c r="CL175" i="2"/>
  <c r="CM175" i="2"/>
  <c r="CN175" i="2"/>
  <c r="CO175" i="2"/>
  <c r="CP175" i="2"/>
  <c r="CQ175" i="2"/>
  <c r="CR175" i="2"/>
  <c r="CS175" i="2"/>
  <c r="CT175" i="2"/>
  <c r="CU175" i="2"/>
  <c r="CV175" i="2"/>
  <c r="CW175" i="2"/>
  <c r="CX175" i="2"/>
  <c r="BZ176" i="2"/>
  <c r="CA176" i="2"/>
  <c r="CB176" i="2"/>
  <c r="CC176" i="2"/>
  <c r="CD176" i="2"/>
  <c r="CE176" i="2"/>
  <c r="CF176" i="2"/>
  <c r="CG176" i="2"/>
  <c r="CH176" i="2"/>
  <c r="CI176" i="2"/>
  <c r="CJ176" i="2"/>
  <c r="CK176" i="2"/>
  <c r="CL176" i="2"/>
  <c r="CM176" i="2"/>
  <c r="CN176" i="2"/>
  <c r="CO176" i="2"/>
  <c r="CP176" i="2"/>
  <c r="CQ176" i="2"/>
  <c r="CR176" i="2"/>
  <c r="CS176" i="2"/>
  <c r="CT176" i="2"/>
  <c r="CU176" i="2"/>
  <c r="CV176" i="2"/>
  <c r="CW176" i="2"/>
  <c r="CX176" i="2"/>
  <c r="BZ177" i="2"/>
  <c r="CA177" i="2"/>
  <c r="CB177" i="2"/>
  <c r="CC177" i="2"/>
  <c r="CD177" i="2"/>
  <c r="CE177" i="2"/>
  <c r="CF177" i="2"/>
  <c r="CG177" i="2"/>
  <c r="CH177" i="2"/>
  <c r="CI177" i="2"/>
  <c r="CJ177" i="2"/>
  <c r="CK177" i="2"/>
  <c r="CL177" i="2"/>
  <c r="CM177" i="2"/>
  <c r="CN177" i="2"/>
  <c r="CO177" i="2"/>
  <c r="CP177" i="2"/>
  <c r="CQ177" i="2"/>
  <c r="CR177" i="2"/>
  <c r="CS177" i="2"/>
  <c r="CT177" i="2"/>
  <c r="CU177" i="2"/>
  <c r="CV177" i="2"/>
  <c r="CW177" i="2"/>
  <c r="CX177" i="2"/>
  <c r="BZ178" i="2"/>
  <c r="CA178" i="2"/>
  <c r="CB178" i="2"/>
  <c r="CC178" i="2"/>
  <c r="CD178" i="2"/>
  <c r="CE178" i="2"/>
  <c r="CF178" i="2"/>
  <c r="CG178" i="2"/>
  <c r="CH178" i="2"/>
  <c r="CI178" i="2"/>
  <c r="CJ178" i="2"/>
  <c r="CK178" i="2"/>
  <c r="CL178" i="2"/>
  <c r="CM178" i="2"/>
  <c r="CN178" i="2"/>
  <c r="CO178" i="2"/>
  <c r="CP178" i="2"/>
  <c r="CQ178" i="2"/>
  <c r="CR178" i="2"/>
  <c r="CS178" i="2"/>
  <c r="CT178" i="2"/>
  <c r="CU178" i="2"/>
  <c r="CV178" i="2"/>
  <c r="CW178" i="2"/>
  <c r="CX178" i="2"/>
  <c r="BZ179" i="2"/>
  <c r="CA179" i="2"/>
  <c r="CB179" i="2"/>
  <c r="CC179" i="2"/>
  <c r="CD179" i="2"/>
  <c r="CE179" i="2"/>
  <c r="CF179" i="2"/>
  <c r="CG179" i="2"/>
  <c r="CH179" i="2"/>
  <c r="CI179" i="2"/>
  <c r="CJ179" i="2"/>
  <c r="CK179" i="2"/>
  <c r="CL179" i="2"/>
  <c r="CM179" i="2"/>
  <c r="CN179" i="2"/>
  <c r="CO179" i="2"/>
  <c r="CP179" i="2"/>
  <c r="CQ179" i="2"/>
  <c r="CR179" i="2"/>
  <c r="CS179" i="2"/>
  <c r="CT179" i="2"/>
  <c r="CU179" i="2"/>
  <c r="CV179" i="2"/>
  <c r="CW179" i="2"/>
  <c r="CX179" i="2"/>
  <c r="BZ180" i="2"/>
  <c r="CA180" i="2"/>
  <c r="CB180" i="2"/>
  <c r="CC180" i="2"/>
  <c r="CD180" i="2"/>
  <c r="CE180" i="2"/>
  <c r="CF180" i="2"/>
  <c r="CG180" i="2"/>
  <c r="CH180" i="2"/>
  <c r="CI180" i="2"/>
  <c r="CJ180" i="2"/>
  <c r="CK180" i="2"/>
  <c r="CL180" i="2"/>
  <c r="CM180" i="2"/>
  <c r="CN180" i="2"/>
  <c r="CO180" i="2"/>
  <c r="CP180" i="2"/>
  <c r="CQ180" i="2"/>
  <c r="CR180" i="2"/>
  <c r="CS180" i="2"/>
  <c r="CT180" i="2"/>
  <c r="CU180" i="2"/>
  <c r="CV180" i="2"/>
  <c r="CW180" i="2"/>
  <c r="CX180" i="2"/>
  <c r="BZ181" i="2"/>
  <c r="CA181" i="2"/>
  <c r="CB181" i="2"/>
  <c r="CC181" i="2"/>
  <c r="CD181" i="2"/>
  <c r="CE181" i="2"/>
  <c r="CF181" i="2"/>
  <c r="CG181" i="2"/>
  <c r="CH181" i="2"/>
  <c r="CI181" i="2"/>
  <c r="CJ181" i="2"/>
  <c r="CK181" i="2"/>
  <c r="CL181" i="2"/>
  <c r="CM181" i="2"/>
  <c r="CN181" i="2"/>
  <c r="CO181" i="2"/>
  <c r="CP181" i="2"/>
  <c r="CQ181" i="2"/>
  <c r="CR181" i="2"/>
  <c r="CS181" i="2"/>
  <c r="CT181" i="2"/>
  <c r="CU181" i="2"/>
  <c r="CV181" i="2"/>
  <c r="CW181" i="2"/>
  <c r="CX181" i="2"/>
  <c r="BZ182" i="2"/>
  <c r="CA182" i="2"/>
  <c r="CB182" i="2"/>
  <c r="CC182" i="2"/>
  <c r="CD182" i="2"/>
  <c r="CE182" i="2"/>
  <c r="CF182" i="2"/>
  <c r="CG182" i="2"/>
  <c r="CH182" i="2"/>
  <c r="CI182" i="2"/>
  <c r="CJ182" i="2"/>
  <c r="CK182" i="2"/>
  <c r="CL182" i="2"/>
  <c r="CM182" i="2"/>
  <c r="CN182" i="2"/>
  <c r="CO182" i="2"/>
  <c r="CP182" i="2"/>
  <c r="CQ182" i="2"/>
  <c r="CR182" i="2"/>
  <c r="CS182" i="2"/>
  <c r="CT182" i="2"/>
  <c r="CU182" i="2"/>
  <c r="CV182" i="2"/>
  <c r="CW182" i="2"/>
  <c r="CX182" i="2"/>
  <c r="BZ183" i="2"/>
  <c r="CA183" i="2"/>
  <c r="CB183" i="2"/>
  <c r="CC183" i="2"/>
  <c r="CD183" i="2"/>
  <c r="CE183" i="2"/>
  <c r="CF183" i="2"/>
  <c r="CG183" i="2"/>
  <c r="CH183" i="2"/>
  <c r="CI183" i="2"/>
  <c r="CJ183" i="2"/>
  <c r="CK183" i="2"/>
  <c r="CL183" i="2"/>
  <c r="CM183" i="2"/>
  <c r="CN183" i="2"/>
  <c r="CO183" i="2"/>
  <c r="CP183" i="2"/>
  <c r="CQ183" i="2"/>
  <c r="CR183" i="2"/>
  <c r="CS183" i="2"/>
  <c r="CT183" i="2"/>
  <c r="CU183" i="2"/>
  <c r="CV183" i="2"/>
  <c r="CW183" i="2"/>
  <c r="CX183" i="2"/>
  <c r="BZ184" i="2"/>
  <c r="CA184" i="2"/>
  <c r="CB184" i="2"/>
  <c r="CC184" i="2"/>
  <c r="CD184" i="2"/>
  <c r="CE184" i="2"/>
  <c r="CF184" i="2"/>
  <c r="CG184" i="2"/>
  <c r="CH184" i="2"/>
  <c r="CI184" i="2"/>
  <c r="CJ184" i="2"/>
  <c r="CK184" i="2"/>
  <c r="CL184" i="2"/>
  <c r="CM184" i="2"/>
  <c r="CN184" i="2"/>
  <c r="CO184" i="2"/>
  <c r="CP184" i="2"/>
  <c r="CQ184" i="2"/>
  <c r="CR184" i="2"/>
  <c r="CS184" i="2"/>
  <c r="CT184" i="2"/>
  <c r="CU184" i="2"/>
  <c r="CV184" i="2"/>
  <c r="CW184" i="2"/>
  <c r="CX184" i="2"/>
  <c r="BZ185" i="2"/>
  <c r="CA185" i="2"/>
  <c r="CB185" i="2"/>
  <c r="CC185" i="2"/>
  <c r="CD185" i="2"/>
  <c r="CE185" i="2"/>
  <c r="CF185" i="2"/>
  <c r="CG185" i="2"/>
  <c r="CH185" i="2"/>
  <c r="CI185" i="2"/>
  <c r="CJ185" i="2"/>
  <c r="CK185" i="2"/>
  <c r="CL185" i="2"/>
  <c r="CM185" i="2"/>
  <c r="CN185" i="2"/>
  <c r="CO185" i="2"/>
  <c r="CP185" i="2"/>
  <c r="CQ185" i="2"/>
  <c r="CR185" i="2"/>
  <c r="CS185" i="2"/>
  <c r="CT185" i="2"/>
  <c r="CU185" i="2"/>
  <c r="CV185" i="2"/>
  <c r="CW185" i="2"/>
  <c r="CX185" i="2"/>
  <c r="BZ186" i="2"/>
  <c r="CA186" i="2"/>
  <c r="CB186" i="2"/>
  <c r="CC186" i="2"/>
  <c r="CD186" i="2"/>
  <c r="CE186" i="2"/>
  <c r="CF186" i="2"/>
  <c r="CG186" i="2"/>
  <c r="CH186" i="2"/>
  <c r="CI186" i="2"/>
  <c r="CJ186" i="2"/>
  <c r="CK186" i="2"/>
  <c r="CL186" i="2"/>
  <c r="CM186" i="2"/>
  <c r="CN186" i="2"/>
  <c r="CO186" i="2"/>
  <c r="CP186" i="2"/>
  <c r="CQ186" i="2"/>
  <c r="CR186" i="2"/>
  <c r="CS186" i="2"/>
  <c r="CT186" i="2"/>
  <c r="CU186" i="2"/>
  <c r="CV186" i="2"/>
  <c r="CW186" i="2"/>
  <c r="CX186" i="2"/>
  <c r="BZ187" i="2"/>
  <c r="CA187" i="2"/>
  <c r="CB187" i="2"/>
  <c r="CC187" i="2"/>
  <c r="CD187" i="2"/>
  <c r="CE187" i="2"/>
  <c r="CF187" i="2"/>
  <c r="CG187" i="2"/>
  <c r="CH187" i="2"/>
  <c r="CI187" i="2"/>
  <c r="CJ187" i="2"/>
  <c r="CK187" i="2"/>
  <c r="CL187" i="2"/>
  <c r="CM187" i="2"/>
  <c r="CN187" i="2"/>
  <c r="CO187" i="2"/>
  <c r="CP187" i="2"/>
  <c r="CQ187" i="2"/>
  <c r="CR187" i="2"/>
  <c r="CS187" i="2"/>
  <c r="CT187" i="2"/>
  <c r="CU187" i="2"/>
  <c r="CV187" i="2"/>
  <c r="CW187" i="2"/>
  <c r="CX187" i="2"/>
  <c r="BZ188" i="2"/>
  <c r="CA188" i="2"/>
  <c r="CB188" i="2"/>
  <c r="CC188" i="2"/>
  <c r="CD188" i="2"/>
  <c r="CE188" i="2"/>
  <c r="CF188" i="2"/>
  <c r="CG188" i="2"/>
  <c r="CH188" i="2"/>
  <c r="CI188" i="2"/>
  <c r="CJ188" i="2"/>
  <c r="CK188" i="2"/>
  <c r="CL188" i="2"/>
  <c r="CM188" i="2"/>
  <c r="CN188" i="2"/>
  <c r="CO188" i="2"/>
  <c r="CP188" i="2"/>
  <c r="CQ188" i="2"/>
  <c r="CR188" i="2"/>
  <c r="CS188" i="2"/>
  <c r="CT188" i="2"/>
  <c r="CU188" i="2"/>
  <c r="CV188" i="2"/>
  <c r="CW188" i="2"/>
  <c r="CX188" i="2"/>
  <c r="BZ189" i="2"/>
  <c r="CA189" i="2"/>
  <c r="CB189" i="2"/>
  <c r="CC189" i="2"/>
  <c r="CD189" i="2"/>
  <c r="CE189" i="2"/>
  <c r="CF189" i="2"/>
  <c r="CG189" i="2"/>
  <c r="CH189" i="2"/>
  <c r="CI189" i="2"/>
  <c r="CJ189" i="2"/>
  <c r="CK189" i="2"/>
  <c r="CL189" i="2"/>
  <c r="CM189" i="2"/>
  <c r="CN189" i="2"/>
  <c r="CO189" i="2"/>
  <c r="CP189" i="2"/>
  <c r="CQ189" i="2"/>
  <c r="CR189" i="2"/>
  <c r="CS189" i="2"/>
  <c r="CT189" i="2"/>
  <c r="CU189" i="2"/>
  <c r="CV189" i="2"/>
  <c r="CW189" i="2"/>
  <c r="CX189" i="2"/>
  <c r="BZ190" i="2"/>
  <c r="CA190" i="2"/>
  <c r="CB190" i="2"/>
  <c r="CC190" i="2"/>
  <c r="CD190" i="2"/>
  <c r="CE190" i="2"/>
  <c r="CF190" i="2"/>
  <c r="CG190" i="2"/>
  <c r="CH190" i="2"/>
  <c r="CI190" i="2"/>
  <c r="CJ190" i="2"/>
  <c r="CK190" i="2"/>
  <c r="CL190" i="2"/>
  <c r="CM190" i="2"/>
  <c r="CN190" i="2"/>
  <c r="CO190" i="2"/>
  <c r="CP190" i="2"/>
  <c r="CQ190" i="2"/>
  <c r="CR190" i="2"/>
  <c r="CS190" i="2"/>
  <c r="CT190" i="2"/>
  <c r="CU190" i="2"/>
  <c r="CV190" i="2"/>
  <c r="CW190" i="2"/>
  <c r="CX190" i="2"/>
  <c r="BZ191" i="2"/>
  <c r="CA191" i="2"/>
  <c r="CB191" i="2"/>
  <c r="CC191" i="2"/>
  <c r="CD191" i="2"/>
  <c r="CE191" i="2"/>
  <c r="CF191" i="2"/>
  <c r="CG191" i="2"/>
  <c r="CH191" i="2"/>
  <c r="CI191" i="2"/>
  <c r="CJ191" i="2"/>
  <c r="CK191" i="2"/>
  <c r="CL191" i="2"/>
  <c r="CM191" i="2"/>
  <c r="CN191" i="2"/>
  <c r="CO191" i="2"/>
  <c r="CP191" i="2"/>
  <c r="CQ191" i="2"/>
  <c r="CR191" i="2"/>
  <c r="CS191" i="2"/>
  <c r="CT191" i="2"/>
  <c r="CU191" i="2"/>
  <c r="CV191" i="2"/>
  <c r="CW191" i="2"/>
  <c r="CX191" i="2"/>
  <c r="BZ192" i="2"/>
  <c r="CA192" i="2"/>
  <c r="CB192" i="2"/>
  <c r="CC192" i="2"/>
  <c r="CD192" i="2"/>
  <c r="CE192" i="2"/>
  <c r="CF192" i="2"/>
  <c r="CG192" i="2"/>
  <c r="CH192" i="2"/>
  <c r="CI192" i="2"/>
  <c r="CJ192" i="2"/>
  <c r="CK192" i="2"/>
  <c r="CL192" i="2"/>
  <c r="CM192" i="2"/>
  <c r="CN192" i="2"/>
  <c r="CO192" i="2"/>
  <c r="CP192" i="2"/>
  <c r="CQ192" i="2"/>
  <c r="CR192" i="2"/>
  <c r="CS192" i="2"/>
  <c r="CT192" i="2"/>
  <c r="CU192" i="2"/>
  <c r="CV192" i="2"/>
  <c r="CW192" i="2"/>
  <c r="CX192" i="2"/>
  <c r="BZ193" i="2"/>
  <c r="CA193" i="2"/>
  <c r="CB193" i="2"/>
  <c r="CC193" i="2"/>
  <c r="CD193" i="2"/>
  <c r="CE193" i="2"/>
  <c r="CF193" i="2"/>
  <c r="CG193" i="2"/>
  <c r="CH193" i="2"/>
  <c r="CI193" i="2"/>
  <c r="CJ193" i="2"/>
  <c r="CK193" i="2"/>
  <c r="CL193" i="2"/>
  <c r="CM193" i="2"/>
  <c r="CN193" i="2"/>
  <c r="CO193" i="2"/>
  <c r="CP193" i="2"/>
  <c r="CQ193" i="2"/>
  <c r="CR193" i="2"/>
  <c r="CS193" i="2"/>
  <c r="CT193" i="2"/>
  <c r="CU193" i="2"/>
  <c r="CV193" i="2"/>
  <c r="CW193" i="2"/>
  <c r="CX193" i="2"/>
  <c r="BZ194" i="2"/>
  <c r="CA194" i="2"/>
  <c r="CB194" i="2"/>
  <c r="CC194" i="2"/>
  <c r="CD194" i="2"/>
  <c r="CE194" i="2"/>
  <c r="CF194" i="2"/>
  <c r="CG194" i="2"/>
  <c r="CH194" i="2"/>
  <c r="CI194" i="2"/>
  <c r="CJ194" i="2"/>
  <c r="CK194" i="2"/>
  <c r="CL194" i="2"/>
  <c r="CM194" i="2"/>
  <c r="CN194" i="2"/>
  <c r="CO194" i="2"/>
  <c r="CP194" i="2"/>
  <c r="CQ194" i="2"/>
  <c r="CR194" i="2"/>
  <c r="CS194" i="2"/>
  <c r="CT194" i="2"/>
  <c r="CU194" i="2"/>
  <c r="CV194" i="2"/>
  <c r="CW194" i="2"/>
  <c r="CX194" i="2"/>
  <c r="BZ195" i="2"/>
  <c r="CA195" i="2"/>
  <c r="CB195" i="2"/>
  <c r="CC195" i="2"/>
  <c r="CD195" i="2"/>
  <c r="CE195" i="2"/>
  <c r="CF195" i="2"/>
  <c r="CG195" i="2"/>
  <c r="CH195" i="2"/>
  <c r="CI195" i="2"/>
  <c r="CJ195" i="2"/>
  <c r="CK195" i="2"/>
  <c r="CL195" i="2"/>
  <c r="CM195" i="2"/>
  <c r="CN195" i="2"/>
  <c r="CO195" i="2"/>
  <c r="CP195" i="2"/>
  <c r="CQ195" i="2"/>
  <c r="CR195" i="2"/>
  <c r="CS195" i="2"/>
  <c r="CT195" i="2"/>
  <c r="CU195" i="2"/>
  <c r="CV195" i="2"/>
  <c r="CW195" i="2"/>
  <c r="CX195" i="2"/>
  <c r="BZ196" i="2"/>
  <c r="CA196" i="2"/>
  <c r="CB196" i="2"/>
  <c r="CC196" i="2"/>
  <c r="CD196" i="2"/>
  <c r="CE196" i="2"/>
  <c r="CF196" i="2"/>
  <c r="CG196" i="2"/>
  <c r="CH196" i="2"/>
  <c r="CI196" i="2"/>
  <c r="CJ196" i="2"/>
  <c r="CK196" i="2"/>
  <c r="CL196" i="2"/>
  <c r="CM196" i="2"/>
  <c r="CN196" i="2"/>
  <c r="CO196" i="2"/>
  <c r="CP196" i="2"/>
  <c r="CQ196" i="2"/>
  <c r="CR196" i="2"/>
  <c r="CS196" i="2"/>
  <c r="CT196" i="2"/>
  <c r="CU196" i="2"/>
  <c r="CV196" i="2"/>
  <c r="CW196" i="2"/>
  <c r="CX196" i="2"/>
  <c r="BZ197" i="2"/>
  <c r="CA197" i="2"/>
  <c r="CB197" i="2"/>
  <c r="CC197" i="2"/>
  <c r="CD197" i="2"/>
  <c r="CE197" i="2"/>
  <c r="CF197" i="2"/>
  <c r="CG197" i="2"/>
  <c r="CH197" i="2"/>
  <c r="CI197" i="2"/>
  <c r="CJ197" i="2"/>
  <c r="CK197" i="2"/>
  <c r="CL197" i="2"/>
  <c r="CM197" i="2"/>
  <c r="CN197" i="2"/>
  <c r="CO197" i="2"/>
  <c r="CP197" i="2"/>
  <c r="CQ197" i="2"/>
  <c r="CR197" i="2"/>
  <c r="CS197" i="2"/>
  <c r="CT197" i="2"/>
  <c r="CU197" i="2"/>
  <c r="CV197" i="2"/>
  <c r="CW197" i="2"/>
  <c r="CX197" i="2"/>
  <c r="BZ198" i="2"/>
  <c r="CA198" i="2"/>
  <c r="CB198" i="2"/>
  <c r="CC198" i="2"/>
  <c r="CD198" i="2"/>
  <c r="CE198" i="2"/>
  <c r="CF198" i="2"/>
  <c r="CG198" i="2"/>
  <c r="CH198" i="2"/>
  <c r="CI198" i="2"/>
  <c r="CJ198" i="2"/>
  <c r="CK198" i="2"/>
  <c r="CL198" i="2"/>
  <c r="CM198" i="2"/>
  <c r="CN198" i="2"/>
  <c r="CO198" i="2"/>
  <c r="CP198" i="2"/>
  <c r="CQ198" i="2"/>
  <c r="CR198" i="2"/>
  <c r="CS198" i="2"/>
  <c r="CT198" i="2"/>
  <c r="CU198" i="2"/>
  <c r="CV198" i="2"/>
  <c r="CW198" i="2"/>
  <c r="CX198" i="2"/>
  <c r="BZ199" i="2"/>
  <c r="CA199" i="2"/>
  <c r="CB199" i="2"/>
  <c r="CC199" i="2"/>
  <c r="CD199" i="2"/>
  <c r="CE199" i="2"/>
  <c r="CF199" i="2"/>
  <c r="CG199" i="2"/>
  <c r="CH199" i="2"/>
  <c r="CI199" i="2"/>
  <c r="CJ199" i="2"/>
  <c r="CK199" i="2"/>
  <c r="CL199" i="2"/>
  <c r="CM199" i="2"/>
  <c r="CN199" i="2"/>
  <c r="CO199" i="2"/>
  <c r="CP199" i="2"/>
  <c r="CQ199" i="2"/>
  <c r="CR199" i="2"/>
  <c r="CS199" i="2"/>
  <c r="CT199" i="2"/>
  <c r="CU199" i="2"/>
  <c r="CV199" i="2"/>
  <c r="CW199" i="2"/>
  <c r="CX199" i="2"/>
  <c r="BZ200" i="2"/>
  <c r="CA200" i="2"/>
  <c r="CB200" i="2"/>
  <c r="CC200" i="2"/>
  <c r="CD200" i="2"/>
  <c r="CE200" i="2"/>
  <c r="CF200" i="2"/>
  <c r="CG200" i="2"/>
  <c r="CH200" i="2"/>
  <c r="CI200" i="2"/>
  <c r="CJ200" i="2"/>
  <c r="CK200" i="2"/>
  <c r="CL200" i="2"/>
  <c r="CM200" i="2"/>
  <c r="CN200" i="2"/>
  <c r="CO200" i="2"/>
  <c r="CP200" i="2"/>
  <c r="CQ200" i="2"/>
  <c r="CR200" i="2"/>
  <c r="CS200" i="2"/>
  <c r="CT200" i="2"/>
  <c r="CU200" i="2"/>
  <c r="CV200" i="2"/>
  <c r="CW200" i="2"/>
  <c r="CX200" i="2"/>
  <c r="BZ201" i="2"/>
  <c r="CA201" i="2"/>
  <c r="CB201" i="2"/>
  <c r="CC201" i="2"/>
  <c r="CD201" i="2"/>
  <c r="CE201" i="2"/>
  <c r="CF201" i="2"/>
  <c r="CG201" i="2"/>
  <c r="CH201" i="2"/>
  <c r="CI201" i="2"/>
  <c r="CJ201" i="2"/>
  <c r="CK201" i="2"/>
  <c r="CL201" i="2"/>
  <c r="CM201" i="2"/>
  <c r="CN201" i="2"/>
  <c r="CO201" i="2"/>
  <c r="CP201" i="2"/>
  <c r="CQ201" i="2"/>
  <c r="CR201" i="2"/>
  <c r="CS201" i="2"/>
  <c r="CT201" i="2"/>
  <c r="CU201" i="2"/>
  <c r="CV201" i="2"/>
  <c r="CW201" i="2"/>
  <c r="CX201" i="2"/>
  <c r="BY201" i="2"/>
  <c r="BY200" i="2"/>
  <c r="BY199" i="2"/>
  <c r="BY198" i="2"/>
  <c r="BY197" i="2"/>
  <c r="BY196" i="2"/>
  <c r="BY195" i="2"/>
  <c r="BY194" i="2"/>
  <c r="BY193" i="2"/>
  <c r="BY192" i="2"/>
  <c r="BY191" i="2"/>
  <c r="BY190" i="2"/>
  <c r="BY189" i="2"/>
  <c r="BY188" i="2"/>
  <c r="BY187" i="2"/>
  <c r="BY186" i="2"/>
  <c r="BY185" i="2"/>
  <c r="BY184" i="2"/>
  <c r="BY183" i="2"/>
  <c r="BY182" i="2"/>
  <c r="BY181" i="2"/>
  <c r="BY180" i="2"/>
  <c r="BY179" i="2"/>
  <c r="BY178" i="2"/>
  <c r="BY177" i="2"/>
  <c r="BY176" i="2"/>
  <c r="BY175" i="2"/>
  <c r="BY174" i="2"/>
  <c r="BY173" i="2"/>
  <c r="BY172" i="2"/>
  <c r="BY171" i="2"/>
  <c r="BY170" i="2"/>
  <c r="BY169" i="2"/>
  <c r="BY168" i="2"/>
  <c r="BY167" i="2"/>
  <c r="BY166" i="2"/>
  <c r="BY165" i="2"/>
  <c r="BY164" i="2"/>
  <c r="BY163" i="2"/>
  <c r="BY162" i="2"/>
  <c r="BY161" i="2"/>
  <c r="BY160" i="2"/>
  <c r="BY159" i="2"/>
  <c r="BY158" i="2"/>
  <c r="BY157" i="2"/>
  <c r="BY156" i="2"/>
  <c r="BY155" i="2"/>
  <c r="BY154" i="2"/>
  <c r="BY153" i="2"/>
  <c r="BY152" i="2"/>
  <c r="BY151" i="2"/>
  <c r="BY150" i="2"/>
  <c r="BY149" i="2"/>
  <c r="BY148" i="2"/>
  <c r="BY147" i="2"/>
  <c r="BY146" i="2"/>
  <c r="BY145" i="2"/>
  <c r="BY144" i="2"/>
  <c r="BY143" i="2"/>
  <c r="BY142" i="2"/>
  <c r="BY141" i="2"/>
  <c r="BY140" i="2"/>
  <c r="BY139" i="2"/>
  <c r="BY138" i="2"/>
  <c r="BY137" i="2"/>
  <c r="BY136" i="2"/>
  <c r="BY135" i="2"/>
  <c r="BY134" i="2"/>
  <c r="BY133" i="2"/>
  <c r="BY132" i="2"/>
  <c r="BY131" i="2"/>
  <c r="BY130" i="2"/>
  <c r="BY129" i="2"/>
  <c r="BY128" i="2"/>
  <c r="BY127" i="2"/>
  <c r="BY126" i="2"/>
  <c r="BY125" i="2"/>
  <c r="BY124" i="2"/>
  <c r="BY123" i="2"/>
  <c r="BY122" i="2"/>
  <c r="BY121" i="2"/>
  <c r="BY120" i="2"/>
  <c r="BY119" i="2"/>
  <c r="BY118" i="2"/>
  <c r="BY117" i="2"/>
  <c r="BY116" i="2"/>
  <c r="BY115" i="2"/>
  <c r="BY114" i="2"/>
  <c r="BY113" i="2"/>
  <c r="BY112" i="2"/>
  <c r="BY111" i="2"/>
  <c r="BY110" i="2"/>
  <c r="BY109" i="2"/>
  <c r="BY108" i="2"/>
  <c r="BY107" i="2"/>
  <c r="BY106" i="2"/>
  <c r="BY105" i="2"/>
  <c r="BY104" i="2"/>
  <c r="BY103" i="2"/>
  <c r="BY102" i="2"/>
  <c r="BY101" i="2"/>
  <c r="BY100" i="2"/>
  <c r="BY99" i="2"/>
  <c r="BY98" i="2"/>
  <c r="BY97" i="2"/>
  <c r="BY96" i="2"/>
  <c r="BY95" i="2"/>
  <c r="BY94" i="2"/>
  <c r="BY93" i="2"/>
  <c r="BY92" i="2"/>
  <c r="BY91" i="2"/>
  <c r="BY90" i="2"/>
  <c r="BY89" i="2"/>
  <c r="BY88" i="2"/>
  <c r="BY87" i="2"/>
  <c r="BY86" i="2"/>
  <c r="BY85" i="2"/>
  <c r="BY84" i="2"/>
  <c r="BY83" i="2"/>
  <c r="BY82" i="2"/>
  <c r="BY81" i="2"/>
  <c r="BY80" i="2"/>
  <c r="BY79" i="2"/>
  <c r="BY78" i="2"/>
  <c r="BY77" i="2"/>
  <c r="BY76" i="2"/>
  <c r="BY75" i="2"/>
  <c r="BY74" i="2"/>
  <c r="BY73" i="2"/>
  <c r="BY72" i="2"/>
  <c r="BY71" i="2"/>
  <c r="BY70" i="2"/>
  <c r="BY69" i="2"/>
  <c r="BY68" i="2"/>
  <c r="BY67" i="2"/>
  <c r="BY66" i="2"/>
  <c r="BY65" i="2"/>
  <c r="BY64" i="2"/>
  <c r="BY63" i="2"/>
  <c r="BY62" i="2"/>
  <c r="BY61" i="2"/>
  <c r="BY60" i="2"/>
  <c r="BY59" i="2"/>
  <c r="BY58" i="2"/>
  <c r="BY57" i="2"/>
  <c r="BY56" i="2"/>
  <c r="BY55" i="2"/>
  <c r="BY54" i="2"/>
  <c r="BY53" i="2"/>
  <c r="BY52" i="2"/>
  <c r="BY51" i="2"/>
  <c r="BY50" i="2"/>
  <c r="BY49" i="2"/>
  <c r="BY48" i="2"/>
  <c r="BY47" i="2"/>
  <c r="BY46" i="2"/>
  <c r="BY45" i="2"/>
  <c r="BY44" i="2"/>
  <c r="BY43" i="2"/>
  <c r="BY42" i="2"/>
  <c r="BY41" i="2"/>
  <c r="BY40" i="2"/>
  <c r="BY39" i="2"/>
  <c r="BY38" i="2"/>
  <c r="BY37" i="2"/>
  <c r="BY36" i="2"/>
  <c r="BY35" i="2"/>
  <c r="BY34" i="2"/>
  <c r="BY33" i="2"/>
  <c r="BY32" i="2"/>
  <c r="BY31" i="2"/>
  <c r="BY30" i="2"/>
  <c r="BY29" i="2"/>
  <c r="BY28" i="2"/>
  <c r="BY27" i="2"/>
  <c r="BY26" i="2"/>
  <c r="BY25" i="2"/>
  <c r="BY24" i="2"/>
  <c r="BY23" i="2"/>
  <c r="BY22" i="2"/>
  <c r="BY21" i="2"/>
  <c r="BY20" i="2"/>
  <c r="BY19" i="2"/>
  <c r="BY18" i="2"/>
  <c r="BY17" i="2"/>
  <c r="BY16" i="2"/>
  <c r="BY15" i="2"/>
  <c r="BY14" i="2"/>
  <c r="BY13" i="2"/>
  <c r="BY12" i="2"/>
  <c r="BY11" i="2"/>
  <c r="BY2" i="2"/>
  <c r="BK139" i="2" l="1"/>
  <c r="BK115" i="2"/>
  <c r="BK102" i="2"/>
  <c r="BK101" i="2"/>
  <c r="BK99" i="2"/>
  <c r="BK54" i="2"/>
  <c r="BK29" i="2"/>
  <c r="BK21" i="2"/>
  <c r="BK13" i="2"/>
  <c r="BK157" i="2"/>
  <c r="BK142" i="2"/>
  <c r="BK141" i="2"/>
  <c r="BK134" i="2"/>
  <c r="BK131" i="2"/>
  <c r="BK118" i="2"/>
  <c r="BK117" i="2"/>
  <c r="BK109" i="2"/>
  <c r="BK93" i="2"/>
  <c r="BK85" i="2"/>
  <c r="BK77" i="2"/>
  <c r="BK70" i="2"/>
  <c r="BK67" i="2"/>
  <c r="BK53" i="2"/>
  <c r="BK51" i="2"/>
  <c r="BK45" i="2"/>
  <c r="BK38" i="2"/>
  <c r="BK37" i="2"/>
  <c r="BK35" i="2"/>
  <c r="BJ201" i="2"/>
  <c r="BJ200" i="2"/>
  <c r="BJ197" i="2"/>
  <c r="BJ194" i="2"/>
  <c r="BJ190" i="2"/>
  <c r="BJ188" i="2"/>
  <c r="BJ185" i="2"/>
  <c r="BJ183" i="2"/>
  <c r="BJ199" i="2"/>
  <c r="BJ198" i="2"/>
  <c r="BJ196" i="2"/>
  <c r="BJ195" i="2"/>
  <c r="BJ192" i="2"/>
  <c r="BJ191" i="2"/>
  <c r="BJ189" i="2"/>
  <c r="BJ187" i="2"/>
  <c r="BJ186" i="2"/>
  <c r="BJ184" i="2"/>
  <c r="BJ182" i="2"/>
  <c r="BJ181" i="2"/>
  <c r="BJ180" i="2"/>
  <c r="BJ179" i="2"/>
  <c r="BJ178" i="2"/>
  <c r="BK197" i="2"/>
  <c r="BK192" i="2"/>
  <c r="BK191" i="2"/>
  <c r="BK190" i="2"/>
  <c r="BK189" i="2"/>
  <c r="BK188" i="2"/>
  <c r="BK187" i="2"/>
  <c r="BK147" i="2"/>
  <c r="BK133" i="2"/>
  <c r="BK125" i="2"/>
  <c r="BK86" i="2"/>
  <c r="BK83" i="2"/>
  <c r="BK69" i="2"/>
  <c r="BK61" i="2"/>
  <c r="BK22" i="2"/>
  <c r="BK19" i="2"/>
  <c r="BK186" i="2"/>
  <c r="BK185" i="2"/>
  <c r="BK184" i="2"/>
  <c r="BK183" i="2"/>
  <c r="BK182" i="2"/>
  <c r="BK181" i="2"/>
  <c r="BK180" i="2"/>
  <c r="BK179" i="2"/>
  <c r="BK178" i="2"/>
  <c r="BK177" i="2"/>
  <c r="BK176" i="2"/>
  <c r="BK175" i="2"/>
  <c r="BK174" i="2"/>
  <c r="BK173" i="2"/>
  <c r="BK171" i="2"/>
  <c r="BK170" i="2"/>
  <c r="BK169" i="2"/>
  <c r="BK167" i="2"/>
  <c r="BK166" i="2"/>
  <c r="BK165" i="2"/>
  <c r="BK163" i="2"/>
  <c r="BK162" i="2"/>
  <c r="BK161" i="2"/>
  <c r="BK159" i="2"/>
  <c r="BK158" i="2"/>
  <c r="BK155" i="2"/>
  <c r="BK154" i="2"/>
  <c r="BK153" i="2"/>
  <c r="BK151" i="2"/>
  <c r="BK150" i="2"/>
  <c r="BK149" i="2"/>
  <c r="BK146" i="2"/>
  <c r="BK145" i="2"/>
  <c r="BK143" i="2"/>
  <c r="BK138" i="2"/>
  <c r="BK137" i="2"/>
  <c r="BK135" i="2"/>
  <c r="BK130" i="2"/>
  <c r="BK129" i="2"/>
  <c r="BK127" i="2"/>
  <c r="BK126" i="2"/>
  <c r="BK123" i="2"/>
  <c r="BK122" i="2"/>
  <c r="BK121" i="2"/>
  <c r="BK119" i="2"/>
  <c r="BK114" i="2"/>
  <c r="BK113" i="2"/>
  <c r="BK111" i="2"/>
  <c r="BK110" i="2"/>
  <c r="BK107" i="2"/>
  <c r="BK106" i="2"/>
  <c r="BK105" i="2"/>
  <c r="BK103" i="2"/>
  <c r="BK98" i="2"/>
  <c r="BK97" i="2"/>
  <c r="BK95" i="2"/>
  <c r="BK94" i="2"/>
  <c r="BK91" i="2"/>
  <c r="BK90" i="2"/>
  <c r="BK89" i="2"/>
  <c r="BK87" i="2"/>
  <c r="BK82" i="2"/>
  <c r="BK81" i="2"/>
  <c r="BK79" i="2"/>
  <c r="BK78" i="2"/>
  <c r="BK75" i="2"/>
  <c r="BK74" i="2"/>
  <c r="BK73" i="2"/>
  <c r="BK71" i="2"/>
  <c r="BK66" i="2"/>
  <c r="BK65" i="2"/>
  <c r="BK63" i="2"/>
  <c r="BK62" i="2"/>
  <c r="BK59" i="2"/>
  <c r="BK58" i="2"/>
  <c r="BK57" i="2"/>
  <c r="BK55" i="2"/>
  <c r="BK50" i="2"/>
  <c r="BK49" i="2"/>
  <c r="BK47" i="2"/>
  <c r="BK46" i="2"/>
  <c r="BK43" i="2"/>
  <c r="BK42" i="2"/>
  <c r="BK41" i="2"/>
  <c r="BK39" i="2"/>
  <c r="BK34" i="2"/>
  <c r="BK33" i="2"/>
  <c r="BK31" i="2"/>
  <c r="BK30" i="2"/>
  <c r="BK27" i="2"/>
  <c r="BK26" i="2"/>
  <c r="BK25" i="2"/>
  <c r="BK23" i="2"/>
  <c r="BK18" i="2"/>
  <c r="BK17" i="2"/>
  <c r="BK15" i="2"/>
  <c r="BK14" i="2"/>
  <c r="BJ177" i="2"/>
  <c r="BJ176" i="2"/>
  <c r="BJ175" i="2"/>
  <c r="BJ174" i="2"/>
  <c r="BJ172" i="2"/>
  <c r="BJ171" i="2"/>
  <c r="BJ170" i="2"/>
  <c r="BJ168" i="2"/>
  <c r="BJ167" i="2"/>
  <c r="BJ166" i="2"/>
  <c r="BJ164" i="2"/>
  <c r="BJ163" i="2"/>
  <c r="BJ162" i="2"/>
  <c r="BJ160" i="2"/>
  <c r="BJ159" i="2"/>
  <c r="BJ158" i="2"/>
  <c r="BJ156" i="2"/>
  <c r="BJ155" i="2"/>
  <c r="BJ154" i="2"/>
  <c r="BJ152" i="2"/>
  <c r="BJ151" i="2"/>
  <c r="BJ150" i="2"/>
  <c r="BJ148" i="2"/>
  <c r="BJ147" i="2"/>
  <c r="BJ146" i="2"/>
  <c r="BJ144" i="2"/>
  <c r="BJ143" i="2"/>
  <c r="BJ142" i="2"/>
  <c r="BJ140" i="2"/>
  <c r="BJ139" i="2"/>
  <c r="BJ138" i="2"/>
  <c r="BJ136" i="2"/>
  <c r="BJ135" i="2"/>
  <c r="BJ134" i="2"/>
  <c r="BJ132" i="2"/>
  <c r="BJ131" i="2"/>
  <c r="BJ130" i="2"/>
  <c r="BJ128" i="2"/>
  <c r="BJ127" i="2"/>
  <c r="BJ126" i="2"/>
  <c r="BJ124" i="2"/>
  <c r="BJ123" i="2"/>
  <c r="BJ122" i="2"/>
  <c r="BJ120" i="2"/>
  <c r="BJ119" i="2"/>
  <c r="BJ118" i="2"/>
  <c r="BJ116" i="2"/>
  <c r="BJ115" i="2"/>
  <c r="BJ114" i="2"/>
  <c r="BJ112" i="2"/>
  <c r="BJ111" i="2"/>
  <c r="BJ110" i="2"/>
  <c r="BJ108" i="2"/>
  <c r="BJ107" i="2"/>
  <c r="BJ106" i="2"/>
  <c r="BJ104" i="2"/>
  <c r="BJ103" i="2"/>
  <c r="BJ102" i="2"/>
  <c r="BJ100" i="2"/>
  <c r="BJ99" i="2"/>
  <c r="BJ98" i="2"/>
  <c r="BJ96" i="2"/>
  <c r="BJ95" i="2"/>
  <c r="BJ94" i="2"/>
  <c r="BJ92" i="2"/>
  <c r="BJ91" i="2"/>
  <c r="BJ90" i="2"/>
  <c r="BJ88" i="2"/>
  <c r="BJ87" i="2"/>
  <c r="BJ86" i="2"/>
  <c r="BJ84" i="2"/>
  <c r="BJ83" i="2"/>
  <c r="BJ82" i="2"/>
  <c r="BJ80" i="2"/>
  <c r="BJ79" i="2"/>
  <c r="BJ78" i="2"/>
  <c r="BJ76" i="2"/>
  <c r="BJ75" i="2"/>
  <c r="BJ74" i="2"/>
  <c r="BJ72" i="2"/>
  <c r="BJ71" i="2"/>
  <c r="BJ70" i="2"/>
  <c r="BJ68" i="2"/>
  <c r="BJ67" i="2"/>
  <c r="BJ66" i="2"/>
  <c r="BJ64" i="2"/>
  <c r="BJ63" i="2"/>
  <c r="BJ62" i="2"/>
  <c r="BJ60" i="2"/>
  <c r="BJ59" i="2"/>
  <c r="BJ58" i="2"/>
  <c r="BJ56" i="2"/>
  <c r="BJ55" i="2"/>
  <c r="BJ54" i="2"/>
  <c r="BJ52" i="2"/>
  <c r="BJ51" i="2"/>
  <c r="BJ50" i="2"/>
  <c r="BJ48" i="2"/>
  <c r="BJ47" i="2"/>
  <c r="BJ46" i="2"/>
  <c r="BJ44" i="2"/>
  <c r="BJ43" i="2"/>
  <c r="BJ42" i="2"/>
  <c r="BJ40" i="2"/>
  <c r="BJ39" i="2"/>
  <c r="BJ38" i="2"/>
  <c r="BJ36" i="2"/>
  <c r="BJ35" i="2"/>
  <c r="BJ34" i="2"/>
  <c r="BJ32" i="2"/>
  <c r="BJ31" i="2"/>
  <c r="BJ30" i="2"/>
  <c r="BJ28" i="2"/>
  <c r="BJ27" i="2"/>
  <c r="BJ26" i="2"/>
  <c r="BJ24" i="2"/>
  <c r="BJ23" i="2"/>
  <c r="BJ22" i="2"/>
  <c r="BJ20" i="2"/>
  <c r="BJ19" i="2"/>
  <c r="BJ18" i="2"/>
  <c r="BJ16" i="2"/>
  <c r="BJ15" i="2"/>
  <c r="BJ14" i="2"/>
  <c r="BJ12" i="2"/>
  <c r="BJ165" i="2"/>
  <c r="BJ133" i="2"/>
  <c r="BJ129" i="2"/>
  <c r="BJ125" i="2"/>
  <c r="BJ121" i="2"/>
  <c r="BJ117" i="2"/>
  <c r="BJ113" i="2"/>
  <c r="BJ109" i="2"/>
  <c r="BJ105" i="2"/>
  <c r="BJ101" i="2"/>
  <c r="BJ97" i="2"/>
  <c r="BJ93" i="2"/>
  <c r="BJ89" i="2"/>
  <c r="BJ85" i="2"/>
  <c r="BJ81" i="2"/>
  <c r="BJ77" i="2"/>
  <c r="BJ73" i="2"/>
  <c r="BJ69" i="2"/>
  <c r="BJ65" i="2"/>
  <c r="BJ61" i="2"/>
  <c r="BJ57" i="2"/>
  <c r="BJ53" i="2"/>
  <c r="BJ49" i="2"/>
  <c r="BJ45" i="2"/>
  <c r="BJ41" i="2"/>
  <c r="BJ37" i="2"/>
  <c r="BJ33" i="2"/>
  <c r="BJ29" i="2"/>
  <c r="BJ25" i="2"/>
  <c r="BJ21" i="2"/>
  <c r="BJ17" i="2"/>
  <c r="BJ13" i="2"/>
  <c r="BJ157" i="2"/>
  <c r="BJ153" i="2"/>
  <c r="BJ145" i="2"/>
  <c r="BJ137" i="2"/>
  <c r="BJ173" i="2"/>
  <c r="BJ149" i="2"/>
  <c r="BJ141" i="2"/>
  <c r="BJ169" i="2"/>
  <c r="BJ161" i="2"/>
  <c r="BK172" i="2"/>
  <c r="BK168" i="2"/>
  <c r="BK164" i="2"/>
  <c r="BK160" i="2"/>
  <c r="BK156" i="2"/>
  <c r="BK152" i="2"/>
  <c r="BK148" i="2"/>
  <c r="BK144" i="2"/>
  <c r="BK140" i="2"/>
  <c r="BK136" i="2"/>
  <c r="BK132" i="2"/>
  <c r="BK128" i="2"/>
  <c r="BK124" i="2"/>
  <c r="BK120" i="2"/>
  <c r="BK116" i="2"/>
  <c r="BK112" i="2"/>
  <c r="BK108" i="2"/>
  <c r="BK104" i="2"/>
  <c r="BK100" i="2"/>
  <c r="BK96" i="2"/>
  <c r="BK92" i="2"/>
  <c r="BK88" i="2"/>
  <c r="BK84" i="2"/>
  <c r="BK80" i="2"/>
  <c r="BK76" i="2"/>
  <c r="BK72" i="2"/>
  <c r="BK68" i="2"/>
  <c r="BK64" i="2"/>
  <c r="BK60" i="2"/>
  <c r="BK56" i="2"/>
  <c r="BK52" i="2"/>
  <c r="BK48" i="2"/>
  <c r="BK44" i="2"/>
  <c r="BK40" i="2"/>
  <c r="BK36" i="2"/>
  <c r="BK32" i="2"/>
  <c r="BK28" i="2"/>
  <c r="BK24" i="2"/>
  <c r="BK20" i="2"/>
  <c r="BK16" i="2"/>
  <c r="BK12" i="2"/>
  <c r="BK201" i="2"/>
  <c r="BK196" i="2"/>
  <c r="BK195" i="2"/>
  <c r="BK194" i="2"/>
  <c r="BK200" i="2"/>
  <c r="BK198" i="2"/>
  <c r="BK199" i="2"/>
  <c r="BK193" i="2"/>
  <c r="BJ193" i="2"/>
  <c r="DC3" i="2" l="1"/>
  <c r="DC4" i="2"/>
  <c r="DC5" i="2"/>
  <c r="DC6" i="2"/>
  <c r="DC7" i="2"/>
  <c r="DC8" i="2"/>
  <c r="DC9" i="2"/>
  <c r="DC10" i="2"/>
  <c r="DC11" i="2"/>
  <c r="DC12" i="2"/>
  <c r="DC13" i="2"/>
  <c r="DC14" i="2"/>
  <c r="DC15" i="2"/>
  <c r="DC16" i="2"/>
  <c r="DC17" i="2"/>
  <c r="DC18" i="2"/>
  <c r="DC19" i="2"/>
  <c r="DD19" i="2" s="1"/>
  <c r="DC20" i="2"/>
  <c r="DD20" i="2" s="1"/>
  <c r="DC21" i="2"/>
  <c r="DD21" i="2" s="1"/>
  <c r="DC22" i="2"/>
  <c r="DC23" i="2"/>
  <c r="DD23" i="2" s="1"/>
  <c r="DC24" i="2"/>
  <c r="DD24" i="2" s="1"/>
  <c r="DC25" i="2"/>
  <c r="DD25" i="2" s="1"/>
  <c r="DC26" i="2"/>
  <c r="DC27" i="2"/>
  <c r="DD27" i="2" s="1"/>
  <c r="DC28" i="2"/>
  <c r="DD28" i="2" s="1"/>
  <c r="DC29" i="2"/>
  <c r="DD29" i="2" s="1"/>
  <c r="DC30" i="2"/>
  <c r="DD30" i="2" s="1"/>
  <c r="DC31" i="2"/>
  <c r="DD31" i="2" s="1"/>
  <c r="DC32" i="2"/>
  <c r="DD32" i="2" s="1"/>
  <c r="DC33" i="2"/>
  <c r="DD33" i="2" s="1"/>
  <c r="DC34" i="2"/>
  <c r="DD34" i="2" s="1"/>
  <c r="DC35" i="2"/>
  <c r="DD35" i="2" s="1"/>
  <c r="DC36" i="2"/>
  <c r="DD36" i="2" s="1"/>
  <c r="DC37" i="2"/>
  <c r="DD37" i="2" s="1"/>
  <c r="DC38" i="2"/>
  <c r="DD38" i="2" s="1"/>
  <c r="DC39" i="2"/>
  <c r="DD39" i="2" s="1"/>
  <c r="DC40" i="2"/>
  <c r="DD40" i="2" s="1"/>
  <c r="DC41" i="2"/>
  <c r="DD41" i="2" s="1"/>
  <c r="DC42" i="2"/>
  <c r="DD42" i="2" s="1"/>
  <c r="DC43" i="2"/>
  <c r="DD43" i="2" s="1"/>
  <c r="DC44" i="2"/>
  <c r="DD44" i="2" s="1"/>
  <c r="DC45" i="2"/>
  <c r="DD45" i="2" s="1"/>
  <c r="DC46" i="2"/>
  <c r="DD46" i="2" s="1"/>
  <c r="DC47" i="2"/>
  <c r="DD47" i="2" s="1"/>
  <c r="DC48" i="2"/>
  <c r="DD48" i="2" s="1"/>
  <c r="DC49" i="2"/>
  <c r="DD49" i="2" s="1"/>
  <c r="DC50" i="2"/>
  <c r="DD50" i="2" s="1"/>
  <c r="DC51" i="2"/>
  <c r="DD51" i="2" s="1"/>
  <c r="DC52" i="2"/>
  <c r="DD52" i="2" s="1"/>
  <c r="DC53" i="2"/>
  <c r="DD53" i="2" s="1"/>
  <c r="DC54" i="2"/>
  <c r="DD54" i="2" s="1"/>
  <c r="DC55" i="2"/>
  <c r="DD55" i="2" s="1"/>
  <c r="DC56" i="2"/>
  <c r="DD56" i="2" s="1"/>
  <c r="DC57" i="2"/>
  <c r="DD57" i="2" s="1"/>
  <c r="DC58" i="2"/>
  <c r="DD58" i="2" s="1"/>
  <c r="DC59" i="2"/>
  <c r="DD59" i="2" s="1"/>
  <c r="DC60" i="2"/>
  <c r="DD60" i="2" s="1"/>
  <c r="DC61" i="2"/>
  <c r="DD61" i="2" s="1"/>
  <c r="DC62" i="2"/>
  <c r="DD62" i="2" s="1"/>
  <c r="DC63" i="2"/>
  <c r="DD63" i="2" s="1"/>
  <c r="DC64" i="2"/>
  <c r="DD64" i="2" s="1"/>
  <c r="DC65" i="2"/>
  <c r="DD65" i="2" s="1"/>
  <c r="DC66" i="2"/>
  <c r="DD66" i="2" s="1"/>
  <c r="DC67" i="2"/>
  <c r="DD67" i="2" s="1"/>
  <c r="DC68" i="2"/>
  <c r="DD68" i="2" s="1"/>
  <c r="DC69" i="2"/>
  <c r="DD69" i="2" s="1"/>
  <c r="DC70" i="2"/>
  <c r="DD70" i="2" s="1"/>
  <c r="DC71" i="2"/>
  <c r="DD71" i="2" s="1"/>
  <c r="DC72" i="2"/>
  <c r="DD72" i="2" s="1"/>
  <c r="DC73" i="2"/>
  <c r="DD73" i="2" s="1"/>
  <c r="DC74" i="2"/>
  <c r="DD74" i="2" s="1"/>
  <c r="DC75" i="2"/>
  <c r="DD75" i="2" s="1"/>
  <c r="DC76" i="2"/>
  <c r="DD76" i="2" s="1"/>
  <c r="DC77" i="2"/>
  <c r="DD77" i="2" s="1"/>
  <c r="DC78" i="2"/>
  <c r="DD78" i="2" s="1"/>
  <c r="DC79" i="2"/>
  <c r="DD79" i="2" s="1"/>
  <c r="DC80" i="2"/>
  <c r="DD80" i="2" s="1"/>
  <c r="DC81" i="2"/>
  <c r="DD81" i="2" s="1"/>
  <c r="DC82" i="2"/>
  <c r="DD82" i="2" s="1"/>
  <c r="DC83" i="2"/>
  <c r="DD83" i="2" s="1"/>
  <c r="DC84" i="2"/>
  <c r="DD84" i="2" s="1"/>
  <c r="DC85" i="2"/>
  <c r="DD85" i="2" s="1"/>
  <c r="DC86" i="2"/>
  <c r="DD86" i="2" s="1"/>
  <c r="DC87" i="2"/>
  <c r="DD87" i="2" s="1"/>
  <c r="DC88" i="2"/>
  <c r="DD88" i="2" s="1"/>
  <c r="DC89" i="2"/>
  <c r="DD89" i="2" s="1"/>
  <c r="DC90" i="2"/>
  <c r="DD90" i="2" s="1"/>
  <c r="DC91" i="2"/>
  <c r="DD91" i="2" s="1"/>
  <c r="DC92" i="2"/>
  <c r="DD92" i="2" s="1"/>
  <c r="DC93" i="2"/>
  <c r="DD93" i="2" s="1"/>
  <c r="DC94" i="2"/>
  <c r="DD94" i="2" s="1"/>
  <c r="DC95" i="2"/>
  <c r="DD95" i="2" s="1"/>
  <c r="DC96" i="2"/>
  <c r="DD96" i="2" s="1"/>
  <c r="DC97" i="2"/>
  <c r="DD97" i="2" s="1"/>
  <c r="DC98" i="2"/>
  <c r="DD98" i="2" s="1"/>
  <c r="DC99" i="2"/>
  <c r="DD99" i="2" s="1"/>
  <c r="DC100" i="2"/>
  <c r="DD100" i="2" s="1"/>
  <c r="DC101" i="2"/>
  <c r="DD101" i="2" s="1"/>
  <c r="DC102" i="2"/>
  <c r="DD102" i="2" s="1"/>
  <c r="DC103" i="2"/>
  <c r="DD103" i="2" s="1"/>
  <c r="DC104" i="2"/>
  <c r="DD104" i="2" s="1"/>
  <c r="DC105" i="2"/>
  <c r="DD105" i="2" s="1"/>
  <c r="DC106" i="2"/>
  <c r="DD106" i="2" s="1"/>
  <c r="DC107" i="2"/>
  <c r="DD107" i="2" s="1"/>
  <c r="DC108" i="2"/>
  <c r="DD108" i="2" s="1"/>
  <c r="DC109" i="2"/>
  <c r="DD109" i="2" s="1"/>
  <c r="DC110" i="2"/>
  <c r="DD110" i="2" s="1"/>
  <c r="DC111" i="2"/>
  <c r="DD111" i="2" s="1"/>
  <c r="DC112" i="2"/>
  <c r="DD112" i="2" s="1"/>
  <c r="DC113" i="2"/>
  <c r="DD113" i="2" s="1"/>
  <c r="DC114" i="2"/>
  <c r="DD114" i="2" s="1"/>
  <c r="DC115" i="2"/>
  <c r="DD115" i="2" s="1"/>
  <c r="DC116" i="2"/>
  <c r="DD116" i="2" s="1"/>
  <c r="DC117" i="2"/>
  <c r="DD117" i="2" s="1"/>
  <c r="DC118" i="2"/>
  <c r="DD118" i="2" s="1"/>
  <c r="DC119" i="2"/>
  <c r="DD119" i="2" s="1"/>
  <c r="DC120" i="2"/>
  <c r="DD120" i="2" s="1"/>
  <c r="DC121" i="2"/>
  <c r="DD121" i="2" s="1"/>
  <c r="DC122" i="2"/>
  <c r="DD122" i="2" s="1"/>
  <c r="DC123" i="2"/>
  <c r="DD123" i="2" s="1"/>
  <c r="DC124" i="2"/>
  <c r="DD124" i="2" s="1"/>
  <c r="DC125" i="2"/>
  <c r="DD125" i="2" s="1"/>
  <c r="DC126" i="2"/>
  <c r="DD126" i="2" s="1"/>
  <c r="DC127" i="2"/>
  <c r="DD127" i="2" s="1"/>
  <c r="DC128" i="2"/>
  <c r="DD128" i="2" s="1"/>
  <c r="DC129" i="2"/>
  <c r="DD129" i="2" s="1"/>
  <c r="DC130" i="2"/>
  <c r="DD130" i="2" s="1"/>
  <c r="DC131" i="2"/>
  <c r="DD131" i="2" s="1"/>
  <c r="DC132" i="2"/>
  <c r="DD132" i="2" s="1"/>
  <c r="DC133" i="2"/>
  <c r="DD133" i="2" s="1"/>
  <c r="DC134" i="2"/>
  <c r="DD134" i="2" s="1"/>
  <c r="DC135" i="2"/>
  <c r="DD135" i="2" s="1"/>
  <c r="DC136" i="2"/>
  <c r="DD136" i="2" s="1"/>
  <c r="DC137" i="2"/>
  <c r="DD137" i="2" s="1"/>
  <c r="DC138" i="2"/>
  <c r="DD138" i="2" s="1"/>
  <c r="DC139" i="2"/>
  <c r="DD139" i="2" s="1"/>
  <c r="DC140" i="2"/>
  <c r="DD140" i="2" s="1"/>
  <c r="DC141" i="2"/>
  <c r="DD141" i="2" s="1"/>
  <c r="DC142" i="2"/>
  <c r="DD142" i="2" s="1"/>
  <c r="DC143" i="2"/>
  <c r="DD143" i="2" s="1"/>
  <c r="DC144" i="2"/>
  <c r="DD144" i="2" s="1"/>
  <c r="DC145" i="2"/>
  <c r="DD145" i="2" s="1"/>
  <c r="DC146" i="2"/>
  <c r="DD146" i="2" s="1"/>
  <c r="DC147" i="2"/>
  <c r="DD147" i="2" s="1"/>
  <c r="DC148" i="2"/>
  <c r="DD148" i="2" s="1"/>
  <c r="DC149" i="2"/>
  <c r="DD149" i="2" s="1"/>
  <c r="DC150" i="2"/>
  <c r="DD150" i="2" s="1"/>
  <c r="DC151" i="2"/>
  <c r="DD151" i="2" s="1"/>
  <c r="DC152" i="2"/>
  <c r="DD152" i="2" s="1"/>
  <c r="DC153" i="2"/>
  <c r="DD153" i="2" s="1"/>
  <c r="DC154" i="2"/>
  <c r="DD154" i="2" s="1"/>
  <c r="DC155" i="2"/>
  <c r="DD155" i="2" s="1"/>
  <c r="DC156" i="2"/>
  <c r="DD156" i="2" s="1"/>
  <c r="DC157" i="2"/>
  <c r="DD157" i="2" s="1"/>
  <c r="DC158" i="2"/>
  <c r="DD158" i="2" s="1"/>
  <c r="DC159" i="2"/>
  <c r="DD159" i="2" s="1"/>
  <c r="DC160" i="2"/>
  <c r="DD160" i="2" s="1"/>
  <c r="DC161" i="2"/>
  <c r="DD161" i="2" s="1"/>
  <c r="DC162" i="2"/>
  <c r="DD162" i="2" s="1"/>
  <c r="DC163" i="2"/>
  <c r="DD163" i="2" s="1"/>
  <c r="DC164" i="2"/>
  <c r="DD164" i="2" s="1"/>
  <c r="DC165" i="2"/>
  <c r="DD165" i="2" s="1"/>
  <c r="DC166" i="2"/>
  <c r="DD166" i="2" s="1"/>
  <c r="DC167" i="2"/>
  <c r="DD167" i="2" s="1"/>
  <c r="DC168" i="2"/>
  <c r="DD168" i="2" s="1"/>
  <c r="DC169" i="2"/>
  <c r="DD169" i="2" s="1"/>
  <c r="DC170" i="2"/>
  <c r="DD170" i="2" s="1"/>
  <c r="DC171" i="2"/>
  <c r="DD171" i="2" s="1"/>
  <c r="DC172" i="2"/>
  <c r="DD172" i="2" s="1"/>
  <c r="DC173" i="2"/>
  <c r="DD173" i="2" s="1"/>
  <c r="DC174" i="2"/>
  <c r="DD174" i="2" s="1"/>
  <c r="DC175" i="2"/>
  <c r="DD175" i="2" s="1"/>
  <c r="DC176" i="2"/>
  <c r="DD176" i="2" s="1"/>
  <c r="DC177" i="2"/>
  <c r="DD177" i="2" s="1"/>
  <c r="DC178" i="2"/>
  <c r="DD178" i="2" s="1"/>
  <c r="DC179" i="2"/>
  <c r="DD179" i="2" s="1"/>
  <c r="DC180" i="2"/>
  <c r="DD180" i="2" s="1"/>
  <c r="DC181" i="2"/>
  <c r="DD181" i="2" s="1"/>
  <c r="DC182" i="2"/>
  <c r="DD182" i="2" s="1"/>
  <c r="DC183" i="2"/>
  <c r="DD183" i="2" s="1"/>
  <c r="DC184" i="2"/>
  <c r="DD184" i="2" s="1"/>
  <c r="DC185" i="2"/>
  <c r="DD185" i="2" s="1"/>
  <c r="DC186" i="2"/>
  <c r="DD186" i="2" s="1"/>
  <c r="DC187" i="2"/>
  <c r="DD187" i="2" s="1"/>
  <c r="DC188" i="2"/>
  <c r="DD188" i="2" s="1"/>
  <c r="DC189" i="2"/>
  <c r="DD189" i="2" s="1"/>
  <c r="DC190" i="2"/>
  <c r="DD190" i="2" s="1"/>
  <c r="DC191" i="2"/>
  <c r="DD191" i="2" s="1"/>
  <c r="DC192" i="2"/>
  <c r="DD192" i="2" s="1"/>
  <c r="DC193" i="2"/>
  <c r="DC194" i="2"/>
  <c r="DD194" i="2" s="1"/>
  <c r="DC195" i="2"/>
  <c r="DD195" i="2" s="1"/>
  <c r="DC196" i="2"/>
  <c r="DD196" i="2" s="1"/>
  <c r="DC197" i="2"/>
  <c r="DD197" i="2" s="1"/>
  <c r="DC198" i="2"/>
  <c r="DD198" i="2" s="1"/>
  <c r="DC199" i="2"/>
  <c r="DD199" i="2" s="1"/>
  <c r="DC200" i="2"/>
  <c r="DD200" i="2" s="1"/>
  <c r="DC201" i="2"/>
  <c r="DD201" i="2" s="1"/>
  <c r="DD22" i="2" l="1"/>
  <c r="DC2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T114" i="2"/>
  <c r="AT115" i="2"/>
  <c r="AT116" i="2"/>
  <c r="AT117" i="2"/>
  <c r="AT118" i="2"/>
  <c r="AT119" i="2"/>
  <c r="AT120" i="2"/>
  <c r="AT121" i="2"/>
  <c r="AT122" i="2"/>
  <c r="AT123" i="2"/>
  <c r="AT124" i="2"/>
  <c r="AT125" i="2"/>
  <c r="AT126" i="2"/>
  <c r="AT127" i="2"/>
  <c r="AT128" i="2"/>
  <c r="AT129" i="2"/>
  <c r="AT130" i="2"/>
  <c r="AT131" i="2"/>
  <c r="AT132" i="2"/>
  <c r="AT133" i="2"/>
  <c r="AT134" i="2"/>
  <c r="AT135" i="2"/>
  <c r="AT136" i="2"/>
  <c r="AT137" i="2"/>
  <c r="AT138" i="2"/>
  <c r="AT139" i="2"/>
  <c r="AT140" i="2"/>
  <c r="AT141" i="2"/>
  <c r="AT142" i="2"/>
  <c r="AT143" i="2"/>
  <c r="AT144" i="2"/>
  <c r="AT145" i="2"/>
  <c r="AT146" i="2"/>
  <c r="AT147" i="2"/>
  <c r="AT148" i="2"/>
  <c r="AT149" i="2"/>
  <c r="AT150" i="2"/>
  <c r="AT151" i="2"/>
  <c r="AT152" i="2"/>
  <c r="AT153" i="2"/>
  <c r="AT154" i="2"/>
  <c r="AT155" i="2"/>
  <c r="AT156" i="2"/>
  <c r="AT157" i="2"/>
  <c r="AT158" i="2"/>
  <c r="AT159" i="2"/>
  <c r="AT160" i="2"/>
  <c r="AT161" i="2"/>
  <c r="AT162" i="2"/>
  <c r="AT163" i="2"/>
  <c r="AT164" i="2"/>
  <c r="AT165" i="2"/>
  <c r="AT166" i="2"/>
  <c r="AT167" i="2"/>
  <c r="AT168" i="2"/>
  <c r="AT169" i="2"/>
  <c r="AT170" i="2"/>
  <c r="AT171" i="2"/>
  <c r="AT172" i="2"/>
  <c r="AT173" i="2"/>
  <c r="AT174" i="2"/>
  <c r="AT175" i="2"/>
  <c r="AT176" i="2"/>
  <c r="AT177" i="2"/>
  <c r="AT178" i="2"/>
  <c r="AT179" i="2"/>
  <c r="AT180" i="2"/>
  <c r="AT181" i="2"/>
  <c r="AT182" i="2"/>
  <c r="AT183" i="2"/>
  <c r="AT184" i="2"/>
  <c r="AT185" i="2"/>
  <c r="AT186" i="2"/>
  <c r="AT187" i="2"/>
  <c r="AT188" i="2"/>
  <c r="AT189" i="2"/>
  <c r="AT190" i="2"/>
  <c r="AT191" i="2"/>
  <c r="AT192" i="2"/>
  <c r="AT193" i="2"/>
  <c r="AT194" i="2"/>
  <c r="AT195" i="2"/>
  <c r="AT196" i="2"/>
  <c r="AT197" i="2"/>
  <c r="AT198" i="2"/>
  <c r="AT199" i="2"/>
  <c r="AT200" i="2"/>
  <c r="AT201" i="2"/>
  <c r="DD26" i="2" l="1"/>
  <c r="DD18" i="2"/>
  <c r="DD17" i="2"/>
  <c r="DD15" i="2"/>
  <c r="DD9" i="2"/>
  <c r="DD3" i="2"/>
  <c r="DD13" i="2"/>
  <c r="DD7" i="2"/>
  <c r="DD12" i="2"/>
  <c r="DD6" i="2"/>
  <c r="DD10" i="2"/>
  <c r="DD8" i="2"/>
  <c r="DD5" i="2"/>
  <c r="DD11" i="2"/>
  <c r="DD16" i="2"/>
  <c r="DD4" i="2"/>
  <c r="DD14" i="2"/>
  <c r="DD193" i="2"/>
  <c r="DF1" i="2" l="1"/>
  <c r="DD1" i="2"/>
  <c r="AE6" i="5"/>
  <c r="CK15" i="5" l="1"/>
  <c r="CJ15" i="5"/>
  <c r="CK14" i="5"/>
  <c r="CJ14" i="5"/>
  <c r="CK13" i="5"/>
  <c r="CJ13" i="5"/>
  <c r="CK12" i="5"/>
  <c r="CJ12" i="5"/>
  <c r="CK11" i="5"/>
  <c r="CJ11" i="5"/>
  <c r="CK10" i="5"/>
  <c r="CJ10" i="5"/>
  <c r="CK9" i="5"/>
  <c r="CJ9" i="5"/>
  <c r="CK8" i="5"/>
  <c r="CJ8" i="5"/>
  <c r="CK7" i="5"/>
  <c r="CJ7" i="5"/>
  <c r="CK4" i="5"/>
  <c r="CJ4" i="5"/>
  <c r="CI15" i="5"/>
  <c r="CH15" i="5"/>
  <c r="CI14" i="5"/>
  <c r="CH14" i="5"/>
  <c r="CI13" i="5"/>
  <c r="CH13" i="5"/>
  <c r="CI12" i="5"/>
  <c r="CH12" i="5"/>
  <c r="CI11" i="5"/>
  <c r="CH11" i="5"/>
  <c r="CI10" i="5"/>
  <c r="CH10" i="5"/>
  <c r="CI9" i="5"/>
  <c r="CH9" i="5"/>
  <c r="CI8" i="5"/>
  <c r="CH8" i="5"/>
  <c r="CI7" i="5"/>
  <c r="CH7" i="5"/>
  <c r="CI4" i="5"/>
  <c r="CH4" i="5"/>
  <c r="CG15" i="5"/>
  <c r="CF15" i="5"/>
  <c r="CG14" i="5"/>
  <c r="CF14" i="5"/>
  <c r="CG13" i="5"/>
  <c r="CF13" i="5"/>
  <c r="CG12" i="5"/>
  <c r="CF12" i="5"/>
  <c r="CG11" i="5"/>
  <c r="CF11" i="5"/>
  <c r="CG10" i="5"/>
  <c r="CF10" i="5"/>
  <c r="CG9" i="5"/>
  <c r="CF9" i="5"/>
  <c r="CG8" i="5"/>
  <c r="CF8" i="5"/>
  <c r="CG7" i="5"/>
  <c r="CF7" i="5"/>
  <c r="CG4" i="5"/>
  <c r="CF4" i="5"/>
  <c r="CE15" i="5"/>
  <c r="CD15" i="5"/>
  <c r="CE14" i="5"/>
  <c r="CD14" i="5"/>
  <c r="CE13" i="5"/>
  <c r="CD13" i="5"/>
  <c r="CE12" i="5"/>
  <c r="CD12" i="5"/>
  <c r="CE11" i="5"/>
  <c r="CD11" i="5"/>
  <c r="CE10" i="5"/>
  <c r="CD10" i="5"/>
  <c r="CE9" i="5"/>
  <c r="CD9" i="5"/>
  <c r="CE8" i="5"/>
  <c r="CD8" i="5"/>
  <c r="CE7" i="5"/>
  <c r="CD7" i="5"/>
  <c r="CE4" i="5"/>
  <c r="CD4" i="5"/>
  <c r="CC15" i="5"/>
  <c r="CB15" i="5"/>
  <c r="CC14" i="5"/>
  <c r="CB14" i="5"/>
  <c r="CC13" i="5"/>
  <c r="CB13" i="5"/>
  <c r="CC12" i="5"/>
  <c r="CB12" i="5"/>
  <c r="CC11" i="5"/>
  <c r="CB11" i="5"/>
  <c r="CC10" i="5"/>
  <c r="CB10" i="5"/>
  <c r="CC9" i="5"/>
  <c r="CB9" i="5"/>
  <c r="CC8" i="5"/>
  <c r="CB8" i="5"/>
  <c r="CC7" i="5"/>
  <c r="CB7" i="5"/>
  <c r="CC4" i="5"/>
  <c r="CB4" i="5"/>
  <c r="BQ15" i="5"/>
  <c r="BP15" i="5"/>
  <c r="AF15" i="5"/>
  <c r="AE15" i="5"/>
  <c r="BQ14" i="5"/>
  <c r="BP14" i="5"/>
  <c r="AF14" i="5"/>
  <c r="AE14" i="5"/>
  <c r="BQ13" i="5"/>
  <c r="BP13" i="5"/>
  <c r="AF13" i="5"/>
  <c r="AE13" i="5"/>
  <c r="BQ12" i="5"/>
  <c r="BP12" i="5"/>
  <c r="AF12" i="5"/>
  <c r="AE12" i="5"/>
  <c r="BQ11" i="5"/>
  <c r="BP11" i="5"/>
  <c r="AF11" i="5"/>
  <c r="AE11" i="5"/>
  <c r="BQ10" i="5"/>
  <c r="BP10" i="5"/>
  <c r="AF10" i="5"/>
  <c r="AE10" i="5"/>
  <c r="BQ9" i="5"/>
  <c r="BP9" i="5"/>
  <c r="AF9" i="5"/>
  <c r="AE9" i="5"/>
  <c r="BQ8" i="5"/>
  <c r="BP8" i="5"/>
  <c r="AF8" i="5"/>
  <c r="AE8" i="5"/>
  <c r="BQ7" i="5"/>
  <c r="BP7" i="5"/>
  <c r="AF7" i="5"/>
  <c r="AE7" i="5"/>
  <c r="AF5" i="5"/>
  <c r="AE5" i="5"/>
  <c r="BQ4" i="5"/>
  <c r="BP4" i="5"/>
  <c r="AF4" i="5"/>
  <c r="AE4" i="5"/>
  <c r="CA15" i="5"/>
  <c r="BZ15" i="5"/>
  <c r="CA14" i="5"/>
  <c r="BZ14" i="5"/>
  <c r="CA13" i="5"/>
  <c r="BZ13" i="5"/>
  <c r="CA12" i="5"/>
  <c r="BZ12" i="5"/>
  <c r="CA11" i="5"/>
  <c r="BZ11" i="5"/>
  <c r="CA10" i="5"/>
  <c r="BZ10" i="5"/>
  <c r="CA9" i="5"/>
  <c r="BZ9" i="5"/>
  <c r="CA8" i="5"/>
  <c r="BZ8" i="5"/>
  <c r="CA7" i="5"/>
  <c r="BZ7" i="5"/>
  <c r="CA4" i="5"/>
  <c r="BZ4" i="5"/>
  <c r="BY15" i="5"/>
  <c r="BX15" i="5"/>
  <c r="BY14" i="5"/>
  <c r="BX14" i="5"/>
  <c r="BY13" i="5"/>
  <c r="BX13" i="5"/>
  <c r="BY12" i="5"/>
  <c r="BX12" i="5"/>
  <c r="BY11" i="5"/>
  <c r="BX11" i="5"/>
  <c r="BY10" i="5"/>
  <c r="BX10" i="5"/>
  <c r="BY9" i="5"/>
  <c r="BX9" i="5"/>
  <c r="BY8" i="5"/>
  <c r="BX8" i="5"/>
  <c r="BY7" i="5"/>
  <c r="BX7" i="5"/>
  <c r="BY4" i="5"/>
  <c r="BX4" i="5"/>
  <c r="BW15" i="5"/>
  <c r="BV15" i="5"/>
  <c r="BW14" i="5"/>
  <c r="BV14" i="5"/>
  <c r="BW13" i="5"/>
  <c r="BV13" i="5"/>
  <c r="BW12" i="5"/>
  <c r="BV12" i="5"/>
  <c r="BW11" i="5"/>
  <c r="BV11" i="5"/>
  <c r="BW10" i="5"/>
  <c r="BV10" i="5"/>
  <c r="BW9" i="5"/>
  <c r="BV9" i="5"/>
  <c r="BW8" i="5"/>
  <c r="BV8" i="5"/>
  <c r="BW7" i="5"/>
  <c r="BV7" i="5"/>
  <c r="BW4" i="5"/>
  <c r="BV4" i="5"/>
  <c r="BU15" i="5"/>
  <c r="BT15" i="5"/>
  <c r="BU14" i="5"/>
  <c r="BT14" i="5"/>
  <c r="BU13" i="5"/>
  <c r="BT13" i="5"/>
  <c r="BU12" i="5"/>
  <c r="BT12" i="5"/>
  <c r="BU11" i="5"/>
  <c r="BT11" i="5"/>
  <c r="BU10" i="5"/>
  <c r="BT10" i="5"/>
  <c r="BU9" i="5"/>
  <c r="BT9" i="5"/>
  <c r="BU8" i="5"/>
  <c r="BT8" i="5"/>
  <c r="BU7" i="5"/>
  <c r="BT7" i="5"/>
  <c r="BU4" i="5"/>
  <c r="BT4" i="5"/>
  <c r="BS15" i="5"/>
  <c r="BR15" i="5"/>
  <c r="BS14" i="5"/>
  <c r="BR14" i="5"/>
  <c r="BS13" i="5"/>
  <c r="BR13" i="5"/>
  <c r="BS12" i="5"/>
  <c r="BR12" i="5"/>
  <c r="BS11" i="5"/>
  <c r="BR11" i="5"/>
  <c r="BS10" i="5"/>
  <c r="BR10" i="5"/>
  <c r="BS9" i="5"/>
  <c r="BR9" i="5"/>
  <c r="BS8" i="5"/>
  <c r="BR8" i="5"/>
  <c r="BS7" i="5"/>
  <c r="BR7" i="5"/>
  <c r="BS4" i="5"/>
  <c r="BR4" i="5"/>
  <c r="R4" i="5"/>
  <c r="B8" i="11"/>
  <c r="B7" i="11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B45" i="5" l="1"/>
  <c r="H45" i="5"/>
  <c r="E45" i="5"/>
  <c r="T49" i="5"/>
  <c r="N49" i="5"/>
  <c r="Q49" i="5"/>
  <c r="B48" i="5"/>
  <c r="H48" i="5"/>
  <c r="E48" i="5"/>
  <c r="B49" i="5"/>
  <c r="H49" i="5"/>
  <c r="E49" i="5"/>
  <c r="B46" i="5"/>
  <c r="H46" i="5"/>
  <c r="E46" i="5"/>
  <c r="B50" i="5"/>
  <c r="H50" i="5"/>
  <c r="E50" i="5"/>
  <c r="N46" i="5"/>
  <c r="Q46" i="5"/>
  <c r="T46" i="5"/>
  <c r="B52" i="5"/>
  <c r="H52" i="5"/>
  <c r="E52" i="5"/>
  <c r="T45" i="5"/>
  <c r="N45" i="5"/>
  <c r="Q45" i="5"/>
  <c r="H47" i="5"/>
  <c r="E47" i="5"/>
  <c r="B47" i="5"/>
  <c r="B51" i="5"/>
  <c r="H51" i="5"/>
  <c r="E51" i="5"/>
  <c r="T47" i="5"/>
  <c r="N47" i="5"/>
  <c r="Q47" i="5"/>
  <c r="Q48" i="5"/>
  <c r="N48" i="5"/>
  <c r="T48" i="5"/>
  <c r="CO202" i="2"/>
  <c r="CS202" i="2"/>
  <c r="CW202" i="2"/>
  <c r="CP202" i="2"/>
  <c r="CT202" i="2"/>
  <c r="CM202" i="2"/>
  <c r="CQ202" i="2"/>
  <c r="CU202" i="2"/>
  <c r="CL202" i="2"/>
  <c r="CX202" i="2"/>
  <c r="CN202" i="2"/>
  <c r="CR202" i="2"/>
  <c r="CV202" i="2"/>
  <c r="BX201" i="2"/>
  <c r="BX200" i="2"/>
  <c r="BX199" i="2"/>
  <c r="BX198" i="2"/>
  <c r="BX197" i="2"/>
  <c r="BX196" i="2"/>
  <c r="BX195" i="2"/>
  <c r="BX194" i="2"/>
  <c r="BX193" i="2"/>
  <c r="BX192" i="2"/>
  <c r="BX191" i="2"/>
  <c r="BX190" i="2"/>
  <c r="BX189" i="2"/>
  <c r="BX188" i="2"/>
  <c r="BX187" i="2"/>
  <c r="BX186" i="2"/>
  <c r="BX185" i="2"/>
  <c r="BX184" i="2"/>
  <c r="BX183" i="2"/>
  <c r="BX182" i="2"/>
  <c r="BX181" i="2"/>
  <c r="BX180" i="2"/>
  <c r="BX179" i="2"/>
  <c r="BX178" i="2"/>
  <c r="BX177" i="2"/>
  <c r="BX176" i="2"/>
  <c r="BX175" i="2"/>
  <c r="BX174" i="2"/>
  <c r="BX173" i="2"/>
  <c r="BX172" i="2"/>
  <c r="BX171" i="2"/>
  <c r="BX170" i="2"/>
  <c r="BX169" i="2"/>
  <c r="BX168" i="2"/>
  <c r="BX167" i="2"/>
  <c r="BX166" i="2"/>
  <c r="BX165" i="2"/>
  <c r="BX164" i="2"/>
  <c r="BX163" i="2"/>
  <c r="BX162" i="2"/>
  <c r="BX161" i="2"/>
  <c r="BX160" i="2"/>
  <c r="BX159" i="2"/>
  <c r="BX158" i="2"/>
  <c r="BX157" i="2"/>
  <c r="BX156" i="2"/>
  <c r="BX155" i="2"/>
  <c r="BX154" i="2"/>
  <c r="BX153" i="2"/>
  <c r="BX152" i="2"/>
  <c r="BX151" i="2"/>
  <c r="BX150" i="2"/>
  <c r="BX149" i="2"/>
  <c r="BX148" i="2"/>
  <c r="BX147" i="2"/>
  <c r="BX146" i="2"/>
  <c r="BX145" i="2"/>
  <c r="BX144" i="2"/>
  <c r="BX143" i="2"/>
  <c r="BX142" i="2"/>
  <c r="BX141" i="2"/>
  <c r="BX140" i="2"/>
  <c r="BX139" i="2"/>
  <c r="BX138" i="2"/>
  <c r="BX137" i="2"/>
  <c r="BX136" i="2"/>
  <c r="BX135" i="2"/>
  <c r="BX134" i="2"/>
  <c r="BX133" i="2"/>
  <c r="BX132" i="2"/>
  <c r="BX131" i="2"/>
  <c r="BX130" i="2"/>
  <c r="BX129" i="2"/>
  <c r="BX128" i="2"/>
  <c r="BX127" i="2"/>
  <c r="BX126" i="2"/>
  <c r="BX125" i="2"/>
  <c r="BX124" i="2"/>
  <c r="BX123" i="2"/>
  <c r="BX122" i="2"/>
  <c r="BX121" i="2"/>
  <c r="BX120" i="2"/>
  <c r="BX119" i="2"/>
  <c r="BX118" i="2"/>
  <c r="BX117" i="2"/>
  <c r="BX116" i="2"/>
  <c r="BX115" i="2"/>
  <c r="BX114" i="2"/>
  <c r="BX113" i="2"/>
  <c r="BX112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3" i="2"/>
  <c r="BX72" i="2"/>
  <c r="BX71" i="2"/>
  <c r="BX70" i="2"/>
  <c r="BX69" i="2"/>
  <c r="BX68" i="2"/>
  <c r="BX67" i="2"/>
  <c r="BX66" i="2"/>
  <c r="BX65" i="2"/>
  <c r="BX64" i="2"/>
  <c r="BX63" i="2"/>
  <c r="BX62" i="2"/>
  <c r="BX61" i="2"/>
  <c r="BX60" i="2"/>
  <c r="BX59" i="2"/>
  <c r="BX58" i="2"/>
  <c r="BX57" i="2"/>
  <c r="BX56" i="2"/>
  <c r="BX55" i="2"/>
  <c r="BX54" i="2"/>
  <c r="BX53" i="2"/>
  <c r="BX52" i="2"/>
  <c r="BX51" i="2"/>
  <c r="BX50" i="2"/>
  <c r="BX49" i="2"/>
  <c r="BX48" i="2"/>
  <c r="BX47" i="2"/>
  <c r="BX46" i="2"/>
  <c r="BX45" i="2"/>
  <c r="BX44" i="2"/>
  <c r="BX43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3" i="2"/>
  <c r="BX22" i="2"/>
  <c r="BX21" i="2"/>
  <c r="BX20" i="2"/>
  <c r="BX19" i="2"/>
  <c r="BX18" i="2"/>
  <c r="BX17" i="2"/>
  <c r="BX16" i="2"/>
  <c r="BX15" i="2"/>
  <c r="BX14" i="2"/>
  <c r="BX13" i="2"/>
  <c r="BX12" i="2"/>
  <c r="CK11" i="2"/>
  <c r="BX11" i="2" s="1"/>
  <c r="CK10" i="2"/>
  <c r="BX10" i="2" s="1"/>
  <c r="CK9" i="2"/>
  <c r="BX9" i="2" s="1"/>
  <c r="CK8" i="2"/>
  <c r="BX8" i="2" s="1"/>
  <c r="CK7" i="2"/>
  <c r="BX7" i="2" s="1"/>
  <c r="CK6" i="2"/>
  <c r="BX6" i="2" s="1"/>
  <c r="CK5" i="2"/>
  <c r="BX5" i="2" s="1"/>
  <c r="CK4" i="2"/>
  <c r="BX4" i="2" s="1"/>
  <c r="CK3" i="2"/>
  <c r="BX3" i="2" s="1"/>
  <c r="CK2" i="2"/>
  <c r="BW201" i="2"/>
  <c r="BW200" i="2"/>
  <c r="BW199" i="2"/>
  <c r="BW198" i="2"/>
  <c r="BW197" i="2"/>
  <c r="BW196" i="2"/>
  <c r="BW195" i="2"/>
  <c r="BW194" i="2"/>
  <c r="BW193" i="2"/>
  <c r="BW192" i="2"/>
  <c r="BW191" i="2"/>
  <c r="BW190" i="2"/>
  <c r="BW189" i="2"/>
  <c r="BW188" i="2"/>
  <c r="BW187" i="2"/>
  <c r="BW186" i="2"/>
  <c r="BW185" i="2"/>
  <c r="BW184" i="2"/>
  <c r="BW183" i="2"/>
  <c r="BW182" i="2"/>
  <c r="BW181" i="2"/>
  <c r="BW180" i="2"/>
  <c r="BW179" i="2"/>
  <c r="BW178" i="2"/>
  <c r="BW177" i="2"/>
  <c r="BW176" i="2"/>
  <c r="BW175" i="2"/>
  <c r="BW174" i="2"/>
  <c r="BW173" i="2"/>
  <c r="BW172" i="2"/>
  <c r="BW171" i="2"/>
  <c r="BW170" i="2"/>
  <c r="BW169" i="2"/>
  <c r="BW168" i="2"/>
  <c r="BW167" i="2"/>
  <c r="BW166" i="2"/>
  <c r="BW165" i="2"/>
  <c r="BW164" i="2"/>
  <c r="BW163" i="2"/>
  <c r="BW162" i="2"/>
  <c r="BW161" i="2"/>
  <c r="BW160" i="2"/>
  <c r="BW159" i="2"/>
  <c r="BW158" i="2"/>
  <c r="BW157" i="2"/>
  <c r="BW156" i="2"/>
  <c r="BW155" i="2"/>
  <c r="BW154" i="2"/>
  <c r="BW153" i="2"/>
  <c r="BW152" i="2"/>
  <c r="BW151" i="2"/>
  <c r="BW150" i="2"/>
  <c r="BW149" i="2"/>
  <c r="BW148" i="2"/>
  <c r="BW147" i="2"/>
  <c r="BW146" i="2"/>
  <c r="BW145" i="2"/>
  <c r="BW144" i="2"/>
  <c r="BW143" i="2"/>
  <c r="BW142" i="2"/>
  <c r="BW141" i="2"/>
  <c r="BW140" i="2"/>
  <c r="BW139" i="2"/>
  <c r="BW138" i="2"/>
  <c r="BW137" i="2"/>
  <c r="BW136" i="2"/>
  <c r="BW135" i="2"/>
  <c r="BW134" i="2"/>
  <c r="BW133" i="2"/>
  <c r="BW132" i="2"/>
  <c r="BW131" i="2"/>
  <c r="BW130" i="2"/>
  <c r="BW129" i="2"/>
  <c r="BW128" i="2"/>
  <c r="BW127" i="2"/>
  <c r="BW126" i="2"/>
  <c r="BW125" i="2"/>
  <c r="BW124" i="2"/>
  <c r="BW123" i="2"/>
  <c r="BW122" i="2"/>
  <c r="BW121" i="2"/>
  <c r="BW120" i="2"/>
  <c r="BW119" i="2"/>
  <c r="BW118" i="2"/>
  <c r="BW117" i="2"/>
  <c r="BW116" i="2"/>
  <c r="BW115" i="2"/>
  <c r="BW114" i="2"/>
  <c r="BW113" i="2"/>
  <c r="BW112" i="2"/>
  <c r="BW111" i="2"/>
  <c r="BW110" i="2"/>
  <c r="BW109" i="2"/>
  <c r="BW108" i="2"/>
  <c r="BW107" i="2"/>
  <c r="BW106" i="2"/>
  <c r="BW105" i="2"/>
  <c r="BW104" i="2"/>
  <c r="BW103" i="2"/>
  <c r="BW102" i="2"/>
  <c r="BW101" i="2"/>
  <c r="BW100" i="2"/>
  <c r="BW99" i="2"/>
  <c r="BW98" i="2"/>
  <c r="BW97" i="2"/>
  <c r="BW96" i="2"/>
  <c r="BW95" i="2"/>
  <c r="BW94" i="2"/>
  <c r="BW93" i="2"/>
  <c r="BW92" i="2"/>
  <c r="BW91" i="2"/>
  <c r="BW90" i="2"/>
  <c r="BW89" i="2"/>
  <c r="BW88" i="2"/>
  <c r="BW87" i="2"/>
  <c r="BW86" i="2"/>
  <c r="BW85" i="2"/>
  <c r="BW84" i="2"/>
  <c r="BW83" i="2"/>
  <c r="BW82" i="2"/>
  <c r="BW81" i="2"/>
  <c r="BW80" i="2"/>
  <c r="BW79" i="2"/>
  <c r="BW78" i="2"/>
  <c r="BW77" i="2"/>
  <c r="BW76" i="2"/>
  <c r="BW75" i="2"/>
  <c r="BW74" i="2"/>
  <c r="BW73" i="2"/>
  <c r="BW72" i="2"/>
  <c r="BW71" i="2"/>
  <c r="BW70" i="2"/>
  <c r="BW69" i="2"/>
  <c r="BW68" i="2"/>
  <c r="BW67" i="2"/>
  <c r="BW66" i="2"/>
  <c r="BW65" i="2"/>
  <c r="BW64" i="2"/>
  <c r="BW63" i="2"/>
  <c r="BW62" i="2"/>
  <c r="BW61" i="2"/>
  <c r="BW60" i="2"/>
  <c r="BW59" i="2"/>
  <c r="BW58" i="2"/>
  <c r="BW57" i="2"/>
  <c r="BW56" i="2"/>
  <c r="BW55" i="2"/>
  <c r="BW54" i="2"/>
  <c r="BW53" i="2"/>
  <c r="BW52" i="2"/>
  <c r="BW51" i="2"/>
  <c r="BW50" i="2"/>
  <c r="BW49" i="2"/>
  <c r="BW48" i="2"/>
  <c r="BW47" i="2"/>
  <c r="BW46" i="2"/>
  <c r="BW45" i="2"/>
  <c r="BW44" i="2"/>
  <c r="BW43" i="2"/>
  <c r="BW42" i="2"/>
  <c r="BW41" i="2"/>
  <c r="BW40" i="2"/>
  <c r="BW39" i="2"/>
  <c r="BW38" i="2"/>
  <c r="BW37" i="2"/>
  <c r="BW36" i="2"/>
  <c r="BW35" i="2"/>
  <c r="BW34" i="2"/>
  <c r="BW33" i="2"/>
  <c r="BW32" i="2"/>
  <c r="BW31" i="2"/>
  <c r="BW30" i="2"/>
  <c r="BW29" i="2"/>
  <c r="BW28" i="2"/>
  <c r="BW27" i="2"/>
  <c r="BW26" i="2"/>
  <c r="BW25" i="2"/>
  <c r="BW24" i="2"/>
  <c r="BW23" i="2"/>
  <c r="BW22" i="2"/>
  <c r="BW21" i="2"/>
  <c r="BW20" i="2"/>
  <c r="BW19" i="2"/>
  <c r="BW18" i="2"/>
  <c r="BW17" i="2"/>
  <c r="BW16" i="2"/>
  <c r="BW15" i="2"/>
  <c r="BW14" i="2"/>
  <c r="BW13" i="2"/>
  <c r="BW12" i="2"/>
  <c r="CJ11" i="2"/>
  <c r="BW11" i="2" s="1"/>
  <c r="CJ10" i="2"/>
  <c r="BW10" i="2" s="1"/>
  <c r="CJ9" i="2"/>
  <c r="BW9" i="2" s="1"/>
  <c r="CJ8" i="2"/>
  <c r="BW8" i="2" s="1"/>
  <c r="CJ7" i="2"/>
  <c r="BW7" i="2" s="1"/>
  <c r="CJ6" i="2"/>
  <c r="BW6" i="2" s="1"/>
  <c r="CJ5" i="2"/>
  <c r="BW5" i="2" s="1"/>
  <c r="CJ4" i="2"/>
  <c r="BW4" i="2" s="1"/>
  <c r="CJ3" i="2"/>
  <c r="BW3" i="2" s="1"/>
  <c r="CJ2" i="2"/>
  <c r="BV201" i="2"/>
  <c r="BV200" i="2"/>
  <c r="BV199" i="2"/>
  <c r="BV198" i="2"/>
  <c r="BV197" i="2"/>
  <c r="BV196" i="2"/>
  <c r="BV195" i="2"/>
  <c r="BV194" i="2"/>
  <c r="BV193" i="2"/>
  <c r="BV192" i="2"/>
  <c r="BV191" i="2"/>
  <c r="BV190" i="2"/>
  <c r="BV189" i="2"/>
  <c r="BV188" i="2"/>
  <c r="BV187" i="2"/>
  <c r="BV186" i="2"/>
  <c r="BV185" i="2"/>
  <c r="BV184" i="2"/>
  <c r="BV183" i="2"/>
  <c r="BV182" i="2"/>
  <c r="BV181" i="2"/>
  <c r="BV180" i="2"/>
  <c r="BV179" i="2"/>
  <c r="BV178" i="2"/>
  <c r="BV177" i="2"/>
  <c r="BV176" i="2"/>
  <c r="BV175" i="2"/>
  <c r="BV174" i="2"/>
  <c r="BV173" i="2"/>
  <c r="BV172" i="2"/>
  <c r="BV171" i="2"/>
  <c r="BV170" i="2"/>
  <c r="BV169" i="2"/>
  <c r="BV168" i="2"/>
  <c r="BV167" i="2"/>
  <c r="BV166" i="2"/>
  <c r="BV165" i="2"/>
  <c r="BV164" i="2"/>
  <c r="BV163" i="2"/>
  <c r="BV162" i="2"/>
  <c r="BV161" i="2"/>
  <c r="BV160" i="2"/>
  <c r="BV159" i="2"/>
  <c r="BV158" i="2"/>
  <c r="BV157" i="2"/>
  <c r="BV156" i="2"/>
  <c r="BV155" i="2"/>
  <c r="BV154" i="2"/>
  <c r="BV153" i="2"/>
  <c r="BV152" i="2"/>
  <c r="BV151" i="2"/>
  <c r="BV150" i="2"/>
  <c r="BV149" i="2"/>
  <c r="BV148" i="2"/>
  <c r="BV147" i="2"/>
  <c r="BV146" i="2"/>
  <c r="BV145" i="2"/>
  <c r="BV144" i="2"/>
  <c r="BV143" i="2"/>
  <c r="BV142" i="2"/>
  <c r="BV141" i="2"/>
  <c r="BV140" i="2"/>
  <c r="BV139" i="2"/>
  <c r="BV138" i="2"/>
  <c r="BV137" i="2"/>
  <c r="BV136" i="2"/>
  <c r="BV135" i="2"/>
  <c r="BV134" i="2"/>
  <c r="BV133" i="2"/>
  <c r="BV132" i="2"/>
  <c r="BV131" i="2"/>
  <c r="BV130" i="2"/>
  <c r="BV129" i="2"/>
  <c r="BV128" i="2"/>
  <c r="BV127" i="2"/>
  <c r="BV126" i="2"/>
  <c r="BV125" i="2"/>
  <c r="BV124" i="2"/>
  <c r="BV123" i="2"/>
  <c r="BV122" i="2"/>
  <c r="BV121" i="2"/>
  <c r="BV120" i="2"/>
  <c r="BV119" i="2"/>
  <c r="BV118" i="2"/>
  <c r="BV117" i="2"/>
  <c r="BV116" i="2"/>
  <c r="BV115" i="2"/>
  <c r="BV114" i="2"/>
  <c r="BV113" i="2"/>
  <c r="BV112" i="2"/>
  <c r="BV111" i="2"/>
  <c r="BV110" i="2"/>
  <c r="BV109" i="2"/>
  <c r="BV108" i="2"/>
  <c r="BV107" i="2"/>
  <c r="BV106" i="2"/>
  <c r="BV105" i="2"/>
  <c r="BV104" i="2"/>
  <c r="BV103" i="2"/>
  <c r="BV102" i="2"/>
  <c r="BV101" i="2"/>
  <c r="BV100" i="2"/>
  <c r="BV99" i="2"/>
  <c r="BV98" i="2"/>
  <c r="BV97" i="2"/>
  <c r="BV96" i="2"/>
  <c r="BV95" i="2"/>
  <c r="BV94" i="2"/>
  <c r="BV93" i="2"/>
  <c r="BV92" i="2"/>
  <c r="BV91" i="2"/>
  <c r="BV90" i="2"/>
  <c r="BV89" i="2"/>
  <c r="BV88" i="2"/>
  <c r="BV87" i="2"/>
  <c r="BV86" i="2"/>
  <c r="BV85" i="2"/>
  <c r="BV84" i="2"/>
  <c r="BV83" i="2"/>
  <c r="BV82" i="2"/>
  <c r="BV81" i="2"/>
  <c r="BV80" i="2"/>
  <c r="BV79" i="2"/>
  <c r="BV78" i="2"/>
  <c r="BV77" i="2"/>
  <c r="BV76" i="2"/>
  <c r="BV75" i="2"/>
  <c r="BV74" i="2"/>
  <c r="BV73" i="2"/>
  <c r="BV72" i="2"/>
  <c r="BV71" i="2"/>
  <c r="BV70" i="2"/>
  <c r="BV69" i="2"/>
  <c r="BV68" i="2"/>
  <c r="BV67" i="2"/>
  <c r="BV66" i="2"/>
  <c r="BV65" i="2"/>
  <c r="BV64" i="2"/>
  <c r="BV63" i="2"/>
  <c r="BV62" i="2"/>
  <c r="BV61" i="2"/>
  <c r="BV60" i="2"/>
  <c r="BV59" i="2"/>
  <c r="BV58" i="2"/>
  <c r="BV57" i="2"/>
  <c r="BV56" i="2"/>
  <c r="BV55" i="2"/>
  <c r="BV54" i="2"/>
  <c r="BV53" i="2"/>
  <c r="BV52" i="2"/>
  <c r="BV51" i="2"/>
  <c r="BV50" i="2"/>
  <c r="BV49" i="2"/>
  <c r="BV48" i="2"/>
  <c r="BV47" i="2"/>
  <c r="BV46" i="2"/>
  <c r="BV45" i="2"/>
  <c r="BV44" i="2"/>
  <c r="BV43" i="2"/>
  <c r="BV42" i="2"/>
  <c r="BV41" i="2"/>
  <c r="BV40" i="2"/>
  <c r="BV39" i="2"/>
  <c r="BV38" i="2"/>
  <c r="BV37" i="2"/>
  <c r="BV36" i="2"/>
  <c r="BV35" i="2"/>
  <c r="BV34" i="2"/>
  <c r="BV33" i="2"/>
  <c r="BV32" i="2"/>
  <c r="BV31" i="2"/>
  <c r="BV30" i="2"/>
  <c r="BV29" i="2"/>
  <c r="BV28" i="2"/>
  <c r="BV27" i="2"/>
  <c r="BV26" i="2"/>
  <c r="BV25" i="2"/>
  <c r="BV24" i="2"/>
  <c r="BV23" i="2"/>
  <c r="BV22" i="2"/>
  <c r="BV21" i="2"/>
  <c r="BV20" i="2"/>
  <c r="BV19" i="2"/>
  <c r="BV18" i="2"/>
  <c r="BV17" i="2"/>
  <c r="BV16" i="2"/>
  <c r="BV15" i="2"/>
  <c r="BV14" i="2"/>
  <c r="BV13" i="2"/>
  <c r="BV12" i="2"/>
  <c r="CI11" i="2"/>
  <c r="BV11" i="2" s="1"/>
  <c r="CI10" i="2"/>
  <c r="BV10" i="2" s="1"/>
  <c r="CI9" i="2"/>
  <c r="BV9" i="2" s="1"/>
  <c r="CI8" i="2"/>
  <c r="BV8" i="2" s="1"/>
  <c r="CI7" i="2"/>
  <c r="BV7" i="2" s="1"/>
  <c r="CI6" i="2"/>
  <c r="BV6" i="2" s="1"/>
  <c r="CI5" i="2"/>
  <c r="BV5" i="2" s="1"/>
  <c r="CI4" i="2"/>
  <c r="BV4" i="2" s="1"/>
  <c r="CI3" i="2"/>
  <c r="BV3" i="2" s="1"/>
  <c r="CI2" i="2"/>
  <c r="BU201" i="2"/>
  <c r="BU200" i="2"/>
  <c r="BU199" i="2"/>
  <c r="BU198" i="2"/>
  <c r="BU197" i="2"/>
  <c r="BU196" i="2"/>
  <c r="BU195" i="2"/>
  <c r="BU194" i="2"/>
  <c r="BU193" i="2"/>
  <c r="BU192" i="2"/>
  <c r="BU191" i="2"/>
  <c r="BU190" i="2"/>
  <c r="BU189" i="2"/>
  <c r="BU188" i="2"/>
  <c r="BU187" i="2"/>
  <c r="BU186" i="2"/>
  <c r="BU185" i="2"/>
  <c r="BU184" i="2"/>
  <c r="BU183" i="2"/>
  <c r="BU182" i="2"/>
  <c r="BU181" i="2"/>
  <c r="BU180" i="2"/>
  <c r="BU179" i="2"/>
  <c r="BU178" i="2"/>
  <c r="BU177" i="2"/>
  <c r="BU176" i="2"/>
  <c r="BU175" i="2"/>
  <c r="BU174" i="2"/>
  <c r="BU173" i="2"/>
  <c r="BU172" i="2"/>
  <c r="BU171" i="2"/>
  <c r="BU170" i="2"/>
  <c r="BU169" i="2"/>
  <c r="BU168" i="2"/>
  <c r="BU167" i="2"/>
  <c r="BU166" i="2"/>
  <c r="BU165" i="2"/>
  <c r="BU164" i="2"/>
  <c r="BU163" i="2"/>
  <c r="BU162" i="2"/>
  <c r="BU161" i="2"/>
  <c r="BU160" i="2"/>
  <c r="BU159" i="2"/>
  <c r="BU158" i="2"/>
  <c r="BU157" i="2"/>
  <c r="BU156" i="2"/>
  <c r="BU155" i="2"/>
  <c r="BU154" i="2"/>
  <c r="BU153" i="2"/>
  <c r="BU152" i="2"/>
  <c r="BU151" i="2"/>
  <c r="BU150" i="2"/>
  <c r="BU149" i="2"/>
  <c r="BU148" i="2"/>
  <c r="BU147" i="2"/>
  <c r="BU146" i="2"/>
  <c r="BU145" i="2"/>
  <c r="BU144" i="2"/>
  <c r="BU143" i="2"/>
  <c r="BU142" i="2"/>
  <c r="BU141" i="2"/>
  <c r="BU140" i="2"/>
  <c r="BU139" i="2"/>
  <c r="BU138" i="2"/>
  <c r="BU137" i="2"/>
  <c r="BU136" i="2"/>
  <c r="BU135" i="2"/>
  <c r="BU134" i="2"/>
  <c r="BU133" i="2"/>
  <c r="BU132" i="2"/>
  <c r="BU131" i="2"/>
  <c r="BU130" i="2"/>
  <c r="BU129" i="2"/>
  <c r="BU128" i="2"/>
  <c r="BU127" i="2"/>
  <c r="BU126" i="2"/>
  <c r="BU125" i="2"/>
  <c r="BU124" i="2"/>
  <c r="BU123" i="2"/>
  <c r="BU122" i="2"/>
  <c r="BU121" i="2"/>
  <c r="BU120" i="2"/>
  <c r="BU119" i="2"/>
  <c r="BU118" i="2"/>
  <c r="BU117" i="2"/>
  <c r="BU116" i="2"/>
  <c r="BU115" i="2"/>
  <c r="BU114" i="2"/>
  <c r="BU113" i="2"/>
  <c r="BU112" i="2"/>
  <c r="BU111" i="2"/>
  <c r="BU110" i="2"/>
  <c r="BU109" i="2"/>
  <c r="BU108" i="2"/>
  <c r="BU107" i="2"/>
  <c r="BU106" i="2"/>
  <c r="BU105" i="2"/>
  <c r="BU104" i="2"/>
  <c r="BU103" i="2"/>
  <c r="BU102" i="2"/>
  <c r="BU101" i="2"/>
  <c r="BU100" i="2"/>
  <c r="BU99" i="2"/>
  <c r="BU98" i="2"/>
  <c r="BU97" i="2"/>
  <c r="BU96" i="2"/>
  <c r="BU95" i="2"/>
  <c r="BU94" i="2"/>
  <c r="BU93" i="2"/>
  <c r="BU92" i="2"/>
  <c r="BU91" i="2"/>
  <c r="BU90" i="2"/>
  <c r="BU89" i="2"/>
  <c r="BU88" i="2"/>
  <c r="BU87" i="2"/>
  <c r="BU86" i="2"/>
  <c r="BU85" i="2"/>
  <c r="BU84" i="2"/>
  <c r="BU83" i="2"/>
  <c r="BU82" i="2"/>
  <c r="BU81" i="2"/>
  <c r="BU80" i="2"/>
  <c r="BU79" i="2"/>
  <c r="BU78" i="2"/>
  <c r="BU77" i="2"/>
  <c r="BU76" i="2"/>
  <c r="BU75" i="2"/>
  <c r="BU74" i="2"/>
  <c r="BU73" i="2"/>
  <c r="BU72" i="2"/>
  <c r="BU71" i="2"/>
  <c r="BU70" i="2"/>
  <c r="BU69" i="2"/>
  <c r="BU68" i="2"/>
  <c r="BU67" i="2"/>
  <c r="BU66" i="2"/>
  <c r="BU65" i="2"/>
  <c r="BU64" i="2"/>
  <c r="BU63" i="2"/>
  <c r="BU62" i="2"/>
  <c r="BU61" i="2"/>
  <c r="BU60" i="2"/>
  <c r="BU59" i="2"/>
  <c r="BU58" i="2"/>
  <c r="BU57" i="2"/>
  <c r="BU56" i="2"/>
  <c r="BU55" i="2"/>
  <c r="BU54" i="2"/>
  <c r="BU53" i="2"/>
  <c r="BU52" i="2"/>
  <c r="BU51" i="2"/>
  <c r="BU50" i="2"/>
  <c r="BU49" i="2"/>
  <c r="BU48" i="2"/>
  <c r="BU47" i="2"/>
  <c r="BU46" i="2"/>
  <c r="BU45" i="2"/>
  <c r="BU44" i="2"/>
  <c r="BU43" i="2"/>
  <c r="BU42" i="2"/>
  <c r="BU41" i="2"/>
  <c r="BU40" i="2"/>
  <c r="BU39" i="2"/>
  <c r="BU38" i="2"/>
  <c r="BU37" i="2"/>
  <c r="BU36" i="2"/>
  <c r="BU35" i="2"/>
  <c r="BU34" i="2"/>
  <c r="BU33" i="2"/>
  <c r="BU32" i="2"/>
  <c r="BU31" i="2"/>
  <c r="BU30" i="2"/>
  <c r="BU29" i="2"/>
  <c r="BU28" i="2"/>
  <c r="BU27" i="2"/>
  <c r="BU26" i="2"/>
  <c r="BU25" i="2"/>
  <c r="BU24" i="2"/>
  <c r="BU23" i="2"/>
  <c r="BU22" i="2"/>
  <c r="BU21" i="2"/>
  <c r="BU20" i="2"/>
  <c r="BU19" i="2"/>
  <c r="BU18" i="2"/>
  <c r="BU17" i="2"/>
  <c r="BU16" i="2"/>
  <c r="BU15" i="2"/>
  <c r="BU14" i="2"/>
  <c r="BU13" i="2"/>
  <c r="BU12" i="2"/>
  <c r="CH11" i="2"/>
  <c r="BU11" i="2" s="1"/>
  <c r="CH10" i="2"/>
  <c r="BU10" i="2" s="1"/>
  <c r="CH9" i="2"/>
  <c r="BU9" i="2" s="1"/>
  <c r="CH8" i="2"/>
  <c r="BU8" i="2" s="1"/>
  <c r="CH7" i="2"/>
  <c r="BU7" i="2" s="1"/>
  <c r="CH6" i="2"/>
  <c r="BU6" i="2" s="1"/>
  <c r="CH5" i="2"/>
  <c r="BU5" i="2" s="1"/>
  <c r="CH4" i="2"/>
  <c r="BU4" i="2" s="1"/>
  <c r="CH3" i="2"/>
  <c r="BU3" i="2" s="1"/>
  <c r="CH2" i="2"/>
  <c r="BT201" i="2"/>
  <c r="BT200" i="2"/>
  <c r="BT199" i="2"/>
  <c r="BT198" i="2"/>
  <c r="BT197" i="2"/>
  <c r="BT196" i="2"/>
  <c r="BT195" i="2"/>
  <c r="BT194" i="2"/>
  <c r="BT193" i="2"/>
  <c r="BT192" i="2"/>
  <c r="BT191" i="2"/>
  <c r="BT190" i="2"/>
  <c r="BT189" i="2"/>
  <c r="BT188" i="2"/>
  <c r="BT187" i="2"/>
  <c r="BT186" i="2"/>
  <c r="BT185" i="2"/>
  <c r="BT184" i="2"/>
  <c r="BT183" i="2"/>
  <c r="BT182" i="2"/>
  <c r="BT181" i="2"/>
  <c r="BT180" i="2"/>
  <c r="BT179" i="2"/>
  <c r="BT178" i="2"/>
  <c r="BT177" i="2"/>
  <c r="BT176" i="2"/>
  <c r="BT175" i="2"/>
  <c r="BT174" i="2"/>
  <c r="BT173" i="2"/>
  <c r="BT172" i="2"/>
  <c r="BT171" i="2"/>
  <c r="BT170" i="2"/>
  <c r="BT169" i="2"/>
  <c r="BT168" i="2"/>
  <c r="BT167" i="2"/>
  <c r="BT166" i="2"/>
  <c r="BT165" i="2"/>
  <c r="BT164" i="2"/>
  <c r="BT163" i="2"/>
  <c r="BT162" i="2"/>
  <c r="BT161" i="2"/>
  <c r="BT160" i="2"/>
  <c r="BT159" i="2"/>
  <c r="BT158" i="2"/>
  <c r="BT157" i="2"/>
  <c r="BT156" i="2"/>
  <c r="BT155" i="2"/>
  <c r="BT154" i="2"/>
  <c r="BT153" i="2"/>
  <c r="BT152" i="2"/>
  <c r="BT151" i="2"/>
  <c r="BT150" i="2"/>
  <c r="BT149" i="2"/>
  <c r="BT148" i="2"/>
  <c r="BT147" i="2"/>
  <c r="BT146" i="2"/>
  <c r="BT145" i="2"/>
  <c r="BT144" i="2"/>
  <c r="BT143" i="2"/>
  <c r="BT142" i="2"/>
  <c r="BT141" i="2"/>
  <c r="BT140" i="2"/>
  <c r="BT139" i="2"/>
  <c r="BT138" i="2"/>
  <c r="BT137" i="2"/>
  <c r="BT136" i="2"/>
  <c r="BT135" i="2"/>
  <c r="BT134" i="2"/>
  <c r="BT133" i="2"/>
  <c r="BT132" i="2"/>
  <c r="BT131" i="2"/>
  <c r="BT130" i="2"/>
  <c r="BT129" i="2"/>
  <c r="BT128" i="2"/>
  <c r="BT127" i="2"/>
  <c r="BT126" i="2"/>
  <c r="BT125" i="2"/>
  <c r="BT124" i="2"/>
  <c r="BT123" i="2"/>
  <c r="BT122" i="2"/>
  <c r="BT121" i="2"/>
  <c r="BT120" i="2"/>
  <c r="BT119" i="2"/>
  <c r="BT118" i="2"/>
  <c r="BT117" i="2"/>
  <c r="BT116" i="2"/>
  <c r="BT115" i="2"/>
  <c r="BT114" i="2"/>
  <c r="BT113" i="2"/>
  <c r="BT112" i="2"/>
  <c r="BT111" i="2"/>
  <c r="BT110" i="2"/>
  <c r="BT109" i="2"/>
  <c r="BT108" i="2"/>
  <c r="BT107" i="2"/>
  <c r="BT106" i="2"/>
  <c r="BT105" i="2"/>
  <c r="BT104" i="2"/>
  <c r="BT103" i="2"/>
  <c r="BT102" i="2"/>
  <c r="BT101" i="2"/>
  <c r="BT100" i="2"/>
  <c r="BT99" i="2"/>
  <c r="BT98" i="2"/>
  <c r="BT97" i="2"/>
  <c r="BT96" i="2"/>
  <c r="BT95" i="2"/>
  <c r="BT94" i="2"/>
  <c r="BT93" i="2"/>
  <c r="BT92" i="2"/>
  <c r="BT91" i="2"/>
  <c r="BT90" i="2"/>
  <c r="BT89" i="2"/>
  <c r="BT88" i="2"/>
  <c r="BT87" i="2"/>
  <c r="BT86" i="2"/>
  <c r="BT85" i="2"/>
  <c r="BT84" i="2"/>
  <c r="BT83" i="2"/>
  <c r="BT82" i="2"/>
  <c r="BT81" i="2"/>
  <c r="BT80" i="2"/>
  <c r="BT79" i="2"/>
  <c r="BT78" i="2"/>
  <c r="BT77" i="2"/>
  <c r="BT76" i="2"/>
  <c r="BT75" i="2"/>
  <c r="BT74" i="2"/>
  <c r="BT73" i="2"/>
  <c r="BT72" i="2"/>
  <c r="BT71" i="2"/>
  <c r="BT70" i="2"/>
  <c r="BT69" i="2"/>
  <c r="BT68" i="2"/>
  <c r="BT67" i="2"/>
  <c r="BT66" i="2"/>
  <c r="BT65" i="2"/>
  <c r="BT64" i="2"/>
  <c r="BT63" i="2"/>
  <c r="BT62" i="2"/>
  <c r="BT61" i="2"/>
  <c r="BT60" i="2"/>
  <c r="BT59" i="2"/>
  <c r="BT58" i="2"/>
  <c r="BT57" i="2"/>
  <c r="BT56" i="2"/>
  <c r="BT55" i="2"/>
  <c r="BT54" i="2"/>
  <c r="BT53" i="2"/>
  <c r="BT52" i="2"/>
  <c r="BT51" i="2"/>
  <c r="BT50" i="2"/>
  <c r="BT49" i="2"/>
  <c r="BT48" i="2"/>
  <c r="BT47" i="2"/>
  <c r="BT46" i="2"/>
  <c r="BT45" i="2"/>
  <c r="BT44" i="2"/>
  <c r="BT43" i="2"/>
  <c r="BT42" i="2"/>
  <c r="BT41" i="2"/>
  <c r="BT40" i="2"/>
  <c r="BT39" i="2"/>
  <c r="BT38" i="2"/>
  <c r="BT37" i="2"/>
  <c r="BT36" i="2"/>
  <c r="BT35" i="2"/>
  <c r="BT34" i="2"/>
  <c r="BT33" i="2"/>
  <c r="BT32" i="2"/>
  <c r="BT31" i="2"/>
  <c r="BT30" i="2"/>
  <c r="BT29" i="2"/>
  <c r="BT28" i="2"/>
  <c r="BT27" i="2"/>
  <c r="BT26" i="2"/>
  <c r="BT25" i="2"/>
  <c r="BT24" i="2"/>
  <c r="BT23" i="2"/>
  <c r="BT22" i="2"/>
  <c r="BT21" i="2"/>
  <c r="BT20" i="2"/>
  <c r="BT19" i="2"/>
  <c r="BT18" i="2"/>
  <c r="BT17" i="2"/>
  <c r="BT16" i="2"/>
  <c r="BT15" i="2"/>
  <c r="BT14" i="2"/>
  <c r="BT13" i="2"/>
  <c r="BT12" i="2"/>
  <c r="CG11" i="2"/>
  <c r="BT11" i="2" s="1"/>
  <c r="CG10" i="2"/>
  <c r="BT10" i="2" s="1"/>
  <c r="CG9" i="2"/>
  <c r="BT9" i="2" s="1"/>
  <c r="CG8" i="2"/>
  <c r="BT8" i="2" s="1"/>
  <c r="CG7" i="2"/>
  <c r="BT7" i="2" s="1"/>
  <c r="CG6" i="2"/>
  <c r="BT6" i="2" s="1"/>
  <c r="CG5" i="2"/>
  <c r="BT5" i="2" s="1"/>
  <c r="CG4" i="2"/>
  <c r="BT4" i="2" s="1"/>
  <c r="CG3" i="2"/>
  <c r="BT3" i="2" s="1"/>
  <c r="CG2" i="2"/>
  <c r="BS201" i="2"/>
  <c r="BS200" i="2"/>
  <c r="BS199" i="2"/>
  <c r="BS198" i="2"/>
  <c r="BS197" i="2"/>
  <c r="BS196" i="2"/>
  <c r="BS195" i="2"/>
  <c r="BS194" i="2"/>
  <c r="BS193" i="2"/>
  <c r="BS192" i="2"/>
  <c r="BS191" i="2"/>
  <c r="BS190" i="2"/>
  <c r="BS189" i="2"/>
  <c r="BS188" i="2"/>
  <c r="BS187" i="2"/>
  <c r="BS186" i="2"/>
  <c r="BS185" i="2"/>
  <c r="BS184" i="2"/>
  <c r="BS183" i="2"/>
  <c r="BS182" i="2"/>
  <c r="BS181" i="2"/>
  <c r="BS180" i="2"/>
  <c r="BS179" i="2"/>
  <c r="BS178" i="2"/>
  <c r="BS177" i="2"/>
  <c r="BS176" i="2"/>
  <c r="BS175" i="2"/>
  <c r="BS174" i="2"/>
  <c r="BS173" i="2"/>
  <c r="BS172" i="2"/>
  <c r="BS171" i="2"/>
  <c r="BS170" i="2"/>
  <c r="BS169" i="2"/>
  <c r="BS168" i="2"/>
  <c r="BS167" i="2"/>
  <c r="BS166" i="2"/>
  <c r="BS165" i="2"/>
  <c r="BS164" i="2"/>
  <c r="BS163" i="2"/>
  <c r="BS162" i="2"/>
  <c r="BS161" i="2"/>
  <c r="BS160" i="2"/>
  <c r="BS159" i="2"/>
  <c r="BS158" i="2"/>
  <c r="BS157" i="2"/>
  <c r="BS156" i="2"/>
  <c r="BS155" i="2"/>
  <c r="BS154" i="2"/>
  <c r="BS153" i="2"/>
  <c r="BS152" i="2"/>
  <c r="BS151" i="2"/>
  <c r="BS150" i="2"/>
  <c r="BS149" i="2"/>
  <c r="BS148" i="2"/>
  <c r="BS147" i="2"/>
  <c r="BS146" i="2"/>
  <c r="BS145" i="2"/>
  <c r="BS144" i="2"/>
  <c r="BS143" i="2"/>
  <c r="BS142" i="2"/>
  <c r="BS141" i="2"/>
  <c r="BS140" i="2"/>
  <c r="BS139" i="2"/>
  <c r="BS138" i="2"/>
  <c r="BS137" i="2"/>
  <c r="BS136" i="2"/>
  <c r="BS135" i="2"/>
  <c r="BS134" i="2"/>
  <c r="BS133" i="2"/>
  <c r="BS132" i="2"/>
  <c r="BS131" i="2"/>
  <c r="BS130" i="2"/>
  <c r="BS129" i="2"/>
  <c r="BS128" i="2"/>
  <c r="BS127" i="2"/>
  <c r="BS126" i="2"/>
  <c r="BS125" i="2"/>
  <c r="BS124" i="2"/>
  <c r="BS123" i="2"/>
  <c r="BS122" i="2"/>
  <c r="BS121" i="2"/>
  <c r="BS120" i="2"/>
  <c r="BS119" i="2"/>
  <c r="BS118" i="2"/>
  <c r="BS117" i="2"/>
  <c r="BS116" i="2"/>
  <c r="BS115" i="2"/>
  <c r="BS114" i="2"/>
  <c r="BS113" i="2"/>
  <c r="BS112" i="2"/>
  <c r="BS111" i="2"/>
  <c r="BS110" i="2"/>
  <c r="BS109" i="2"/>
  <c r="BS108" i="2"/>
  <c r="BS107" i="2"/>
  <c r="BS106" i="2"/>
  <c r="BS105" i="2"/>
  <c r="BS104" i="2"/>
  <c r="BS103" i="2"/>
  <c r="BS102" i="2"/>
  <c r="BS101" i="2"/>
  <c r="BS100" i="2"/>
  <c r="BS99" i="2"/>
  <c r="BS98" i="2"/>
  <c r="BS97" i="2"/>
  <c r="BS96" i="2"/>
  <c r="BS95" i="2"/>
  <c r="BS94" i="2"/>
  <c r="BS93" i="2"/>
  <c r="BS92" i="2"/>
  <c r="BS91" i="2"/>
  <c r="BS90" i="2"/>
  <c r="BS89" i="2"/>
  <c r="BS88" i="2"/>
  <c r="BS87" i="2"/>
  <c r="BS86" i="2"/>
  <c r="BS85" i="2"/>
  <c r="BS84" i="2"/>
  <c r="BS83" i="2"/>
  <c r="BS82" i="2"/>
  <c r="BS81" i="2"/>
  <c r="BS80" i="2"/>
  <c r="BS79" i="2"/>
  <c r="BS78" i="2"/>
  <c r="BS77" i="2"/>
  <c r="BS76" i="2"/>
  <c r="BS75" i="2"/>
  <c r="BS74" i="2"/>
  <c r="BS73" i="2"/>
  <c r="BS72" i="2"/>
  <c r="BS71" i="2"/>
  <c r="BS70" i="2"/>
  <c r="BS69" i="2"/>
  <c r="BS68" i="2"/>
  <c r="BS67" i="2"/>
  <c r="BS66" i="2"/>
  <c r="BS65" i="2"/>
  <c r="BS64" i="2"/>
  <c r="BS63" i="2"/>
  <c r="BS62" i="2"/>
  <c r="BS61" i="2"/>
  <c r="BS60" i="2"/>
  <c r="BS59" i="2"/>
  <c r="BS58" i="2"/>
  <c r="BS57" i="2"/>
  <c r="BS56" i="2"/>
  <c r="BS55" i="2"/>
  <c r="BS54" i="2"/>
  <c r="BS53" i="2"/>
  <c r="BS52" i="2"/>
  <c r="BS51" i="2"/>
  <c r="BS50" i="2"/>
  <c r="BS49" i="2"/>
  <c r="BS48" i="2"/>
  <c r="BS47" i="2"/>
  <c r="BS46" i="2"/>
  <c r="BS45" i="2"/>
  <c r="BS44" i="2"/>
  <c r="BS43" i="2"/>
  <c r="BS42" i="2"/>
  <c r="BS41" i="2"/>
  <c r="BS40" i="2"/>
  <c r="BS39" i="2"/>
  <c r="BS38" i="2"/>
  <c r="BS37" i="2"/>
  <c r="BS36" i="2"/>
  <c r="BS35" i="2"/>
  <c r="BS34" i="2"/>
  <c r="BS33" i="2"/>
  <c r="BS32" i="2"/>
  <c r="BS31" i="2"/>
  <c r="BS30" i="2"/>
  <c r="BS29" i="2"/>
  <c r="BS28" i="2"/>
  <c r="BS27" i="2"/>
  <c r="BS26" i="2"/>
  <c r="BS25" i="2"/>
  <c r="BS24" i="2"/>
  <c r="BS23" i="2"/>
  <c r="BS22" i="2"/>
  <c r="BS21" i="2"/>
  <c r="BS20" i="2"/>
  <c r="BS19" i="2"/>
  <c r="BS18" i="2"/>
  <c r="BS17" i="2"/>
  <c r="BS16" i="2"/>
  <c r="BS15" i="2"/>
  <c r="BS14" i="2"/>
  <c r="BS13" i="2"/>
  <c r="BS12" i="2"/>
  <c r="CF11" i="2"/>
  <c r="BS11" i="2" s="1"/>
  <c r="CF10" i="2"/>
  <c r="BS10" i="2" s="1"/>
  <c r="CF9" i="2"/>
  <c r="BS9" i="2" s="1"/>
  <c r="CF8" i="2"/>
  <c r="BS8" i="2" s="1"/>
  <c r="CF7" i="2"/>
  <c r="BS7" i="2" s="1"/>
  <c r="CF6" i="2"/>
  <c r="BS6" i="2" s="1"/>
  <c r="CF5" i="2"/>
  <c r="BS5" i="2" s="1"/>
  <c r="CF4" i="2"/>
  <c r="BS4" i="2" s="1"/>
  <c r="CF3" i="2"/>
  <c r="BS3" i="2" s="1"/>
  <c r="CF2" i="2"/>
  <c r="BR201" i="2"/>
  <c r="BR200" i="2"/>
  <c r="BR199" i="2"/>
  <c r="BR198" i="2"/>
  <c r="BR197" i="2"/>
  <c r="BR196" i="2"/>
  <c r="BR195" i="2"/>
  <c r="BR194" i="2"/>
  <c r="BR193" i="2"/>
  <c r="BR192" i="2"/>
  <c r="BR191" i="2"/>
  <c r="BR190" i="2"/>
  <c r="BR189" i="2"/>
  <c r="BR188" i="2"/>
  <c r="BR187" i="2"/>
  <c r="BR186" i="2"/>
  <c r="BR185" i="2"/>
  <c r="BR184" i="2"/>
  <c r="BR183" i="2"/>
  <c r="BR182" i="2"/>
  <c r="BR181" i="2"/>
  <c r="BR180" i="2"/>
  <c r="BR179" i="2"/>
  <c r="BR178" i="2"/>
  <c r="BR177" i="2"/>
  <c r="BR176" i="2"/>
  <c r="BR175" i="2"/>
  <c r="BR174" i="2"/>
  <c r="BR173" i="2"/>
  <c r="BR172" i="2"/>
  <c r="BR171" i="2"/>
  <c r="BR170" i="2"/>
  <c r="BR169" i="2"/>
  <c r="BR168" i="2"/>
  <c r="BR167" i="2"/>
  <c r="BR166" i="2"/>
  <c r="BR165" i="2"/>
  <c r="BR164" i="2"/>
  <c r="BR163" i="2"/>
  <c r="BR162" i="2"/>
  <c r="BR161" i="2"/>
  <c r="BR160" i="2"/>
  <c r="BR159" i="2"/>
  <c r="BR158" i="2"/>
  <c r="BR157" i="2"/>
  <c r="BR156" i="2"/>
  <c r="BR155" i="2"/>
  <c r="BR154" i="2"/>
  <c r="BR153" i="2"/>
  <c r="BR152" i="2"/>
  <c r="BR151" i="2"/>
  <c r="BR150" i="2"/>
  <c r="BR149" i="2"/>
  <c r="BR148" i="2"/>
  <c r="BR147" i="2"/>
  <c r="BR146" i="2"/>
  <c r="BR145" i="2"/>
  <c r="BR144" i="2"/>
  <c r="BR143" i="2"/>
  <c r="BR142" i="2"/>
  <c r="BR141" i="2"/>
  <c r="BR140" i="2"/>
  <c r="BR139" i="2"/>
  <c r="BR138" i="2"/>
  <c r="BR137" i="2"/>
  <c r="BR136" i="2"/>
  <c r="BR135" i="2"/>
  <c r="BR134" i="2"/>
  <c r="BR133" i="2"/>
  <c r="BR132" i="2"/>
  <c r="BR131" i="2"/>
  <c r="BR130" i="2"/>
  <c r="BR129" i="2"/>
  <c r="BR128" i="2"/>
  <c r="BR127" i="2"/>
  <c r="BR126" i="2"/>
  <c r="BR125" i="2"/>
  <c r="BR124" i="2"/>
  <c r="BR123" i="2"/>
  <c r="BR122" i="2"/>
  <c r="BR121" i="2"/>
  <c r="BR120" i="2"/>
  <c r="BR119" i="2"/>
  <c r="BR118" i="2"/>
  <c r="BR117" i="2"/>
  <c r="BR116" i="2"/>
  <c r="BR115" i="2"/>
  <c r="BR114" i="2"/>
  <c r="BR113" i="2"/>
  <c r="BR112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3" i="2"/>
  <c r="BR72" i="2"/>
  <c r="BR71" i="2"/>
  <c r="BR70" i="2"/>
  <c r="BR69" i="2"/>
  <c r="BR68" i="2"/>
  <c r="BR67" i="2"/>
  <c r="BR66" i="2"/>
  <c r="BR65" i="2"/>
  <c r="BR64" i="2"/>
  <c r="BR63" i="2"/>
  <c r="BR62" i="2"/>
  <c r="BR61" i="2"/>
  <c r="BR60" i="2"/>
  <c r="BR59" i="2"/>
  <c r="BR58" i="2"/>
  <c r="BR57" i="2"/>
  <c r="BR56" i="2"/>
  <c r="BR55" i="2"/>
  <c r="BR54" i="2"/>
  <c r="BR53" i="2"/>
  <c r="BR52" i="2"/>
  <c r="BR51" i="2"/>
  <c r="BR50" i="2"/>
  <c r="BR49" i="2"/>
  <c r="BR48" i="2"/>
  <c r="BR47" i="2"/>
  <c r="BR46" i="2"/>
  <c r="BR45" i="2"/>
  <c r="BR44" i="2"/>
  <c r="BR43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3" i="2"/>
  <c r="BR22" i="2"/>
  <c r="BR21" i="2"/>
  <c r="BR20" i="2"/>
  <c r="BR19" i="2"/>
  <c r="BR18" i="2"/>
  <c r="BR17" i="2"/>
  <c r="BR16" i="2"/>
  <c r="BR15" i="2"/>
  <c r="BR14" i="2"/>
  <c r="BR13" i="2"/>
  <c r="BR12" i="2"/>
  <c r="CE11" i="2"/>
  <c r="BR11" i="2" s="1"/>
  <c r="CE10" i="2"/>
  <c r="BR10" i="2" s="1"/>
  <c r="CE9" i="2"/>
  <c r="BR9" i="2" s="1"/>
  <c r="CE8" i="2"/>
  <c r="BR8" i="2" s="1"/>
  <c r="CE7" i="2"/>
  <c r="BR7" i="2" s="1"/>
  <c r="CE6" i="2"/>
  <c r="BR6" i="2" s="1"/>
  <c r="CE5" i="2"/>
  <c r="BR5" i="2" s="1"/>
  <c r="CE4" i="2"/>
  <c r="BR4" i="2" s="1"/>
  <c r="CE3" i="2"/>
  <c r="BR3" i="2" s="1"/>
  <c r="CE2" i="2"/>
  <c r="BQ201" i="2"/>
  <c r="BQ200" i="2"/>
  <c r="BQ199" i="2"/>
  <c r="BQ198" i="2"/>
  <c r="BQ197" i="2"/>
  <c r="BQ196" i="2"/>
  <c r="BQ195" i="2"/>
  <c r="BQ194" i="2"/>
  <c r="BQ193" i="2"/>
  <c r="BQ192" i="2"/>
  <c r="BQ191" i="2"/>
  <c r="BQ190" i="2"/>
  <c r="BQ189" i="2"/>
  <c r="BQ188" i="2"/>
  <c r="BQ187" i="2"/>
  <c r="BQ186" i="2"/>
  <c r="BQ185" i="2"/>
  <c r="BQ184" i="2"/>
  <c r="BQ183" i="2"/>
  <c r="BQ182" i="2"/>
  <c r="BQ181" i="2"/>
  <c r="BQ180" i="2"/>
  <c r="BQ179" i="2"/>
  <c r="BQ178" i="2"/>
  <c r="BQ177" i="2"/>
  <c r="BQ176" i="2"/>
  <c r="BQ175" i="2"/>
  <c r="BQ174" i="2"/>
  <c r="BQ173" i="2"/>
  <c r="BQ172" i="2"/>
  <c r="BQ171" i="2"/>
  <c r="BQ170" i="2"/>
  <c r="BQ169" i="2"/>
  <c r="BQ168" i="2"/>
  <c r="BQ167" i="2"/>
  <c r="BQ166" i="2"/>
  <c r="BQ165" i="2"/>
  <c r="BQ164" i="2"/>
  <c r="BQ163" i="2"/>
  <c r="BQ162" i="2"/>
  <c r="BQ161" i="2"/>
  <c r="BQ160" i="2"/>
  <c r="BQ159" i="2"/>
  <c r="BQ158" i="2"/>
  <c r="BQ157" i="2"/>
  <c r="BQ156" i="2"/>
  <c r="BQ155" i="2"/>
  <c r="BQ154" i="2"/>
  <c r="BQ153" i="2"/>
  <c r="BQ152" i="2"/>
  <c r="BQ151" i="2"/>
  <c r="BQ150" i="2"/>
  <c r="BQ149" i="2"/>
  <c r="BQ148" i="2"/>
  <c r="BQ147" i="2"/>
  <c r="BQ146" i="2"/>
  <c r="BQ145" i="2"/>
  <c r="BQ144" i="2"/>
  <c r="BQ143" i="2"/>
  <c r="BQ142" i="2"/>
  <c r="BQ141" i="2"/>
  <c r="BQ140" i="2"/>
  <c r="BQ139" i="2"/>
  <c r="BQ138" i="2"/>
  <c r="BQ137" i="2"/>
  <c r="BQ136" i="2"/>
  <c r="BQ135" i="2"/>
  <c r="BQ134" i="2"/>
  <c r="BQ133" i="2"/>
  <c r="BQ132" i="2"/>
  <c r="BQ131" i="2"/>
  <c r="BQ130" i="2"/>
  <c r="BQ129" i="2"/>
  <c r="BQ128" i="2"/>
  <c r="BQ127" i="2"/>
  <c r="BQ126" i="2"/>
  <c r="BQ125" i="2"/>
  <c r="BQ124" i="2"/>
  <c r="BQ123" i="2"/>
  <c r="BQ122" i="2"/>
  <c r="BQ121" i="2"/>
  <c r="BQ120" i="2"/>
  <c r="BQ119" i="2"/>
  <c r="BQ118" i="2"/>
  <c r="BQ117" i="2"/>
  <c r="BQ116" i="2"/>
  <c r="BQ115" i="2"/>
  <c r="BQ114" i="2"/>
  <c r="BQ113" i="2"/>
  <c r="BQ112" i="2"/>
  <c r="BQ111" i="2"/>
  <c r="BQ110" i="2"/>
  <c r="BQ109" i="2"/>
  <c r="BQ108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4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4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1" i="2"/>
  <c r="BQ60" i="2"/>
  <c r="BQ59" i="2"/>
  <c r="BQ58" i="2"/>
  <c r="BQ57" i="2"/>
  <c r="BQ56" i="2"/>
  <c r="BQ55" i="2"/>
  <c r="BQ54" i="2"/>
  <c r="BQ53" i="2"/>
  <c r="BQ52" i="2"/>
  <c r="BQ51" i="2"/>
  <c r="BQ50" i="2"/>
  <c r="BQ49" i="2"/>
  <c r="BQ48" i="2"/>
  <c r="BQ47" i="2"/>
  <c r="BQ46" i="2"/>
  <c r="BQ45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CD11" i="2"/>
  <c r="BQ11" i="2" s="1"/>
  <c r="CD10" i="2"/>
  <c r="BQ10" i="2" s="1"/>
  <c r="CD9" i="2"/>
  <c r="BQ9" i="2" s="1"/>
  <c r="CD8" i="2"/>
  <c r="BQ8" i="2" s="1"/>
  <c r="CD7" i="2"/>
  <c r="BQ7" i="2" s="1"/>
  <c r="CD6" i="2"/>
  <c r="BQ6" i="2" s="1"/>
  <c r="CD5" i="2"/>
  <c r="BQ5" i="2" s="1"/>
  <c r="CD4" i="2"/>
  <c r="BQ4" i="2" s="1"/>
  <c r="CD3" i="2"/>
  <c r="BQ3" i="2" s="1"/>
  <c r="CD2" i="2"/>
  <c r="BP201" i="2"/>
  <c r="BP200" i="2"/>
  <c r="BP199" i="2"/>
  <c r="BP198" i="2"/>
  <c r="BP197" i="2"/>
  <c r="BP196" i="2"/>
  <c r="BP195" i="2"/>
  <c r="BP194" i="2"/>
  <c r="BP193" i="2"/>
  <c r="BP192" i="2"/>
  <c r="BP191" i="2"/>
  <c r="BP190" i="2"/>
  <c r="BP189" i="2"/>
  <c r="BP188" i="2"/>
  <c r="BP187" i="2"/>
  <c r="BP186" i="2"/>
  <c r="BP185" i="2"/>
  <c r="BP184" i="2"/>
  <c r="BP183" i="2"/>
  <c r="BP182" i="2"/>
  <c r="BP181" i="2"/>
  <c r="BP180" i="2"/>
  <c r="BP179" i="2"/>
  <c r="BP178" i="2"/>
  <c r="BP177" i="2"/>
  <c r="BP176" i="2"/>
  <c r="BP175" i="2"/>
  <c r="BP174" i="2"/>
  <c r="BP173" i="2"/>
  <c r="BP172" i="2"/>
  <c r="BP171" i="2"/>
  <c r="BP170" i="2"/>
  <c r="BP169" i="2"/>
  <c r="BP168" i="2"/>
  <c r="BP167" i="2"/>
  <c r="BP166" i="2"/>
  <c r="BP165" i="2"/>
  <c r="BP164" i="2"/>
  <c r="BP163" i="2"/>
  <c r="BP162" i="2"/>
  <c r="BP161" i="2"/>
  <c r="BP160" i="2"/>
  <c r="BP159" i="2"/>
  <c r="BP158" i="2"/>
  <c r="BP157" i="2"/>
  <c r="BP156" i="2"/>
  <c r="BP155" i="2"/>
  <c r="BP154" i="2"/>
  <c r="BP153" i="2"/>
  <c r="BP152" i="2"/>
  <c r="BP151" i="2"/>
  <c r="BP150" i="2"/>
  <c r="BP149" i="2"/>
  <c r="BP148" i="2"/>
  <c r="BP147" i="2"/>
  <c r="BP146" i="2"/>
  <c r="BP145" i="2"/>
  <c r="BP144" i="2"/>
  <c r="BP143" i="2"/>
  <c r="BP142" i="2"/>
  <c r="BP141" i="2"/>
  <c r="BP140" i="2"/>
  <c r="BP139" i="2"/>
  <c r="BP138" i="2"/>
  <c r="BP137" i="2"/>
  <c r="BP136" i="2"/>
  <c r="BP135" i="2"/>
  <c r="BP134" i="2"/>
  <c r="BP133" i="2"/>
  <c r="BP132" i="2"/>
  <c r="BP131" i="2"/>
  <c r="BP130" i="2"/>
  <c r="BP129" i="2"/>
  <c r="BP128" i="2"/>
  <c r="BP127" i="2"/>
  <c r="BP126" i="2"/>
  <c r="BP125" i="2"/>
  <c r="BP124" i="2"/>
  <c r="BP123" i="2"/>
  <c r="BP122" i="2"/>
  <c r="BP121" i="2"/>
  <c r="BP120" i="2"/>
  <c r="BP119" i="2"/>
  <c r="BP118" i="2"/>
  <c r="BP117" i="2"/>
  <c r="BP116" i="2"/>
  <c r="BP115" i="2"/>
  <c r="BP114" i="2"/>
  <c r="BP113" i="2"/>
  <c r="BP112" i="2"/>
  <c r="BP111" i="2"/>
  <c r="BP110" i="2"/>
  <c r="BP109" i="2"/>
  <c r="BP108" i="2"/>
  <c r="BP107" i="2"/>
  <c r="BP106" i="2"/>
  <c r="BP105" i="2"/>
  <c r="BP104" i="2"/>
  <c r="BP103" i="2"/>
  <c r="BP102" i="2"/>
  <c r="BP101" i="2"/>
  <c r="BP100" i="2"/>
  <c r="BP99" i="2"/>
  <c r="BP98" i="2"/>
  <c r="BP97" i="2"/>
  <c r="BP96" i="2"/>
  <c r="BP95" i="2"/>
  <c r="BP94" i="2"/>
  <c r="BP93" i="2"/>
  <c r="BP92" i="2"/>
  <c r="BP91" i="2"/>
  <c r="BP90" i="2"/>
  <c r="BP89" i="2"/>
  <c r="BP88" i="2"/>
  <c r="BP87" i="2"/>
  <c r="BP86" i="2"/>
  <c r="BP85" i="2"/>
  <c r="BP84" i="2"/>
  <c r="BP83" i="2"/>
  <c r="BP82" i="2"/>
  <c r="BP81" i="2"/>
  <c r="BP80" i="2"/>
  <c r="BP79" i="2"/>
  <c r="BP78" i="2"/>
  <c r="BP77" i="2"/>
  <c r="BP76" i="2"/>
  <c r="BP75" i="2"/>
  <c r="BP74" i="2"/>
  <c r="BP73" i="2"/>
  <c r="BP72" i="2"/>
  <c r="BP71" i="2"/>
  <c r="BP70" i="2"/>
  <c r="BP69" i="2"/>
  <c r="BP68" i="2"/>
  <c r="BP67" i="2"/>
  <c r="BP66" i="2"/>
  <c r="BP65" i="2"/>
  <c r="BP64" i="2"/>
  <c r="BP63" i="2"/>
  <c r="BP62" i="2"/>
  <c r="BP61" i="2"/>
  <c r="BP60" i="2"/>
  <c r="BP59" i="2"/>
  <c r="BP58" i="2"/>
  <c r="BP57" i="2"/>
  <c r="BP56" i="2"/>
  <c r="BP55" i="2"/>
  <c r="BP54" i="2"/>
  <c r="BP53" i="2"/>
  <c r="BP52" i="2"/>
  <c r="BP51" i="2"/>
  <c r="BP50" i="2"/>
  <c r="BP49" i="2"/>
  <c r="BP48" i="2"/>
  <c r="BP47" i="2"/>
  <c r="BP46" i="2"/>
  <c r="BP45" i="2"/>
  <c r="BP44" i="2"/>
  <c r="BP43" i="2"/>
  <c r="BP42" i="2"/>
  <c r="BP41" i="2"/>
  <c r="BP40" i="2"/>
  <c r="BP39" i="2"/>
  <c r="BP38" i="2"/>
  <c r="BP37" i="2"/>
  <c r="BP36" i="2"/>
  <c r="BP35" i="2"/>
  <c r="BP34" i="2"/>
  <c r="BP33" i="2"/>
  <c r="BP32" i="2"/>
  <c r="BP31" i="2"/>
  <c r="BP30" i="2"/>
  <c r="BP29" i="2"/>
  <c r="BP28" i="2"/>
  <c r="BP27" i="2"/>
  <c r="BP26" i="2"/>
  <c r="BP25" i="2"/>
  <c r="BP24" i="2"/>
  <c r="BP23" i="2"/>
  <c r="BP22" i="2"/>
  <c r="BP21" i="2"/>
  <c r="BP20" i="2"/>
  <c r="BP19" i="2"/>
  <c r="BP18" i="2"/>
  <c r="BP17" i="2"/>
  <c r="BP16" i="2"/>
  <c r="BP15" i="2"/>
  <c r="BP14" i="2"/>
  <c r="BP13" i="2"/>
  <c r="BP12" i="2"/>
  <c r="CC11" i="2"/>
  <c r="BP11" i="2" s="1"/>
  <c r="CC10" i="2"/>
  <c r="BP10" i="2" s="1"/>
  <c r="CC9" i="2"/>
  <c r="BP9" i="2" s="1"/>
  <c r="CC8" i="2"/>
  <c r="BP8" i="2" s="1"/>
  <c r="CC7" i="2"/>
  <c r="BP7" i="2" s="1"/>
  <c r="CC6" i="2"/>
  <c r="BP6" i="2" s="1"/>
  <c r="CC5" i="2"/>
  <c r="BP5" i="2" s="1"/>
  <c r="CC4" i="2"/>
  <c r="BP4" i="2" s="1"/>
  <c r="CC3" i="2"/>
  <c r="BP3" i="2" s="1"/>
  <c r="CC2" i="2"/>
  <c r="BO201" i="2"/>
  <c r="BO200" i="2"/>
  <c r="BO199" i="2"/>
  <c r="BO198" i="2"/>
  <c r="BO197" i="2"/>
  <c r="BO196" i="2"/>
  <c r="BO195" i="2"/>
  <c r="BO194" i="2"/>
  <c r="BO193" i="2"/>
  <c r="BO192" i="2"/>
  <c r="BO191" i="2"/>
  <c r="BO190" i="2"/>
  <c r="BO189" i="2"/>
  <c r="BO188" i="2"/>
  <c r="BO187" i="2"/>
  <c r="BO186" i="2"/>
  <c r="BO185" i="2"/>
  <c r="BO184" i="2"/>
  <c r="BO183" i="2"/>
  <c r="BO182" i="2"/>
  <c r="BO181" i="2"/>
  <c r="BO180" i="2"/>
  <c r="BO179" i="2"/>
  <c r="BO178" i="2"/>
  <c r="BO177" i="2"/>
  <c r="BO176" i="2"/>
  <c r="BO175" i="2"/>
  <c r="BO174" i="2"/>
  <c r="BO173" i="2"/>
  <c r="BO172" i="2"/>
  <c r="BO171" i="2"/>
  <c r="BO170" i="2"/>
  <c r="BO169" i="2"/>
  <c r="BO168" i="2"/>
  <c r="BO167" i="2"/>
  <c r="BO166" i="2"/>
  <c r="BO165" i="2"/>
  <c r="BO164" i="2"/>
  <c r="BO163" i="2"/>
  <c r="BO162" i="2"/>
  <c r="BO161" i="2"/>
  <c r="BO160" i="2"/>
  <c r="BO159" i="2"/>
  <c r="BO158" i="2"/>
  <c r="BO157" i="2"/>
  <c r="BO156" i="2"/>
  <c r="BO155" i="2"/>
  <c r="BO154" i="2"/>
  <c r="BO153" i="2"/>
  <c r="BO152" i="2"/>
  <c r="BO151" i="2"/>
  <c r="BO150" i="2"/>
  <c r="BO149" i="2"/>
  <c r="BO148" i="2"/>
  <c r="BO147" i="2"/>
  <c r="BO146" i="2"/>
  <c r="BO145" i="2"/>
  <c r="BO144" i="2"/>
  <c r="BO143" i="2"/>
  <c r="BO142" i="2"/>
  <c r="BO141" i="2"/>
  <c r="BO140" i="2"/>
  <c r="BO139" i="2"/>
  <c r="BO138" i="2"/>
  <c r="BO137" i="2"/>
  <c r="BO136" i="2"/>
  <c r="BO135" i="2"/>
  <c r="BO134" i="2"/>
  <c r="BO133" i="2"/>
  <c r="BO132" i="2"/>
  <c r="BO131" i="2"/>
  <c r="BO130" i="2"/>
  <c r="BO129" i="2"/>
  <c r="BO128" i="2"/>
  <c r="BO127" i="2"/>
  <c r="BO126" i="2"/>
  <c r="BO125" i="2"/>
  <c r="BO124" i="2"/>
  <c r="BO123" i="2"/>
  <c r="BO122" i="2"/>
  <c r="BO121" i="2"/>
  <c r="BO120" i="2"/>
  <c r="BO119" i="2"/>
  <c r="BO118" i="2"/>
  <c r="BO117" i="2"/>
  <c r="BO116" i="2"/>
  <c r="BO115" i="2"/>
  <c r="BO114" i="2"/>
  <c r="BO113" i="2"/>
  <c r="BO112" i="2"/>
  <c r="BO111" i="2"/>
  <c r="BO110" i="2"/>
  <c r="BO109" i="2"/>
  <c r="BO108" i="2"/>
  <c r="BO107" i="2"/>
  <c r="BO106" i="2"/>
  <c r="BO105" i="2"/>
  <c r="BO104" i="2"/>
  <c r="BO103" i="2"/>
  <c r="BO102" i="2"/>
  <c r="BO101" i="2"/>
  <c r="BO100" i="2"/>
  <c r="BO99" i="2"/>
  <c r="BO98" i="2"/>
  <c r="BO97" i="2"/>
  <c r="BO96" i="2"/>
  <c r="BO95" i="2"/>
  <c r="BO94" i="2"/>
  <c r="BO93" i="2"/>
  <c r="BO92" i="2"/>
  <c r="BO91" i="2"/>
  <c r="BO90" i="2"/>
  <c r="BO89" i="2"/>
  <c r="BO88" i="2"/>
  <c r="BO87" i="2"/>
  <c r="BO86" i="2"/>
  <c r="BO85" i="2"/>
  <c r="BO84" i="2"/>
  <c r="BO83" i="2"/>
  <c r="BO82" i="2"/>
  <c r="BO81" i="2"/>
  <c r="BO80" i="2"/>
  <c r="BO79" i="2"/>
  <c r="BO78" i="2"/>
  <c r="BO77" i="2"/>
  <c r="BO76" i="2"/>
  <c r="BO75" i="2"/>
  <c r="BO74" i="2"/>
  <c r="BO73" i="2"/>
  <c r="BO72" i="2"/>
  <c r="BO71" i="2"/>
  <c r="BO70" i="2"/>
  <c r="BO69" i="2"/>
  <c r="BO68" i="2"/>
  <c r="BO67" i="2"/>
  <c r="BO66" i="2"/>
  <c r="BO65" i="2"/>
  <c r="BO64" i="2"/>
  <c r="BO63" i="2"/>
  <c r="BO62" i="2"/>
  <c r="BO61" i="2"/>
  <c r="BO60" i="2"/>
  <c r="BO59" i="2"/>
  <c r="BO58" i="2"/>
  <c r="BO57" i="2"/>
  <c r="BO56" i="2"/>
  <c r="BO55" i="2"/>
  <c r="BO54" i="2"/>
  <c r="BO53" i="2"/>
  <c r="BO52" i="2"/>
  <c r="BO51" i="2"/>
  <c r="BO50" i="2"/>
  <c r="BO49" i="2"/>
  <c r="BO48" i="2"/>
  <c r="BO47" i="2"/>
  <c r="BO46" i="2"/>
  <c r="BO45" i="2"/>
  <c r="BO44" i="2"/>
  <c r="BO43" i="2"/>
  <c r="BO42" i="2"/>
  <c r="BO41" i="2"/>
  <c r="BO40" i="2"/>
  <c r="BO39" i="2"/>
  <c r="BO38" i="2"/>
  <c r="BO37" i="2"/>
  <c r="BO36" i="2"/>
  <c r="BO35" i="2"/>
  <c r="BO34" i="2"/>
  <c r="BO33" i="2"/>
  <c r="BO32" i="2"/>
  <c r="BO31" i="2"/>
  <c r="BO30" i="2"/>
  <c r="BO29" i="2"/>
  <c r="BO28" i="2"/>
  <c r="BO27" i="2"/>
  <c r="BO26" i="2"/>
  <c r="BO25" i="2"/>
  <c r="BO24" i="2"/>
  <c r="BO23" i="2"/>
  <c r="BO22" i="2"/>
  <c r="BO21" i="2"/>
  <c r="BO20" i="2"/>
  <c r="BO19" i="2"/>
  <c r="BO18" i="2"/>
  <c r="BO17" i="2"/>
  <c r="BO16" i="2"/>
  <c r="BO15" i="2"/>
  <c r="BO14" i="2"/>
  <c r="BO13" i="2"/>
  <c r="BO12" i="2"/>
  <c r="CB11" i="2"/>
  <c r="BO11" i="2" s="1"/>
  <c r="CB10" i="2"/>
  <c r="BO10" i="2" s="1"/>
  <c r="CB9" i="2"/>
  <c r="BO9" i="2" s="1"/>
  <c r="CB8" i="2"/>
  <c r="BO8" i="2" s="1"/>
  <c r="CB7" i="2"/>
  <c r="BO7" i="2" s="1"/>
  <c r="CB6" i="2"/>
  <c r="BO6" i="2" s="1"/>
  <c r="CB5" i="2"/>
  <c r="BO5" i="2" s="1"/>
  <c r="CB4" i="2"/>
  <c r="BO4" i="2" s="1"/>
  <c r="CB3" i="2"/>
  <c r="BO3" i="2" s="1"/>
  <c r="CB2" i="2"/>
  <c r="BN201" i="2"/>
  <c r="BN200" i="2"/>
  <c r="BN199" i="2"/>
  <c r="BN198" i="2"/>
  <c r="BN197" i="2"/>
  <c r="BN196" i="2"/>
  <c r="BN195" i="2"/>
  <c r="BN194" i="2"/>
  <c r="BN193" i="2"/>
  <c r="BN192" i="2"/>
  <c r="BN191" i="2"/>
  <c r="BN190" i="2"/>
  <c r="BN189" i="2"/>
  <c r="BN188" i="2"/>
  <c r="BN187" i="2"/>
  <c r="BN186" i="2"/>
  <c r="BN185" i="2"/>
  <c r="BN184" i="2"/>
  <c r="BN183" i="2"/>
  <c r="BN182" i="2"/>
  <c r="BN181" i="2"/>
  <c r="BN180" i="2"/>
  <c r="BN179" i="2"/>
  <c r="BN178" i="2"/>
  <c r="BN177" i="2"/>
  <c r="BN176" i="2"/>
  <c r="BN175" i="2"/>
  <c r="BN174" i="2"/>
  <c r="BN173" i="2"/>
  <c r="BN172" i="2"/>
  <c r="BN171" i="2"/>
  <c r="BN170" i="2"/>
  <c r="BN169" i="2"/>
  <c r="BN168" i="2"/>
  <c r="BN167" i="2"/>
  <c r="BN166" i="2"/>
  <c r="BN165" i="2"/>
  <c r="BN164" i="2"/>
  <c r="BN163" i="2"/>
  <c r="BN162" i="2"/>
  <c r="BN161" i="2"/>
  <c r="BN160" i="2"/>
  <c r="BN159" i="2"/>
  <c r="BN158" i="2"/>
  <c r="BN157" i="2"/>
  <c r="BN156" i="2"/>
  <c r="BN155" i="2"/>
  <c r="BN154" i="2"/>
  <c r="BN153" i="2"/>
  <c r="BN152" i="2"/>
  <c r="BN151" i="2"/>
  <c r="BN150" i="2"/>
  <c r="BN149" i="2"/>
  <c r="BN148" i="2"/>
  <c r="BN147" i="2"/>
  <c r="BN146" i="2"/>
  <c r="BN145" i="2"/>
  <c r="BN144" i="2"/>
  <c r="BN143" i="2"/>
  <c r="BN142" i="2"/>
  <c r="BN141" i="2"/>
  <c r="BN140" i="2"/>
  <c r="BN139" i="2"/>
  <c r="BN138" i="2"/>
  <c r="BN137" i="2"/>
  <c r="BN136" i="2"/>
  <c r="BN135" i="2"/>
  <c r="BN134" i="2"/>
  <c r="BN133" i="2"/>
  <c r="BN132" i="2"/>
  <c r="BN131" i="2"/>
  <c r="BN130" i="2"/>
  <c r="BN129" i="2"/>
  <c r="BN128" i="2"/>
  <c r="BN127" i="2"/>
  <c r="BN126" i="2"/>
  <c r="BN125" i="2"/>
  <c r="BN124" i="2"/>
  <c r="BN123" i="2"/>
  <c r="BN122" i="2"/>
  <c r="BN121" i="2"/>
  <c r="BN120" i="2"/>
  <c r="BN119" i="2"/>
  <c r="BN118" i="2"/>
  <c r="BN117" i="2"/>
  <c r="BN116" i="2"/>
  <c r="BN115" i="2"/>
  <c r="BN114" i="2"/>
  <c r="BN113" i="2"/>
  <c r="BN112" i="2"/>
  <c r="BN111" i="2"/>
  <c r="BN110" i="2"/>
  <c r="BN109" i="2"/>
  <c r="BN108" i="2"/>
  <c r="BN107" i="2"/>
  <c r="BN106" i="2"/>
  <c r="BN105" i="2"/>
  <c r="BN104" i="2"/>
  <c r="BN103" i="2"/>
  <c r="BN102" i="2"/>
  <c r="BN101" i="2"/>
  <c r="BN100" i="2"/>
  <c r="BN99" i="2"/>
  <c r="BN98" i="2"/>
  <c r="BN97" i="2"/>
  <c r="BN96" i="2"/>
  <c r="BN95" i="2"/>
  <c r="BN94" i="2"/>
  <c r="BN93" i="2"/>
  <c r="BN92" i="2"/>
  <c r="BN91" i="2"/>
  <c r="BN90" i="2"/>
  <c r="BN89" i="2"/>
  <c r="BN88" i="2"/>
  <c r="BN87" i="2"/>
  <c r="BN86" i="2"/>
  <c r="BN85" i="2"/>
  <c r="BN84" i="2"/>
  <c r="BN83" i="2"/>
  <c r="BN82" i="2"/>
  <c r="BN81" i="2"/>
  <c r="BN80" i="2"/>
  <c r="BN79" i="2"/>
  <c r="BN78" i="2"/>
  <c r="BN77" i="2"/>
  <c r="BN76" i="2"/>
  <c r="BN75" i="2"/>
  <c r="BN74" i="2"/>
  <c r="BN73" i="2"/>
  <c r="BN72" i="2"/>
  <c r="BN71" i="2"/>
  <c r="BN70" i="2"/>
  <c r="BN69" i="2"/>
  <c r="BN68" i="2"/>
  <c r="BN67" i="2"/>
  <c r="BN66" i="2"/>
  <c r="BN65" i="2"/>
  <c r="BN64" i="2"/>
  <c r="BN63" i="2"/>
  <c r="BN62" i="2"/>
  <c r="BN61" i="2"/>
  <c r="BN60" i="2"/>
  <c r="BN59" i="2"/>
  <c r="BN58" i="2"/>
  <c r="BN57" i="2"/>
  <c r="BN56" i="2"/>
  <c r="BN55" i="2"/>
  <c r="BN54" i="2"/>
  <c r="BN53" i="2"/>
  <c r="BN52" i="2"/>
  <c r="BN51" i="2"/>
  <c r="BN50" i="2"/>
  <c r="BN49" i="2"/>
  <c r="BN48" i="2"/>
  <c r="BN47" i="2"/>
  <c r="BN46" i="2"/>
  <c r="BN45" i="2"/>
  <c r="BN44" i="2"/>
  <c r="BN43" i="2"/>
  <c r="BN42" i="2"/>
  <c r="BN41" i="2"/>
  <c r="BN40" i="2"/>
  <c r="BN39" i="2"/>
  <c r="BN38" i="2"/>
  <c r="BN37" i="2"/>
  <c r="BN36" i="2"/>
  <c r="BN35" i="2"/>
  <c r="BN34" i="2"/>
  <c r="BN33" i="2"/>
  <c r="BN32" i="2"/>
  <c r="BN31" i="2"/>
  <c r="BN30" i="2"/>
  <c r="BN29" i="2"/>
  <c r="BN28" i="2"/>
  <c r="BN27" i="2"/>
  <c r="BN26" i="2"/>
  <c r="BN25" i="2"/>
  <c r="BN24" i="2"/>
  <c r="BN23" i="2"/>
  <c r="BN22" i="2"/>
  <c r="BN21" i="2"/>
  <c r="BN20" i="2"/>
  <c r="BN19" i="2"/>
  <c r="BN18" i="2"/>
  <c r="BN17" i="2"/>
  <c r="BN16" i="2"/>
  <c r="BN15" i="2"/>
  <c r="BN14" i="2"/>
  <c r="BN13" i="2"/>
  <c r="BN12" i="2"/>
  <c r="CA11" i="2"/>
  <c r="BN11" i="2" s="1"/>
  <c r="CA10" i="2"/>
  <c r="BN10" i="2" s="1"/>
  <c r="CA9" i="2"/>
  <c r="BN9" i="2" s="1"/>
  <c r="CA8" i="2"/>
  <c r="BN8" i="2" s="1"/>
  <c r="CA7" i="2"/>
  <c r="BN7" i="2" s="1"/>
  <c r="CA6" i="2"/>
  <c r="BN6" i="2" s="1"/>
  <c r="CA5" i="2"/>
  <c r="BN5" i="2" s="1"/>
  <c r="CA4" i="2"/>
  <c r="BN4" i="2" s="1"/>
  <c r="CA3" i="2"/>
  <c r="BN3" i="2" s="1"/>
  <c r="CA2" i="2"/>
  <c r="BM201" i="2"/>
  <c r="BM200" i="2"/>
  <c r="BM199" i="2"/>
  <c r="BM198" i="2"/>
  <c r="BM197" i="2"/>
  <c r="BM196" i="2"/>
  <c r="BM195" i="2"/>
  <c r="BM194" i="2"/>
  <c r="BM193" i="2"/>
  <c r="BM192" i="2"/>
  <c r="BM191" i="2"/>
  <c r="BM190" i="2"/>
  <c r="BM189" i="2"/>
  <c r="BM188" i="2"/>
  <c r="BM187" i="2"/>
  <c r="BM186" i="2"/>
  <c r="BM185" i="2"/>
  <c r="BM184" i="2"/>
  <c r="BM183" i="2"/>
  <c r="BM182" i="2"/>
  <c r="BM181" i="2"/>
  <c r="BM180" i="2"/>
  <c r="BM179" i="2"/>
  <c r="BM178" i="2"/>
  <c r="BM177" i="2"/>
  <c r="BM176" i="2"/>
  <c r="BM175" i="2"/>
  <c r="BM174" i="2"/>
  <c r="BM173" i="2"/>
  <c r="BM172" i="2"/>
  <c r="BM171" i="2"/>
  <c r="BM170" i="2"/>
  <c r="BM169" i="2"/>
  <c r="BM168" i="2"/>
  <c r="BM167" i="2"/>
  <c r="BM166" i="2"/>
  <c r="BM165" i="2"/>
  <c r="BM164" i="2"/>
  <c r="BM163" i="2"/>
  <c r="BM162" i="2"/>
  <c r="BM161" i="2"/>
  <c r="BM160" i="2"/>
  <c r="BM159" i="2"/>
  <c r="BM158" i="2"/>
  <c r="BM157" i="2"/>
  <c r="BM156" i="2"/>
  <c r="BM155" i="2"/>
  <c r="BM154" i="2"/>
  <c r="BM153" i="2"/>
  <c r="BM152" i="2"/>
  <c r="BM151" i="2"/>
  <c r="BM150" i="2"/>
  <c r="BM149" i="2"/>
  <c r="BM148" i="2"/>
  <c r="BM147" i="2"/>
  <c r="BM146" i="2"/>
  <c r="BM145" i="2"/>
  <c r="BM144" i="2"/>
  <c r="BM143" i="2"/>
  <c r="BM142" i="2"/>
  <c r="BM141" i="2"/>
  <c r="BM140" i="2"/>
  <c r="BM139" i="2"/>
  <c r="BM138" i="2"/>
  <c r="BM137" i="2"/>
  <c r="BM136" i="2"/>
  <c r="BM135" i="2"/>
  <c r="BM134" i="2"/>
  <c r="BM133" i="2"/>
  <c r="BM132" i="2"/>
  <c r="BM131" i="2"/>
  <c r="BM130" i="2"/>
  <c r="BM129" i="2"/>
  <c r="BM128" i="2"/>
  <c r="BM127" i="2"/>
  <c r="BM126" i="2"/>
  <c r="BM125" i="2"/>
  <c r="BM124" i="2"/>
  <c r="BM123" i="2"/>
  <c r="BM122" i="2"/>
  <c r="BM121" i="2"/>
  <c r="BM120" i="2"/>
  <c r="BM119" i="2"/>
  <c r="BM118" i="2"/>
  <c r="BM117" i="2"/>
  <c r="BM116" i="2"/>
  <c r="BM115" i="2"/>
  <c r="BM114" i="2"/>
  <c r="BM113" i="2"/>
  <c r="BM112" i="2"/>
  <c r="BM111" i="2"/>
  <c r="BM110" i="2"/>
  <c r="BM109" i="2"/>
  <c r="BM108" i="2"/>
  <c r="BM107" i="2"/>
  <c r="BM106" i="2"/>
  <c r="BM105" i="2"/>
  <c r="BM104" i="2"/>
  <c r="BM103" i="2"/>
  <c r="BM102" i="2"/>
  <c r="BM101" i="2"/>
  <c r="BM100" i="2"/>
  <c r="BM99" i="2"/>
  <c r="BM98" i="2"/>
  <c r="BM97" i="2"/>
  <c r="BM96" i="2"/>
  <c r="BM95" i="2"/>
  <c r="BM94" i="2"/>
  <c r="BM93" i="2"/>
  <c r="BM92" i="2"/>
  <c r="BM91" i="2"/>
  <c r="BM90" i="2"/>
  <c r="BM89" i="2"/>
  <c r="BM88" i="2"/>
  <c r="BM87" i="2"/>
  <c r="BM86" i="2"/>
  <c r="BM85" i="2"/>
  <c r="BM84" i="2"/>
  <c r="BM83" i="2"/>
  <c r="BM82" i="2"/>
  <c r="BM81" i="2"/>
  <c r="BM80" i="2"/>
  <c r="BM79" i="2"/>
  <c r="BM78" i="2"/>
  <c r="BM77" i="2"/>
  <c r="BM76" i="2"/>
  <c r="BM75" i="2"/>
  <c r="BM74" i="2"/>
  <c r="BM73" i="2"/>
  <c r="BM72" i="2"/>
  <c r="BM71" i="2"/>
  <c r="BM70" i="2"/>
  <c r="BM69" i="2"/>
  <c r="BM68" i="2"/>
  <c r="BM67" i="2"/>
  <c r="BM66" i="2"/>
  <c r="BM65" i="2"/>
  <c r="BM64" i="2"/>
  <c r="BM63" i="2"/>
  <c r="BM62" i="2"/>
  <c r="BM61" i="2"/>
  <c r="BM60" i="2"/>
  <c r="BM59" i="2"/>
  <c r="BM58" i="2"/>
  <c r="BM57" i="2"/>
  <c r="BM56" i="2"/>
  <c r="BM55" i="2"/>
  <c r="BM54" i="2"/>
  <c r="BM53" i="2"/>
  <c r="BM52" i="2"/>
  <c r="BM51" i="2"/>
  <c r="BM50" i="2"/>
  <c r="BM49" i="2"/>
  <c r="BM48" i="2"/>
  <c r="BM47" i="2"/>
  <c r="BM46" i="2"/>
  <c r="BM45" i="2"/>
  <c r="BM44" i="2"/>
  <c r="BM43" i="2"/>
  <c r="BM42" i="2"/>
  <c r="BM41" i="2"/>
  <c r="BM40" i="2"/>
  <c r="BM39" i="2"/>
  <c r="BM38" i="2"/>
  <c r="BM37" i="2"/>
  <c r="BM36" i="2"/>
  <c r="BM35" i="2"/>
  <c r="BM34" i="2"/>
  <c r="BM33" i="2"/>
  <c r="BM32" i="2"/>
  <c r="BM31" i="2"/>
  <c r="BM30" i="2"/>
  <c r="BM29" i="2"/>
  <c r="BM28" i="2"/>
  <c r="BM27" i="2"/>
  <c r="BM26" i="2"/>
  <c r="BM25" i="2"/>
  <c r="BM24" i="2"/>
  <c r="BM23" i="2"/>
  <c r="BM22" i="2"/>
  <c r="BM21" i="2"/>
  <c r="BM20" i="2"/>
  <c r="BM19" i="2"/>
  <c r="BM18" i="2"/>
  <c r="BM17" i="2"/>
  <c r="BM16" i="2"/>
  <c r="BM15" i="2"/>
  <c r="BM14" i="2"/>
  <c r="BM13" i="2"/>
  <c r="BM12" i="2"/>
  <c r="BZ11" i="2"/>
  <c r="BM11" i="2" s="1"/>
  <c r="BZ10" i="2"/>
  <c r="BM10" i="2" s="1"/>
  <c r="BZ9" i="2"/>
  <c r="BM9" i="2" s="1"/>
  <c r="BZ8" i="2"/>
  <c r="BM8" i="2" s="1"/>
  <c r="BZ7" i="2"/>
  <c r="BM7" i="2" s="1"/>
  <c r="BZ6" i="2"/>
  <c r="BM6" i="2" s="1"/>
  <c r="BZ5" i="2"/>
  <c r="BM5" i="2" s="1"/>
  <c r="BZ4" i="2"/>
  <c r="BM4" i="2" s="1"/>
  <c r="BZ3" i="2"/>
  <c r="BM3" i="2" s="1"/>
  <c r="BZ2" i="2"/>
  <c r="BL13" i="2"/>
  <c r="BL201" i="2"/>
  <c r="BL200" i="2"/>
  <c r="BL199" i="2"/>
  <c r="BL198" i="2"/>
  <c r="BL197" i="2"/>
  <c r="BL196" i="2"/>
  <c r="BL195" i="2"/>
  <c r="BL194" i="2"/>
  <c r="BL193" i="2"/>
  <c r="BL192" i="2"/>
  <c r="BL191" i="2"/>
  <c r="BL190" i="2"/>
  <c r="BL189" i="2"/>
  <c r="BL188" i="2"/>
  <c r="BL187" i="2"/>
  <c r="BL186" i="2"/>
  <c r="BL185" i="2"/>
  <c r="BL184" i="2"/>
  <c r="BL183" i="2"/>
  <c r="BL182" i="2"/>
  <c r="BL181" i="2"/>
  <c r="BL180" i="2"/>
  <c r="BL179" i="2"/>
  <c r="BL178" i="2"/>
  <c r="BL177" i="2"/>
  <c r="BL176" i="2"/>
  <c r="BL175" i="2"/>
  <c r="BL174" i="2"/>
  <c r="BL173" i="2"/>
  <c r="BL172" i="2"/>
  <c r="BL171" i="2"/>
  <c r="BL170" i="2"/>
  <c r="BL169" i="2"/>
  <c r="BL168" i="2"/>
  <c r="BL167" i="2"/>
  <c r="BL166" i="2"/>
  <c r="BL165" i="2"/>
  <c r="BL164" i="2"/>
  <c r="BL163" i="2"/>
  <c r="BL162" i="2"/>
  <c r="BL161" i="2"/>
  <c r="BL160" i="2"/>
  <c r="BL159" i="2"/>
  <c r="BL158" i="2"/>
  <c r="BL157" i="2"/>
  <c r="BL156" i="2"/>
  <c r="BL155" i="2"/>
  <c r="BL154" i="2"/>
  <c r="BL153" i="2"/>
  <c r="BL152" i="2"/>
  <c r="BL151" i="2"/>
  <c r="BL150" i="2"/>
  <c r="BL149" i="2"/>
  <c r="BL148" i="2"/>
  <c r="BL147" i="2"/>
  <c r="BL146" i="2"/>
  <c r="BL145" i="2"/>
  <c r="BL144" i="2"/>
  <c r="BL143" i="2"/>
  <c r="BL142" i="2"/>
  <c r="BL141" i="2"/>
  <c r="BL140" i="2"/>
  <c r="BL139" i="2"/>
  <c r="BL138" i="2"/>
  <c r="BL137" i="2"/>
  <c r="BL136" i="2"/>
  <c r="BL135" i="2"/>
  <c r="BL134" i="2"/>
  <c r="BL133" i="2"/>
  <c r="BL132" i="2"/>
  <c r="BL131" i="2"/>
  <c r="BL130" i="2"/>
  <c r="BL129" i="2"/>
  <c r="BL128" i="2"/>
  <c r="BL127" i="2"/>
  <c r="BL126" i="2"/>
  <c r="BL125" i="2"/>
  <c r="BL124" i="2"/>
  <c r="BL123" i="2"/>
  <c r="BL122" i="2"/>
  <c r="BL121" i="2"/>
  <c r="BL120" i="2"/>
  <c r="BL119" i="2"/>
  <c r="BL118" i="2"/>
  <c r="BL117" i="2"/>
  <c r="BL116" i="2"/>
  <c r="BL115" i="2"/>
  <c r="BL114" i="2"/>
  <c r="BL113" i="2"/>
  <c r="BL112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3" i="2"/>
  <c r="BL72" i="2"/>
  <c r="BL71" i="2"/>
  <c r="BL70" i="2"/>
  <c r="BL69" i="2"/>
  <c r="BL68" i="2"/>
  <c r="BL67" i="2"/>
  <c r="BL66" i="2"/>
  <c r="BL65" i="2"/>
  <c r="BL64" i="2"/>
  <c r="BL63" i="2"/>
  <c r="BL62" i="2"/>
  <c r="BL61" i="2"/>
  <c r="BL60" i="2"/>
  <c r="BL59" i="2"/>
  <c r="BL58" i="2"/>
  <c r="BL57" i="2"/>
  <c r="BL56" i="2"/>
  <c r="BL55" i="2"/>
  <c r="BL54" i="2"/>
  <c r="BL53" i="2"/>
  <c r="BL52" i="2"/>
  <c r="BL51" i="2"/>
  <c r="BL50" i="2"/>
  <c r="BL49" i="2"/>
  <c r="BL48" i="2"/>
  <c r="BL47" i="2"/>
  <c r="BL46" i="2"/>
  <c r="BL45" i="2"/>
  <c r="BL44" i="2"/>
  <c r="BL43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3" i="2"/>
  <c r="BL22" i="2"/>
  <c r="BL21" i="2"/>
  <c r="BL20" i="2"/>
  <c r="BL19" i="2"/>
  <c r="BL18" i="2"/>
  <c r="BL17" i="2"/>
  <c r="BL16" i="2"/>
  <c r="BL15" i="2"/>
  <c r="BL14" i="2"/>
  <c r="BL12" i="2"/>
  <c r="BL11" i="2"/>
  <c r="BY10" i="2"/>
  <c r="BL10" i="2" s="1"/>
  <c r="BY9" i="2"/>
  <c r="BL9" i="2" s="1"/>
  <c r="BY8" i="2"/>
  <c r="BL8" i="2" s="1"/>
  <c r="BY7" i="2"/>
  <c r="BL7" i="2" s="1"/>
  <c r="BY6" i="2"/>
  <c r="BL6" i="2" s="1"/>
  <c r="BY5" i="2"/>
  <c r="BL5" i="2" s="1"/>
  <c r="BY4" i="2"/>
  <c r="BL4" i="2" s="1"/>
  <c r="BY3" i="2"/>
  <c r="BL3" i="2" s="1"/>
  <c r="BI8" i="2" l="1"/>
  <c r="BI12" i="2"/>
  <c r="BI17" i="2"/>
  <c r="BI13" i="2"/>
  <c r="BI10" i="2"/>
  <c r="BI20" i="2"/>
  <c r="BI24" i="2"/>
  <c r="BI28" i="2"/>
  <c r="BI32" i="2"/>
  <c r="BI36" i="2"/>
  <c r="BI40" i="2"/>
  <c r="BI44" i="2"/>
  <c r="BI48" i="2"/>
  <c r="BI52" i="2"/>
  <c r="BI56" i="2"/>
  <c r="BI60" i="2"/>
  <c r="BI64" i="2"/>
  <c r="BI68" i="2"/>
  <c r="BI72" i="2"/>
  <c r="BI76" i="2"/>
  <c r="BI80" i="2"/>
  <c r="BI84" i="2"/>
  <c r="BI88" i="2"/>
  <c r="BI92" i="2"/>
  <c r="BI96" i="2"/>
  <c r="BI100" i="2"/>
  <c r="BI104" i="2"/>
  <c r="BI108" i="2"/>
  <c r="BI112" i="2"/>
  <c r="BI116" i="2"/>
  <c r="BI120" i="2"/>
  <c r="BI124" i="2"/>
  <c r="BI128" i="2"/>
  <c r="BI132" i="2"/>
  <c r="BI136" i="2"/>
  <c r="BI140" i="2"/>
  <c r="BI144" i="2"/>
  <c r="BI148" i="2"/>
  <c r="BI152" i="2"/>
  <c r="BI156" i="2"/>
  <c r="BI160" i="2"/>
  <c r="BI164" i="2"/>
  <c r="BI172" i="2"/>
  <c r="BI176" i="2"/>
  <c r="BI180" i="2"/>
  <c r="BI184" i="2"/>
  <c r="BI188" i="2"/>
  <c r="BI192" i="2"/>
  <c r="BI196" i="2"/>
  <c r="BI200" i="2"/>
  <c r="BI168" i="2"/>
  <c r="BI16" i="2"/>
  <c r="BI4" i="2"/>
  <c r="BI9" i="2"/>
  <c r="BI6" i="2"/>
  <c r="BI5" i="2"/>
  <c r="BI3" i="2"/>
  <c r="BI15" i="2"/>
  <c r="BI19" i="2"/>
  <c r="BI23" i="2"/>
  <c r="BI27" i="2"/>
  <c r="BI31" i="2"/>
  <c r="BI35" i="2"/>
  <c r="BI39" i="2"/>
  <c r="BI43" i="2"/>
  <c r="BI47" i="2"/>
  <c r="BI51" i="2"/>
  <c r="BI55" i="2"/>
  <c r="BI59" i="2"/>
  <c r="BI63" i="2"/>
  <c r="BI67" i="2"/>
  <c r="BI71" i="2"/>
  <c r="BI75" i="2"/>
  <c r="BI79" i="2"/>
  <c r="BI83" i="2"/>
  <c r="BI87" i="2"/>
  <c r="BI91" i="2"/>
  <c r="BI95" i="2"/>
  <c r="BI99" i="2"/>
  <c r="BI103" i="2"/>
  <c r="BI107" i="2"/>
  <c r="BI111" i="2"/>
  <c r="BI115" i="2"/>
  <c r="BI119" i="2"/>
  <c r="BI123" i="2"/>
  <c r="BI127" i="2"/>
  <c r="BI131" i="2"/>
  <c r="BI135" i="2"/>
  <c r="BI139" i="2"/>
  <c r="BI143" i="2"/>
  <c r="BI147" i="2"/>
  <c r="BI151" i="2"/>
  <c r="BI155" i="2"/>
  <c r="BI159" i="2"/>
  <c r="BI163" i="2"/>
  <c r="BI167" i="2"/>
  <c r="BI171" i="2"/>
  <c r="BI175" i="2"/>
  <c r="BI179" i="2"/>
  <c r="BI183" i="2"/>
  <c r="BI187" i="2"/>
  <c r="BI191" i="2"/>
  <c r="BI195" i="2"/>
  <c r="BI199" i="2"/>
  <c r="BI7" i="2"/>
  <c r="BI21" i="2"/>
  <c r="BI25" i="2"/>
  <c r="BI29" i="2"/>
  <c r="BI33" i="2"/>
  <c r="BI37" i="2"/>
  <c r="BI41" i="2"/>
  <c r="BI45" i="2"/>
  <c r="BI49" i="2"/>
  <c r="BI53" i="2"/>
  <c r="BI57" i="2"/>
  <c r="BI61" i="2"/>
  <c r="BI65" i="2"/>
  <c r="BI69" i="2"/>
  <c r="BI73" i="2"/>
  <c r="BI77" i="2"/>
  <c r="BI81" i="2"/>
  <c r="BI85" i="2"/>
  <c r="BI89" i="2"/>
  <c r="BI93" i="2"/>
  <c r="BI97" i="2"/>
  <c r="BI101" i="2"/>
  <c r="BI105" i="2"/>
  <c r="BI109" i="2"/>
  <c r="BI113" i="2"/>
  <c r="BI117" i="2"/>
  <c r="BI121" i="2"/>
  <c r="BI125" i="2"/>
  <c r="BI129" i="2"/>
  <c r="BI133" i="2"/>
  <c r="BI137" i="2"/>
  <c r="BI141" i="2"/>
  <c r="BI145" i="2"/>
  <c r="BI149" i="2"/>
  <c r="BI153" i="2"/>
  <c r="BI157" i="2"/>
  <c r="BI161" i="2"/>
  <c r="BI165" i="2"/>
  <c r="BI169" i="2"/>
  <c r="BI173" i="2"/>
  <c r="BI177" i="2"/>
  <c r="BI181" i="2"/>
  <c r="BI185" i="2"/>
  <c r="BI189" i="2"/>
  <c r="BI197" i="2"/>
  <c r="BI201" i="2"/>
  <c r="BI11" i="2"/>
  <c r="BI14" i="2"/>
  <c r="BI18" i="2"/>
  <c r="BI22" i="2"/>
  <c r="BI26" i="2"/>
  <c r="BI30" i="2"/>
  <c r="BI34" i="2"/>
  <c r="BI38" i="2"/>
  <c r="BI42" i="2"/>
  <c r="BI46" i="2"/>
  <c r="BI50" i="2"/>
  <c r="BI54" i="2"/>
  <c r="BI58" i="2"/>
  <c r="BI62" i="2"/>
  <c r="BI66" i="2"/>
  <c r="BI70" i="2"/>
  <c r="BI74" i="2"/>
  <c r="BI78" i="2"/>
  <c r="BI82" i="2"/>
  <c r="BI86" i="2"/>
  <c r="BI90" i="2"/>
  <c r="BI94" i="2"/>
  <c r="BI98" i="2"/>
  <c r="BI102" i="2"/>
  <c r="BI106" i="2"/>
  <c r="BI110" i="2"/>
  <c r="BI114" i="2"/>
  <c r="BI118" i="2"/>
  <c r="BI122" i="2"/>
  <c r="BI126" i="2"/>
  <c r="BI130" i="2"/>
  <c r="BI134" i="2"/>
  <c r="BI138" i="2"/>
  <c r="BI142" i="2"/>
  <c r="BI146" i="2"/>
  <c r="BI150" i="2"/>
  <c r="BI154" i="2"/>
  <c r="BI158" i="2"/>
  <c r="BI162" i="2"/>
  <c r="BI166" i="2"/>
  <c r="BI170" i="2"/>
  <c r="BI174" i="2"/>
  <c r="BI178" i="2"/>
  <c r="BI182" i="2"/>
  <c r="BI186" i="2"/>
  <c r="BI190" i="2"/>
  <c r="BI198" i="2"/>
  <c r="BI193" i="2"/>
  <c r="BI194" i="2"/>
  <c r="BK11" i="2"/>
  <c r="BK9" i="2"/>
  <c r="BK8" i="2"/>
  <c r="BK6" i="2"/>
  <c r="BK4" i="2"/>
  <c r="BK3" i="2"/>
  <c r="BK10" i="2"/>
  <c r="BK7" i="2"/>
  <c r="BK5" i="2"/>
  <c r="BJ11" i="2"/>
  <c r="BJ10" i="2"/>
  <c r="BJ9" i="2"/>
  <c r="BJ8" i="2"/>
  <c r="BJ7" i="2"/>
  <c r="BJ6" i="2"/>
  <c r="BJ5" i="2"/>
  <c r="BJ4" i="2"/>
  <c r="BJ3" i="2"/>
  <c r="BL2" i="2"/>
  <c r="I45" i="5"/>
  <c r="F45" i="5"/>
  <c r="G45" i="5" s="1"/>
  <c r="C45" i="5"/>
  <c r="D45" i="5" s="1"/>
  <c r="BM2" i="2"/>
  <c r="C46" i="5"/>
  <c r="D46" i="5" s="1"/>
  <c r="I46" i="5"/>
  <c r="F46" i="5"/>
  <c r="G46" i="5" s="1"/>
  <c r="BO2" i="2"/>
  <c r="I48" i="5"/>
  <c r="F48" i="5"/>
  <c r="G48" i="5" s="1"/>
  <c r="C48" i="5"/>
  <c r="D48" i="5" s="1"/>
  <c r="BQ2" i="2"/>
  <c r="C50" i="5"/>
  <c r="D50" i="5" s="1"/>
  <c r="I50" i="5"/>
  <c r="F50" i="5"/>
  <c r="G50" i="5" s="1"/>
  <c r="BS2" i="2"/>
  <c r="I52" i="5"/>
  <c r="F52" i="5"/>
  <c r="G52" i="5" s="1"/>
  <c r="C52" i="5"/>
  <c r="D52" i="5" s="1"/>
  <c r="BU2" i="2"/>
  <c r="R46" i="5"/>
  <c r="S46" i="5" s="1"/>
  <c r="U46" i="5"/>
  <c r="O46" i="5"/>
  <c r="P46" i="5" s="1"/>
  <c r="BW2" i="2"/>
  <c r="R48" i="5"/>
  <c r="S48" i="5" s="1"/>
  <c r="O48" i="5"/>
  <c r="P48" i="5" s="1"/>
  <c r="U48" i="5"/>
  <c r="BN2" i="2"/>
  <c r="I47" i="5"/>
  <c r="F47" i="5"/>
  <c r="G47" i="5" s="1"/>
  <c r="C47" i="5"/>
  <c r="D47" i="5" s="1"/>
  <c r="BP2" i="2"/>
  <c r="I49" i="5"/>
  <c r="F49" i="5"/>
  <c r="G49" i="5" s="1"/>
  <c r="C49" i="5"/>
  <c r="D49" i="5" s="1"/>
  <c r="BR2" i="2"/>
  <c r="I51" i="5"/>
  <c r="F51" i="5"/>
  <c r="G51" i="5" s="1"/>
  <c r="C51" i="5"/>
  <c r="D51" i="5" s="1"/>
  <c r="BT2" i="2"/>
  <c r="U45" i="5"/>
  <c r="O45" i="5"/>
  <c r="P45" i="5" s="1"/>
  <c r="R45" i="5"/>
  <c r="S45" i="5" s="1"/>
  <c r="BV2" i="2"/>
  <c r="U47" i="5"/>
  <c r="R47" i="5"/>
  <c r="S47" i="5" s="1"/>
  <c r="O47" i="5"/>
  <c r="P47" i="5" s="1"/>
  <c r="BX2" i="2"/>
  <c r="U49" i="5"/>
  <c r="O49" i="5"/>
  <c r="P49" i="5" s="1"/>
  <c r="R49" i="5"/>
  <c r="S49" i="5" s="1"/>
  <c r="CA202" i="2"/>
  <c r="CC202" i="2"/>
  <c r="CE202" i="2"/>
  <c r="CG202" i="2"/>
  <c r="CI202" i="2"/>
  <c r="CK202" i="2"/>
  <c r="BY202" i="2"/>
  <c r="BZ202" i="2"/>
  <c r="CB202" i="2"/>
  <c r="CD202" i="2"/>
  <c r="CF202" i="2"/>
  <c r="CH202" i="2"/>
  <c r="CJ202" i="2"/>
  <c r="BJ2" i="2" l="1"/>
  <c r="BI2" i="2"/>
  <c r="BK2" i="2"/>
  <c r="BX202" i="2"/>
  <c r="W49" i="5"/>
  <c r="X49" i="5" s="1"/>
  <c r="V49" i="5"/>
  <c r="BV202" i="2"/>
  <c r="W47" i="5"/>
  <c r="V47" i="5"/>
  <c r="BT202" i="2"/>
  <c r="W45" i="5"/>
  <c r="V45" i="5"/>
  <c r="BR202" i="2"/>
  <c r="K51" i="5"/>
  <c r="J51" i="5"/>
  <c r="BP202" i="2"/>
  <c r="J49" i="5"/>
  <c r="K49" i="5"/>
  <c r="BN202" i="2"/>
  <c r="K47" i="5"/>
  <c r="J47" i="5"/>
  <c r="BW202" i="2"/>
  <c r="W48" i="5"/>
  <c r="V48" i="5"/>
  <c r="BU202" i="2"/>
  <c r="W46" i="5"/>
  <c r="V46" i="5"/>
  <c r="BS202" i="2"/>
  <c r="J52" i="5"/>
  <c r="K52" i="5"/>
  <c r="BQ202" i="2"/>
  <c r="K50" i="5"/>
  <c r="J50" i="5"/>
  <c r="BO202" i="2"/>
  <c r="J48" i="5"/>
  <c r="K48" i="5"/>
  <c r="BM202" i="2"/>
  <c r="K46" i="5"/>
  <c r="J46" i="5"/>
  <c r="BL202" i="2"/>
  <c r="J45" i="5"/>
  <c r="K45" i="5"/>
  <c r="I6" i="11"/>
  <c r="X48" i="5" l="1"/>
  <c r="X46" i="5"/>
  <c r="X45" i="5"/>
  <c r="L52" i="5"/>
  <c r="L45" i="5"/>
  <c r="L46" i="5"/>
  <c r="L49" i="5"/>
  <c r="L51" i="5"/>
  <c r="L48" i="5"/>
  <c r="L50" i="5"/>
  <c r="L47" i="5"/>
  <c r="X47" i="5"/>
  <c r="BN15" i="5"/>
  <c r="BM15" i="5"/>
  <c r="BN14" i="5"/>
  <c r="BM14" i="5"/>
  <c r="BN13" i="5"/>
  <c r="BM13" i="5"/>
  <c r="BN12" i="5"/>
  <c r="BM12" i="5"/>
  <c r="BN11" i="5"/>
  <c r="BM11" i="5"/>
  <c r="BN10" i="5"/>
  <c r="BM10" i="5"/>
  <c r="BN9" i="5"/>
  <c r="BM9" i="5"/>
  <c r="BN8" i="5"/>
  <c r="BM8" i="5"/>
  <c r="BN4" i="5"/>
  <c r="BM4" i="5"/>
  <c r="BL15" i="5"/>
  <c r="BK15" i="5"/>
  <c r="BL14" i="5"/>
  <c r="BK14" i="5"/>
  <c r="BL13" i="5"/>
  <c r="BK13" i="5"/>
  <c r="BL12" i="5"/>
  <c r="BK12" i="5"/>
  <c r="BL11" i="5"/>
  <c r="BK11" i="5"/>
  <c r="BL10" i="5"/>
  <c r="BK10" i="5"/>
  <c r="BL9" i="5"/>
  <c r="BK9" i="5"/>
  <c r="BL8" i="5"/>
  <c r="BK8" i="5"/>
  <c r="BL4" i="5"/>
  <c r="BK4" i="5"/>
  <c r="BJ15" i="5"/>
  <c r="BI15" i="5"/>
  <c r="BJ14" i="5"/>
  <c r="BI14" i="5"/>
  <c r="BJ13" i="5"/>
  <c r="BI13" i="5"/>
  <c r="BJ12" i="5"/>
  <c r="BI12" i="5"/>
  <c r="BJ11" i="5"/>
  <c r="BI11" i="5"/>
  <c r="BJ10" i="5"/>
  <c r="BI10" i="5"/>
  <c r="BJ9" i="5"/>
  <c r="BI9" i="5"/>
  <c r="BJ8" i="5"/>
  <c r="BI8" i="5"/>
  <c r="BJ4" i="5"/>
  <c r="BI4" i="5"/>
  <c r="BH15" i="5"/>
  <c r="BG15" i="5"/>
  <c r="BH14" i="5"/>
  <c r="BG14" i="5"/>
  <c r="BH13" i="5"/>
  <c r="BG13" i="5"/>
  <c r="BH12" i="5"/>
  <c r="BG12" i="5"/>
  <c r="BH11" i="5"/>
  <c r="BG11" i="5"/>
  <c r="BH10" i="5"/>
  <c r="BG10" i="5"/>
  <c r="BH9" i="5"/>
  <c r="BG9" i="5"/>
  <c r="BH8" i="5"/>
  <c r="BG8" i="5"/>
  <c r="BH4" i="5"/>
  <c r="BG4" i="5"/>
  <c r="BF15" i="5"/>
  <c r="BE15" i="5"/>
  <c r="BF14" i="5"/>
  <c r="BE14" i="5"/>
  <c r="BF13" i="5"/>
  <c r="BE13" i="5"/>
  <c r="BF12" i="5"/>
  <c r="BE12" i="5"/>
  <c r="BF11" i="5"/>
  <c r="BE11" i="5"/>
  <c r="BF10" i="5"/>
  <c r="BE10" i="5"/>
  <c r="BF9" i="5"/>
  <c r="BE9" i="5"/>
  <c r="BF8" i="5"/>
  <c r="BE8" i="5"/>
  <c r="BF4" i="5"/>
  <c r="BE4" i="5"/>
  <c r="BD15" i="5"/>
  <c r="BC15" i="5"/>
  <c r="BD14" i="5"/>
  <c r="BC14" i="5"/>
  <c r="BD13" i="5"/>
  <c r="BC13" i="5"/>
  <c r="BD12" i="5"/>
  <c r="BC12" i="5"/>
  <c r="BD11" i="5"/>
  <c r="BC11" i="5"/>
  <c r="BD10" i="5"/>
  <c r="BC10" i="5"/>
  <c r="BD9" i="5"/>
  <c r="BC9" i="5"/>
  <c r="BD8" i="5"/>
  <c r="BC8" i="5"/>
  <c r="BD4" i="5"/>
  <c r="BC4" i="5"/>
  <c r="BB15" i="5"/>
  <c r="BA15" i="5"/>
  <c r="BB14" i="5"/>
  <c r="BA14" i="5"/>
  <c r="BB13" i="5"/>
  <c r="BA13" i="5"/>
  <c r="BB12" i="5"/>
  <c r="BA12" i="5"/>
  <c r="BB11" i="5"/>
  <c r="BA11" i="5"/>
  <c r="BB10" i="5"/>
  <c r="BA10" i="5"/>
  <c r="BB9" i="5"/>
  <c r="BA9" i="5"/>
  <c r="BB8" i="5"/>
  <c r="BA8" i="5"/>
  <c r="BB4" i="5"/>
  <c r="BA4" i="5"/>
  <c r="AZ15" i="5"/>
  <c r="AZ14" i="5"/>
  <c r="AZ13" i="5"/>
  <c r="AZ12" i="5"/>
  <c r="AZ11" i="5"/>
  <c r="AZ10" i="5"/>
  <c r="AZ9" i="5"/>
  <c r="AZ8" i="5"/>
  <c r="AZ4" i="5"/>
  <c r="AY4" i="5"/>
  <c r="AY15" i="5"/>
  <c r="AY14" i="5"/>
  <c r="AY13" i="5"/>
  <c r="AY12" i="5"/>
  <c r="AY11" i="5"/>
  <c r="AY10" i="5"/>
  <c r="AY9" i="5"/>
  <c r="AY8" i="5"/>
  <c r="AW15" i="5"/>
  <c r="AV15" i="5"/>
  <c r="AW14" i="5"/>
  <c r="AV14" i="5"/>
  <c r="AW13" i="5"/>
  <c r="AV13" i="5"/>
  <c r="AW12" i="5"/>
  <c r="AV12" i="5"/>
  <c r="AW11" i="5"/>
  <c r="AV11" i="5"/>
  <c r="AW10" i="5"/>
  <c r="AV10" i="5"/>
  <c r="AW9" i="5"/>
  <c r="AV9" i="5"/>
  <c r="AW8" i="5"/>
  <c r="AV8" i="5"/>
  <c r="AU15" i="5"/>
  <c r="AT15" i="5"/>
  <c r="AU14" i="5"/>
  <c r="AT14" i="5"/>
  <c r="AU13" i="5"/>
  <c r="AT13" i="5"/>
  <c r="AU12" i="5"/>
  <c r="AT12" i="5"/>
  <c r="AU11" i="5"/>
  <c r="AT11" i="5"/>
  <c r="AU10" i="5"/>
  <c r="AT10" i="5"/>
  <c r="AU9" i="5"/>
  <c r="AT9" i="5"/>
  <c r="AU8" i="5"/>
  <c r="AT8" i="5"/>
  <c r="AS15" i="5"/>
  <c r="AS14" i="5"/>
  <c r="AS13" i="5"/>
  <c r="AS12" i="5"/>
  <c r="AS11" i="5"/>
  <c r="AS10" i="5"/>
  <c r="AS9" i="5"/>
  <c r="AS8" i="5"/>
  <c r="AR15" i="5"/>
  <c r="AR14" i="5"/>
  <c r="AR13" i="5"/>
  <c r="AR12" i="5"/>
  <c r="AR11" i="5"/>
  <c r="AR10" i="5"/>
  <c r="AR9" i="5"/>
  <c r="AR8" i="5"/>
  <c r="AQ15" i="5"/>
  <c r="AQ14" i="5"/>
  <c r="AQ13" i="5"/>
  <c r="AQ12" i="5"/>
  <c r="AQ11" i="5"/>
  <c r="AQ10" i="5"/>
  <c r="AQ9" i="5"/>
  <c r="AQ8" i="5"/>
  <c r="AP15" i="5"/>
  <c r="AP14" i="5"/>
  <c r="AP13" i="5"/>
  <c r="AP12" i="5"/>
  <c r="AP11" i="5"/>
  <c r="AP10" i="5"/>
  <c r="AP9" i="5"/>
  <c r="AP8" i="5"/>
  <c r="AN15" i="5"/>
  <c r="AM15" i="5"/>
  <c r="AN14" i="5"/>
  <c r="AM14" i="5"/>
  <c r="AN13" i="5"/>
  <c r="AM13" i="5"/>
  <c r="AN12" i="5"/>
  <c r="AM12" i="5"/>
  <c r="AN11" i="5"/>
  <c r="AM11" i="5"/>
  <c r="AN10" i="5"/>
  <c r="AM10" i="5"/>
  <c r="AN9" i="5"/>
  <c r="AM9" i="5"/>
  <c r="AN8" i="5"/>
  <c r="AM8" i="5"/>
  <c r="AL15" i="5"/>
  <c r="AK15" i="5"/>
  <c r="AL14" i="5"/>
  <c r="AK14" i="5"/>
  <c r="AL13" i="5"/>
  <c r="AK13" i="5"/>
  <c r="AL12" i="5"/>
  <c r="AK12" i="5"/>
  <c r="AL11" i="5"/>
  <c r="AK11" i="5"/>
  <c r="AL10" i="5"/>
  <c r="AK10" i="5"/>
  <c r="AL9" i="5"/>
  <c r="AK9" i="5"/>
  <c r="AL8" i="5"/>
  <c r="AK8" i="5"/>
  <c r="AJ15" i="5"/>
  <c r="AI15" i="5"/>
  <c r="AJ14" i="5"/>
  <c r="AI14" i="5"/>
  <c r="AJ13" i="5"/>
  <c r="AI13" i="5"/>
  <c r="AJ12" i="5"/>
  <c r="AI12" i="5"/>
  <c r="AJ11" i="5"/>
  <c r="AI11" i="5"/>
  <c r="AJ10" i="5"/>
  <c r="AI10" i="5"/>
  <c r="AJ9" i="5"/>
  <c r="AI9" i="5"/>
  <c r="AJ8" i="5"/>
  <c r="AI8" i="5"/>
  <c r="AH15" i="5"/>
  <c r="AG15" i="5"/>
  <c r="AH14" i="5"/>
  <c r="AG14" i="5"/>
  <c r="AH13" i="5"/>
  <c r="AG13" i="5"/>
  <c r="AH12" i="5"/>
  <c r="AG12" i="5"/>
  <c r="AH11" i="5"/>
  <c r="AG11" i="5"/>
  <c r="AH10" i="5"/>
  <c r="AG10" i="5"/>
  <c r="AH9" i="5"/>
  <c r="AG9" i="5"/>
  <c r="AH8" i="5"/>
  <c r="AG8" i="5"/>
  <c r="AO32" i="5"/>
  <c r="AO33" i="5"/>
  <c r="AO34" i="5"/>
  <c r="AO35" i="5"/>
  <c r="AO31" i="5"/>
  <c r="AK36" i="5"/>
  <c r="AL36" i="5"/>
  <c r="AM36" i="5"/>
  <c r="AN36" i="5"/>
  <c r="AO21" i="5"/>
  <c r="AO22" i="5"/>
  <c r="AO23" i="5"/>
  <c r="AO24" i="5"/>
  <c r="AO25" i="5"/>
  <c r="AO26" i="5"/>
  <c r="AO27" i="5"/>
  <c r="AO20" i="5"/>
  <c r="AK28" i="5"/>
  <c r="AL28" i="5"/>
  <c r="AM28" i="5"/>
  <c r="AN28" i="5"/>
  <c r="AC15" i="5"/>
  <c r="AB15" i="5"/>
  <c r="AC14" i="5"/>
  <c r="AB14" i="5"/>
  <c r="AC13" i="5"/>
  <c r="AB13" i="5"/>
  <c r="AC12" i="5"/>
  <c r="AB12" i="5"/>
  <c r="AC11" i="5"/>
  <c r="AB11" i="5"/>
  <c r="AC10" i="5"/>
  <c r="AB10" i="5"/>
  <c r="AC9" i="5"/>
  <c r="AB9" i="5"/>
  <c r="AC8" i="5"/>
  <c r="AB8" i="5"/>
  <c r="AA15" i="5"/>
  <c r="Z15" i="5"/>
  <c r="AA14" i="5"/>
  <c r="Z14" i="5"/>
  <c r="AA13" i="5"/>
  <c r="Z13" i="5"/>
  <c r="AA12" i="5"/>
  <c r="Z12" i="5"/>
  <c r="AA11" i="5"/>
  <c r="Z11" i="5"/>
  <c r="AA10" i="5"/>
  <c r="Z10" i="5"/>
  <c r="AA9" i="5"/>
  <c r="Z9" i="5"/>
  <c r="AA8" i="5"/>
  <c r="Z8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W15" i="5"/>
  <c r="V15" i="5"/>
  <c r="W14" i="5"/>
  <c r="V14" i="5"/>
  <c r="W13" i="5"/>
  <c r="V13" i="5"/>
  <c r="W12" i="5"/>
  <c r="V12" i="5"/>
  <c r="W11" i="5"/>
  <c r="V11" i="5"/>
  <c r="W10" i="5"/>
  <c r="V10" i="5"/>
  <c r="W9" i="5"/>
  <c r="V9" i="5"/>
  <c r="W8" i="5"/>
  <c r="V8" i="5"/>
  <c r="U15" i="5"/>
  <c r="T15" i="5"/>
  <c r="U14" i="5"/>
  <c r="T14" i="5"/>
  <c r="U13" i="5"/>
  <c r="T13" i="5"/>
  <c r="U12" i="5"/>
  <c r="T12" i="5"/>
  <c r="U11" i="5"/>
  <c r="T11" i="5"/>
  <c r="U10" i="5"/>
  <c r="T10" i="5"/>
  <c r="U9" i="5"/>
  <c r="T9" i="5"/>
  <c r="U8" i="5"/>
  <c r="T8" i="5"/>
  <c r="S15" i="5"/>
  <c r="S14" i="5"/>
  <c r="S13" i="5"/>
  <c r="S12" i="5"/>
  <c r="S11" i="5"/>
  <c r="S10" i="5"/>
  <c r="S9" i="5"/>
  <c r="S8" i="5"/>
  <c r="R15" i="5"/>
  <c r="R14" i="5"/>
  <c r="R13" i="5"/>
  <c r="R12" i="5"/>
  <c r="R11" i="5"/>
  <c r="R10" i="5"/>
  <c r="R9" i="5"/>
  <c r="R8" i="5"/>
  <c r="P15" i="5"/>
  <c r="O15" i="5"/>
  <c r="P14" i="5"/>
  <c r="O14" i="5"/>
  <c r="P13" i="5"/>
  <c r="O13" i="5"/>
  <c r="P12" i="5"/>
  <c r="O12" i="5"/>
  <c r="P11" i="5"/>
  <c r="O11" i="5"/>
  <c r="P10" i="5"/>
  <c r="O10" i="5"/>
  <c r="P9" i="5"/>
  <c r="O9" i="5"/>
  <c r="P8" i="5"/>
  <c r="O8" i="5"/>
  <c r="N15" i="5"/>
  <c r="M15" i="5"/>
  <c r="N14" i="5"/>
  <c r="M14" i="5"/>
  <c r="N13" i="5"/>
  <c r="M13" i="5"/>
  <c r="N12" i="5"/>
  <c r="M12" i="5"/>
  <c r="N11" i="5"/>
  <c r="M11" i="5"/>
  <c r="N10" i="5"/>
  <c r="M10" i="5"/>
  <c r="N9" i="5"/>
  <c r="M9" i="5"/>
  <c r="N8" i="5"/>
  <c r="M8" i="5"/>
  <c r="L15" i="5"/>
  <c r="K15" i="5"/>
  <c r="L14" i="5"/>
  <c r="K14" i="5"/>
  <c r="L13" i="5"/>
  <c r="K13" i="5"/>
  <c r="L12" i="5"/>
  <c r="K12" i="5"/>
  <c r="L11" i="5"/>
  <c r="K11" i="5"/>
  <c r="L10" i="5"/>
  <c r="K10" i="5"/>
  <c r="L9" i="5"/>
  <c r="K9" i="5"/>
  <c r="L8" i="5"/>
  <c r="K8" i="5"/>
  <c r="J15" i="5"/>
  <c r="J14" i="5"/>
  <c r="J13" i="5"/>
  <c r="J12" i="5"/>
  <c r="J11" i="5"/>
  <c r="J10" i="5"/>
  <c r="J9" i="5"/>
  <c r="J8" i="5"/>
  <c r="I15" i="5"/>
  <c r="I14" i="5"/>
  <c r="I13" i="5"/>
  <c r="I12" i="5"/>
  <c r="I11" i="5"/>
  <c r="I10" i="5"/>
  <c r="I9" i="5"/>
  <c r="I8" i="5"/>
  <c r="H15" i="5"/>
  <c r="H14" i="5"/>
  <c r="H13" i="5"/>
  <c r="H12" i="5"/>
  <c r="H11" i="5"/>
  <c r="H10" i="5"/>
  <c r="H9" i="5"/>
  <c r="H8" i="5"/>
  <c r="G15" i="5"/>
  <c r="G14" i="5"/>
  <c r="G13" i="5"/>
  <c r="G12" i="5"/>
  <c r="G11" i="5"/>
  <c r="G10" i="5"/>
  <c r="G9" i="5"/>
  <c r="G8" i="5"/>
  <c r="F10" i="5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F15" i="5"/>
  <c r="F14" i="5"/>
  <c r="F13" i="5"/>
  <c r="F12" i="5"/>
  <c r="F11" i="5"/>
  <c r="F9" i="5"/>
  <c r="F8" i="5"/>
  <c r="E15" i="5"/>
  <c r="E14" i="5"/>
  <c r="E13" i="5"/>
  <c r="E12" i="5"/>
  <c r="E11" i="5"/>
  <c r="E10" i="5"/>
  <c r="E9" i="5"/>
  <c r="E8" i="5"/>
  <c r="C15" i="5"/>
  <c r="C14" i="5"/>
  <c r="C13" i="5"/>
  <c r="C12" i="5"/>
  <c r="C11" i="5"/>
  <c r="C10" i="5"/>
  <c r="C9" i="5"/>
  <c r="C8" i="5"/>
  <c r="B15" i="5"/>
  <c r="B14" i="5"/>
  <c r="B13" i="5"/>
  <c r="B12" i="5"/>
  <c r="B11" i="5"/>
  <c r="B10" i="5"/>
  <c r="B9" i="5"/>
  <c r="B8" i="5"/>
  <c r="BK5" i="5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BH7" i="5" l="1"/>
  <c r="AU7" i="5"/>
  <c r="C7" i="5"/>
  <c r="Z7" i="5"/>
  <c r="B7" i="5"/>
  <c r="E7" i="5"/>
  <c r="H7" i="5"/>
  <c r="P7" i="5"/>
  <c r="U7" i="5"/>
  <c r="Y7" i="5"/>
  <c r="AC7" i="5"/>
  <c r="AI7" i="5"/>
  <c r="AM7" i="5"/>
  <c r="AR7" i="5"/>
  <c r="AV7" i="5"/>
  <c r="BA7" i="5"/>
  <c r="BC7" i="5"/>
  <c r="BE7" i="5"/>
  <c r="BG7" i="5"/>
  <c r="BI7" i="5"/>
  <c r="BK7" i="5"/>
  <c r="BM7" i="5"/>
  <c r="AJ7" i="5"/>
  <c r="AS7" i="5"/>
  <c r="AZ7" i="5"/>
  <c r="BD7" i="5"/>
  <c r="BF7" i="5"/>
  <c r="BJ7" i="5"/>
  <c r="BL7" i="5"/>
  <c r="BN7" i="5"/>
  <c r="F7" i="5"/>
  <c r="L7" i="5"/>
  <c r="S7" i="5"/>
  <c r="W7" i="5"/>
  <c r="AA7" i="5"/>
  <c r="AG7" i="5"/>
  <c r="AK7" i="5"/>
  <c r="AP7" i="5"/>
  <c r="AT7" i="5"/>
  <c r="AY7" i="5"/>
  <c r="J7" i="5"/>
  <c r="R7" i="5"/>
  <c r="V7" i="5"/>
  <c r="AN7" i="5"/>
  <c r="AW7" i="5"/>
  <c r="BB7" i="5"/>
  <c r="N7" i="5"/>
  <c r="T7" i="5"/>
  <c r="X7" i="5"/>
  <c r="AB7" i="5"/>
  <c r="AH7" i="5"/>
  <c r="AL7" i="5"/>
  <c r="AQ7" i="5"/>
  <c r="O7" i="5"/>
  <c r="I7" i="5"/>
  <c r="M7" i="5"/>
  <c r="G7" i="5"/>
  <c r="K7" i="5"/>
  <c r="C5" i="5"/>
  <c r="G5" i="5"/>
  <c r="S5" i="5"/>
  <c r="AH5" i="5"/>
  <c r="AJ5" i="5"/>
  <c r="AL5" i="5"/>
  <c r="AN5" i="5"/>
  <c r="AU5" i="5"/>
  <c r="AW5" i="5"/>
  <c r="BB5" i="5"/>
  <c r="BF5" i="5"/>
  <c r="BJ5" i="5"/>
  <c r="BN5" i="5"/>
  <c r="F5" i="5"/>
  <c r="AQ5" i="5"/>
  <c r="AS5" i="5"/>
  <c r="BC5" i="5"/>
  <c r="BG5" i="5"/>
  <c r="CK5" i="5"/>
  <c r="CG5" i="5"/>
  <c r="CC5" i="5"/>
  <c r="CA5" i="5"/>
  <c r="BW5" i="5"/>
  <c r="BS5" i="5"/>
  <c r="CJ5" i="5"/>
  <c r="CF5" i="5"/>
  <c r="CB5" i="5"/>
  <c r="BZ5" i="5"/>
  <c r="BV5" i="5"/>
  <c r="BR5" i="5"/>
  <c r="CI5" i="5"/>
  <c r="CE5" i="5"/>
  <c r="BY5" i="5"/>
  <c r="BU5" i="5"/>
  <c r="BQ5" i="5"/>
  <c r="CH5" i="5"/>
  <c r="CD5" i="5"/>
  <c r="BX5" i="5"/>
  <c r="BT5" i="5"/>
  <c r="BP5" i="5"/>
  <c r="P5" i="5"/>
  <c r="K5" i="5"/>
  <c r="R5" i="5"/>
  <c r="T5" i="5"/>
  <c r="V5" i="5"/>
  <c r="X5" i="5"/>
  <c r="Z5" i="5"/>
  <c r="AB5" i="5"/>
  <c r="BD5" i="5"/>
  <c r="BH5" i="5"/>
  <c r="BL5" i="5"/>
  <c r="B5" i="5"/>
  <c r="E5" i="5"/>
  <c r="I5" i="5"/>
  <c r="L5" i="5"/>
  <c r="U5" i="5"/>
  <c r="W5" i="5"/>
  <c r="Y5" i="5"/>
  <c r="AA5" i="5"/>
  <c r="AC5" i="5"/>
  <c r="AG5" i="5"/>
  <c r="AI5" i="5"/>
  <c r="AK5" i="5"/>
  <c r="AM5" i="5"/>
  <c r="AP5" i="5"/>
  <c r="AR5" i="5"/>
  <c r="AT5" i="5"/>
  <c r="AV5" i="5"/>
  <c r="AY5" i="5"/>
  <c r="AZ5" i="5"/>
  <c r="BA5" i="5"/>
  <c r="BE5" i="5"/>
  <c r="BI5" i="5"/>
  <c r="BM5" i="5"/>
  <c r="N5" i="5"/>
  <c r="H5" i="5"/>
  <c r="J5" i="5"/>
  <c r="AQ4" i="5"/>
  <c r="C57" i="5"/>
  <c r="BQ6" i="5"/>
  <c r="CA6" i="5"/>
  <c r="BY6" i="5"/>
  <c r="BW6" i="5"/>
  <c r="BU6" i="5"/>
  <c r="BS6" i="5"/>
  <c r="B57" i="5"/>
  <c r="BP6" i="5"/>
  <c r="BZ6" i="5"/>
  <c r="BX6" i="5"/>
  <c r="BV6" i="5"/>
  <c r="BT6" i="5"/>
  <c r="BR6" i="5"/>
  <c r="CK6" i="5"/>
  <c r="CI6" i="5"/>
  <c r="CG6" i="5"/>
  <c r="CE6" i="5"/>
  <c r="CC6" i="5"/>
  <c r="AF6" i="5"/>
  <c r="CJ6" i="5"/>
  <c r="CH6" i="5"/>
  <c r="CF6" i="5"/>
  <c r="CD6" i="5"/>
  <c r="CB6" i="5"/>
  <c r="B6" i="5"/>
  <c r="F6" i="5"/>
  <c r="O6" i="5"/>
  <c r="W6" i="5"/>
  <c r="AA6" i="5"/>
  <c r="AI6" i="5"/>
  <c r="AM6" i="5"/>
  <c r="AQ6" i="5"/>
  <c r="AV6" i="5"/>
  <c r="BA6" i="5"/>
  <c r="BC6" i="5"/>
  <c r="BE6" i="5"/>
  <c r="BG6" i="5"/>
  <c r="BI6" i="5"/>
  <c r="BK6" i="5"/>
  <c r="BM6" i="5"/>
  <c r="E6" i="5"/>
  <c r="H6" i="5"/>
  <c r="S6" i="5"/>
  <c r="T6" i="5"/>
  <c r="X6" i="5"/>
  <c r="AB6" i="5"/>
  <c r="AJ6" i="5"/>
  <c r="AN6" i="5"/>
  <c r="AP6" i="5"/>
  <c r="AW6" i="5"/>
  <c r="AY6" i="5"/>
  <c r="BB6" i="5"/>
  <c r="BD6" i="5"/>
  <c r="BF6" i="5"/>
  <c r="BH6" i="5"/>
  <c r="BJ6" i="5"/>
  <c r="BL6" i="5"/>
  <c r="BN6" i="5"/>
  <c r="C6" i="5"/>
  <c r="G6" i="5"/>
  <c r="J6" i="5"/>
  <c r="L6" i="5"/>
  <c r="N6" i="5"/>
  <c r="P6" i="5"/>
  <c r="R6" i="5"/>
  <c r="U6" i="5"/>
  <c r="Y6" i="5"/>
  <c r="AC6" i="5"/>
  <c r="AG6" i="5"/>
  <c r="AK6" i="5"/>
  <c r="AS6" i="5"/>
  <c r="AT6" i="5"/>
  <c r="AZ6" i="5"/>
  <c r="V6" i="5"/>
  <c r="Z6" i="5"/>
  <c r="AH6" i="5"/>
  <c r="AL6" i="5"/>
  <c r="AR6" i="5"/>
  <c r="AU6" i="5"/>
  <c r="AO15" i="5"/>
  <c r="AO7" i="5"/>
  <c r="AO11" i="5"/>
  <c r="AM29" i="5"/>
  <c r="AK29" i="5"/>
  <c r="AK37" i="5"/>
  <c r="AM37" i="5"/>
  <c r="K6" i="5"/>
  <c r="I6" i="5"/>
  <c r="M6" i="5"/>
  <c r="AT4" i="5"/>
  <c r="AV4" i="5"/>
  <c r="AU4" i="5"/>
  <c r="AW4" i="5"/>
  <c r="F4" i="5"/>
  <c r="I4" i="5"/>
  <c r="N4" i="5"/>
  <c r="S4" i="5"/>
  <c r="T4" i="5"/>
  <c r="V4" i="5"/>
  <c r="X4" i="5"/>
  <c r="Z4" i="5"/>
  <c r="AB4" i="5"/>
  <c r="AR4" i="5"/>
  <c r="AS4" i="5"/>
  <c r="C4" i="5"/>
  <c r="J4" i="5"/>
  <c r="L4" i="5"/>
  <c r="U4" i="5"/>
  <c r="W4" i="5"/>
  <c r="Y4" i="5"/>
  <c r="AA4" i="5"/>
  <c r="AC4" i="5"/>
  <c r="O4" i="5"/>
  <c r="H4" i="5"/>
  <c r="P4" i="5"/>
  <c r="AG4" i="5"/>
  <c r="AI4" i="5"/>
  <c r="AK4" i="5"/>
  <c r="AM4" i="5"/>
  <c r="AH4" i="5"/>
  <c r="AJ4" i="5"/>
  <c r="AL4" i="5"/>
  <c r="AN4" i="5"/>
  <c r="AP4" i="5"/>
  <c r="G4" i="5"/>
  <c r="AO9" i="5"/>
  <c r="AO13" i="5"/>
  <c r="O5" i="5"/>
  <c r="M5" i="5"/>
  <c r="AO8" i="5"/>
  <c r="AO12" i="5"/>
  <c r="AO10" i="5"/>
  <c r="AO14" i="5"/>
  <c r="AO5" i="5"/>
  <c r="K4" i="5"/>
  <c r="M4" i="5"/>
  <c r="E4" i="5"/>
  <c r="B4" i="5"/>
  <c r="BH16" i="5" l="1"/>
  <c r="BN16" i="5"/>
  <c r="BI16" i="5"/>
  <c r="BK16" i="5"/>
  <c r="BB16" i="5"/>
  <c r="BM16" i="5"/>
  <c r="BM18" i="5" s="1"/>
  <c r="BN17" i="5" s="1"/>
  <c r="BD16" i="5"/>
  <c r="BC16" i="5"/>
  <c r="BL16" i="5"/>
  <c r="BG16" i="5"/>
  <c r="F16" i="5"/>
  <c r="BJ16" i="5"/>
  <c r="BE16" i="5"/>
  <c r="AK16" i="5"/>
  <c r="BF16" i="5"/>
  <c r="BA16" i="5"/>
  <c r="S16" i="5"/>
  <c r="T16" i="5"/>
  <c r="AN16" i="5"/>
  <c r="D57" i="5"/>
  <c r="AL16" i="5"/>
  <c r="C70" i="5"/>
  <c r="C66" i="5"/>
  <c r="C62" i="5"/>
  <c r="B58" i="5"/>
  <c r="B70" i="5"/>
  <c r="B66" i="5"/>
  <c r="B62" i="5"/>
  <c r="C58" i="5"/>
  <c r="B68" i="5"/>
  <c r="C64" i="5"/>
  <c r="C60" i="5"/>
  <c r="C68" i="5"/>
  <c r="B64" i="5"/>
  <c r="B60" i="5"/>
  <c r="U16" i="5"/>
  <c r="AM16" i="5"/>
  <c r="AO6" i="5"/>
  <c r="AO4" i="5"/>
  <c r="F1" i="5"/>
  <c r="AE36" i="5"/>
  <c r="AF36" i="5"/>
  <c r="AG36" i="5"/>
  <c r="AH36" i="5"/>
  <c r="AI36" i="5"/>
  <c r="AJ36" i="5"/>
  <c r="AP36" i="5"/>
  <c r="AQ36" i="5"/>
  <c r="AR36" i="5"/>
  <c r="AS36" i="5"/>
  <c r="AT36" i="5"/>
  <c r="AU36" i="5"/>
  <c r="AV36" i="5"/>
  <c r="AW36" i="5"/>
  <c r="AY36" i="5"/>
  <c r="AZ36" i="5"/>
  <c r="BG36" i="5"/>
  <c r="BH36" i="5"/>
  <c r="BI36" i="5"/>
  <c r="BJ36" i="5"/>
  <c r="BM36" i="5"/>
  <c r="BN36" i="5"/>
  <c r="AE28" i="5"/>
  <c r="AF28" i="5"/>
  <c r="AG28" i="5"/>
  <c r="AH28" i="5"/>
  <c r="AI28" i="5"/>
  <c r="AJ28" i="5"/>
  <c r="AP28" i="5"/>
  <c r="AQ28" i="5"/>
  <c r="AR28" i="5"/>
  <c r="AS28" i="5"/>
  <c r="AT28" i="5"/>
  <c r="AU28" i="5"/>
  <c r="AV28" i="5"/>
  <c r="AW28" i="5"/>
  <c r="AY28" i="5"/>
  <c r="AZ28" i="5"/>
  <c r="BG28" i="5"/>
  <c r="BH28" i="5"/>
  <c r="BI28" i="5"/>
  <c r="BJ28" i="5"/>
  <c r="BM28" i="5"/>
  <c r="BN28" i="5"/>
  <c r="AS16" i="5"/>
  <c r="AE16" i="5"/>
  <c r="AF16" i="5"/>
  <c r="AG16" i="5"/>
  <c r="AH16" i="5"/>
  <c r="AI16" i="5"/>
  <c r="AJ16" i="5"/>
  <c r="AP16" i="5"/>
  <c r="AQ16" i="5"/>
  <c r="AR16" i="5"/>
  <c r="AT16" i="5"/>
  <c r="AU16" i="5"/>
  <c r="AV16" i="5"/>
  <c r="AW16" i="5"/>
  <c r="AY16" i="5"/>
  <c r="AZ16" i="5"/>
  <c r="BP16" i="5"/>
  <c r="BQ16" i="5"/>
  <c r="BR16" i="5"/>
  <c r="BS16" i="5"/>
  <c r="BT16" i="5"/>
  <c r="BU16" i="5"/>
  <c r="BV16" i="5"/>
  <c r="BW16" i="5"/>
  <c r="BX16" i="5"/>
  <c r="BY16" i="5"/>
  <c r="BZ16" i="5"/>
  <c r="CA16" i="5"/>
  <c r="CB16" i="5"/>
  <c r="CC16" i="5"/>
  <c r="CD16" i="5"/>
  <c r="CE16" i="5"/>
  <c r="CF16" i="5"/>
  <c r="CG16" i="5"/>
  <c r="CH16" i="5"/>
  <c r="CI16" i="5"/>
  <c r="CJ16" i="5"/>
  <c r="CK16" i="5"/>
  <c r="BO4" i="5"/>
  <c r="BO5" i="5"/>
  <c r="BO6" i="5"/>
  <c r="BO7" i="5"/>
  <c r="BO8" i="5"/>
  <c r="BO9" i="5"/>
  <c r="BO10" i="5"/>
  <c r="BO11" i="5"/>
  <c r="BO12" i="5"/>
  <c r="BO13" i="5"/>
  <c r="BO14" i="5"/>
  <c r="BO15" i="5"/>
  <c r="BO20" i="5"/>
  <c r="BO21" i="5"/>
  <c r="BO22" i="5"/>
  <c r="BO23" i="5"/>
  <c r="BO24" i="5"/>
  <c r="BO25" i="5"/>
  <c r="BO26" i="5"/>
  <c r="BO27" i="5"/>
  <c r="BO31" i="5"/>
  <c r="BO32" i="5"/>
  <c r="BO33" i="5"/>
  <c r="BO34" i="5"/>
  <c r="BO35" i="5"/>
  <c r="AC36" i="5"/>
  <c r="Y28" i="5"/>
  <c r="R28" i="5"/>
  <c r="S28" i="5"/>
  <c r="T28" i="5"/>
  <c r="U28" i="5"/>
  <c r="V28" i="5"/>
  <c r="W28" i="5"/>
  <c r="X28" i="5"/>
  <c r="Z28" i="5"/>
  <c r="AA28" i="5"/>
  <c r="AB28" i="5"/>
  <c r="AC28" i="5"/>
  <c r="R36" i="5"/>
  <c r="S36" i="5"/>
  <c r="T36" i="5"/>
  <c r="U36" i="5"/>
  <c r="V36" i="5"/>
  <c r="W36" i="5"/>
  <c r="X36" i="5"/>
  <c r="Y36" i="5"/>
  <c r="Z36" i="5"/>
  <c r="AA36" i="5"/>
  <c r="AB36" i="5"/>
  <c r="R16" i="5"/>
  <c r="V16" i="5"/>
  <c r="W16" i="5"/>
  <c r="X16" i="5"/>
  <c r="Y16" i="5"/>
  <c r="Z16" i="5"/>
  <c r="AA16" i="5"/>
  <c r="AB16" i="5"/>
  <c r="AC16" i="5"/>
  <c r="E36" i="5"/>
  <c r="F36" i="5"/>
  <c r="G36" i="5"/>
  <c r="H36" i="5"/>
  <c r="I36" i="5"/>
  <c r="J36" i="5"/>
  <c r="K36" i="5"/>
  <c r="L36" i="5"/>
  <c r="M36" i="5"/>
  <c r="N36" i="5"/>
  <c r="O36" i="5"/>
  <c r="P36" i="5"/>
  <c r="E28" i="5"/>
  <c r="F28" i="5"/>
  <c r="G28" i="5"/>
  <c r="H28" i="5"/>
  <c r="I28" i="5"/>
  <c r="J28" i="5"/>
  <c r="K28" i="5"/>
  <c r="L28" i="5"/>
  <c r="M28" i="5"/>
  <c r="N28" i="5"/>
  <c r="O28" i="5"/>
  <c r="P28" i="5"/>
  <c r="G16" i="5"/>
  <c r="H16" i="5"/>
  <c r="I16" i="5"/>
  <c r="J16" i="5"/>
  <c r="K16" i="5"/>
  <c r="L16" i="5"/>
  <c r="M16" i="5"/>
  <c r="N16" i="5"/>
  <c r="O16" i="5"/>
  <c r="P16" i="5"/>
  <c r="E16" i="5"/>
  <c r="CL4" i="5"/>
  <c r="CL5" i="5"/>
  <c r="CL6" i="5"/>
  <c r="CL7" i="5"/>
  <c r="CL8" i="5"/>
  <c r="CL9" i="5"/>
  <c r="CL10" i="5"/>
  <c r="CL11" i="5"/>
  <c r="CL12" i="5"/>
  <c r="CL13" i="5"/>
  <c r="CL14" i="5"/>
  <c r="BG18" i="5" l="1"/>
  <c r="BH17" i="5" s="1"/>
  <c r="BK18" i="5"/>
  <c r="BL17" i="5" s="1"/>
  <c r="BI18" i="5"/>
  <c r="BJ17" i="5" s="1"/>
  <c r="BA18" i="5"/>
  <c r="BA17" i="5" s="1"/>
  <c r="BC18" i="5"/>
  <c r="BC17" i="5" s="1"/>
  <c r="BE18" i="5"/>
  <c r="BF17" i="5" s="1"/>
  <c r="AK18" i="5"/>
  <c r="AK17" i="5" s="1"/>
  <c r="D62" i="5"/>
  <c r="D68" i="5"/>
  <c r="D66" i="5"/>
  <c r="D60" i="5"/>
  <c r="D70" i="5"/>
  <c r="D58" i="5"/>
  <c r="D64" i="5"/>
  <c r="AM18" i="5"/>
  <c r="AN17" i="5" s="1"/>
  <c r="BM17" i="5"/>
  <c r="AY29" i="5"/>
  <c r="AP18" i="5"/>
  <c r="AP17" i="5" s="1"/>
  <c r="AG18" i="5"/>
  <c r="AH17" i="5" s="1"/>
  <c r="BI29" i="5"/>
  <c r="AT29" i="5"/>
  <c r="AP29" i="5"/>
  <c r="AG29" i="5"/>
  <c r="BM37" i="5"/>
  <c r="BG37" i="5"/>
  <c r="AR18" i="5"/>
  <c r="AR17" i="5" s="1"/>
  <c r="CH18" i="5"/>
  <c r="CH17" i="5" s="1"/>
  <c r="CD18" i="5"/>
  <c r="CD17" i="5" s="1"/>
  <c r="BZ18" i="5"/>
  <c r="BZ17" i="5" s="1"/>
  <c r="BV18" i="5"/>
  <c r="BV17" i="5" s="1"/>
  <c r="BR18" i="5"/>
  <c r="BS17" i="5" s="1"/>
  <c r="AV37" i="5"/>
  <c r="CJ18" i="5"/>
  <c r="CK17" i="5" s="1"/>
  <c r="CF18" i="5"/>
  <c r="CG17" i="5" s="1"/>
  <c r="CB18" i="5"/>
  <c r="CB17" i="5" s="1"/>
  <c r="BX18" i="5"/>
  <c r="BY17" i="5" s="1"/>
  <c r="BT18" i="5"/>
  <c r="BU17" i="5" s="1"/>
  <c r="BP18" i="5"/>
  <c r="BQ17" i="5" s="1"/>
  <c r="AI18" i="5"/>
  <c r="AJ17" i="5" s="1"/>
  <c r="AE18" i="5"/>
  <c r="AE17" i="5" s="1"/>
  <c r="BM29" i="5"/>
  <c r="BG29" i="5"/>
  <c r="AV29" i="5"/>
  <c r="AR29" i="5"/>
  <c r="AI29" i="5"/>
  <c r="AE29" i="5"/>
  <c r="BI37" i="5"/>
  <c r="AY37" i="5"/>
  <c r="AT37" i="5"/>
  <c r="AP37" i="5"/>
  <c r="AG37" i="5"/>
  <c r="BO36" i="5"/>
  <c r="AR37" i="5"/>
  <c r="AI37" i="5"/>
  <c r="AE37" i="5"/>
  <c r="AY18" i="5"/>
  <c r="AZ17" i="5" s="1"/>
  <c r="AT18" i="5"/>
  <c r="AU17" i="5" s="1"/>
  <c r="AV18" i="5"/>
  <c r="AV17" i="5" s="1"/>
  <c r="BO28" i="5"/>
  <c r="BO16" i="5"/>
  <c r="AB18" i="5"/>
  <c r="AB17" i="5" s="1"/>
  <c r="X18" i="5"/>
  <c r="Y17" i="5" s="1"/>
  <c r="T18" i="5"/>
  <c r="T17" i="5" s="1"/>
  <c r="Z18" i="5"/>
  <c r="Z17" i="5" s="1"/>
  <c r="V18" i="5"/>
  <c r="V17" i="5" s="1"/>
  <c r="R18" i="5"/>
  <c r="X29" i="5"/>
  <c r="O37" i="5"/>
  <c r="K37" i="5"/>
  <c r="AB37" i="5"/>
  <c r="Z29" i="5"/>
  <c r="V37" i="5"/>
  <c r="R37" i="5"/>
  <c r="T37" i="5"/>
  <c r="V29" i="5"/>
  <c r="R29" i="5"/>
  <c r="Z37" i="5"/>
  <c r="X37" i="5"/>
  <c r="AB29" i="5"/>
  <c r="T29" i="5"/>
  <c r="O29" i="5"/>
  <c r="G29" i="5"/>
  <c r="G37" i="5"/>
  <c r="M37" i="5"/>
  <c r="I37" i="5"/>
  <c r="E37" i="5"/>
  <c r="K18" i="5"/>
  <c r="K17" i="5" s="1"/>
  <c r="M29" i="5"/>
  <c r="I29" i="5"/>
  <c r="E29" i="5"/>
  <c r="O18" i="5"/>
  <c r="O17" i="5" s="1"/>
  <c r="G18" i="5"/>
  <c r="H17" i="5" s="1"/>
  <c r="Q16" i="5"/>
  <c r="M18" i="5"/>
  <c r="M17" i="5" s="1"/>
  <c r="I18" i="5"/>
  <c r="I17" i="5" s="1"/>
  <c r="K29" i="5"/>
  <c r="Q28" i="5"/>
  <c r="E18" i="5"/>
  <c r="Q36" i="5"/>
  <c r="CL15" i="5"/>
  <c r="CL16" i="5" s="1"/>
  <c r="C69" i="5"/>
  <c r="B69" i="5"/>
  <c r="C59" i="5"/>
  <c r="B59" i="5"/>
  <c r="C71" i="5"/>
  <c r="B71" i="5"/>
  <c r="C67" i="5"/>
  <c r="B67" i="5"/>
  <c r="C65" i="5"/>
  <c r="B65" i="5"/>
  <c r="C63" i="5"/>
  <c r="B63" i="5"/>
  <c r="C61" i="5"/>
  <c r="B61" i="5"/>
  <c r="AX4" i="5"/>
  <c r="B16" i="5"/>
  <c r="C16" i="5"/>
  <c r="D31" i="5"/>
  <c r="B36" i="5"/>
  <c r="C36" i="5"/>
  <c r="AX35" i="5"/>
  <c r="AD35" i="5"/>
  <c r="Q35" i="5"/>
  <c r="D35" i="5"/>
  <c r="AX34" i="5"/>
  <c r="AD34" i="5"/>
  <c r="Q34" i="5"/>
  <c r="D34" i="5"/>
  <c r="AX33" i="5"/>
  <c r="AD33" i="5"/>
  <c r="Q33" i="5"/>
  <c r="D33" i="5"/>
  <c r="AX32" i="5"/>
  <c r="AD32" i="5"/>
  <c r="Q32" i="5"/>
  <c r="D32" i="5"/>
  <c r="AX31" i="5"/>
  <c r="AD31" i="5"/>
  <c r="Q31" i="5"/>
  <c r="AX20" i="5"/>
  <c r="AX21" i="5"/>
  <c r="AX22" i="5"/>
  <c r="AX23" i="5"/>
  <c r="AX24" i="5"/>
  <c r="AX25" i="5"/>
  <c r="AX26" i="5"/>
  <c r="AX27" i="5"/>
  <c r="AD20" i="5"/>
  <c r="AD21" i="5"/>
  <c r="AD22" i="5"/>
  <c r="AD23" i="5"/>
  <c r="AD24" i="5"/>
  <c r="AD25" i="5"/>
  <c r="AD26" i="5"/>
  <c r="AD27" i="5"/>
  <c r="Q20" i="5"/>
  <c r="Q21" i="5"/>
  <c r="Q22" i="5"/>
  <c r="Q23" i="5"/>
  <c r="Q24" i="5"/>
  <c r="Q25" i="5"/>
  <c r="Q26" i="5"/>
  <c r="Q27" i="5"/>
  <c r="D20" i="5"/>
  <c r="D21" i="5"/>
  <c r="D22" i="5"/>
  <c r="D23" i="5"/>
  <c r="D24" i="5"/>
  <c r="D25" i="5"/>
  <c r="D26" i="5"/>
  <c r="D27" i="5"/>
  <c r="B28" i="5"/>
  <c r="C28" i="5"/>
  <c r="D4" i="5"/>
  <c r="Q4" i="5"/>
  <c r="AD4" i="5"/>
  <c r="AX15" i="5"/>
  <c r="AX5" i="5"/>
  <c r="AX6" i="5"/>
  <c r="AX7" i="5"/>
  <c r="AX8" i="5"/>
  <c r="AX9" i="5"/>
  <c r="AX10" i="5"/>
  <c r="AX11" i="5"/>
  <c r="AX12" i="5"/>
  <c r="AX13" i="5"/>
  <c r="AX14" i="5"/>
  <c r="D5" i="5"/>
  <c r="D6" i="5"/>
  <c r="D7" i="5"/>
  <c r="D8" i="5"/>
  <c r="D9" i="5"/>
  <c r="D10" i="5"/>
  <c r="D11" i="5"/>
  <c r="D12" i="5"/>
  <c r="D13" i="5"/>
  <c r="D14" i="5"/>
  <c r="D15" i="5"/>
  <c r="AD15" i="5"/>
  <c r="AD14" i="5"/>
  <c r="AD13" i="5"/>
  <c r="AD12" i="5"/>
  <c r="AD11" i="5"/>
  <c r="AD10" i="5"/>
  <c r="AD9" i="5"/>
  <c r="AD8" i="5"/>
  <c r="AD7" i="5"/>
  <c r="AD6" i="5"/>
  <c r="AD5" i="5"/>
  <c r="Q5" i="5"/>
  <c r="Q6" i="5"/>
  <c r="Q7" i="5"/>
  <c r="Q8" i="5"/>
  <c r="Q9" i="5"/>
  <c r="Q10" i="5"/>
  <c r="Q11" i="5"/>
  <c r="Q12" i="5"/>
  <c r="Q13" i="5"/>
  <c r="Q14" i="5"/>
  <c r="Q15" i="5"/>
  <c r="BF3" i="4"/>
  <c r="BG3" i="4"/>
  <c r="BF4" i="4"/>
  <c r="BG4" i="4"/>
  <c r="BF5" i="4"/>
  <c r="BG5" i="4"/>
  <c r="BF6" i="4"/>
  <c r="BG6" i="4"/>
  <c r="BF7" i="4"/>
  <c r="BG7" i="4"/>
  <c r="BF8" i="4"/>
  <c r="BG8" i="4"/>
  <c r="BF9" i="4"/>
  <c r="BG9" i="4"/>
  <c r="BF10" i="4"/>
  <c r="BG10" i="4"/>
  <c r="BF11" i="4"/>
  <c r="BG11" i="4"/>
  <c r="BF12" i="4"/>
  <c r="BG12" i="4"/>
  <c r="BF13" i="4"/>
  <c r="BG13" i="4"/>
  <c r="BF14" i="4"/>
  <c r="BG14" i="4"/>
  <c r="BF15" i="4"/>
  <c r="BG15" i="4"/>
  <c r="BF16" i="4"/>
  <c r="BG16" i="4"/>
  <c r="BF17" i="4"/>
  <c r="BG17" i="4"/>
  <c r="BF18" i="4"/>
  <c r="BG18" i="4"/>
  <c r="BF19" i="4"/>
  <c r="BG19" i="4"/>
  <c r="BF20" i="4"/>
  <c r="BG20" i="4"/>
  <c r="BF21" i="4"/>
  <c r="BG21" i="4"/>
  <c r="BF22" i="4"/>
  <c r="BG22" i="4"/>
  <c r="BF23" i="4"/>
  <c r="BG23" i="4"/>
  <c r="BF24" i="4"/>
  <c r="BG24" i="4"/>
  <c r="BF25" i="4"/>
  <c r="BG25" i="4"/>
  <c r="BF26" i="4"/>
  <c r="BG26" i="4"/>
  <c r="BF27" i="4"/>
  <c r="BG27" i="4"/>
  <c r="BF28" i="4"/>
  <c r="BG28" i="4"/>
  <c r="BF29" i="4"/>
  <c r="BG29" i="4"/>
  <c r="BF30" i="4"/>
  <c r="BG30" i="4"/>
  <c r="BF31" i="4"/>
  <c r="BG31" i="4"/>
  <c r="BF32" i="4"/>
  <c r="BG32" i="4"/>
  <c r="BF33" i="4"/>
  <c r="BG33" i="4"/>
  <c r="BF34" i="4"/>
  <c r="BG34" i="4"/>
  <c r="BF35" i="4"/>
  <c r="BG35" i="4"/>
  <c r="BF36" i="4"/>
  <c r="BG36" i="4"/>
  <c r="BF37" i="4"/>
  <c r="BG37" i="4"/>
  <c r="BF38" i="4"/>
  <c r="BG38" i="4"/>
  <c r="BF39" i="4"/>
  <c r="BG39" i="4"/>
  <c r="BF40" i="4"/>
  <c r="BG40" i="4"/>
  <c r="BF41" i="4"/>
  <c r="BG41" i="4"/>
  <c r="BF42" i="4"/>
  <c r="BG42" i="4"/>
  <c r="BF43" i="4"/>
  <c r="BG43" i="4"/>
  <c r="BF44" i="4"/>
  <c r="BG44" i="4"/>
  <c r="BF45" i="4"/>
  <c r="BG45" i="4"/>
  <c r="BF46" i="4"/>
  <c r="BG46" i="4"/>
  <c r="BF47" i="4"/>
  <c r="BG47" i="4"/>
  <c r="BF48" i="4"/>
  <c r="BG48" i="4"/>
  <c r="BF49" i="4"/>
  <c r="BG49" i="4"/>
  <c r="BF50" i="4"/>
  <c r="BG50" i="4"/>
  <c r="BF51" i="4"/>
  <c r="BG51" i="4"/>
  <c r="BF52" i="4"/>
  <c r="BG52" i="4"/>
  <c r="BF53" i="4"/>
  <c r="BG53" i="4"/>
  <c r="BF54" i="4"/>
  <c r="BG54" i="4"/>
  <c r="BF55" i="4"/>
  <c r="BG55" i="4"/>
  <c r="BF56" i="4"/>
  <c r="BG56" i="4"/>
  <c r="BF57" i="4"/>
  <c r="BG57" i="4"/>
  <c r="BF58" i="4"/>
  <c r="BG58" i="4"/>
  <c r="BF59" i="4"/>
  <c r="BG59" i="4"/>
  <c r="BF60" i="4"/>
  <c r="BG60" i="4"/>
  <c r="BF61" i="4"/>
  <c r="BG61" i="4"/>
  <c r="BF62" i="4"/>
  <c r="BG62" i="4"/>
  <c r="BF63" i="4"/>
  <c r="BG63" i="4"/>
  <c r="BF64" i="4"/>
  <c r="BG64" i="4"/>
  <c r="BF65" i="4"/>
  <c r="BG65" i="4"/>
  <c r="BF66" i="4"/>
  <c r="BG66" i="4"/>
  <c r="BF67" i="4"/>
  <c r="BG67" i="4"/>
  <c r="BF68" i="4"/>
  <c r="BG68" i="4"/>
  <c r="BF69" i="4"/>
  <c r="BG69" i="4"/>
  <c r="BF70" i="4"/>
  <c r="BG70" i="4"/>
  <c r="BF71" i="4"/>
  <c r="BG71" i="4"/>
  <c r="BF72" i="4"/>
  <c r="BG72" i="4"/>
  <c r="BF73" i="4"/>
  <c r="BG73" i="4"/>
  <c r="BF74" i="4"/>
  <c r="BG74" i="4"/>
  <c r="BF75" i="4"/>
  <c r="BG75" i="4"/>
  <c r="BF76" i="4"/>
  <c r="BG76" i="4"/>
  <c r="BF77" i="4"/>
  <c r="BG77" i="4"/>
  <c r="BF78" i="4"/>
  <c r="BG78" i="4"/>
  <c r="BF79" i="4"/>
  <c r="BG79" i="4"/>
  <c r="BF80" i="4"/>
  <c r="BG80" i="4"/>
  <c r="BF81" i="4"/>
  <c r="BG81" i="4"/>
  <c r="BF82" i="4"/>
  <c r="BG82" i="4"/>
  <c r="BF83" i="4"/>
  <c r="BG83" i="4"/>
  <c r="BF84" i="4"/>
  <c r="BG84" i="4"/>
  <c r="BF85" i="4"/>
  <c r="BG85" i="4"/>
  <c r="BF86" i="4"/>
  <c r="BG86" i="4"/>
  <c r="BF87" i="4"/>
  <c r="BG87" i="4"/>
  <c r="BF88" i="4"/>
  <c r="BG88" i="4"/>
  <c r="BF89" i="4"/>
  <c r="BG89" i="4"/>
  <c r="BF90" i="4"/>
  <c r="BG90" i="4"/>
  <c r="BF91" i="4"/>
  <c r="BG91" i="4"/>
  <c r="BF92" i="4"/>
  <c r="BG92" i="4"/>
  <c r="BF93" i="4"/>
  <c r="BG93" i="4"/>
  <c r="BF94" i="4"/>
  <c r="BG94" i="4"/>
  <c r="BF95" i="4"/>
  <c r="BG95" i="4"/>
  <c r="BF96" i="4"/>
  <c r="BG96" i="4"/>
  <c r="BF97" i="4"/>
  <c r="BG97" i="4"/>
  <c r="BF98" i="4"/>
  <c r="BG98" i="4"/>
  <c r="BF99" i="4"/>
  <c r="BG99" i="4"/>
  <c r="BF100" i="4"/>
  <c r="BG100" i="4"/>
  <c r="BF101" i="4"/>
  <c r="BG101" i="4"/>
  <c r="BF102" i="4"/>
  <c r="BG102" i="4"/>
  <c r="BF103" i="4"/>
  <c r="BG103" i="4"/>
  <c r="BF104" i="4"/>
  <c r="BG104" i="4"/>
  <c r="BF105" i="4"/>
  <c r="BG105" i="4"/>
  <c r="BF106" i="4"/>
  <c r="BG106" i="4"/>
  <c r="BF107" i="4"/>
  <c r="BG107" i="4"/>
  <c r="BF108" i="4"/>
  <c r="BG108" i="4"/>
  <c r="BF109" i="4"/>
  <c r="BG109" i="4"/>
  <c r="BF110" i="4"/>
  <c r="BG110" i="4"/>
  <c r="BF111" i="4"/>
  <c r="BG111" i="4"/>
  <c r="BF112" i="4"/>
  <c r="BG112" i="4"/>
  <c r="BF113" i="4"/>
  <c r="BG113" i="4"/>
  <c r="BF114" i="4"/>
  <c r="BG114" i="4"/>
  <c r="BF115" i="4"/>
  <c r="BG115" i="4"/>
  <c r="BF116" i="4"/>
  <c r="BG116" i="4"/>
  <c r="BF117" i="4"/>
  <c r="BG117" i="4"/>
  <c r="BF118" i="4"/>
  <c r="BG118" i="4"/>
  <c r="BF119" i="4"/>
  <c r="BG119" i="4"/>
  <c r="BF120" i="4"/>
  <c r="BG120" i="4"/>
  <c r="BF121" i="4"/>
  <c r="BG121" i="4"/>
  <c r="BF122" i="4"/>
  <c r="BG122" i="4"/>
  <c r="BF123" i="4"/>
  <c r="BG123" i="4"/>
  <c r="BF124" i="4"/>
  <c r="BG124" i="4"/>
  <c r="BF125" i="4"/>
  <c r="BG125" i="4"/>
  <c r="BF126" i="4"/>
  <c r="BG126" i="4"/>
  <c r="BF127" i="4"/>
  <c r="BG127" i="4"/>
  <c r="BF128" i="4"/>
  <c r="BG128" i="4"/>
  <c r="BF129" i="4"/>
  <c r="BG129" i="4"/>
  <c r="BF130" i="4"/>
  <c r="BG130" i="4"/>
  <c r="BF131" i="4"/>
  <c r="BG131" i="4"/>
  <c r="BG2" i="4"/>
  <c r="BF2" i="4"/>
  <c r="A3" i="4"/>
  <c r="B3" i="4"/>
  <c r="A4" i="4"/>
  <c r="B4" i="4"/>
  <c r="A5" i="4"/>
  <c r="B5" i="4"/>
  <c r="A6" i="4"/>
  <c r="B6" i="4"/>
  <c r="A7" i="4"/>
  <c r="B7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A52" i="4"/>
  <c r="B52" i="4"/>
  <c r="A53" i="4"/>
  <c r="B53" i="4"/>
  <c r="A54" i="4"/>
  <c r="B54" i="4"/>
  <c r="A55" i="4"/>
  <c r="B55" i="4"/>
  <c r="A56" i="4"/>
  <c r="B56" i="4"/>
  <c r="A57" i="4"/>
  <c r="B57" i="4"/>
  <c r="A58" i="4"/>
  <c r="B58" i="4"/>
  <c r="A59" i="4"/>
  <c r="B59" i="4"/>
  <c r="A60" i="4"/>
  <c r="B60" i="4"/>
  <c r="A61" i="4"/>
  <c r="B61" i="4"/>
  <c r="A62" i="4"/>
  <c r="B62" i="4"/>
  <c r="A63" i="4"/>
  <c r="B63" i="4"/>
  <c r="A64" i="4"/>
  <c r="B64" i="4"/>
  <c r="A65" i="4"/>
  <c r="B65" i="4"/>
  <c r="A66" i="4"/>
  <c r="B66" i="4"/>
  <c r="A67" i="4"/>
  <c r="B67" i="4"/>
  <c r="A68" i="4"/>
  <c r="B68" i="4"/>
  <c r="A69" i="4"/>
  <c r="B69" i="4"/>
  <c r="A70" i="4"/>
  <c r="B70" i="4"/>
  <c r="A71" i="4"/>
  <c r="B71" i="4"/>
  <c r="A72" i="4"/>
  <c r="B72" i="4"/>
  <c r="A73" i="4"/>
  <c r="B73" i="4"/>
  <c r="A74" i="4"/>
  <c r="B74" i="4"/>
  <c r="A75" i="4"/>
  <c r="B75" i="4"/>
  <c r="A76" i="4"/>
  <c r="B76" i="4"/>
  <c r="A77" i="4"/>
  <c r="B77" i="4"/>
  <c r="A78" i="4"/>
  <c r="B78" i="4"/>
  <c r="A79" i="4"/>
  <c r="B79" i="4"/>
  <c r="A80" i="4"/>
  <c r="B80" i="4"/>
  <c r="A81" i="4"/>
  <c r="B81" i="4"/>
  <c r="A82" i="4"/>
  <c r="B82" i="4"/>
  <c r="A83" i="4"/>
  <c r="B83" i="4"/>
  <c r="A84" i="4"/>
  <c r="B84" i="4"/>
  <c r="A85" i="4"/>
  <c r="B85" i="4"/>
  <c r="A86" i="4"/>
  <c r="B86" i="4"/>
  <c r="A87" i="4"/>
  <c r="B87" i="4"/>
  <c r="A88" i="4"/>
  <c r="B88" i="4"/>
  <c r="A89" i="4"/>
  <c r="B89" i="4"/>
  <c r="A90" i="4"/>
  <c r="B90" i="4"/>
  <c r="A91" i="4"/>
  <c r="B91" i="4"/>
  <c r="A92" i="4"/>
  <c r="B92" i="4"/>
  <c r="A93" i="4"/>
  <c r="B93" i="4"/>
  <c r="A94" i="4"/>
  <c r="B94" i="4"/>
  <c r="A95" i="4"/>
  <c r="B95" i="4"/>
  <c r="A96" i="4"/>
  <c r="B96" i="4"/>
  <c r="A97" i="4"/>
  <c r="B97" i="4"/>
  <c r="A98" i="4"/>
  <c r="B98" i="4"/>
  <c r="A99" i="4"/>
  <c r="B99" i="4"/>
  <c r="A100" i="4"/>
  <c r="B100" i="4"/>
  <c r="A101" i="4"/>
  <c r="B101" i="4"/>
  <c r="A102" i="4"/>
  <c r="B102" i="4"/>
  <c r="A103" i="4"/>
  <c r="B103" i="4"/>
  <c r="A104" i="4"/>
  <c r="B104" i="4"/>
  <c r="A105" i="4"/>
  <c r="B105" i="4"/>
  <c r="A106" i="4"/>
  <c r="B106" i="4"/>
  <c r="A107" i="4"/>
  <c r="B107" i="4"/>
  <c r="A108" i="4"/>
  <c r="B108" i="4"/>
  <c r="A109" i="4"/>
  <c r="B109" i="4"/>
  <c r="A110" i="4"/>
  <c r="B110" i="4"/>
  <c r="A111" i="4"/>
  <c r="B111" i="4"/>
  <c r="A112" i="4"/>
  <c r="B112" i="4"/>
  <c r="A113" i="4"/>
  <c r="B113" i="4"/>
  <c r="A114" i="4"/>
  <c r="B114" i="4"/>
  <c r="A115" i="4"/>
  <c r="B115" i="4"/>
  <c r="A116" i="4"/>
  <c r="B116" i="4"/>
  <c r="A117" i="4"/>
  <c r="B117" i="4"/>
  <c r="A118" i="4"/>
  <c r="B118" i="4"/>
  <c r="A119" i="4"/>
  <c r="B119" i="4"/>
  <c r="A120" i="4"/>
  <c r="B120" i="4"/>
  <c r="A121" i="4"/>
  <c r="B121" i="4"/>
  <c r="A122" i="4"/>
  <c r="B122" i="4"/>
  <c r="A123" i="4"/>
  <c r="B123" i="4"/>
  <c r="A124" i="4"/>
  <c r="B124" i="4"/>
  <c r="A125" i="4"/>
  <c r="B125" i="4"/>
  <c r="A126" i="4"/>
  <c r="B126" i="4"/>
  <c r="A127" i="4"/>
  <c r="B127" i="4"/>
  <c r="A128" i="4"/>
  <c r="B128" i="4"/>
  <c r="A129" i="4"/>
  <c r="B129" i="4"/>
  <c r="A130" i="4"/>
  <c r="B130" i="4"/>
  <c r="A131" i="4"/>
  <c r="B131" i="4"/>
  <c r="B2" i="4"/>
  <c r="A2" i="4"/>
  <c r="BG17" i="5" l="1"/>
  <c r="BK17" i="5"/>
  <c r="BI17" i="5"/>
  <c r="BB17" i="5"/>
  <c r="BD17" i="5"/>
  <c r="AL17" i="5"/>
  <c r="BE17" i="5"/>
  <c r="AM17" i="5"/>
  <c r="AQ17" i="5"/>
  <c r="G17" i="5"/>
  <c r="N17" i="5"/>
  <c r="AW17" i="5"/>
  <c r="L17" i="5"/>
  <c r="J17" i="5"/>
  <c r="AT17" i="5"/>
  <c r="AC17" i="5"/>
  <c r="U17" i="5"/>
  <c r="W17" i="5"/>
  <c r="P17" i="5"/>
  <c r="AY17" i="5"/>
  <c r="E17" i="5"/>
  <c r="F17" i="5"/>
  <c r="AS17" i="5"/>
  <c r="AI17" i="5"/>
  <c r="AA17" i="5"/>
  <c r="X17" i="5"/>
  <c r="AG17" i="5"/>
  <c r="CJ17" i="5"/>
  <c r="CI17" i="5"/>
  <c r="CF17" i="5"/>
  <c r="CE17" i="5"/>
  <c r="CC17" i="5"/>
  <c r="BP17" i="5"/>
  <c r="CA17" i="5"/>
  <c r="BX17" i="5"/>
  <c r="BW17" i="5"/>
  <c r="BT17" i="5"/>
  <c r="BR17" i="5"/>
  <c r="AF17" i="5"/>
  <c r="R17" i="5"/>
  <c r="S17" i="5"/>
  <c r="C1" i="5"/>
  <c r="B18" i="5"/>
  <c r="C17" i="5" s="1"/>
  <c r="AX18" i="5"/>
  <c r="AO29" i="5"/>
  <c r="BO29" i="5"/>
  <c r="BO37" i="5"/>
  <c r="AO37" i="5"/>
  <c r="AX37" i="5"/>
  <c r="AX29" i="5"/>
  <c r="AO18" i="5"/>
  <c r="CL18" i="5"/>
  <c r="AD18" i="5"/>
  <c r="BO18" i="5"/>
  <c r="AD37" i="5"/>
  <c r="AD29" i="5"/>
  <c r="Q29" i="5"/>
  <c r="Q37" i="5"/>
  <c r="Q18" i="5"/>
  <c r="D59" i="5"/>
  <c r="D69" i="5"/>
  <c r="D67" i="5"/>
  <c r="D65" i="5"/>
  <c r="D63" i="5"/>
  <c r="D71" i="5"/>
  <c r="D61" i="5"/>
  <c r="AD36" i="5"/>
  <c r="AD16" i="5"/>
  <c r="AX16" i="5"/>
  <c r="AO16" i="5"/>
  <c r="AO28" i="5"/>
  <c r="D36" i="5"/>
  <c r="D16" i="5"/>
  <c r="AO36" i="5"/>
  <c r="AX36" i="5"/>
  <c r="D28" i="5"/>
  <c r="AD28" i="5"/>
  <c r="AX28" i="5"/>
  <c r="B17" i="5" l="1"/>
  <c r="D17" i="5" s="1"/>
</calcChain>
</file>

<file path=xl/comments1.xml><?xml version="1.0" encoding="utf-8"?>
<comments xmlns="http://schemas.openxmlformats.org/spreadsheetml/2006/main">
  <authors>
    <author>amisep</author>
  </authors>
  <commentList>
    <comment ref="L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</t>
        </r>
      </text>
    </comment>
    <comment ref="AB1" authorId="0" shapeId="0">
      <text>
        <r>
          <rPr>
            <b/>
            <sz val="8"/>
            <color indexed="81"/>
            <rFont val="Tahoma"/>
            <family val="2"/>
          </rPr>
          <t>amisep:</t>
        </r>
        <r>
          <rPr>
            <sz val="8"/>
            <color indexed="81"/>
            <rFont val="Tahoma"/>
            <family val="2"/>
          </rPr>
          <t xml:space="preserve">
À QUEL POLE EMPLOI EST RATACHE LE STAGIAIRE : Vannes EST, Vannes OUEST, Rennes CENTRE, etc.</t>
        </r>
      </text>
    </comment>
    <comment ref="AD1" authorId="0" shapeId="0">
      <text>
        <r>
          <rPr>
            <b/>
            <sz val="7"/>
            <color indexed="81"/>
            <rFont val="Tahoma"/>
            <family val="2"/>
          </rPr>
          <t>amisep:</t>
        </r>
        <r>
          <rPr>
            <sz val="7"/>
            <color indexed="81"/>
            <rFont val="Tahoma"/>
            <family val="2"/>
          </rPr>
          <t xml:space="preserve">
Nouveau système entré en vigueur en  2019 : se calcul tout seul sur la base de l'ancien système saisi en colonne AC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Le + élevé obtenu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Date d'obtention du diplôme le + élevé obtenu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DERNIER EMPLOI OCCUPÉ OU OCCUPÉ PENDANT LA FORMATION</t>
        </r>
      </text>
    </comment>
    <comment ref="AL1" authorId="0" shapeId="0">
      <text>
        <r>
          <rPr>
            <b/>
            <sz val="9"/>
            <color indexed="81"/>
            <rFont val="Tahoma"/>
            <family val="2"/>
          </rPr>
          <t xml:space="preserve">AMISEP
</t>
        </r>
        <r>
          <rPr>
            <sz val="8"/>
            <color indexed="81"/>
            <rFont val="Tahoma"/>
            <family val="2"/>
          </rPr>
          <t>TOTAL DE L'EXPERIENCE PROFESSIONNELLE EN MOIS</t>
        </r>
      </text>
    </comment>
    <comment ref="AM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Dernière formation suivie</t>
        </r>
      </text>
    </comment>
    <comment ref="AN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Année de déarrage de la dernière formation suivie</t>
        </r>
      </text>
    </comment>
    <comment ref="AT1" authorId="0" shapeId="0">
      <text>
        <r>
          <rPr>
            <b/>
            <sz val="9"/>
            <color indexed="81"/>
            <rFont val="Tahoma"/>
            <family val="2"/>
          </rPr>
          <t>PREVISIONNEL</t>
        </r>
      </text>
    </comment>
    <comment ref="AU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1" authorId="0" shapeId="0">
      <text>
        <r>
          <rPr>
            <b/>
            <sz val="9"/>
            <color indexed="81"/>
            <rFont val="Tahoma"/>
            <family val="2"/>
          </rPr>
          <t>PREVISIONNEL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18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c=51
d=117
ei = 5</t>
        </r>
      </text>
    </comment>
    <comment ref="AT19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c=48
d=111
ei = 5</t>
        </r>
      </text>
    </comment>
    <comment ref="AT20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 = 48
d= 111
ei = 5</t>
        </r>
      </text>
    </comment>
    <comment ref="AT21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 = 117
P= 51
EI = 5</t>
        </r>
      </text>
    </comment>
    <comment ref="AT22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D = 117
P= 51
EI = 5</t>
        </r>
      </text>
    </comment>
    <comment ref="AT23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P = 48
d = 87
ei = 5</t>
        </r>
      </text>
    </comment>
    <comment ref="AT24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c=48
d=111
ei = 5</t>
        </r>
      </text>
    </comment>
    <comment ref="AT25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centre 56
entreprise 210
distance 117</t>
        </r>
      </text>
    </comment>
    <comment ref="AT26" authorId="0" shapeId="0">
      <text>
        <r>
          <rPr>
            <b/>
            <sz val="9"/>
            <color indexed="81"/>
            <rFont val="Tahoma"/>
            <family val="2"/>
          </rPr>
          <t>amisep:</t>
        </r>
        <r>
          <rPr>
            <sz val="9"/>
            <color indexed="81"/>
            <rFont val="Tahoma"/>
            <family val="2"/>
          </rPr>
          <t xml:space="preserve">
48 = distance
29 = centre
</t>
        </r>
      </text>
    </comment>
  </commentList>
</comments>
</file>

<file path=xl/comments2.xml><?xml version="1.0" encoding="utf-8"?>
<comments xmlns="http://schemas.openxmlformats.org/spreadsheetml/2006/main">
  <authors>
    <author>amisep</author>
  </authors>
  <commentList>
    <comment ref="B12" authorId="0" shapeId="0">
      <text>
        <r>
          <rPr>
            <sz val="9"/>
            <color indexed="81"/>
            <rFont val="Tahoma"/>
            <family val="2"/>
          </rPr>
          <t>DRIVE &gt; Dossier PREPA &gt; Dossier PREPA Projet &gt; Fichier correspondant</t>
        </r>
      </text>
    </comment>
  </commentList>
</comments>
</file>

<file path=xl/sharedStrings.xml><?xml version="1.0" encoding="utf-8"?>
<sst xmlns="http://schemas.openxmlformats.org/spreadsheetml/2006/main" count="1107" uniqueCount="390">
  <si>
    <t>M</t>
  </si>
  <si>
    <t>T1</t>
  </si>
  <si>
    <t>T2</t>
  </si>
  <si>
    <t>T3</t>
  </si>
  <si>
    <t>T4</t>
  </si>
  <si>
    <t>T5</t>
  </si>
  <si>
    <t>T6</t>
  </si>
  <si>
    <t>T7</t>
  </si>
  <si>
    <t>T8</t>
  </si>
  <si>
    <t>S1</t>
  </si>
  <si>
    <t>S2</t>
  </si>
  <si>
    <t>S3</t>
  </si>
  <si>
    <t>S4</t>
  </si>
  <si>
    <t>S5</t>
  </si>
  <si>
    <t>AJ</t>
  </si>
  <si>
    <t>ANJ</t>
  </si>
  <si>
    <t>E</t>
  </si>
  <si>
    <t>Février 2019</t>
  </si>
  <si>
    <t>ENTRÉE</t>
  </si>
  <si>
    <t>SORTIE PREVUE</t>
  </si>
  <si>
    <t>SORTIE RÉELLE</t>
  </si>
  <si>
    <t>NOM</t>
  </si>
  <si>
    <t>Prénom</t>
  </si>
  <si>
    <t>ADRESSE</t>
  </si>
  <si>
    <t>CP</t>
  </si>
  <si>
    <t>VILLE</t>
  </si>
  <si>
    <t>TEL</t>
  </si>
  <si>
    <t>EMAIL</t>
  </si>
  <si>
    <t>NAISSANCE</t>
  </si>
  <si>
    <t>LIEU</t>
  </si>
  <si>
    <t>AGE</t>
  </si>
  <si>
    <t>SECU</t>
  </si>
  <si>
    <t>REGIME</t>
  </si>
  <si>
    <t>NOM NAISSANCE</t>
  </si>
  <si>
    <t>NOM USAGE</t>
  </si>
  <si>
    <t>TITRE</t>
  </si>
  <si>
    <t>SEXE</t>
  </si>
  <si>
    <t>POLE EMPLOI</t>
  </si>
  <si>
    <t>DEPT</t>
  </si>
  <si>
    <t>INSCR PE</t>
  </si>
  <si>
    <t>IDENTIF PE</t>
  </si>
  <si>
    <t>MR</t>
  </si>
  <si>
    <t>VANNES</t>
  </si>
  <si>
    <t>NIVEAU</t>
  </si>
  <si>
    <t>DIPLÔME</t>
  </si>
  <si>
    <t>OBTENTION</t>
  </si>
  <si>
    <t>CLASSE</t>
  </si>
  <si>
    <t>FIN</t>
  </si>
  <si>
    <t>CONTRAT</t>
  </si>
  <si>
    <t>EXPERIENCE</t>
  </si>
  <si>
    <t>TH</t>
  </si>
  <si>
    <t>MOBILITÉ</t>
  </si>
  <si>
    <t>PC</t>
  </si>
  <si>
    <t>LOGICIELS</t>
  </si>
  <si>
    <t>OUI</t>
  </si>
  <si>
    <t>FORMATION</t>
  </si>
  <si>
    <t>ANNÉEF</t>
  </si>
  <si>
    <t>ANNÉEC</t>
  </si>
  <si>
    <t>SORTIE</t>
  </si>
  <si>
    <t>EMPLOI</t>
  </si>
  <si>
    <t>SORTIEP</t>
  </si>
  <si>
    <t>SORTIER</t>
  </si>
  <si>
    <t>TTC</t>
  </si>
  <si>
    <t>TTE</t>
  </si>
  <si>
    <t>TTA</t>
  </si>
  <si>
    <t>E N-1</t>
  </si>
  <si>
    <t>C N-1</t>
  </si>
  <si>
    <t>MME</t>
  </si>
  <si>
    <t>&lt; 18</t>
  </si>
  <si>
    <t>18-25</t>
  </si>
  <si>
    <t>26-30</t>
  </si>
  <si>
    <t>31-35</t>
  </si>
  <si>
    <t>36-40</t>
  </si>
  <si>
    <t>&gt;=40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</si>
  <si>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</si>
  <si>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</si>
  <si>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</si>
  <si>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</si>
  <si>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</si>
  <si>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</si>
  <si>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</si>
  <si>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</si>
  <si>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</si>
  <si>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</si>
  <si>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</si>
  <si>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</si>
  <si>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</si>
  <si>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</t>
  </si>
  <si>
    <t>SALARIÉ</t>
  </si>
  <si>
    <t>ÉTUDIANT</t>
  </si>
  <si>
    <t>H</t>
  </si>
  <si>
    <t>F</t>
  </si>
  <si>
    <t>PE</t>
  </si>
  <si>
    <t>6-12 mois</t>
  </si>
  <si>
    <t>&gt; 24 mois</t>
  </si>
  <si>
    <t>&lt; 6 mois</t>
  </si>
  <si>
    <t>6-11 mois</t>
  </si>
  <si>
    <t>12-23 mois</t>
  </si>
  <si>
    <t>MIN</t>
  </si>
  <si>
    <t>MAX</t>
  </si>
  <si>
    <t>MOY</t>
  </si>
  <si>
    <t>Voiture</t>
  </si>
  <si>
    <t>Bus</t>
  </si>
  <si>
    <t>Covoiturage</t>
  </si>
  <si>
    <t>Autre</t>
  </si>
  <si>
    <t>PRESCRIPTION</t>
  </si>
  <si>
    <t>ATELIERS THEMATIQUES</t>
  </si>
  <si>
    <t>DURÉE</t>
  </si>
  <si>
    <t>ATELIERS SECTORIELS</t>
  </si>
  <si>
    <t>Emploi</t>
  </si>
  <si>
    <t>Parcours</t>
  </si>
  <si>
    <t>Formation</t>
  </si>
  <si>
    <t>AQ</t>
  </si>
  <si>
    <t>Taux</t>
  </si>
  <si>
    <t>Projet</t>
  </si>
  <si>
    <t>PROJET</t>
  </si>
  <si>
    <t>NON</t>
  </si>
  <si>
    <t>Moto</t>
  </si>
  <si>
    <t>Scooter</t>
  </si>
  <si>
    <t>Vélo</t>
  </si>
  <si>
    <t>Plusieurs</t>
  </si>
  <si>
    <t>MO</t>
  </si>
  <si>
    <t>OO</t>
  </si>
  <si>
    <t>AUTRE</t>
  </si>
  <si>
    <t>CDI</t>
  </si>
  <si>
    <t>CDDI</t>
  </si>
  <si>
    <t>CDD</t>
  </si>
  <si>
    <t>PEC</t>
  </si>
  <si>
    <t>INTERIM</t>
  </si>
  <si>
    <t>VACATION</t>
  </si>
  <si>
    <t>INDEPENDANT</t>
  </si>
  <si>
    <t>CAP</t>
  </si>
  <si>
    <t>BEP</t>
  </si>
  <si>
    <t>BAC GEN</t>
  </si>
  <si>
    <t>BAC PRO</t>
  </si>
  <si>
    <t>BTS</t>
  </si>
  <si>
    <t>DUT</t>
  </si>
  <si>
    <t>LICENCE</t>
  </si>
  <si>
    <t>MASTER</t>
  </si>
  <si>
    <t>DOCTORAT</t>
  </si>
  <si>
    <t>POP</t>
  </si>
  <si>
    <t>PPI</t>
  </si>
  <si>
    <t>COMP TRANSV</t>
  </si>
  <si>
    <t>CCLES</t>
  </si>
  <si>
    <t>ML</t>
  </si>
  <si>
    <t>CD</t>
  </si>
  <si>
    <t>CE</t>
  </si>
  <si>
    <t>VALIDÉ</t>
  </si>
  <si>
    <t>NON-VALIDÉ</t>
  </si>
  <si>
    <t>CDD 3-6 mois</t>
  </si>
  <si>
    <t>CDD 6-12 mois</t>
  </si>
  <si>
    <t>CDD &gt; 12 mois</t>
  </si>
  <si>
    <t>3-6 mois</t>
  </si>
  <si>
    <t>&lt; 3mois</t>
  </si>
  <si>
    <t>&gt; 12 mois</t>
  </si>
  <si>
    <t>Interim</t>
  </si>
  <si>
    <t>CDD &lt; 3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</si>
  <si>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</si>
  <si>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</si>
  <si>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</si>
  <si>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</si>
  <si>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</si>
  <si>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</si>
  <si>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</si>
  <si>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</si>
  <si>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</si>
  <si>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</si>
  <si>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</si>
  <si>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</si>
  <si>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FORM</t>
  </si>
  <si>
    <t>QUALIF</t>
  </si>
  <si>
    <t>NB</t>
  </si>
  <si>
    <t>N+1</t>
  </si>
  <si>
    <t>EC</t>
  </si>
  <si>
    <t>SORTIE ANTICIPÉE</t>
  </si>
  <si>
    <t>MOTIF SORTIE ANTICIPÉE</t>
  </si>
  <si>
    <t>Abandon</t>
  </si>
  <si>
    <t>Problèmes périphériques</t>
  </si>
  <si>
    <t>Au terme de la formation</t>
  </si>
  <si>
    <t>FLE</t>
  </si>
  <si>
    <t>CAQ</t>
  </si>
  <si>
    <t>STATUT</t>
  </si>
  <si>
    <t>SITUATION AVANT</t>
  </si>
  <si>
    <t>PREFOS</t>
  </si>
  <si>
    <t>MGI MIJEC</t>
  </si>
  <si>
    <t>ALTERN</t>
  </si>
  <si>
    <t>SANS FORMATION</t>
  </si>
  <si>
    <t>S/S TOTAL</t>
  </si>
  <si>
    <t>EI</t>
  </si>
  <si>
    <t>T1d</t>
  </si>
  <si>
    <t>T2d</t>
  </si>
  <si>
    <t>T3d</t>
  </si>
  <si>
    <t>T4d</t>
  </si>
  <si>
    <t>T5d</t>
  </si>
  <si>
    <t>T6d</t>
  </si>
  <si>
    <t>T7d</t>
  </si>
  <si>
    <t>T8d</t>
  </si>
  <si>
    <t>S1d</t>
  </si>
  <si>
    <t>S2d</t>
  </si>
  <si>
    <t>S3d</t>
  </si>
  <si>
    <t>S4d</t>
  </si>
  <si>
    <t>S5d</t>
  </si>
  <si>
    <t>p</t>
  </si>
  <si>
    <t>d</t>
  </si>
  <si>
    <t>TT</t>
  </si>
  <si>
    <t>SITUATION</t>
  </si>
  <si>
    <t>SANS NOUVELLES</t>
  </si>
  <si>
    <t>CONGE MATER</t>
  </si>
  <si>
    <t>CONGE LM</t>
  </si>
  <si>
    <t>CONGE PARENT</t>
  </si>
  <si>
    <t>SECTEUR</t>
  </si>
  <si>
    <t>TEMPS</t>
  </si>
  <si>
    <t>AGRICULTURE</t>
  </si>
  <si>
    <t>AGROALIMENTAIRE - ALIMENTATION</t>
  </si>
  <si>
    <t>ANIMAUX</t>
  </si>
  <si>
    <t>ARCHITECTURE - AMÉNAGEMENT INTÉRIEUR</t>
  </si>
  <si>
    <t>ARTISANAT - MÉTIERS D'ART</t>
  </si>
  <si>
    <t>BANQUE - FINANCE - ASSURANCE</t>
  </si>
  <si>
    <t>BÂTIMENT - TRAVAUX PUBLICS</t>
  </si>
  <si>
    <t>BIOLOGIE - CHIMIE</t>
  </si>
  <si>
    <t>COMMERCE - IMMOBILIER</t>
  </si>
  <si>
    <t>COMMUNICATION - INFORMATION</t>
  </si>
  <si>
    <t>CULTURE - SPECTACLE</t>
  </si>
  <si>
    <t>DÉFENSE - SÉCURITÉ - SECOURS</t>
  </si>
  <si>
    <t>DROIT</t>
  </si>
  <si>
    <t>EDITION - IMPRIMERIE - LIVRE</t>
  </si>
  <si>
    <t>INFORMATIQUE - ÉLECTRONIQUE</t>
  </si>
  <si>
    <t>ENSEIGNEMENT - FORMATION</t>
  </si>
  <si>
    <t>ENVIRONNEMENT - NATURE - NETTOYAGE</t>
  </si>
  <si>
    <t>GESTION - AUDIT - RESSOURCES HUMAINES</t>
  </si>
  <si>
    <t>HÔTELLERIE - RESTAURATION - TOURISME</t>
  </si>
  <si>
    <t>HUMANITAIRE</t>
  </si>
  <si>
    <t>INDUSTRIE - MATÉRIAUX</t>
  </si>
  <si>
    <t>LETTRES - SCIENCES HUMAINES</t>
  </si>
  <si>
    <t>MÉCANIQUE - MAINTENANCE</t>
  </si>
  <si>
    <t>NUMÉRIQUE - MULTIMÉDIA - AUDIOVISUEL</t>
  </si>
  <si>
    <t>SANTÉ</t>
  </si>
  <si>
    <t>SCIENCES - MATHS - PHYSIQUE</t>
  </si>
  <si>
    <t>SECRÉTARIAT - ACCUEIL</t>
  </si>
  <si>
    <t>SOCIAL - SERVICES À LA PERSONNE</t>
  </si>
  <si>
    <t>SOINS - ESTHÉTIQUE - COIFFURE</t>
  </si>
  <si>
    <t>SPORT - ANIMATION</t>
  </si>
  <si>
    <t>TRANSPORT - LOGISTIQUE</t>
  </si>
  <si>
    <t>AUTRES SECTEURS</t>
  </si>
  <si>
    <t>PLEIN</t>
  </si>
  <si>
    <t>PARTIEL</t>
  </si>
  <si>
    <t>LIE AU PROJET</t>
  </si>
  <si>
    <t>LIE AU STAGE</t>
  </si>
  <si>
    <t>FORMATION2</t>
  </si>
  <si>
    <t>CONTRAT2</t>
  </si>
  <si>
    <t>PREPA Avenir Jeunes</t>
  </si>
  <si>
    <t>PREPA Projet</t>
  </si>
  <si>
    <t>PREPA Avenir Adultes</t>
  </si>
  <si>
    <t>PREPA Compétences</t>
  </si>
  <si>
    <t>PREPA FLE</t>
  </si>
  <si>
    <t>APPRENTISSAGE</t>
  </si>
  <si>
    <t>CONTRAT PRO</t>
  </si>
  <si>
    <t>LIE AU STAGE2</t>
  </si>
  <si>
    <t>DUREE2</t>
  </si>
  <si>
    <t>&lt; 3 mois</t>
  </si>
  <si>
    <t>ABANDON</t>
  </si>
  <si>
    <t>RE</t>
  </si>
  <si>
    <t>%</t>
  </si>
  <si>
    <t xml:space="preserve">Organisme de formation : </t>
  </si>
  <si>
    <t>AMISEP Formation</t>
  </si>
  <si>
    <t xml:space="preserve">Prestation : </t>
  </si>
  <si>
    <t xml:space="preserve">Numéro de Marché : </t>
  </si>
  <si>
    <t>Entrée</t>
  </si>
  <si>
    <t xml:space="preserve">Dates de la prestation : </t>
  </si>
  <si>
    <t>01/01/2019 - 31/12/2019</t>
  </si>
  <si>
    <t xml:space="preserve">Site : </t>
  </si>
  <si>
    <t>PLOERMEL</t>
  </si>
  <si>
    <t xml:space="preserve">Mois : </t>
  </si>
  <si>
    <t>DATE</t>
  </si>
  <si>
    <t>SIGNATURE</t>
  </si>
  <si>
    <t xml:space="preserve">
Certifié exact, date, cachet et signature</t>
  </si>
  <si>
    <t>LÉGENDE</t>
  </si>
  <si>
    <t>V</t>
  </si>
  <si>
    <t>AURAY</t>
  </si>
  <si>
    <t>REDON</t>
  </si>
  <si>
    <t>PONTIVY</t>
  </si>
  <si>
    <t>01/01/2019 -31/12/2019</t>
  </si>
  <si>
    <t>2018-90563-00</t>
  </si>
  <si>
    <t>2018-90562-00</t>
  </si>
  <si>
    <t>01/01/2020 - 31/12/2020</t>
  </si>
  <si>
    <t>01/01/2021 - 31/12/2021</t>
  </si>
  <si>
    <t>01/01/2022 - 31/12/2022</t>
  </si>
  <si>
    <t>HEURES</t>
  </si>
  <si>
    <t>Rang</t>
  </si>
  <si>
    <t>Sortie anticipée</t>
  </si>
  <si>
    <t>ONGLET "PPa2019"</t>
  </si>
  <si>
    <t>Attention aux colonnes grisées (Elles contiennent soit une liste déroulante, soit une formule)</t>
  </si>
  <si>
    <t>De la colonne AP à BB, noter les durées prévisionnelles pour chacun des ateliers (Thématiques et Sectoriels)</t>
  </si>
  <si>
    <t>Voir la feuille d'émargement pour la légende des ateliers</t>
  </si>
  <si>
    <t>La feuille est vérouillée sans mot de passe</t>
  </si>
  <si>
    <t>ONGLET "PRESENCE A-S-E"</t>
  </si>
  <si>
    <t>2 lignes par stagiaires, la première pour sélectionner l'activité</t>
  </si>
  <si>
    <t>La 2ème pour saisir la durée</t>
  </si>
  <si>
    <t>ONGLET FEC</t>
  </si>
  <si>
    <t>Sélectionner en N2 le N° du stagiaire</t>
  </si>
  <si>
    <t>Les stagiaire sont numérotés (1ère colonne)</t>
  </si>
  <si>
    <t>Sélectionner le site, l'année et le mois</t>
  </si>
  <si>
    <t>ONGLET "Bilans"</t>
  </si>
  <si>
    <t>Permet de saisir les bilans de sortie et à 6 mois</t>
  </si>
  <si>
    <t>ONGLET "STATS"</t>
  </si>
  <si>
    <t>Masqué pour le moment</t>
  </si>
  <si>
    <t>Il manque des formules, elles seront ajoutées ultérieurement</t>
  </si>
  <si>
    <t>QUARTIER PRIORITAIRE</t>
  </si>
  <si>
    <t>INTERNET</t>
  </si>
  <si>
    <t>IMPRIMANTE</t>
  </si>
  <si>
    <t>SERVICE CIVIQUE</t>
  </si>
  <si>
    <t>IAE</t>
  </si>
  <si>
    <t>NIVEAU2</t>
  </si>
  <si>
    <t>Classes de 2e ou 3e cycle de l’enseignement supérieur</t>
  </si>
  <si>
    <t>Aucun diplôme</t>
  </si>
  <si>
    <t>À l'étranger</t>
  </si>
  <si>
    <t>PRESENCE</t>
  </si>
  <si>
    <t>DISTANCE</t>
  </si>
  <si>
    <t>REMUNERATION</t>
  </si>
  <si>
    <t>AF</t>
  </si>
  <si>
    <t>AREF</t>
  </si>
  <si>
    <t>GJ</t>
  </si>
  <si>
    <t>DERNIÈRE CLASSE</t>
  </si>
  <si>
    <t>Métiers du transport et de la logistique</t>
  </si>
  <si>
    <t>Métiers de la Mer</t>
  </si>
  <si>
    <t>Métiers de l’industrie</t>
  </si>
  <si>
    <t>Métiers de l’hôtellerie-restauration</t>
  </si>
  <si>
    <t>Métiers de l’action sociale</t>
  </si>
  <si>
    <t>Métiers de l’agriculture</t>
  </si>
  <si>
    <t>EMARGEMENTS</t>
  </si>
  <si>
    <t>/</t>
  </si>
  <si>
    <t>Feuille d 'émargement</t>
  </si>
  <si>
    <t>BOGOTA (COLOMBIE)</t>
  </si>
  <si>
    <t>01/10/20190</t>
  </si>
  <si>
    <t>RSA + AF</t>
  </si>
  <si>
    <t>AAH + AF</t>
  </si>
  <si>
    <t>Primaire, 6e, 5e, 4e, CPA, CLIPPA, CPPN</t>
  </si>
  <si>
    <t xml:space="preserve">3e ou première année de CAP ou BEP </t>
  </si>
  <si>
    <t>Terminale</t>
  </si>
  <si>
    <t>Niveau V ( CAP/BEP)</t>
  </si>
  <si>
    <t>Classes de 2ème ou 3ème cycle enseignement supérieur</t>
  </si>
  <si>
    <t>1ère ou 2ème année du 1er cycle enseignement supérieur, formations sanitaires et sociales</t>
  </si>
  <si>
    <t>2nde, 1ère enseignement général ou 2ème année CAP/BEP</t>
  </si>
  <si>
    <t>V. BLANZIERI, Assistante administrative</t>
  </si>
  <si>
    <t xml:space="preserve">Couleur  </t>
  </si>
  <si>
    <t>gris = prévisionnel</t>
  </si>
  <si>
    <t>orange = réel qui regroupe présence et distance</t>
  </si>
  <si>
    <t>Brevet des collèges</t>
  </si>
  <si>
    <t>CAP/BEP</t>
  </si>
  <si>
    <t>BAC</t>
  </si>
  <si>
    <t>Maitrise, master 1 = bac + 4</t>
  </si>
  <si>
    <t>DEUG / BTS / DUT / DEUST = bac + 2</t>
  </si>
  <si>
    <t>Licence pro = bac + 3</t>
  </si>
  <si>
    <t>N. I(bac + 5 et plus)</t>
  </si>
  <si>
    <t>N. II (bac + 4 et bac +3)</t>
  </si>
  <si>
    <t>N. III (bac + 2)</t>
  </si>
  <si>
    <t>N. IV (bac)</t>
  </si>
  <si>
    <t>N. V (CAP / BEP)</t>
  </si>
  <si>
    <t>N. VI et Vbis (sans diplôme validé)</t>
  </si>
  <si>
    <t>CSP</t>
  </si>
  <si>
    <t>Agriculteurs,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</si>
  <si>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</si>
  <si>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</si>
  <si>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</si>
  <si>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</si>
  <si>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</si>
  <si>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Jamais travaillé</t>
  </si>
  <si>
    <t>TTC
GLOBAL P et D</t>
  </si>
  <si>
    <t>CAQ Entrée</t>
  </si>
  <si>
    <t>CAQ Fin</t>
  </si>
  <si>
    <t xml:space="preserve">PARTENAIRE : </t>
  </si>
  <si>
    <t>ATELIERS SECTORIELS :</t>
  </si>
  <si>
    <t>ACTIVITÉ</t>
  </si>
  <si>
    <t>Pour chaque atelier et entretien : noter les durées effectives réalisées</t>
  </si>
  <si>
    <t xml:space="preserve">
T1 : Diagnostic situation personnelle et professionnelle
T2 : Diagnostic Mobilité
T3 : Outils numériques de l'orientation et de l'emploi
T4 : Hypothèses de projet professionnel
T5 : Découverte du marché de l'emploi sur le territoire
T6 : Vérification du projet en stage en entreprise
T7 : Mes droits à la formation pour mon projet professionnel
T8 : Information et évaluation CléA</t>
  </si>
  <si>
    <t xml:space="preserve">
EI : Entretien Individuel
V : Fermeture centre
AJ : Absence Justifiée
ANJ : Absnece Non-Justifiée
M : Maladie</t>
  </si>
  <si>
    <r>
      <t xml:space="preserve">
</t>
    </r>
    <r>
      <rPr>
        <b/>
        <sz val="9"/>
        <color rgb="FF595959"/>
        <rFont val="Calibri"/>
        <family val="2"/>
        <scheme val="minor"/>
      </rPr>
      <t>Les absences pour lesquelles il y a un justificatif sont des AJ - Absences Justifiées</t>
    </r>
    <r>
      <rPr>
        <sz val="9"/>
        <color rgb="FF595959"/>
        <rFont val="Calibri"/>
        <family val="2"/>
        <scheme val="minor"/>
      </rPr>
      <t xml:space="preserve"> : absence inférieure à 15 jours ouvrés, emploi, etc.
Excepté les arrêt maladie pour lesquels il faut noter "M"</t>
    </r>
  </si>
  <si>
    <t>AVR - Métiers du transport et de la logistique</t>
  </si>
  <si>
    <t>AVR - Métiers de la Mer</t>
  </si>
  <si>
    <t>AVR - Métiers de l’industrie</t>
  </si>
  <si>
    <t>AVR - Métiers de l’hôtellerie-restauration</t>
  </si>
  <si>
    <t>AVR - Métiers de l’action sociale</t>
  </si>
  <si>
    <t>PPL - Métiers de l’industrie</t>
  </si>
  <si>
    <t>PPL - Métiers de l’agriculture</t>
  </si>
  <si>
    <t>PPL - Métiers du transport et de la logistique</t>
  </si>
  <si>
    <t>PPL - Métiers de l’action sociale</t>
  </si>
  <si>
    <t>31/09/2018</t>
  </si>
  <si>
    <t>mmmm</t>
  </si>
  <si>
    <t>mmm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</si>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</sst>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.0"/>
    <numFmt numFmtId="167" formatCode="###\-###\-##"/>
  </numFmts>
  <fonts count="6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9"/>
      <color theme="7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color rgb="FF244061"/>
      <name val="Calibri"/>
      <family val="2"/>
      <scheme val="minor"/>
    </font>
    <font>
      <sz val="9"/>
      <color rgb="FF244061"/>
      <name val="Calibri"/>
      <family val="2"/>
      <scheme val="minor"/>
    </font>
    <font>
      <b/>
      <sz val="2"/>
      <color rgb="FF7F7F7F"/>
      <name val="Calibri"/>
      <family val="2"/>
      <scheme val="minor"/>
    </font>
    <font>
      <b/>
      <sz val="8"/>
      <color rgb="FF7F7F7F"/>
      <name val="Calibri"/>
      <family val="2"/>
      <scheme val="minor"/>
    </font>
    <font>
      <sz val="7"/>
      <color rgb="FF7F7F7F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rgb="FF595959"/>
      <name val="Calibri"/>
      <family val="2"/>
      <scheme val="minor"/>
    </font>
    <font>
      <sz val="8"/>
      <color rgb="FF7F7F7F"/>
      <name val="Calibri"/>
      <family val="2"/>
      <scheme val="minor"/>
    </font>
    <font>
      <sz val="12"/>
      <color rgb="FF404040"/>
      <name val="Calibri"/>
      <family val="2"/>
      <scheme val="minor"/>
    </font>
    <font>
      <b/>
      <sz val="12"/>
      <color rgb="FF404040"/>
      <name val="Calibri"/>
      <family val="2"/>
      <scheme val="minor"/>
    </font>
    <font>
      <sz val="12"/>
      <color rgb="FFFFFFFF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rgb="FF595959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7"/>
      <color indexed="81"/>
      <name val="Tahoma"/>
      <family val="2"/>
    </font>
    <font>
      <sz val="7"/>
      <color indexed="81"/>
      <name val="Tahoma"/>
      <family val="2"/>
    </font>
    <font>
      <b/>
      <sz val="12"/>
      <color theme="1" tint="4.9989318521683403E-2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sz val="9"/>
      <color rgb="FF595959"/>
      <name val="Calibri"/>
      <family val="2"/>
      <scheme val="minor"/>
    </font>
    <font>
      <b/>
      <i/>
      <sz val="10"/>
      <color rgb="FF595959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4"/>
      <color rgb="FF404040"/>
      <name val="Calibri"/>
      <family val="2"/>
      <scheme val="minor"/>
    </font>
    <font>
      <b/>
      <sz val="14"/>
      <color rgb="FF404040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Down">
        <bgColor theme="0" tint="-0.149967955565050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lightDown">
        <bgColor theme="9" tint="0.5999938962981048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0" fillId="0" borderId="0" applyNumberFormat="0" applyFill="0" applyBorder="0" applyAlignment="0" applyProtection="0"/>
  </cellStyleXfs>
  <cellXfs count="36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3" fillId="7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0" fontId="11" fillId="24" borderId="5" xfId="0" applyFont="1" applyFill="1" applyBorder="1" applyAlignment="1">
      <alignment horizontal="center" vertical="center"/>
    </xf>
    <xf numFmtId="0" fontId="11" fillId="25" borderId="5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3" borderId="5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1" fillId="15" borderId="6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27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9" fillId="19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2" xfId="0" applyFill="1" applyBorder="1"/>
    <xf numFmtId="0" fontId="9" fillId="26" borderId="1" xfId="0" applyFont="1" applyFill="1" applyBorder="1" applyAlignment="1">
      <alignment horizontal="center" vertical="center"/>
    </xf>
    <xf numFmtId="0" fontId="6" fillId="17" borderId="1" xfId="0" applyFont="1" applyFill="1" applyBorder="1"/>
    <xf numFmtId="0" fontId="3" fillId="27" borderId="1" xfId="0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0" fontId="1" fillId="0" borderId="0" xfId="0" applyFont="1"/>
    <xf numFmtId="0" fontId="3" fillId="6" borderId="1" xfId="0" applyFont="1" applyFill="1" applyBorder="1" applyAlignment="1">
      <alignment horizontal="center" vertical="center"/>
    </xf>
    <xf numFmtId="0" fontId="0" fillId="16" borderId="0" xfId="0" applyFill="1"/>
    <xf numFmtId="0" fontId="3" fillId="6" borderId="2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0" fillId="0" borderId="13" xfId="0" applyBorder="1"/>
    <xf numFmtId="0" fontId="0" fillId="0" borderId="0" xfId="0" applyFill="1" applyBorder="1"/>
    <xf numFmtId="0" fontId="10" fillId="0" borderId="1" xfId="0" applyFont="1" applyBorder="1" applyAlignment="1">
      <alignment horizontal="center" vertical="center"/>
    </xf>
    <xf numFmtId="0" fontId="11" fillId="25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9" fillId="0" borderId="1" xfId="0" applyFont="1" applyFill="1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0" fillId="0" borderId="3" xfId="0" applyBorder="1"/>
    <xf numFmtId="0" fontId="9" fillId="13" borderId="4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left" vertical="center"/>
    </xf>
    <xf numFmtId="0" fontId="0" fillId="0" borderId="14" xfId="0" applyBorder="1"/>
    <xf numFmtId="0" fontId="6" fillId="13" borderId="1" xfId="0" applyFont="1" applyFill="1" applyBorder="1"/>
    <xf numFmtId="0" fontId="7" fillId="27" borderId="1" xfId="0" applyFont="1" applyFill="1" applyBorder="1"/>
    <xf numFmtId="0" fontId="1" fillId="9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0" fillId="6" borderId="14" xfId="0" applyFill="1" applyBorder="1"/>
    <xf numFmtId="0" fontId="0" fillId="6" borderId="15" xfId="0" applyFill="1" applyBorder="1"/>
    <xf numFmtId="0" fontId="9" fillId="13" borderId="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28" borderId="1" xfId="0" applyFont="1" applyFill="1" applyBorder="1" applyAlignment="1">
      <alignment horizontal="right" vertical="center"/>
    </xf>
    <xf numFmtId="0" fontId="6" fillId="28" borderId="1" xfId="0" applyFont="1" applyFill="1" applyBorder="1"/>
    <xf numFmtId="0" fontId="3" fillId="23" borderId="1" xfId="0" applyFont="1" applyFill="1" applyBorder="1" applyAlignment="1">
      <alignment horizontal="right" vertical="center"/>
    </xf>
    <xf numFmtId="0" fontId="20" fillId="23" borderId="1" xfId="0" applyFont="1" applyFill="1" applyBorder="1"/>
    <xf numFmtId="0" fontId="20" fillId="23" borderId="1" xfId="0" applyFont="1" applyFill="1" applyBorder="1" applyAlignment="1">
      <alignment vertical="center"/>
    </xf>
    <xf numFmtId="0" fontId="6" fillId="17" borderId="1" xfId="0" applyFont="1" applyFill="1" applyBorder="1" applyAlignment="1">
      <alignment vertical="center"/>
    </xf>
    <xf numFmtId="0" fontId="15" fillId="7" borderId="16" xfId="0" applyFont="1" applyFill="1" applyBorder="1" applyAlignment="1">
      <alignment horizontal="center" vertical="center"/>
    </xf>
    <xf numFmtId="0" fontId="1" fillId="10" borderId="16" xfId="0" applyFont="1" applyFill="1" applyBorder="1"/>
    <xf numFmtId="0" fontId="1" fillId="0" borderId="16" xfId="0" applyFont="1" applyFill="1" applyBorder="1"/>
    <xf numFmtId="0" fontId="8" fillId="23" borderId="1" xfId="0" applyFont="1" applyFill="1" applyBorder="1" applyAlignment="1">
      <alignment horizontal="right" vertical="center"/>
    </xf>
    <xf numFmtId="0" fontId="20" fillId="23" borderId="1" xfId="0" applyFont="1" applyFill="1" applyBorder="1" applyAlignment="1">
      <alignment horizontal="right" vertical="center"/>
    </xf>
    <xf numFmtId="0" fontId="1" fillId="0" borderId="16" xfId="0" applyFont="1" applyBorder="1"/>
    <xf numFmtId="0" fontId="15" fillId="7" borderId="16" xfId="0" applyFont="1" applyFill="1" applyBorder="1" applyAlignment="1">
      <alignment horizontal="left" vertical="center"/>
    </xf>
    <xf numFmtId="0" fontId="2" fillId="10" borderId="16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6" fillId="30" borderId="10" xfId="0" applyFont="1" applyFill="1" applyBorder="1" applyAlignment="1">
      <alignment horizontal="center" vertical="center"/>
    </xf>
    <xf numFmtId="0" fontId="16" fillId="30" borderId="5" xfId="0" applyFont="1" applyFill="1" applyBorder="1" applyAlignment="1">
      <alignment horizontal="center" vertical="center"/>
    </xf>
    <xf numFmtId="0" fontId="16" fillId="30" borderId="11" xfId="0" applyFont="1" applyFill="1" applyBorder="1" applyAlignment="1">
      <alignment horizontal="center" vertical="center"/>
    </xf>
    <xf numFmtId="0" fontId="16" fillId="29" borderId="10" xfId="0" applyFont="1" applyFill="1" applyBorder="1" applyAlignment="1">
      <alignment horizontal="center" vertical="center"/>
    </xf>
    <xf numFmtId="0" fontId="16" fillId="29" borderId="5" xfId="0" applyFont="1" applyFill="1" applyBorder="1" applyAlignment="1">
      <alignment horizontal="center" vertical="center"/>
    </xf>
    <xf numFmtId="0" fontId="16" fillId="29" borderId="11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0" fillId="0" borderId="16" xfId="0" applyBorder="1"/>
    <xf numFmtId="0" fontId="3" fillId="0" borderId="14" xfId="0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19" xfId="0" applyBorder="1"/>
    <xf numFmtId="0" fontId="8" fillId="5" borderId="1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9" fillId="17" borderId="18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vertical="center"/>
    </xf>
    <xf numFmtId="9" fontId="9" fillId="17" borderId="1" xfId="0" applyNumberFormat="1" applyFont="1" applyFill="1" applyBorder="1" applyAlignment="1">
      <alignment vertical="center"/>
    </xf>
    <xf numFmtId="9" fontId="3" fillId="27" borderId="1" xfId="2" applyFont="1" applyFill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0" borderId="25" xfId="0" applyFont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8" fillId="34" borderId="1" xfId="0" applyFont="1" applyFill="1" applyBorder="1" applyAlignment="1">
      <alignment horizontal="center" vertical="center" wrapText="1"/>
    </xf>
    <xf numFmtId="0" fontId="33" fillId="32" borderId="21" xfId="0" applyFont="1" applyFill="1" applyBorder="1" applyAlignment="1">
      <alignment vertical="center" wrapText="1"/>
    </xf>
    <xf numFmtId="0" fontId="33" fillId="32" borderId="24" xfId="0" applyFont="1" applyFill="1" applyBorder="1" applyAlignment="1">
      <alignment vertical="center" wrapText="1"/>
    </xf>
    <xf numFmtId="0" fontId="35" fillId="0" borderId="0" xfId="0" applyFont="1" applyAlignment="1">
      <alignment horizontal="left" vertical="center"/>
    </xf>
    <xf numFmtId="0" fontId="37" fillId="0" borderId="34" xfId="0" applyFont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9" fillId="19" borderId="14" xfId="0" applyFont="1" applyFill="1" applyBorder="1" applyAlignment="1">
      <alignment horizontal="center" vertical="center"/>
    </xf>
    <xf numFmtId="0" fontId="9" fillId="19" borderId="18" xfId="0" applyFont="1" applyFill="1" applyBorder="1" applyAlignment="1">
      <alignment horizontal="center" vertical="center"/>
    </xf>
    <xf numFmtId="0" fontId="9" fillId="19" borderId="17" xfId="0" applyFont="1" applyFill="1" applyBorder="1" applyAlignment="1">
      <alignment horizontal="center" vertical="center"/>
    </xf>
    <xf numFmtId="0" fontId="0" fillId="0" borderId="0" xfId="0" quotePrefix="1"/>
    <xf numFmtId="0" fontId="38" fillId="8" borderId="7" xfId="0" applyFont="1" applyFill="1" applyBorder="1" applyAlignment="1">
      <alignment horizontal="center" vertical="center"/>
    </xf>
    <xf numFmtId="0" fontId="38" fillId="8" borderId="8" xfId="0" applyFont="1" applyFill="1" applyBorder="1" applyAlignment="1">
      <alignment horizontal="center" vertical="center"/>
    </xf>
    <xf numFmtId="0" fontId="38" fillId="8" borderId="9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35" borderId="10" xfId="0" applyFont="1" applyFill="1" applyBorder="1" applyAlignment="1">
      <alignment horizontal="center" vertical="center"/>
    </xf>
    <xf numFmtId="0" fontId="39" fillId="35" borderId="5" xfId="0" applyFont="1" applyFill="1" applyBorder="1" applyAlignment="1">
      <alignment horizontal="center" vertical="center"/>
    </xf>
    <xf numFmtId="0" fontId="39" fillId="35" borderId="11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16" fillId="36" borderId="5" xfId="0" applyFont="1" applyFill="1" applyBorder="1" applyAlignment="1">
      <alignment horizontal="center" vertical="center"/>
    </xf>
    <xf numFmtId="0" fontId="16" fillId="36" borderId="11" xfId="0" applyFont="1" applyFill="1" applyBorder="1" applyAlignment="1">
      <alignment horizontal="center" vertical="center"/>
    </xf>
    <xf numFmtId="0" fontId="38" fillId="38" borderId="7" xfId="0" applyFont="1" applyFill="1" applyBorder="1" applyAlignment="1">
      <alignment horizontal="center" vertical="center"/>
    </xf>
    <xf numFmtId="0" fontId="38" fillId="38" borderId="8" xfId="0" applyFont="1" applyFill="1" applyBorder="1" applyAlignment="1">
      <alignment horizontal="center" vertical="center"/>
    </xf>
    <xf numFmtId="0" fontId="38" fillId="38" borderId="9" xfId="0" applyFont="1" applyFill="1" applyBorder="1" applyAlignment="1">
      <alignment horizontal="center" vertical="center"/>
    </xf>
    <xf numFmtId="2" fontId="40" fillId="0" borderId="0" xfId="0" applyNumberFormat="1" applyFont="1" applyFill="1" applyBorder="1" applyAlignment="1">
      <alignment horizontal="right" vertical="center"/>
    </xf>
    <xf numFmtId="2" fontId="2" fillId="10" borderId="5" xfId="0" applyNumberFormat="1" applyFont="1" applyFill="1" applyBorder="1" applyAlignment="1">
      <alignment horizontal="center" vertical="center"/>
    </xf>
    <xf numFmtId="2" fontId="2" fillId="23" borderId="5" xfId="0" applyNumberFormat="1" applyFont="1" applyFill="1" applyBorder="1" applyAlignment="1">
      <alignment horizontal="center" vertical="center"/>
    </xf>
    <xf numFmtId="2" fontId="2" fillId="22" borderId="6" xfId="0" applyNumberFormat="1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0" fontId="13" fillId="19" borderId="8" xfId="0" applyFont="1" applyFill="1" applyBorder="1" applyAlignment="1">
      <alignment horizontal="center" vertical="center"/>
    </xf>
    <xf numFmtId="0" fontId="13" fillId="19" borderId="9" xfId="0" applyFont="1" applyFill="1" applyBorder="1" applyAlignment="1">
      <alignment horizontal="center" vertical="center"/>
    </xf>
    <xf numFmtId="9" fontId="3" fillId="23" borderId="1" xfId="2" applyFont="1" applyFill="1" applyBorder="1" applyAlignment="1">
      <alignment horizontal="right" vertical="center"/>
    </xf>
    <xf numFmtId="0" fontId="20" fillId="39" borderId="1" xfId="0" applyFont="1" applyFill="1" applyBorder="1" applyAlignment="1">
      <alignment vertical="center"/>
    </xf>
    <xf numFmtId="0" fontId="20" fillId="39" borderId="1" xfId="0" applyFont="1" applyFill="1" applyBorder="1"/>
    <xf numFmtId="9" fontId="8" fillId="23" borderId="1" xfId="2" applyFont="1" applyFill="1" applyBorder="1" applyAlignment="1">
      <alignment horizontal="right" vertical="center"/>
    </xf>
    <xf numFmtId="0" fontId="20" fillId="39" borderId="1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166" fontId="2" fillId="6" borderId="1" xfId="0" applyNumberFormat="1" applyFont="1" applyFill="1" applyBorder="1" applyAlignment="1">
      <alignment vertical="center"/>
    </xf>
    <xf numFmtId="0" fontId="39" fillId="3" borderId="10" xfId="0" applyFont="1" applyFill="1" applyBorder="1" applyAlignment="1">
      <alignment horizontal="center" vertical="center"/>
    </xf>
    <xf numFmtId="0" fontId="39" fillId="3" borderId="5" xfId="0" applyFont="1" applyFill="1" applyBorder="1" applyAlignment="1">
      <alignment horizontal="center" vertical="center"/>
    </xf>
    <xf numFmtId="0" fontId="39" fillId="3" borderId="11" xfId="0" applyFont="1" applyFill="1" applyBorder="1" applyAlignment="1">
      <alignment horizontal="center" vertical="center"/>
    </xf>
    <xf numFmtId="0" fontId="16" fillId="37" borderId="10" xfId="0" applyFont="1" applyFill="1" applyBorder="1" applyAlignment="1">
      <alignment horizontal="center" vertical="center"/>
    </xf>
    <xf numFmtId="0" fontId="16" fillId="37" borderId="5" xfId="0" applyFont="1" applyFill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38" fillId="40" borderId="7" xfId="0" applyFont="1" applyFill="1" applyBorder="1" applyAlignment="1">
      <alignment horizontal="center" vertical="center"/>
    </xf>
    <xf numFmtId="0" fontId="38" fillId="40" borderId="8" xfId="0" applyFont="1" applyFill="1" applyBorder="1" applyAlignment="1">
      <alignment horizontal="center" vertical="center"/>
    </xf>
    <xf numFmtId="0" fontId="38" fillId="40" borderId="9" xfId="0" applyFont="1" applyFill="1" applyBorder="1" applyAlignment="1">
      <alignment horizontal="center" vertical="center"/>
    </xf>
    <xf numFmtId="166" fontId="39" fillId="10" borderId="10" xfId="0" applyNumberFormat="1" applyFont="1" applyFill="1" applyBorder="1" applyAlignment="1">
      <alignment horizontal="right" vertical="center"/>
    </xf>
    <xf numFmtId="166" fontId="39" fillId="10" borderId="5" xfId="0" applyNumberFormat="1" applyFont="1" applyFill="1" applyBorder="1" applyAlignment="1">
      <alignment horizontal="right" vertical="center"/>
    </xf>
    <xf numFmtId="166" fontId="39" fillId="10" borderId="11" xfId="0" applyNumberFormat="1" applyFont="1" applyFill="1" applyBorder="1" applyAlignment="1">
      <alignment horizontal="right" vertical="center"/>
    </xf>
    <xf numFmtId="166" fontId="40" fillId="11" borderId="10" xfId="0" applyNumberFormat="1" applyFont="1" applyFill="1" applyBorder="1" applyAlignment="1">
      <alignment horizontal="right" vertical="center"/>
    </xf>
    <xf numFmtId="166" fontId="40" fillId="11" borderId="5" xfId="0" applyNumberFormat="1" applyFont="1" applyFill="1" applyBorder="1" applyAlignment="1">
      <alignment horizontal="right" vertical="center"/>
    </xf>
    <xf numFmtId="166" fontId="40" fillId="11" borderId="11" xfId="0" applyNumberFormat="1" applyFont="1" applyFill="1" applyBorder="1" applyAlignment="1">
      <alignment horizontal="right" vertical="center"/>
    </xf>
    <xf numFmtId="166" fontId="4" fillId="0" borderId="1" xfId="0" applyNumberFormat="1" applyFont="1" applyBorder="1" applyAlignment="1">
      <alignment vertical="center"/>
    </xf>
    <xf numFmtId="166" fontId="4" fillId="6" borderId="1" xfId="0" applyNumberFormat="1" applyFont="1" applyFill="1" applyBorder="1" applyAlignment="1">
      <alignment vertical="center"/>
    </xf>
    <xf numFmtId="166" fontId="2" fillId="0" borderId="1" xfId="0" applyNumberFormat="1" applyFont="1" applyBorder="1" applyAlignment="1">
      <alignment horizontal="right" vertical="center"/>
    </xf>
    <xf numFmtId="166" fontId="2" fillId="6" borderId="1" xfId="0" applyNumberFormat="1" applyFont="1" applyFill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6" fontId="4" fillId="6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66" fontId="2" fillId="9" borderId="1" xfId="0" applyNumberFormat="1" applyFont="1" applyFill="1" applyBorder="1" applyAlignment="1">
      <alignment vertical="center"/>
    </xf>
    <xf numFmtId="0" fontId="9" fillId="25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9" fontId="8" fillId="18" borderId="1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1" fillId="0" borderId="1" xfId="2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9" fontId="1" fillId="21" borderId="1" xfId="2" applyFont="1" applyFill="1" applyBorder="1" applyAlignment="1">
      <alignment horizontal="center" vertical="center"/>
    </xf>
    <xf numFmtId="9" fontId="3" fillId="21" borderId="1" xfId="2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41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/>
    <xf numFmtId="0" fontId="1" fillId="6" borderId="1" xfId="0" applyFont="1" applyFill="1" applyBorder="1"/>
    <xf numFmtId="0" fontId="1" fillId="6" borderId="1" xfId="0" quotePrefix="1" applyFont="1" applyFill="1" applyBorder="1"/>
    <xf numFmtId="0" fontId="1" fillId="10" borderId="0" xfId="0" applyFont="1" applyFill="1"/>
    <xf numFmtId="0" fontId="11" fillId="2" borderId="5" xfId="0" applyFont="1" applyFill="1" applyBorder="1" applyAlignment="1">
      <alignment horizontal="center" vertical="center"/>
    </xf>
    <xf numFmtId="0" fontId="11" fillId="7" borderId="35" xfId="0" applyFont="1" applyFill="1" applyBorder="1" applyAlignment="1">
      <alignment horizontal="center" vertical="center"/>
    </xf>
    <xf numFmtId="14" fontId="1" fillId="0" borderId="36" xfId="0" applyNumberFormat="1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4" fillId="29" borderId="37" xfId="0" applyNumberFormat="1" applyFont="1" applyFill="1" applyBorder="1" applyAlignment="1">
      <alignment horizontal="center" vertical="center"/>
    </xf>
    <xf numFmtId="2" fontId="4" fillId="29" borderId="5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1" fillId="41" borderId="0" xfId="0" applyFont="1" applyFill="1" applyAlignment="1">
      <alignment horizontal="center" vertical="center"/>
    </xf>
    <xf numFmtId="0" fontId="38" fillId="38" borderId="38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" fontId="1" fillId="6" borderId="5" xfId="0" applyNumberFormat="1" applyFont="1" applyFill="1" applyBorder="1" applyAlignment="1">
      <alignment horizontal="center" vertical="center"/>
    </xf>
    <xf numFmtId="14" fontId="1" fillId="0" borderId="5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6" borderId="5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42" borderId="0" xfId="0" applyFont="1" applyFill="1"/>
    <xf numFmtId="0" fontId="1" fillId="42" borderId="5" xfId="0" applyFont="1" applyFill="1" applyBorder="1" applyAlignment="1">
      <alignment horizontal="center" vertical="center"/>
    </xf>
    <xf numFmtId="0" fontId="22" fillId="42" borderId="0" xfId="0" applyFont="1" applyFill="1" applyAlignment="1">
      <alignment horizontal="center" vertical="center"/>
    </xf>
    <xf numFmtId="0" fontId="17" fillId="42" borderId="0" xfId="0" applyFont="1" applyFill="1" applyAlignment="1">
      <alignment horizontal="center"/>
    </xf>
    <xf numFmtId="0" fontId="10" fillId="42" borderId="0" xfId="0" applyFont="1" applyFill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</xf>
    <xf numFmtId="0" fontId="11" fillId="2" borderId="3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/>
    </xf>
    <xf numFmtId="0" fontId="22" fillId="6" borderId="0" xfId="0" applyFont="1" applyFill="1" applyAlignment="1">
      <alignment vertical="top" wrapText="1"/>
    </xf>
    <xf numFmtId="0" fontId="29" fillId="0" borderId="33" xfId="0" applyFont="1" applyBorder="1" applyAlignment="1">
      <alignment horizontal="center" vertical="center" wrapText="1"/>
    </xf>
    <xf numFmtId="0" fontId="34" fillId="6" borderId="0" xfId="0" applyFont="1" applyFill="1" applyAlignment="1"/>
    <xf numFmtId="0" fontId="36" fillId="0" borderId="0" xfId="0" applyFont="1" applyAlignment="1">
      <alignment vertical="center"/>
    </xf>
    <xf numFmtId="0" fontId="29" fillId="0" borderId="33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0" fillId="0" borderId="0" xfId="0" applyBorder="1"/>
    <xf numFmtId="0" fontId="2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vertical="center" wrapText="1"/>
    </xf>
    <xf numFmtId="0" fontId="13" fillId="19" borderId="1" xfId="0" applyFont="1" applyFill="1" applyBorder="1" applyAlignment="1">
      <alignment horizontal="center" vertical="center" wrapText="1"/>
    </xf>
    <xf numFmtId="14" fontId="44" fillId="0" borderId="2" xfId="0" applyNumberFormat="1" applyFont="1" applyBorder="1" applyAlignment="1">
      <alignment vertical="center" wrapText="1"/>
    </xf>
    <xf numFmtId="0" fontId="44" fillId="0" borderId="3" xfId="0" applyFont="1" applyBorder="1" applyAlignment="1">
      <alignment vertical="center" wrapText="1"/>
    </xf>
    <xf numFmtId="0" fontId="49" fillId="0" borderId="0" xfId="0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1" fillId="0" borderId="0" xfId="0" applyFont="1" applyFill="1" applyBorder="1"/>
    <xf numFmtId="0" fontId="29" fillId="0" borderId="3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vertical="top" wrapText="1"/>
    </xf>
    <xf numFmtId="0" fontId="56" fillId="34" borderId="1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vertical="center" wrapText="1"/>
    </xf>
    <xf numFmtId="0" fontId="59" fillId="0" borderId="3" xfId="0" applyFont="1" applyFill="1" applyBorder="1" applyAlignment="1">
      <alignment vertical="center" wrapText="1"/>
    </xf>
    <xf numFmtId="0" fontId="59" fillId="0" borderId="1" xfId="0" applyFont="1" applyFill="1" applyBorder="1" applyAlignment="1">
      <alignment vertical="center" wrapText="1"/>
    </xf>
    <xf numFmtId="14" fontId="59" fillId="0" borderId="1" xfId="0" applyNumberFormat="1" applyFont="1" applyFill="1" applyBorder="1" applyAlignment="1">
      <alignment vertical="center" wrapText="1"/>
    </xf>
    <xf numFmtId="167" fontId="1" fillId="0" borderId="5" xfId="0" applyNumberFormat="1" applyFont="1" applyBorder="1" applyAlignment="1">
      <alignment horizontal="center" vertical="center"/>
    </xf>
    <xf numFmtId="167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29" fillId="10" borderId="2" xfId="0" applyFont="1" applyFill="1" applyBorder="1" applyAlignment="1">
      <alignment vertical="center" wrapText="1"/>
    </xf>
    <xf numFmtId="0" fontId="53" fillId="10" borderId="1" xfId="0" applyFont="1" applyFill="1" applyBorder="1" applyAlignment="1">
      <alignment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3" xfId="0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49" fontId="1" fillId="0" borderId="39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1" borderId="5" xfId="0" applyFont="1" applyFill="1" applyBorder="1" applyAlignment="1">
      <alignment horizontal="left" vertical="center"/>
    </xf>
    <xf numFmtId="0" fontId="1" fillId="31" borderId="5" xfId="0" applyFont="1" applyFill="1" applyBorder="1" applyAlignment="1" applyProtection="1">
      <alignment horizontal="left" vertical="center"/>
    </xf>
    <xf numFmtId="49" fontId="60" fillId="0" borderId="5" xfId="4" applyNumberFormat="1" applyBorder="1" applyAlignment="1">
      <alignment horizontal="center" vertical="center"/>
    </xf>
    <xf numFmtId="167" fontId="1" fillId="43" borderId="5" xfId="0" applyNumberFormat="1" applyFont="1" applyFill="1" applyBorder="1" applyAlignment="1">
      <alignment horizontal="center" vertical="center"/>
    </xf>
    <xf numFmtId="0" fontId="1" fillId="43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16" fontId="3" fillId="5" borderId="0" xfId="0" applyNumberFormat="1" applyFont="1" applyFill="1" applyAlignment="1">
      <alignment horizontal="center" vertical="center"/>
    </xf>
    <xf numFmtId="16" fontId="4" fillId="5" borderId="2" xfId="0" applyNumberFormat="1" applyFont="1" applyFill="1" applyBorder="1" applyAlignment="1">
      <alignment horizontal="center" vertical="center"/>
    </xf>
    <xf numFmtId="16" fontId="9" fillId="20" borderId="2" xfId="0" applyNumberFormat="1" applyFont="1" applyFill="1" applyBorder="1" applyAlignment="1">
      <alignment horizontal="center" vertical="center"/>
    </xf>
    <xf numFmtId="16" fontId="3" fillId="4" borderId="0" xfId="0" applyNumberFormat="1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16" fontId="3" fillId="0" borderId="2" xfId="0" applyNumberFormat="1" applyFont="1" applyBorder="1" applyAlignment="1">
      <alignment horizontal="center" vertical="center"/>
    </xf>
    <xf numFmtId="16" fontId="9" fillId="20" borderId="2" xfId="0" quotePrefix="1" applyNumberFormat="1" applyFont="1" applyFill="1" applyBorder="1" applyAlignment="1">
      <alignment horizontal="center" vertical="center"/>
    </xf>
    <xf numFmtId="16" fontId="3" fillId="4" borderId="2" xfId="0" applyNumberFormat="1" applyFont="1" applyFill="1" applyBorder="1" applyAlignment="1">
      <alignment horizontal="center" vertical="center"/>
    </xf>
    <xf numFmtId="1" fontId="58" fillId="30" borderId="29" xfId="0" applyNumberFormat="1" applyFont="1" applyFill="1" applyBorder="1" applyAlignment="1">
      <alignment horizontal="center" vertical="center" wrapText="1"/>
    </xf>
    <xf numFmtId="0" fontId="58" fillId="33" borderId="32" xfId="0" applyFont="1" applyFill="1" applyBorder="1" applyAlignment="1">
      <alignment horizontal="left" vertical="center" wrapText="1"/>
    </xf>
    <xf numFmtId="0" fontId="58" fillId="33" borderId="26" xfId="0" applyFont="1" applyFill="1" applyBorder="1" applyAlignment="1">
      <alignment horizontal="left" vertical="center" wrapText="1"/>
    </xf>
    <xf numFmtId="0" fontId="58" fillId="33" borderId="27" xfId="0" applyFont="1" applyFill="1" applyBorder="1" applyAlignment="1">
      <alignment horizontal="left" vertical="center" wrapText="1"/>
    </xf>
    <xf numFmtId="0" fontId="58" fillId="33" borderId="23" xfId="0" applyFont="1" applyFill="1" applyBorder="1" applyAlignment="1">
      <alignment horizontal="left" vertical="center" wrapText="1"/>
    </xf>
    <xf numFmtId="14" fontId="57" fillId="33" borderId="28" xfId="0" applyNumberFormat="1" applyFont="1" applyFill="1" applyBorder="1" applyAlignment="1">
      <alignment horizontal="left" vertical="center" wrapText="1"/>
    </xf>
    <xf numFmtId="14" fontId="57" fillId="33" borderId="29" xfId="0" applyNumberFormat="1" applyFont="1" applyFill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30" fillId="0" borderId="31" xfId="0" applyFont="1" applyBorder="1" applyAlignment="1">
      <alignment horizontal="left" vertical="top" wrapText="1"/>
    </xf>
    <xf numFmtId="0" fontId="57" fillId="33" borderId="32" xfId="0" applyFont="1" applyFill="1" applyBorder="1" applyAlignment="1">
      <alignment horizontal="left" vertical="center" wrapText="1"/>
    </xf>
    <xf numFmtId="0" fontId="57" fillId="33" borderId="26" xfId="0" applyFont="1" applyFill="1" applyBorder="1" applyAlignment="1">
      <alignment horizontal="left" vertical="center" wrapText="1"/>
    </xf>
    <xf numFmtId="0" fontId="57" fillId="33" borderId="27" xfId="0" applyFont="1" applyFill="1" applyBorder="1" applyAlignment="1">
      <alignment horizontal="left" vertical="center" wrapText="1"/>
    </xf>
    <xf numFmtId="0" fontId="57" fillId="33" borderId="23" xfId="0" applyFont="1" applyFill="1" applyBorder="1" applyAlignment="1">
      <alignment horizontal="left" vertical="center" wrapText="1"/>
    </xf>
    <xf numFmtId="0" fontId="33" fillId="32" borderId="26" xfId="0" applyFont="1" applyFill="1" applyBorder="1" applyAlignment="1">
      <alignment horizontal="left" vertical="center" wrapText="1"/>
    </xf>
    <xf numFmtId="0" fontId="33" fillId="32" borderId="25" xfId="0" applyFont="1" applyFill="1" applyBorder="1" applyAlignment="1">
      <alignment horizontal="left" vertical="center" wrapText="1"/>
    </xf>
    <xf numFmtId="0" fontId="33" fillId="32" borderId="23" xfId="0" applyFont="1" applyFill="1" applyBorder="1" applyAlignment="1">
      <alignment horizontal="left" vertical="center" wrapText="1"/>
    </xf>
    <xf numFmtId="0" fontId="33" fillId="32" borderId="22" xfId="0" applyFont="1" applyFill="1" applyBorder="1" applyAlignment="1">
      <alignment horizontal="left" vertical="center" wrapText="1"/>
    </xf>
    <xf numFmtId="0" fontId="33" fillId="32" borderId="29" xfId="0" applyFont="1" applyFill="1" applyBorder="1" applyAlignment="1">
      <alignment horizontal="left" vertical="center" wrapText="1"/>
    </xf>
    <xf numFmtId="0" fontId="33" fillId="32" borderId="30" xfId="0" applyFont="1" applyFill="1" applyBorder="1" applyAlignment="1">
      <alignment horizontal="left" vertical="center" wrapText="1"/>
    </xf>
    <xf numFmtId="0" fontId="53" fillId="0" borderId="0" xfId="0" applyFont="1" applyFill="1" applyBorder="1" applyAlignment="1">
      <alignment horizontal="distributed" vertical="top" wrapText="1" indent="3"/>
    </xf>
    <xf numFmtId="0" fontId="29" fillId="0" borderId="0" xfId="0" applyFont="1" applyFill="1" applyBorder="1" applyAlignment="1">
      <alignment horizontal="left" vertical="top" wrapText="1"/>
    </xf>
    <xf numFmtId="0" fontId="54" fillId="29" borderId="0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17" fontId="58" fillId="29" borderId="28" xfId="0" applyNumberFormat="1" applyFont="1" applyFill="1" applyBorder="1" applyAlignment="1">
      <alignment horizontal="center" vertical="center"/>
    </xf>
    <xf numFmtId="17" fontId="58" fillId="29" borderId="29" xfId="0" applyNumberFormat="1" applyFont="1" applyFill="1" applyBorder="1" applyAlignment="1">
      <alignment horizontal="center" vertical="center"/>
    </xf>
    <xf numFmtId="1" fontId="58" fillId="30" borderId="29" xfId="0" applyNumberFormat="1" applyFont="1" applyFill="1" applyBorder="1" applyAlignment="1">
      <alignment horizontal="center" vertical="center"/>
    </xf>
    <xf numFmtId="17" fontId="58" fillId="29" borderId="28" xfId="0" applyNumberFormat="1" applyFont="1" applyFill="1" applyBorder="1" applyAlignment="1">
      <alignment horizontal="center" vertical="center" wrapText="1"/>
    </xf>
    <xf numFmtId="17" fontId="58" fillId="29" borderId="29" xfId="0" applyNumberFormat="1" applyFont="1" applyFill="1" applyBorder="1" applyAlignment="1">
      <alignment horizontal="center" vertical="center" wrapText="1"/>
    </xf>
    <xf numFmtId="0" fontId="31" fillId="33" borderId="32" xfId="0" applyFont="1" applyFill="1" applyBorder="1" applyAlignment="1">
      <alignment horizontal="left" vertical="center" wrapText="1"/>
    </xf>
    <xf numFmtId="0" fontId="31" fillId="33" borderId="26" xfId="0" applyFont="1" applyFill="1" applyBorder="1" applyAlignment="1">
      <alignment horizontal="left" vertical="center" wrapText="1"/>
    </xf>
    <xf numFmtId="0" fontId="32" fillId="33" borderId="32" xfId="0" applyFont="1" applyFill="1" applyBorder="1" applyAlignment="1">
      <alignment horizontal="left" vertical="center" wrapText="1"/>
    </xf>
    <xf numFmtId="0" fontId="32" fillId="33" borderId="26" xfId="0" applyFont="1" applyFill="1" applyBorder="1" applyAlignment="1">
      <alignment horizontal="left" vertical="center" wrapText="1"/>
    </xf>
    <xf numFmtId="0" fontId="31" fillId="33" borderId="27" xfId="0" applyFont="1" applyFill="1" applyBorder="1" applyAlignment="1">
      <alignment horizontal="left" vertical="center" wrapText="1"/>
    </xf>
    <xf numFmtId="0" fontId="31" fillId="33" borderId="23" xfId="0" applyFont="1" applyFill="1" applyBorder="1" applyAlignment="1">
      <alignment horizontal="left" vertical="center" wrapText="1"/>
    </xf>
    <xf numFmtId="14" fontId="31" fillId="33" borderId="28" xfId="0" applyNumberFormat="1" applyFont="1" applyFill="1" applyBorder="1" applyAlignment="1">
      <alignment horizontal="left" vertical="center" wrapText="1"/>
    </xf>
    <xf numFmtId="14" fontId="31" fillId="33" borderId="29" xfId="0" applyNumberFormat="1" applyFont="1" applyFill="1" applyBorder="1" applyAlignment="1">
      <alignment horizontal="left" vertical="center" wrapText="1"/>
    </xf>
    <xf numFmtId="0" fontId="32" fillId="33" borderId="27" xfId="0" applyFont="1" applyFill="1" applyBorder="1" applyAlignment="1">
      <alignment horizontal="left" vertical="center" wrapText="1"/>
    </xf>
    <xf numFmtId="0" fontId="32" fillId="33" borderId="23" xfId="0" applyFont="1" applyFill="1" applyBorder="1" applyAlignment="1">
      <alignment horizontal="left" vertical="center" wrapText="1"/>
    </xf>
    <xf numFmtId="17" fontId="32" fillId="29" borderId="28" xfId="0" applyNumberFormat="1" applyFont="1" applyFill="1" applyBorder="1" applyAlignment="1">
      <alignment horizontal="center" vertical="center" wrapText="1"/>
    </xf>
    <xf numFmtId="17" fontId="32" fillId="29" borderId="29" xfId="0" applyNumberFormat="1" applyFont="1" applyFill="1" applyBorder="1" applyAlignment="1">
      <alignment horizontal="center" vertical="center" wrapText="1"/>
    </xf>
    <xf numFmtId="1" fontId="32" fillId="30" borderId="29" xfId="0" applyNumberFormat="1" applyFont="1" applyFill="1" applyBorder="1" applyAlignment="1">
      <alignment horizontal="center" vertical="center" wrapText="1"/>
    </xf>
    <xf numFmtId="0" fontId="52" fillId="29" borderId="0" xfId="0" applyFont="1" applyFill="1" applyBorder="1" applyAlignment="1">
      <alignment horizontal="left" vertical="center" indent="1"/>
    </xf>
    <xf numFmtId="0" fontId="52" fillId="0" borderId="0" xfId="0" applyFont="1" applyFill="1" applyBorder="1" applyAlignment="1">
      <alignment horizontal="left" vertical="center" indent="1"/>
    </xf>
    <xf numFmtId="0" fontId="59" fillId="0" borderId="3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3" fillId="19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9" fillId="17" borderId="14" xfId="0" applyFont="1" applyFill="1" applyBorder="1" applyAlignment="1">
      <alignment horizontal="center" vertical="center"/>
    </xf>
    <xf numFmtId="0" fontId="9" fillId="17" borderId="17" xfId="0" applyFont="1" applyFill="1" applyBorder="1" applyAlignment="1">
      <alignment horizontal="center" vertical="center"/>
    </xf>
    <xf numFmtId="0" fontId="9" fillId="19" borderId="14" xfId="0" applyFont="1" applyFill="1" applyBorder="1" applyAlignment="1">
      <alignment horizontal="center" vertical="center"/>
    </xf>
    <xf numFmtId="0" fontId="9" fillId="19" borderId="17" xfId="0" applyFont="1" applyFill="1" applyBorder="1" applyAlignment="1">
      <alignment horizontal="center" vertical="center"/>
    </xf>
    <xf numFmtId="0" fontId="9" fillId="26" borderId="2" xfId="0" applyFont="1" applyFill="1" applyBorder="1" applyAlignment="1">
      <alignment horizontal="center" vertical="center"/>
    </xf>
    <xf numFmtId="0" fontId="9" fillId="26" borderId="3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Milliers 2" xfId="3"/>
    <cellStyle name="Normal" xfId="0" builtinId="0"/>
    <cellStyle name="Pourcentage" xfId="2" builtinId="5"/>
  </cellStyles>
  <dxfs count="20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474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showGridLines="0" view="pageBreakPreview" zoomScale="115" zoomScaleNormal="100" zoomScaleSheetLayoutView="115" workbookViewId="0">
      <selection activeCell="F22" sqref="F22"/>
    </sheetView>
  </sheetViews>
  <sheetFormatPr baseColWidth="10" defaultRowHeight="15" x14ac:dyDescent="0.25"/>
  <sheetData>
    <row r="1" spans="1:2" ht="16.5" customHeight="1" x14ac:dyDescent="0.25">
      <c r="A1" s="55" t="s">
        <v>290</v>
      </c>
    </row>
    <row r="2" spans="1:2" ht="16.5" customHeight="1" x14ac:dyDescent="0.25">
      <c r="A2" t="s">
        <v>300</v>
      </c>
    </row>
    <row r="3" spans="1:2" ht="16.5" customHeight="1" x14ac:dyDescent="0.25">
      <c r="A3" t="s">
        <v>291</v>
      </c>
    </row>
    <row r="4" spans="1:2" ht="16.5" customHeight="1" x14ac:dyDescent="0.25">
      <c r="A4" t="s">
        <v>292</v>
      </c>
    </row>
    <row r="5" spans="1:2" ht="16.5" customHeight="1" x14ac:dyDescent="0.25">
      <c r="A5" t="s">
        <v>293</v>
      </c>
    </row>
    <row r="6" spans="1:2" ht="16.5" customHeight="1" x14ac:dyDescent="0.25">
      <c r="A6" t="s">
        <v>294</v>
      </c>
    </row>
    <row r="7" spans="1:2" ht="16.5" customHeight="1" x14ac:dyDescent="0.25">
      <c r="A7" t="s">
        <v>344</v>
      </c>
      <c r="B7" t="s">
        <v>345</v>
      </c>
    </row>
    <row r="8" spans="1:2" ht="16.5" customHeight="1" x14ac:dyDescent="0.25">
      <c r="B8" t="s">
        <v>346</v>
      </c>
    </row>
    <row r="9" spans="1:2" ht="16.5" customHeight="1" x14ac:dyDescent="0.25"/>
    <row r="10" spans="1:2" ht="16.5" customHeight="1" x14ac:dyDescent="0.25"/>
    <row r="11" spans="1:2" ht="16.5" customHeight="1" x14ac:dyDescent="0.25">
      <c r="A11" s="55" t="s">
        <v>295</v>
      </c>
    </row>
    <row r="12" spans="1:2" ht="16.5" customHeight="1" x14ac:dyDescent="0.25">
      <c r="A12" t="s">
        <v>296</v>
      </c>
    </row>
    <row r="13" spans="1:2" ht="16.5" customHeight="1" x14ac:dyDescent="0.25">
      <c r="A13" t="s">
        <v>297</v>
      </c>
    </row>
    <row r="14" spans="1:2" ht="16.5" customHeight="1" x14ac:dyDescent="0.25"/>
    <row r="15" spans="1:2" ht="16.5" customHeight="1" x14ac:dyDescent="0.25">
      <c r="A15" s="55" t="s">
        <v>298</v>
      </c>
    </row>
    <row r="16" spans="1:2" ht="16.5" customHeight="1" x14ac:dyDescent="0.25">
      <c r="A16" t="s">
        <v>331</v>
      </c>
    </row>
    <row r="17" spans="1:1" ht="16.5" customHeight="1" x14ac:dyDescent="0.25">
      <c r="A17" t="s">
        <v>299</v>
      </c>
    </row>
    <row r="18" spans="1:1" ht="16.5" customHeight="1" x14ac:dyDescent="0.25">
      <c r="A18" t="s">
        <v>301</v>
      </c>
    </row>
    <row r="19" spans="1:1" ht="16.5" customHeight="1" x14ac:dyDescent="0.25"/>
    <row r="20" spans="1:1" ht="16.5" customHeight="1" x14ac:dyDescent="0.25">
      <c r="A20" s="55" t="s">
        <v>302</v>
      </c>
    </row>
    <row r="21" spans="1:1" ht="16.5" customHeight="1" x14ac:dyDescent="0.25">
      <c r="A21" t="s">
        <v>303</v>
      </c>
    </row>
    <row r="22" spans="1:1" ht="16.5" customHeight="1" x14ac:dyDescent="0.25"/>
    <row r="23" spans="1:1" ht="16.5" customHeight="1" x14ac:dyDescent="0.25">
      <c r="A23" s="55" t="s">
        <v>304</v>
      </c>
    </row>
    <row r="24" spans="1:1" ht="16.5" customHeight="1" x14ac:dyDescent="0.25">
      <c r="A24" t="s">
        <v>305</v>
      </c>
    </row>
    <row r="25" spans="1:1" ht="16.5" customHeight="1" x14ac:dyDescent="0.25">
      <c r="A25" t="s">
        <v>306</v>
      </c>
    </row>
  </sheetData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DH202"/>
  <sheetViews>
    <sheetView showGridLines="0" zoomScale="120" zoomScaleNormal="12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G7" sqref="G7"/>
    </sheetView>
  </sheetViews>
  <sheetFormatPr baseColWidth="10" defaultRowHeight="12" x14ac:dyDescent="0.25"/>
  <cols>
    <col min="1" max="1" width="4" style="112" bestFit="1" customWidth="1"/>
    <col min="2" max="2" width="7.42578125" style="111" customWidth="1"/>
    <col min="3" max="4" width="15.42578125" style="111" customWidth="1"/>
    <col min="5" max="5" width="11.85546875" style="111" bestFit="1" customWidth="1"/>
    <col min="6" max="6" width="19.28515625" style="111" customWidth="1"/>
    <col min="7" max="7" width="7.140625" style="112" customWidth="1"/>
    <col min="8" max="8" width="16.42578125" style="112" customWidth="1"/>
    <col min="9" max="9" width="19.5703125" style="112" customWidth="1"/>
    <col min="10" max="10" width="14.5703125" style="113" customWidth="1"/>
    <col min="11" max="11" width="23" style="114" customWidth="1"/>
    <col min="12" max="12" width="11.42578125" style="115" customWidth="1"/>
    <col min="13" max="13" width="13.42578125" style="112" customWidth="1"/>
    <col min="14" max="16" width="7" style="112" customWidth="1"/>
    <col min="17" max="17" width="21.42578125" style="116" customWidth="1"/>
    <col min="18" max="18" width="11.42578125" style="112" customWidth="1"/>
    <col min="19" max="19" width="6.42578125" style="112" customWidth="1"/>
    <col min="20" max="20" width="12.140625" style="112" customWidth="1"/>
    <col min="21" max="21" width="6.42578125" style="112" customWidth="1"/>
    <col min="22" max="22" width="10.28515625" style="112" customWidth="1"/>
    <col min="23" max="23" width="13" style="112" customWidth="1"/>
    <col min="24" max="24" width="9.5703125" style="112" customWidth="1"/>
    <col min="25" max="25" width="11.28515625" style="112" bestFit="1" customWidth="1"/>
    <col min="26" max="26" width="13.28515625" style="112" customWidth="1"/>
    <col min="27" max="27" width="11.42578125" style="112" customWidth="1"/>
    <col min="28" max="28" width="13.28515625" style="112" customWidth="1"/>
    <col min="29" max="29" width="17.140625" style="112" customWidth="1"/>
    <col min="30" max="30" width="11.42578125" style="112" customWidth="1"/>
    <col min="31" max="31" width="24.7109375" style="112" customWidth="1"/>
    <col min="32" max="32" width="14.7109375" style="112" bestFit="1" customWidth="1"/>
    <col min="33" max="33" width="24.5703125" style="112" customWidth="1"/>
    <col min="34" max="34" width="11.42578125" style="112" customWidth="1"/>
    <col min="35" max="35" width="12.28515625" style="112" customWidth="1"/>
    <col min="36" max="40" width="11.42578125" style="112" customWidth="1"/>
    <col min="41" max="41" width="13.28515625" style="112" customWidth="1"/>
    <col min="42" max="44" width="11.42578125" style="112" customWidth="1"/>
    <col min="45" max="45" width="15.42578125" style="112" customWidth="1"/>
    <col min="46" max="47" width="11.42578125" style="112" customWidth="1"/>
    <col min="48" max="60" width="6" style="117" customWidth="1"/>
    <col min="61" max="63" width="11.42578125" style="112" customWidth="1"/>
    <col min="64" max="71" width="6" style="146" customWidth="1"/>
    <col min="72" max="76" width="6" style="117" customWidth="1"/>
    <col min="77" max="84" width="6" style="146" customWidth="1"/>
    <col min="85" max="89" width="6" style="117" customWidth="1"/>
    <col min="90" max="97" width="6" style="146" customWidth="1"/>
    <col min="98" max="103" width="6" style="117" customWidth="1"/>
    <col min="104" max="106" width="11.42578125" style="112"/>
    <col min="107" max="107" width="15" style="112" hidden="1" customWidth="1"/>
    <col min="108" max="108" width="8.42578125" style="112" hidden="1" customWidth="1"/>
    <col min="109" max="109" width="3.28515625" style="112" customWidth="1"/>
    <col min="110" max="110" width="7.140625" style="112" customWidth="1"/>
    <col min="111" max="16384" width="11.42578125" style="112"/>
  </cols>
  <sheetData>
    <row r="1" spans="1:112" s="14" customFormat="1" ht="38.25" x14ac:dyDescent="0.25">
      <c r="A1" s="19" t="s">
        <v>171</v>
      </c>
      <c r="B1" s="16" t="s">
        <v>35</v>
      </c>
      <c r="C1" s="16" t="s">
        <v>33</v>
      </c>
      <c r="D1" s="16" t="s">
        <v>34</v>
      </c>
      <c r="E1" s="16" t="s">
        <v>22</v>
      </c>
      <c r="F1" s="16" t="s">
        <v>23</v>
      </c>
      <c r="G1" s="16" t="s">
        <v>24</v>
      </c>
      <c r="H1" s="16" t="s">
        <v>25</v>
      </c>
      <c r="I1" s="16" t="s">
        <v>307</v>
      </c>
      <c r="J1" s="16" t="s">
        <v>26</v>
      </c>
      <c r="K1" s="16" t="s">
        <v>27</v>
      </c>
      <c r="L1" s="16" t="s">
        <v>28</v>
      </c>
      <c r="M1" s="16" t="s">
        <v>29</v>
      </c>
      <c r="N1" s="16" t="s">
        <v>38</v>
      </c>
      <c r="O1" s="16" t="s">
        <v>30</v>
      </c>
      <c r="P1" s="16" t="s">
        <v>36</v>
      </c>
      <c r="Q1" s="16" t="s">
        <v>31</v>
      </c>
      <c r="R1" s="16" t="s">
        <v>32</v>
      </c>
      <c r="S1" s="16" t="s">
        <v>50</v>
      </c>
      <c r="T1" s="16" t="s">
        <v>51</v>
      </c>
      <c r="U1" s="16" t="s">
        <v>52</v>
      </c>
      <c r="V1" s="16" t="s">
        <v>308</v>
      </c>
      <c r="W1" s="16" t="s">
        <v>309</v>
      </c>
      <c r="X1" s="16" t="s">
        <v>53</v>
      </c>
      <c r="Y1" s="15" t="s">
        <v>181</v>
      </c>
      <c r="Z1" s="15" t="s">
        <v>40</v>
      </c>
      <c r="AA1" s="15" t="s">
        <v>39</v>
      </c>
      <c r="AB1" s="15" t="s">
        <v>37</v>
      </c>
      <c r="AC1" s="16" t="s">
        <v>43</v>
      </c>
      <c r="AD1" s="16" t="s">
        <v>312</v>
      </c>
      <c r="AE1" s="16" t="s">
        <v>44</v>
      </c>
      <c r="AF1" s="16" t="s">
        <v>45</v>
      </c>
      <c r="AG1" s="16" t="s">
        <v>322</v>
      </c>
      <c r="AH1" s="16" t="s">
        <v>57</v>
      </c>
      <c r="AI1" s="16" t="s">
        <v>59</v>
      </c>
      <c r="AJ1" s="16" t="s">
        <v>47</v>
      </c>
      <c r="AK1" s="16" t="s">
        <v>48</v>
      </c>
      <c r="AL1" s="16" t="s">
        <v>49</v>
      </c>
      <c r="AM1" s="16" t="s">
        <v>55</v>
      </c>
      <c r="AN1" s="16" t="s">
        <v>56</v>
      </c>
      <c r="AO1" s="20" t="s">
        <v>105</v>
      </c>
      <c r="AP1" s="20" t="s">
        <v>18</v>
      </c>
      <c r="AQ1" s="20" t="s">
        <v>60</v>
      </c>
      <c r="AR1" s="19" t="s">
        <v>61</v>
      </c>
      <c r="AS1" s="219" t="s">
        <v>318</v>
      </c>
      <c r="AT1" s="249" t="s">
        <v>367</v>
      </c>
      <c r="AU1" s="218" t="s">
        <v>63</v>
      </c>
      <c r="AV1" s="160" t="s">
        <v>1</v>
      </c>
      <c r="AW1" s="161" t="s">
        <v>2</v>
      </c>
      <c r="AX1" s="161" t="s">
        <v>3</v>
      </c>
      <c r="AY1" s="161" t="s">
        <v>4</v>
      </c>
      <c r="AZ1" s="161" t="s">
        <v>5</v>
      </c>
      <c r="BA1" s="161" t="s">
        <v>6</v>
      </c>
      <c r="BB1" s="161" t="s">
        <v>7</v>
      </c>
      <c r="BC1" s="162" t="s">
        <v>8</v>
      </c>
      <c r="BD1" s="160" t="s">
        <v>9</v>
      </c>
      <c r="BE1" s="161" t="s">
        <v>10</v>
      </c>
      <c r="BF1" s="161" t="s">
        <v>11</v>
      </c>
      <c r="BG1" s="161" t="s">
        <v>12</v>
      </c>
      <c r="BH1" s="162" t="s">
        <v>13</v>
      </c>
      <c r="BI1" s="17" t="s">
        <v>62</v>
      </c>
      <c r="BJ1" s="18" t="s">
        <v>63</v>
      </c>
      <c r="BK1" s="21" t="s">
        <v>64</v>
      </c>
      <c r="BL1" s="143" t="s">
        <v>1</v>
      </c>
      <c r="BM1" s="144" t="s">
        <v>2</v>
      </c>
      <c r="BN1" s="144" t="s">
        <v>3</v>
      </c>
      <c r="BO1" s="144" t="s">
        <v>4</v>
      </c>
      <c r="BP1" s="144" t="s">
        <v>5</v>
      </c>
      <c r="BQ1" s="144" t="s">
        <v>6</v>
      </c>
      <c r="BR1" s="144" t="s">
        <v>7</v>
      </c>
      <c r="BS1" s="145" t="s">
        <v>8</v>
      </c>
      <c r="BT1" s="143" t="s">
        <v>9</v>
      </c>
      <c r="BU1" s="144" t="s">
        <v>10</v>
      </c>
      <c r="BV1" s="144" t="s">
        <v>11</v>
      </c>
      <c r="BW1" s="144" t="s">
        <v>12</v>
      </c>
      <c r="BX1" s="145" t="s">
        <v>13</v>
      </c>
      <c r="BY1" s="178" t="s">
        <v>1</v>
      </c>
      <c r="BZ1" s="179" t="s">
        <v>2</v>
      </c>
      <c r="CA1" s="179" t="s">
        <v>3</v>
      </c>
      <c r="CB1" s="179" t="s">
        <v>4</v>
      </c>
      <c r="CC1" s="179" t="s">
        <v>5</v>
      </c>
      <c r="CD1" s="179" t="s">
        <v>6</v>
      </c>
      <c r="CE1" s="179" t="s">
        <v>7</v>
      </c>
      <c r="CF1" s="180" t="s">
        <v>8</v>
      </c>
      <c r="CG1" s="178" t="s">
        <v>9</v>
      </c>
      <c r="CH1" s="179" t="s">
        <v>10</v>
      </c>
      <c r="CI1" s="179" t="s">
        <v>11</v>
      </c>
      <c r="CJ1" s="179" t="s">
        <v>12</v>
      </c>
      <c r="CK1" s="180" t="s">
        <v>13</v>
      </c>
      <c r="CL1" s="153" t="s">
        <v>189</v>
      </c>
      <c r="CM1" s="154" t="s">
        <v>190</v>
      </c>
      <c r="CN1" s="154" t="s">
        <v>191</v>
      </c>
      <c r="CO1" s="154" t="s">
        <v>192</v>
      </c>
      <c r="CP1" s="154" t="s">
        <v>193</v>
      </c>
      <c r="CQ1" s="154" t="s">
        <v>194</v>
      </c>
      <c r="CR1" s="154" t="s">
        <v>195</v>
      </c>
      <c r="CS1" s="155" t="s">
        <v>196</v>
      </c>
      <c r="CT1" s="153" t="s">
        <v>197</v>
      </c>
      <c r="CU1" s="154" t="s">
        <v>198</v>
      </c>
      <c r="CV1" s="154" t="s">
        <v>199</v>
      </c>
      <c r="CW1" s="154" t="s">
        <v>200</v>
      </c>
      <c r="CX1" s="155" t="s">
        <v>201</v>
      </c>
      <c r="CY1" s="226" t="s">
        <v>188</v>
      </c>
      <c r="CZ1" s="19" t="s">
        <v>66</v>
      </c>
      <c r="DA1" s="19" t="s">
        <v>65</v>
      </c>
      <c r="DB1" s="19" t="s">
        <v>172</v>
      </c>
      <c r="DD1" s="14" t="e">
        <f>SUM($DD$2:$DD$201)</f>
        <v>#REF!</v>
      </c>
      <c r="DF1" s="225" t="e">
        <f>SUM($DD$2:$DD$201)</f>
        <v>#REF!</v>
      </c>
      <c r="DG1" s="246" t="s">
        <v>368</v>
      </c>
      <c r="DH1" s="246" t="s">
        <v>369</v>
      </c>
    </row>
    <row r="2" spans="1:112" s="1" customFormat="1" ht="12" customHeight="1" x14ac:dyDescent="0.25">
      <c r="A2" s="64">
        <v>1</v>
      </c>
      <c r="B2" s="233" t="s">
        <v>67</v>
      </c>
      <c r="C2" s="234" t="s">
        <v>387</v>
      </c>
      <c r="D2" s="234" t="s">
        <v>388</v>
      </c>
      <c r="E2" s="234" t="s">
        <v>389</v>
      </c>
      <c r="F2" s="234"/>
      <c r="G2" s="228"/>
      <c r="H2" s="228"/>
      <c r="I2" s="228"/>
      <c r="J2" s="229"/>
      <c r="K2" s="230"/>
      <c r="L2" s="231">
        <v>36720</v>
      </c>
      <c r="M2" s="236" t="s">
        <v>332</v>
      </c>
      <c r="N2" s="228"/>
      <c r="O2" s="235"/>
      <c r="P2" s="227"/>
      <c r="Q2" s="232"/>
      <c r="R2" s="228"/>
      <c r="S2" s="227"/>
      <c r="T2" s="227"/>
      <c r="U2" s="227"/>
      <c r="V2" s="240"/>
      <c r="W2" s="227" t="s">
        <v>54</v>
      </c>
      <c r="X2" s="227" t="s">
        <v>121</v>
      </c>
      <c r="Y2" s="240" t="s">
        <v>87</v>
      </c>
      <c r="Z2" s="281"/>
      <c r="AA2" s="231"/>
      <c r="AB2" s="241"/>
      <c r="AC2" s="247"/>
      <c r="AD2" s="240"/>
      <c r="AE2" s="240"/>
      <c r="AF2" s="241"/>
      <c r="AG2" s="247"/>
      <c r="AH2" s="228"/>
      <c r="AI2" s="247"/>
      <c r="AJ2" s="231"/>
      <c r="AK2" s="240"/>
      <c r="AL2" s="228"/>
      <c r="AM2" s="227"/>
      <c r="AN2" s="228"/>
      <c r="AO2" s="227"/>
      <c r="AP2" s="231"/>
      <c r="AQ2" s="231">
        <v>43599</v>
      </c>
      <c r="AR2" s="69">
        <v>43602</v>
      </c>
      <c r="AS2" s="220" t="s">
        <v>319</v>
      </c>
      <c r="AT2" s="222">
        <v>227</v>
      </c>
      <c r="AU2" s="223">
        <v>210</v>
      </c>
      <c r="AV2" s="99">
        <v>21</v>
      </c>
      <c r="AW2" s="100">
        <v>7</v>
      </c>
      <c r="AX2" s="100">
        <v>14</v>
      </c>
      <c r="AY2" s="100">
        <v>56</v>
      </c>
      <c r="AZ2" s="100">
        <v>21</v>
      </c>
      <c r="BA2" s="100">
        <v>59</v>
      </c>
      <c r="BB2" s="100">
        <v>21</v>
      </c>
      <c r="BC2" s="101">
        <v>0</v>
      </c>
      <c r="BD2" s="96"/>
      <c r="BE2" s="97"/>
      <c r="BF2" s="97"/>
      <c r="BG2" s="97"/>
      <c r="BH2" s="98"/>
      <c r="BI2" s="157" t="e">
        <f>SUM(BL2:BX2)+CY2</f>
        <v>#REF!</v>
      </c>
      <c r="BJ2" s="158" t="e">
        <f>#REF!</f>
        <v>#REF!</v>
      </c>
      <c r="BK2" s="159" t="e">
        <f>#REF!</f>
        <v>#REF!</v>
      </c>
      <c r="BL2" s="181" t="e">
        <f>BY2+CL2</f>
        <v>#REF!</v>
      </c>
      <c r="BM2" s="182" t="e">
        <f t="shared" ref="BM2:BX2" si="0">BZ2+CM2</f>
        <v>#REF!</v>
      </c>
      <c r="BN2" s="182" t="e">
        <f t="shared" si="0"/>
        <v>#REF!</v>
      </c>
      <c r="BO2" s="182" t="e">
        <f t="shared" si="0"/>
        <v>#REF!</v>
      </c>
      <c r="BP2" s="182" t="e">
        <f t="shared" si="0"/>
        <v>#REF!</v>
      </c>
      <c r="BQ2" s="182" t="e">
        <f t="shared" si="0"/>
        <v>#REF!</v>
      </c>
      <c r="BR2" s="182" t="e">
        <f t="shared" si="0"/>
        <v>#REF!</v>
      </c>
      <c r="BS2" s="183" t="e">
        <f t="shared" si="0"/>
        <v>#REF!</v>
      </c>
      <c r="BT2" s="184" t="e">
        <f t="shared" si="0"/>
        <v>#REF!</v>
      </c>
      <c r="BU2" s="185" t="e">
        <f t="shared" si="0"/>
        <v>#REF!</v>
      </c>
      <c r="BV2" s="185" t="e">
        <f t="shared" si="0"/>
        <v>#REF!</v>
      </c>
      <c r="BW2" s="185" t="e">
        <f t="shared" si="0"/>
        <v>#REF!</v>
      </c>
      <c r="BX2" s="186" t="e">
        <f t="shared" si="0"/>
        <v>#REF!</v>
      </c>
      <c r="BY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" s="66"/>
      <c r="DA2" s="66"/>
      <c r="DB2" s="66"/>
      <c r="DC2" s="224" t="str">
        <f t="shared" ref="DC2:DC33" si="1">C2&amp;E2</f>
        <v>mmmmmm</v>
      </c>
      <c r="DD2" s="1">
        <v>1</v>
      </c>
      <c r="DE2" s="252"/>
      <c r="DF2" s="252"/>
      <c r="DG2" s="252"/>
      <c r="DH2" s="252"/>
    </row>
    <row r="3" spans="1:112" s="1" customFormat="1" ht="12" customHeight="1" x14ac:dyDescent="0.25">
      <c r="A3" s="64">
        <v>2</v>
      </c>
      <c r="B3" s="233" t="s">
        <v>67</v>
      </c>
      <c r="C3" s="234"/>
      <c r="D3" s="239"/>
      <c r="E3" s="234"/>
      <c r="F3" s="234"/>
      <c r="G3" s="237"/>
      <c r="H3" s="237"/>
      <c r="I3" s="228"/>
      <c r="J3" s="229"/>
      <c r="K3" s="230"/>
      <c r="L3" s="231"/>
      <c r="M3" s="237"/>
      <c r="N3" s="228"/>
      <c r="O3" s="235"/>
      <c r="P3" s="227"/>
      <c r="Q3" s="232"/>
      <c r="R3" s="228"/>
      <c r="S3" s="227"/>
      <c r="T3" s="227"/>
      <c r="U3" s="227"/>
      <c r="V3" s="240"/>
      <c r="W3" s="227"/>
      <c r="X3" s="240"/>
      <c r="Y3" s="240"/>
      <c r="Z3" s="281"/>
      <c r="AA3" s="231"/>
      <c r="AB3" s="241" t="s">
        <v>278</v>
      </c>
      <c r="AC3" s="248" t="s">
        <v>356</v>
      </c>
      <c r="AD3" s="240">
        <f t="shared" ref="AD3:AD66" si="2">IF($AC3="","",IF($AC3="À l'étranger","À l'étranger",IF($AC3="N. VI et Vbis (sans diplôme validé)",2,IF($AC3="N. V (CAP / BEP)",3,IF($AC3="N. IV (bac)",4,IF($AC3="N. III (bac + 2)",5,IF($AC3="N. II (bac + 4 et bac +3)",6,"7/8")))))))</f>
        <v>4</v>
      </c>
      <c r="AE3" s="240" t="s">
        <v>349</v>
      </c>
      <c r="AF3" s="241">
        <v>2017</v>
      </c>
      <c r="AG3" s="248" t="s">
        <v>341</v>
      </c>
      <c r="AH3" s="228">
        <v>2018</v>
      </c>
      <c r="AI3" s="248" t="s">
        <v>364</v>
      </c>
      <c r="AJ3" s="231">
        <v>43739</v>
      </c>
      <c r="AK3" s="240" t="s">
        <v>126</v>
      </c>
      <c r="AL3" s="241">
        <v>1</v>
      </c>
      <c r="AM3" s="240" t="s">
        <v>133</v>
      </c>
      <c r="AN3" s="241">
        <v>2017</v>
      </c>
      <c r="AO3" s="238" t="s">
        <v>144</v>
      </c>
      <c r="AP3" s="236">
        <v>43500</v>
      </c>
      <c r="AQ3" s="231">
        <v>43599</v>
      </c>
      <c r="AR3" s="66"/>
      <c r="AS3" s="221" t="s">
        <v>319</v>
      </c>
      <c r="AT3" s="222">
        <v>227</v>
      </c>
      <c r="AU3" s="223">
        <v>210</v>
      </c>
      <c r="AV3" s="99">
        <v>21</v>
      </c>
      <c r="AW3" s="100">
        <v>7</v>
      </c>
      <c r="AX3" s="100">
        <v>14</v>
      </c>
      <c r="AY3" s="100">
        <v>56</v>
      </c>
      <c r="AZ3" s="100">
        <v>21</v>
      </c>
      <c r="BA3" s="100">
        <v>59</v>
      </c>
      <c r="BB3" s="100">
        <v>21</v>
      </c>
      <c r="BC3" s="101">
        <v>0</v>
      </c>
      <c r="BD3" s="96"/>
      <c r="BE3" s="97"/>
      <c r="BF3" s="97"/>
      <c r="BG3" s="97"/>
      <c r="BH3" s="98"/>
      <c r="BI3" s="157" t="e">
        <f t="shared" ref="BI3:BI66" si="3">SUM(BL3:BX3)+CY3</f>
        <v>#REF!</v>
      </c>
      <c r="BJ3" s="158" t="e">
        <f>#REF!</f>
        <v>#REF!</v>
      </c>
      <c r="BK3" s="159" t="e">
        <f>#REF!</f>
        <v>#REF!</v>
      </c>
      <c r="BL3" s="181" t="e">
        <f t="shared" ref="BL3:BL66" si="4">BY3+CL3</f>
        <v>#REF!</v>
      </c>
      <c r="BM3" s="182" t="e">
        <f t="shared" ref="BM3:BM66" si="5">BZ3+CM3</f>
        <v>#REF!</v>
      </c>
      <c r="BN3" s="182" t="e">
        <f t="shared" ref="BN3:BN66" si="6">CA3+CN3</f>
        <v>#REF!</v>
      </c>
      <c r="BO3" s="182" t="e">
        <f t="shared" ref="BO3:BO66" si="7">CB3+CO3</f>
        <v>#REF!</v>
      </c>
      <c r="BP3" s="182" t="e">
        <f t="shared" ref="BP3:BP66" si="8">CC3+CP3</f>
        <v>#REF!</v>
      </c>
      <c r="BQ3" s="182" t="e">
        <f t="shared" ref="BQ3:BQ66" si="9">CD3+CQ3</f>
        <v>#REF!</v>
      </c>
      <c r="BR3" s="182" t="e">
        <f t="shared" ref="BR3:BR66" si="10">CE3+CR3</f>
        <v>#REF!</v>
      </c>
      <c r="BS3" s="183" t="e">
        <f t="shared" ref="BS3:BS66" si="11">CF3+CS3</f>
        <v>#REF!</v>
      </c>
      <c r="BT3" s="184" t="e">
        <f t="shared" ref="BT3:BT66" si="12">CG3+CT3</f>
        <v>#REF!</v>
      </c>
      <c r="BU3" s="185" t="e">
        <f t="shared" ref="BU3:BU66" si="13">CH3+CU3</f>
        <v>#REF!</v>
      </c>
      <c r="BV3" s="185" t="e">
        <f t="shared" ref="BV3:BV66" si="14">CI3+CV3</f>
        <v>#REF!</v>
      </c>
      <c r="BW3" s="185" t="e">
        <f t="shared" ref="BW3:BW66" si="15">CJ3+CW3</f>
        <v>#REF!</v>
      </c>
      <c r="BX3" s="186" t="e">
        <f t="shared" ref="BX3:BX66" si="16">CK3+CX3</f>
        <v>#REF!</v>
      </c>
      <c r="BY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" s="66"/>
      <c r="DA3" s="66"/>
      <c r="DB3" s="66"/>
      <c r="DC3" s="224" t="str">
        <f t="shared" si="1"/>
        <v/>
      </c>
      <c r="DD3" s="1">
        <f>IF($DC3="",0,IF(COUNTIF($DC2:$DC$2,$DC3)=0,1,0))</f>
        <v>0</v>
      </c>
      <c r="DE3" s="252"/>
      <c r="DF3" s="252"/>
      <c r="DG3" s="252"/>
      <c r="DH3" s="252"/>
    </row>
    <row r="4" spans="1:112" s="1" customFormat="1" ht="12" customHeight="1" x14ac:dyDescent="0.25">
      <c r="A4" s="64">
        <v>3</v>
      </c>
      <c r="B4" s="233" t="s">
        <v>41</v>
      </c>
      <c r="C4" s="293"/>
      <c r="D4" s="239"/>
      <c r="E4" s="234"/>
      <c r="F4" s="234"/>
      <c r="G4" s="228"/>
      <c r="H4" s="228"/>
      <c r="I4" s="228"/>
      <c r="J4" s="229"/>
      <c r="K4" s="230"/>
      <c r="L4" s="231"/>
      <c r="M4" s="228"/>
      <c r="N4" s="228"/>
      <c r="O4" s="235"/>
      <c r="P4" s="227"/>
      <c r="Q4" s="232"/>
      <c r="R4" s="228"/>
      <c r="S4" s="227"/>
      <c r="T4" s="240"/>
      <c r="U4" s="240"/>
      <c r="V4" s="240"/>
      <c r="W4" s="240"/>
      <c r="X4" s="240"/>
      <c r="Y4" s="240"/>
      <c r="Z4" s="281"/>
      <c r="AA4" s="231"/>
      <c r="AB4" s="241" t="s">
        <v>278</v>
      </c>
      <c r="AC4" s="247" t="s">
        <v>356</v>
      </c>
      <c r="AD4" s="240">
        <f t="shared" si="2"/>
        <v>4</v>
      </c>
      <c r="AE4" s="240" t="s">
        <v>349</v>
      </c>
      <c r="AF4" s="241">
        <v>2018</v>
      </c>
      <c r="AG4" s="247" t="s">
        <v>338</v>
      </c>
      <c r="AH4" s="228">
        <v>2018</v>
      </c>
      <c r="AI4" s="247" t="s">
        <v>366</v>
      </c>
      <c r="AJ4" s="231"/>
      <c r="AK4" s="240"/>
      <c r="AL4" s="241"/>
      <c r="AM4" s="240" t="s">
        <v>133</v>
      </c>
      <c r="AN4" s="241">
        <v>2018</v>
      </c>
      <c r="AO4" s="238" t="s">
        <v>144</v>
      </c>
      <c r="AP4" s="236">
        <v>43500</v>
      </c>
      <c r="AQ4" s="231">
        <v>43579</v>
      </c>
      <c r="AR4" s="231">
        <v>43579</v>
      </c>
      <c r="AS4" s="221" t="s">
        <v>319</v>
      </c>
      <c r="AT4" s="222">
        <v>146</v>
      </c>
      <c r="AU4" s="223">
        <v>210</v>
      </c>
      <c r="AV4" s="99">
        <v>0</v>
      </c>
      <c r="AW4" s="100">
        <v>0</v>
      </c>
      <c r="AX4" s="100">
        <v>14</v>
      </c>
      <c r="AY4" s="100">
        <v>0</v>
      </c>
      <c r="AZ4" s="100">
        <v>21</v>
      </c>
      <c r="BA4" s="100">
        <v>66</v>
      </c>
      <c r="BB4" s="100">
        <v>21</v>
      </c>
      <c r="BC4" s="101">
        <v>0</v>
      </c>
      <c r="BD4" s="96"/>
      <c r="BE4" s="97"/>
      <c r="BF4" s="97"/>
      <c r="BG4" s="97"/>
      <c r="BH4" s="98"/>
      <c r="BI4" s="157" t="e">
        <f t="shared" si="3"/>
        <v>#REF!</v>
      </c>
      <c r="BJ4" s="158" t="e">
        <f>#REF!</f>
        <v>#REF!</v>
      </c>
      <c r="BK4" s="159" t="e">
        <f>#REF!</f>
        <v>#REF!</v>
      </c>
      <c r="BL4" s="181" t="e">
        <f t="shared" si="4"/>
        <v>#REF!</v>
      </c>
      <c r="BM4" s="182" t="e">
        <f t="shared" si="5"/>
        <v>#REF!</v>
      </c>
      <c r="BN4" s="182" t="e">
        <f t="shared" si="6"/>
        <v>#REF!</v>
      </c>
      <c r="BO4" s="182" t="e">
        <f t="shared" si="7"/>
        <v>#REF!</v>
      </c>
      <c r="BP4" s="182" t="e">
        <f t="shared" si="8"/>
        <v>#REF!</v>
      </c>
      <c r="BQ4" s="182" t="e">
        <f t="shared" si="9"/>
        <v>#REF!</v>
      </c>
      <c r="BR4" s="182" t="e">
        <f t="shared" si="10"/>
        <v>#REF!</v>
      </c>
      <c r="BS4" s="183" t="e">
        <f t="shared" si="11"/>
        <v>#REF!</v>
      </c>
      <c r="BT4" s="184" t="e">
        <f t="shared" si="12"/>
        <v>#REF!</v>
      </c>
      <c r="BU4" s="185" t="e">
        <f t="shared" si="13"/>
        <v>#REF!</v>
      </c>
      <c r="BV4" s="185" t="e">
        <f t="shared" si="14"/>
        <v>#REF!</v>
      </c>
      <c r="BW4" s="185" t="e">
        <f t="shared" si="15"/>
        <v>#REF!</v>
      </c>
      <c r="BX4" s="186" t="e">
        <f t="shared" si="16"/>
        <v>#REF!</v>
      </c>
      <c r="BY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" s="66"/>
      <c r="DA4" s="66"/>
      <c r="DB4" s="66"/>
      <c r="DC4" s="224" t="str">
        <f t="shared" si="1"/>
        <v/>
      </c>
      <c r="DD4" s="1">
        <f>IF($DC4="",0,IF(COUNTIF($DC$2:$DC3,$DC4)=0,1,0))</f>
        <v>0</v>
      </c>
      <c r="DE4" s="252"/>
      <c r="DF4" s="252"/>
      <c r="DG4" s="252"/>
      <c r="DH4" s="252"/>
    </row>
    <row r="5" spans="1:112" s="1" customFormat="1" ht="12" customHeight="1" x14ac:dyDescent="0.25">
      <c r="A5" s="64">
        <v>4</v>
      </c>
      <c r="B5" s="233" t="s">
        <v>41</v>
      </c>
      <c r="C5" s="239"/>
      <c r="D5" s="239"/>
      <c r="E5" s="234"/>
      <c r="F5" s="234"/>
      <c r="G5" s="228"/>
      <c r="H5" s="228"/>
      <c r="I5" s="228"/>
      <c r="J5" s="229"/>
      <c r="K5" s="230"/>
      <c r="L5" s="231"/>
      <c r="M5" s="237"/>
      <c r="N5" s="237"/>
      <c r="O5" s="235"/>
      <c r="P5" s="227"/>
      <c r="Q5" s="232"/>
      <c r="R5" s="228"/>
      <c r="S5" s="227"/>
      <c r="T5" s="227"/>
      <c r="U5" s="227"/>
      <c r="V5" s="240"/>
      <c r="W5" s="227"/>
      <c r="X5" s="240"/>
      <c r="Y5" s="240"/>
      <c r="Z5" s="281"/>
      <c r="AA5" s="231"/>
      <c r="AB5" s="241" t="s">
        <v>278</v>
      </c>
      <c r="AC5" s="247" t="s">
        <v>357</v>
      </c>
      <c r="AD5" s="240">
        <f t="shared" si="2"/>
        <v>3</v>
      </c>
      <c r="AE5" s="240" t="s">
        <v>347</v>
      </c>
      <c r="AF5" s="241">
        <v>2015</v>
      </c>
      <c r="AG5" s="247" t="s">
        <v>338</v>
      </c>
      <c r="AH5" s="228">
        <v>2018</v>
      </c>
      <c r="AI5" s="247" t="s">
        <v>366</v>
      </c>
      <c r="AJ5" s="231"/>
      <c r="AK5" s="240"/>
      <c r="AL5" s="241"/>
      <c r="AM5" s="240" t="s">
        <v>134</v>
      </c>
      <c r="AN5" s="241">
        <v>2018</v>
      </c>
      <c r="AO5" s="227" t="s">
        <v>144</v>
      </c>
      <c r="AP5" s="231">
        <v>43500</v>
      </c>
      <c r="AQ5" s="231">
        <v>43598</v>
      </c>
      <c r="AR5" s="66"/>
      <c r="AS5" s="221" t="s">
        <v>319</v>
      </c>
      <c r="AT5" s="222">
        <v>218</v>
      </c>
      <c r="AU5" s="223">
        <v>210</v>
      </c>
      <c r="AV5" s="99">
        <v>21</v>
      </c>
      <c r="AW5" s="100">
        <v>0</v>
      </c>
      <c r="AX5" s="100">
        <v>14</v>
      </c>
      <c r="AY5" s="100">
        <v>56</v>
      </c>
      <c r="AZ5" s="100">
        <v>21</v>
      </c>
      <c r="BA5" s="100">
        <v>59</v>
      </c>
      <c r="BB5" s="100">
        <v>21</v>
      </c>
      <c r="BC5" s="101">
        <v>0</v>
      </c>
      <c r="BD5" s="96"/>
      <c r="BE5" s="97"/>
      <c r="BF5" s="97"/>
      <c r="BG5" s="97"/>
      <c r="BH5" s="98"/>
      <c r="BI5" s="157" t="e">
        <f t="shared" si="3"/>
        <v>#REF!</v>
      </c>
      <c r="BJ5" s="158" t="e">
        <f>#REF!</f>
        <v>#REF!</v>
      </c>
      <c r="BK5" s="159" t="e">
        <f>#REF!</f>
        <v>#REF!</v>
      </c>
      <c r="BL5" s="181" t="e">
        <f t="shared" si="4"/>
        <v>#REF!</v>
      </c>
      <c r="BM5" s="182" t="e">
        <f t="shared" si="5"/>
        <v>#REF!</v>
      </c>
      <c r="BN5" s="182" t="e">
        <f t="shared" si="6"/>
        <v>#REF!</v>
      </c>
      <c r="BO5" s="182" t="e">
        <f t="shared" si="7"/>
        <v>#REF!</v>
      </c>
      <c r="BP5" s="182" t="e">
        <f t="shared" si="8"/>
        <v>#REF!</v>
      </c>
      <c r="BQ5" s="182" t="e">
        <f t="shared" si="9"/>
        <v>#REF!</v>
      </c>
      <c r="BR5" s="182" t="e">
        <f t="shared" si="10"/>
        <v>#REF!</v>
      </c>
      <c r="BS5" s="183" t="e">
        <f t="shared" si="11"/>
        <v>#REF!</v>
      </c>
      <c r="BT5" s="184" t="e">
        <f t="shared" si="12"/>
        <v>#REF!</v>
      </c>
      <c r="BU5" s="185" t="e">
        <f t="shared" si="13"/>
        <v>#REF!</v>
      </c>
      <c r="BV5" s="185" t="e">
        <f t="shared" si="14"/>
        <v>#REF!</v>
      </c>
      <c r="BW5" s="185" t="e">
        <f t="shared" si="15"/>
        <v>#REF!</v>
      </c>
      <c r="BX5" s="186" t="e">
        <f t="shared" si="16"/>
        <v>#REF!</v>
      </c>
      <c r="BY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" s="66"/>
      <c r="DA5" s="66"/>
      <c r="DB5" s="66"/>
      <c r="DC5" s="224" t="str">
        <f t="shared" si="1"/>
        <v/>
      </c>
      <c r="DD5" s="1">
        <f>IF($DC5="",0,IF(COUNTIF($DC$2:$DC4,$DC5)=0,1,0))</f>
        <v>0</v>
      </c>
      <c r="DE5" s="252"/>
      <c r="DF5" s="252"/>
      <c r="DG5" s="252"/>
      <c r="DH5" s="252"/>
    </row>
    <row r="6" spans="1:112" s="1" customFormat="1" ht="12" customHeight="1" x14ac:dyDescent="0.25">
      <c r="A6" s="64">
        <v>5</v>
      </c>
      <c r="B6" s="233" t="s">
        <v>67</v>
      </c>
      <c r="C6" s="234"/>
      <c r="D6" s="239"/>
      <c r="E6" s="234"/>
      <c r="F6" s="234"/>
      <c r="G6" s="228"/>
      <c r="H6" s="228"/>
      <c r="I6" s="228"/>
      <c r="J6" s="229"/>
      <c r="K6" s="230"/>
      <c r="L6" s="231"/>
      <c r="M6" s="237"/>
      <c r="N6" s="228"/>
      <c r="O6" s="235"/>
      <c r="P6" s="227"/>
      <c r="Q6" s="232"/>
      <c r="R6" s="237"/>
      <c r="S6" s="227"/>
      <c r="T6" s="227"/>
      <c r="U6" s="227"/>
      <c r="V6" s="240"/>
      <c r="W6" s="227"/>
      <c r="X6" s="240"/>
      <c r="Y6" s="240"/>
      <c r="Z6" s="281"/>
      <c r="AA6" s="231"/>
      <c r="AB6" s="241" t="s">
        <v>278</v>
      </c>
      <c r="AC6" s="247" t="s">
        <v>354</v>
      </c>
      <c r="AD6" s="240">
        <f t="shared" si="2"/>
        <v>6</v>
      </c>
      <c r="AE6" s="240" t="s">
        <v>352</v>
      </c>
      <c r="AF6" s="241">
        <v>2017</v>
      </c>
      <c r="AG6" s="247" t="s">
        <v>340</v>
      </c>
      <c r="AH6" s="228">
        <v>2018</v>
      </c>
      <c r="AI6" s="247" t="s">
        <v>366</v>
      </c>
      <c r="AJ6" s="231"/>
      <c r="AK6" s="240"/>
      <c r="AL6" s="241"/>
      <c r="AM6" s="227" t="s">
        <v>137</v>
      </c>
      <c r="AN6" s="241">
        <v>2018</v>
      </c>
      <c r="AO6" s="227" t="s">
        <v>144</v>
      </c>
      <c r="AP6" s="231">
        <v>43500</v>
      </c>
      <c r="AQ6" s="231">
        <v>43598</v>
      </c>
      <c r="AR6" s="66"/>
      <c r="AS6" s="221" t="s">
        <v>319</v>
      </c>
      <c r="AT6" s="222">
        <v>218</v>
      </c>
      <c r="AU6" s="223">
        <v>210</v>
      </c>
      <c r="AV6" s="99">
        <v>21</v>
      </c>
      <c r="AW6" s="100">
        <v>0</v>
      </c>
      <c r="AX6" s="100">
        <v>14</v>
      </c>
      <c r="AY6" s="100">
        <v>56</v>
      </c>
      <c r="AZ6" s="100">
        <v>21</v>
      </c>
      <c r="BA6" s="100">
        <v>59</v>
      </c>
      <c r="BB6" s="100">
        <v>21</v>
      </c>
      <c r="BC6" s="101">
        <v>0</v>
      </c>
      <c r="BD6" s="96"/>
      <c r="BE6" s="97"/>
      <c r="BF6" s="97"/>
      <c r="BG6" s="97"/>
      <c r="BH6" s="98"/>
      <c r="BI6" s="157" t="e">
        <f t="shared" si="3"/>
        <v>#REF!</v>
      </c>
      <c r="BJ6" s="158" t="e">
        <f>#REF!</f>
        <v>#REF!</v>
      </c>
      <c r="BK6" s="159" t="e">
        <f>#REF!</f>
        <v>#REF!</v>
      </c>
      <c r="BL6" s="181" t="e">
        <f t="shared" si="4"/>
        <v>#REF!</v>
      </c>
      <c r="BM6" s="182" t="e">
        <f t="shared" si="5"/>
        <v>#REF!</v>
      </c>
      <c r="BN6" s="182" t="e">
        <f t="shared" si="6"/>
        <v>#REF!</v>
      </c>
      <c r="BO6" s="182" t="e">
        <f t="shared" si="7"/>
        <v>#REF!</v>
      </c>
      <c r="BP6" s="182" t="e">
        <f t="shared" si="8"/>
        <v>#REF!</v>
      </c>
      <c r="BQ6" s="182" t="e">
        <f t="shared" si="9"/>
        <v>#REF!</v>
      </c>
      <c r="BR6" s="182" t="e">
        <f t="shared" si="10"/>
        <v>#REF!</v>
      </c>
      <c r="BS6" s="183" t="e">
        <f t="shared" si="11"/>
        <v>#REF!</v>
      </c>
      <c r="BT6" s="184" t="e">
        <f t="shared" si="12"/>
        <v>#REF!</v>
      </c>
      <c r="BU6" s="185" t="e">
        <f t="shared" si="13"/>
        <v>#REF!</v>
      </c>
      <c r="BV6" s="185" t="e">
        <f t="shared" si="14"/>
        <v>#REF!</v>
      </c>
      <c r="BW6" s="185" t="e">
        <f t="shared" si="15"/>
        <v>#REF!</v>
      </c>
      <c r="BX6" s="186" t="e">
        <f t="shared" si="16"/>
        <v>#REF!</v>
      </c>
      <c r="BY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" s="66"/>
      <c r="DA6" s="66"/>
      <c r="DB6" s="66"/>
      <c r="DC6" s="224" t="str">
        <f t="shared" si="1"/>
        <v/>
      </c>
      <c r="DD6" s="1">
        <f>IF($DC6="",0,IF(COUNTIF($DC$2:$DC5,$DC6)=0,1,0))</f>
        <v>0</v>
      </c>
      <c r="DE6" s="252"/>
      <c r="DF6" s="252"/>
      <c r="DG6" s="252"/>
      <c r="DH6" s="252"/>
    </row>
    <row r="7" spans="1:112" s="1" customFormat="1" ht="12" customHeight="1" x14ac:dyDescent="0.25">
      <c r="A7" s="64">
        <v>6</v>
      </c>
      <c r="B7" s="233" t="s">
        <v>41</v>
      </c>
      <c r="C7" s="239"/>
      <c r="D7" s="239"/>
      <c r="E7" s="234"/>
      <c r="F7" s="234"/>
      <c r="G7" s="228"/>
      <c r="H7" s="228"/>
      <c r="I7" s="228"/>
      <c r="J7" s="229"/>
      <c r="K7" s="230"/>
      <c r="L7" s="231"/>
      <c r="M7" s="237"/>
      <c r="N7" s="237"/>
      <c r="O7" s="235"/>
      <c r="P7" s="227"/>
      <c r="Q7" s="232"/>
      <c r="R7" s="228"/>
      <c r="S7" s="227"/>
      <c r="T7" s="227"/>
      <c r="U7" s="227"/>
      <c r="V7" s="240"/>
      <c r="W7" s="227"/>
      <c r="X7" s="240"/>
      <c r="Y7" s="240"/>
      <c r="Z7" s="281"/>
      <c r="AA7" s="231"/>
      <c r="AB7" s="241" t="s">
        <v>278</v>
      </c>
      <c r="AC7" s="247" t="s">
        <v>356</v>
      </c>
      <c r="AD7" s="240">
        <f t="shared" si="2"/>
        <v>4</v>
      </c>
      <c r="AE7" s="240" t="s">
        <v>349</v>
      </c>
      <c r="AF7" s="241">
        <v>2013</v>
      </c>
      <c r="AG7" s="247" t="s">
        <v>341</v>
      </c>
      <c r="AH7" s="228">
        <v>2013</v>
      </c>
      <c r="AI7" s="247" t="s">
        <v>364</v>
      </c>
      <c r="AJ7" s="231"/>
      <c r="AK7" s="240" t="s">
        <v>128</v>
      </c>
      <c r="AL7" s="241">
        <v>3</v>
      </c>
      <c r="AM7" s="227" t="s">
        <v>133</v>
      </c>
      <c r="AN7" s="241"/>
      <c r="AO7" s="227" t="s">
        <v>144</v>
      </c>
      <c r="AP7" s="236">
        <v>43501</v>
      </c>
      <c r="AQ7" s="231">
        <v>43598</v>
      </c>
      <c r="AR7" s="66"/>
      <c r="AS7" s="221" t="s">
        <v>320</v>
      </c>
      <c r="AT7" s="222">
        <v>218</v>
      </c>
      <c r="AU7" s="223">
        <v>210</v>
      </c>
      <c r="AV7" s="99">
        <v>21</v>
      </c>
      <c r="AW7" s="100">
        <v>0</v>
      </c>
      <c r="AX7" s="100">
        <v>14</v>
      </c>
      <c r="AY7" s="100">
        <v>56</v>
      </c>
      <c r="AZ7" s="100">
        <v>21</v>
      </c>
      <c r="BA7" s="100">
        <v>59</v>
      </c>
      <c r="BB7" s="100">
        <v>21</v>
      </c>
      <c r="BC7" s="101">
        <v>0</v>
      </c>
      <c r="BD7" s="96"/>
      <c r="BE7" s="97"/>
      <c r="BF7" s="97"/>
      <c r="BG7" s="97"/>
      <c r="BH7" s="98"/>
      <c r="BI7" s="157" t="e">
        <f t="shared" si="3"/>
        <v>#REF!</v>
      </c>
      <c r="BJ7" s="158" t="e">
        <f>#REF!</f>
        <v>#REF!</v>
      </c>
      <c r="BK7" s="159" t="e">
        <f>#REF!</f>
        <v>#REF!</v>
      </c>
      <c r="BL7" s="181" t="e">
        <f t="shared" si="4"/>
        <v>#REF!</v>
      </c>
      <c r="BM7" s="182" t="e">
        <f t="shared" si="5"/>
        <v>#REF!</v>
      </c>
      <c r="BN7" s="182" t="e">
        <f t="shared" si="6"/>
        <v>#REF!</v>
      </c>
      <c r="BO7" s="182" t="e">
        <f t="shared" si="7"/>
        <v>#REF!</v>
      </c>
      <c r="BP7" s="182" t="e">
        <f t="shared" si="8"/>
        <v>#REF!</v>
      </c>
      <c r="BQ7" s="182" t="e">
        <f t="shared" si="9"/>
        <v>#REF!</v>
      </c>
      <c r="BR7" s="182" t="e">
        <f t="shared" si="10"/>
        <v>#REF!</v>
      </c>
      <c r="BS7" s="183" t="e">
        <f t="shared" si="11"/>
        <v>#REF!</v>
      </c>
      <c r="BT7" s="184" t="e">
        <f t="shared" si="12"/>
        <v>#REF!</v>
      </c>
      <c r="BU7" s="185" t="e">
        <f t="shared" si="13"/>
        <v>#REF!</v>
      </c>
      <c r="BV7" s="185" t="e">
        <f t="shared" si="14"/>
        <v>#REF!</v>
      </c>
      <c r="BW7" s="185" t="e">
        <f t="shared" si="15"/>
        <v>#REF!</v>
      </c>
      <c r="BX7" s="186" t="e">
        <f t="shared" si="16"/>
        <v>#REF!</v>
      </c>
      <c r="BY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" s="66"/>
      <c r="DA7" s="66"/>
      <c r="DB7" s="66"/>
      <c r="DC7" s="224" t="str">
        <f t="shared" si="1"/>
        <v/>
      </c>
      <c r="DD7" s="1">
        <f>IF($DC7="",0,IF(COUNTIF($DC$2:$DC6,$DC7)=0,1,0))</f>
        <v>0</v>
      </c>
      <c r="DE7" s="252"/>
      <c r="DF7" s="252"/>
      <c r="DG7" s="252"/>
      <c r="DH7" s="252"/>
    </row>
    <row r="8" spans="1:112" s="1" customFormat="1" ht="12" customHeight="1" x14ac:dyDescent="0.25">
      <c r="A8" s="64">
        <v>7</v>
      </c>
      <c r="B8" s="233" t="s">
        <v>41</v>
      </c>
      <c r="C8" s="239"/>
      <c r="D8" s="239"/>
      <c r="E8" s="234"/>
      <c r="F8" s="234"/>
      <c r="G8" s="228"/>
      <c r="H8" s="228"/>
      <c r="I8" s="228"/>
      <c r="J8" s="229"/>
      <c r="K8" s="230"/>
      <c r="L8" s="231"/>
      <c r="M8" s="228"/>
      <c r="N8" s="228"/>
      <c r="O8" s="235"/>
      <c r="P8" s="227"/>
      <c r="Q8" s="232"/>
      <c r="R8" s="228"/>
      <c r="S8" s="227"/>
      <c r="T8" s="240"/>
      <c r="U8" s="240"/>
      <c r="V8" s="240"/>
      <c r="W8" s="227"/>
      <c r="X8" s="240"/>
      <c r="Y8" s="240"/>
      <c r="Z8" s="281"/>
      <c r="AA8" s="231"/>
      <c r="AB8" s="241" t="s">
        <v>278</v>
      </c>
      <c r="AC8" s="247" t="s">
        <v>357</v>
      </c>
      <c r="AD8" s="240">
        <f t="shared" si="2"/>
        <v>3</v>
      </c>
      <c r="AE8" s="240" t="s">
        <v>347</v>
      </c>
      <c r="AF8" s="241">
        <v>2014</v>
      </c>
      <c r="AG8" s="247" t="s">
        <v>342</v>
      </c>
      <c r="AH8" s="228">
        <v>2016</v>
      </c>
      <c r="AI8" s="247" t="s">
        <v>366</v>
      </c>
      <c r="AJ8" s="231"/>
      <c r="AK8" s="240"/>
      <c r="AL8" s="241"/>
      <c r="AM8" s="240" t="s">
        <v>133</v>
      </c>
      <c r="AN8" s="241">
        <v>2018</v>
      </c>
      <c r="AO8" s="227" t="s">
        <v>144</v>
      </c>
      <c r="AP8" s="231">
        <v>43503</v>
      </c>
      <c r="AQ8" s="231">
        <v>43602</v>
      </c>
      <c r="AR8" s="231">
        <v>43524</v>
      </c>
      <c r="AS8" s="221" t="s">
        <v>319</v>
      </c>
      <c r="AT8" s="222">
        <v>227</v>
      </c>
      <c r="AU8" s="223">
        <v>210</v>
      </c>
      <c r="AV8" s="99">
        <v>21</v>
      </c>
      <c r="AW8" s="100">
        <v>7</v>
      </c>
      <c r="AX8" s="100">
        <v>14</v>
      </c>
      <c r="AY8" s="100">
        <v>56</v>
      </c>
      <c r="AZ8" s="100">
        <v>21</v>
      </c>
      <c r="BA8" s="100">
        <v>59</v>
      </c>
      <c r="BB8" s="100">
        <v>21</v>
      </c>
      <c r="BC8" s="101">
        <v>0</v>
      </c>
      <c r="BD8" s="96"/>
      <c r="BE8" s="97"/>
      <c r="BF8" s="97"/>
      <c r="BG8" s="97"/>
      <c r="BH8" s="98"/>
      <c r="BI8" s="157" t="e">
        <f t="shared" si="3"/>
        <v>#REF!</v>
      </c>
      <c r="BJ8" s="158" t="e">
        <f>#REF!</f>
        <v>#REF!</v>
      </c>
      <c r="BK8" s="159" t="e">
        <f>#REF!</f>
        <v>#REF!</v>
      </c>
      <c r="BL8" s="181" t="e">
        <f t="shared" si="4"/>
        <v>#REF!</v>
      </c>
      <c r="BM8" s="182" t="e">
        <f t="shared" si="5"/>
        <v>#REF!</v>
      </c>
      <c r="BN8" s="182" t="e">
        <f t="shared" si="6"/>
        <v>#REF!</v>
      </c>
      <c r="BO8" s="182" t="e">
        <f t="shared" si="7"/>
        <v>#REF!</v>
      </c>
      <c r="BP8" s="182" t="e">
        <f t="shared" si="8"/>
        <v>#REF!</v>
      </c>
      <c r="BQ8" s="182" t="e">
        <f t="shared" si="9"/>
        <v>#REF!</v>
      </c>
      <c r="BR8" s="182" t="e">
        <f t="shared" si="10"/>
        <v>#REF!</v>
      </c>
      <c r="BS8" s="183" t="e">
        <f t="shared" si="11"/>
        <v>#REF!</v>
      </c>
      <c r="BT8" s="184" t="e">
        <f t="shared" si="12"/>
        <v>#REF!</v>
      </c>
      <c r="BU8" s="185" t="e">
        <f t="shared" si="13"/>
        <v>#REF!</v>
      </c>
      <c r="BV8" s="185" t="e">
        <f t="shared" si="14"/>
        <v>#REF!</v>
      </c>
      <c r="BW8" s="185" t="e">
        <f t="shared" si="15"/>
        <v>#REF!</v>
      </c>
      <c r="BX8" s="186" t="e">
        <f t="shared" si="16"/>
        <v>#REF!</v>
      </c>
      <c r="BY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" s="66"/>
      <c r="DA8" s="66"/>
      <c r="DB8" s="66"/>
      <c r="DC8" s="224" t="str">
        <f t="shared" si="1"/>
        <v/>
      </c>
      <c r="DD8" s="1">
        <f>IF($DC8="",0,IF(COUNTIF($DC$2:$DC7,$DC8)=0,1,0))</f>
        <v>0</v>
      </c>
      <c r="DE8" s="252"/>
      <c r="DF8" s="252"/>
      <c r="DG8" s="252"/>
      <c r="DH8" s="252"/>
    </row>
    <row r="9" spans="1:112" s="1" customFormat="1" ht="12" customHeight="1" x14ac:dyDescent="0.25">
      <c r="A9" s="64">
        <v>8</v>
      </c>
      <c r="B9" s="233" t="s">
        <v>41</v>
      </c>
      <c r="C9" s="239"/>
      <c r="D9" s="239"/>
      <c r="E9" s="234"/>
      <c r="F9" s="234"/>
      <c r="G9" s="228"/>
      <c r="H9" s="228"/>
      <c r="I9" s="228"/>
      <c r="J9" s="229"/>
      <c r="K9" s="230"/>
      <c r="L9" s="231"/>
      <c r="M9" s="228"/>
      <c r="N9" s="228"/>
      <c r="O9" s="235"/>
      <c r="P9" s="227"/>
      <c r="Q9" s="232"/>
      <c r="R9" s="228"/>
      <c r="S9" s="227"/>
      <c r="T9" s="240"/>
      <c r="U9" s="240"/>
      <c r="V9" s="240"/>
      <c r="W9" s="227"/>
      <c r="X9" s="240"/>
      <c r="Y9" s="240"/>
      <c r="Z9" s="281"/>
      <c r="AA9" s="231"/>
      <c r="AB9" s="241" t="s">
        <v>278</v>
      </c>
      <c r="AC9" s="247" t="s">
        <v>357</v>
      </c>
      <c r="AD9" s="240">
        <f t="shared" si="2"/>
        <v>3</v>
      </c>
      <c r="AE9" s="240" t="s">
        <v>348</v>
      </c>
      <c r="AF9" s="241">
        <v>2015</v>
      </c>
      <c r="AG9" s="247" t="s">
        <v>342</v>
      </c>
      <c r="AH9" s="228">
        <v>2015</v>
      </c>
      <c r="AI9" s="247" t="s">
        <v>366</v>
      </c>
      <c r="AJ9" s="231"/>
      <c r="AK9" s="240"/>
      <c r="AL9" s="241"/>
      <c r="AM9" s="240" t="s">
        <v>131</v>
      </c>
      <c r="AN9" s="241">
        <v>2015</v>
      </c>
      <c r="AO9" s="227" t="s">
        <v>144</v>
      </c>
      <c r="AP9" s="236">
        <v>43503</v>
      </c>
      <c r="AQ9" s="231">
        <v>43601</v>
      </c>
      <c r="AR9" s="66"/>
      <c r="AS9" s="221" t="s">
        <v>319</v>
      </c>
      <c r="AT9" s="222">
        <v>220</v>
      </c>
      <c r="AU9" s="223">
        <v>210</v>
      </c>
      <c r="AV9" s="99">
        <v>21</v>
      </c>
      <c r="AW9" s="100">
        <v>0</v>
      </c>
      <c r="AX9" s="100">
        <v>14</v>
      </c>
      <c r="AY9" s="100">
        <v>56</v>
      </c>
      <c r="AZ9" s="100">
        <v>21</v>
      </c>
      <c r="BA9" s="100">
        <v>59</v>
      </c>
      <c r="BB9" s="100">
        <v>21</v>
      </c>
      <c r="BC9" s="101">
        <v>0</v>
      </c>
      <c r="BD9" s="96"/>
      <c r="BE9" s="97"/>
      <c r="BF9" s="97"/>
      <c r="BG9" s="97"/>
      <c r="BH9" s="98"/>
      <c r="BI9" s="157" t="e">
        <f t="shared" si="3"/>
        <v>#REF!</v>
      </c>
      <c r="BJ9" s="158" t="e">
        <f>#REF!</f>
        <v>#REF!</v>
      </c>
      <c r="BK9" s="159" t="e">
        <f>#REF!</f>
        <v>#REF!</v>
      </c>
      <c r="BL9" s="181" t="e">
        <f t="shared" si="4"/>
        <v>#REF!</v>
      </c>
      <c r="BM9" s="182" t="e">
        <f t="shared" si="5"/>
        <v>#REF!</v>
      </c>
      <c r="BN9" s="182" t="e">
        <f t="shared" si="6"/>
        <v>#REF!</v>
      </c>
      <c r="BO9" s="182" t="e">
        <f t="shared" si="7"/>
        <v>#REF!</v>
      </c>
      <c r="BP9" s="182" t="e">
        <f t="shared" si="8"/>
        <v>#REF!</v>
      </c>
      <c r="BQ9" s="182" t="e">
        <f t="shared" si="9"/>
        <v>#REF!</v>
      </c>
      <c r="BR9" s="182" t="e">
        <f t="shared" si="10"/>
        <v>#REF!</v>
      </c>
      <c r="BS9" s="183" t="e">
        <f t="shared" si="11"/>
        <v>#REF!</v>
      </c>
      <c r="BT9" s="184" t="e">
        <f t="shared" si="12"/>
        <v>#REF!</v>
      </c>
      <c r="BU9" s="185" t="e">
        <f t="shared" si="13"/>
        <v>#REF!</v>
      </c>
      <c r="BV9" s="185" t="e">
        <f t="shared" si="14"/>
        <v>#REF!</v>
      </c>
      <c r="BW9" s="185" t="e">
        <f t="shared" si="15"/>
        <v>#REF!</v>
      </c>
      <c r="BX9" s="186" t="e">
        <f t="shared" si="16"/>
        <v>#REF!</v>
      </c>
      <c r="BY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" s="66"/>
      <c r="DA9" s="66"/>
      <c r="DB9" s="66"/>
      <c r="DC9" s="224" t="str">
        <f t="shared" si="1"/>
        <v/>
      </c>
      <c r="DD9" s="1">
        <f>IF($DC9="",0,IF(COUNTIF($DC$2:$DC8,$DC9)=0,1,0))</f>
        <v>0</v>
      </c>
      <c r="DE9" s="252"/>
      <c r="DF9" s="252"/>
      <c r="DG9" s="252"/>
      <c r="DH9" s="252"/>
    </row>
    <row r="10" spans="1:112" s="1" customFormat="1" ht="12" customHeight="1" x14ac:dyDescent="0.25">
      <c r="A10" s="64">
        <v>9</v>
      </c>
      <c r="B10" s="233" t="s">
        <v>67</v>
      </c>
      <c r="C10" s="239"/>
      <c r="D10" s="239"/>
      <c r="E10" s="234"/>
      <c r="F10" s="234"/>
      <c r="G10" s="228"/>
      <c r="H10" s="228"/>
      <c r="I10" s="228"/>
      <c r="J10" s="229"/>
      <c r="K10" s="230"/>
      <c r="L10" s="231"/>
      <c r="M10" s="228"/>
      <c r="N10" s="228"/>
      <c r="O10" s="235"/>
      <c r="P10" s="227"/>
      <c r="Q10" s="232"/>
      <c r="R10" s="228"/>
      <c r="S10" s="240"/>
      <c r="T10" s="240"/>
      <c r="U10" s="240"/>
      <c r="V10" s="240"/>
      <c r="W10" s="240"/>
      <c r="X10" s="240"/>
      <c r="Y10" s="240"/>
      <c r="Z10" s="281"/>
      <c r="AA10" s="231"/>
      <c r="AB10" s="241" t="s">
        <v>278</v>
      </c>
      <c r="AC10" s="247" t="s">
        <v>356</v>
      </c>
      <c r="AD10" s="240">
        <f t="shared" si="2"/>
        <v>4</v>
      </c>
      <c r="AE10" s="240" t="s">
        <v>349</v>
      </c>
      <c r="AF10" s="241">
        <v>2017</v>
      </c>
      <c r="AG10" s="247" t="s">
        <v>338</v>
      </c>
      <c r="AH10" s="228">
        <v>2017</v>
      </c>
      <c r="AI10" s="247" t="s">
        <v>364</v>
      </c>
      <c r="AJ10" s="231">
        <v>2019</v>
      </c>
      <c r="AK10" s="240" t="s">
        <v>126</v>
      </c>
      <c r="AL10" s="241">
        <v>18</v>
      </c>
      <c r="AM10" s="227" t="s">
        <v>134</v>
      </c>
      <c r="AN10" s="241">
        <v>2017</v>
      </c>
      <c r="AO10" s="227" t="s">
        <v>144</v>
      </c>
      <c r="AP10" s="236">
        <v>43503</v>
      </c>
      <c r="AQ10" s="231">
        <v>43601</v>
      </c>
      <c r="AR10" s="66"/>
      <c r="AS10" s="221" t="s">
        <v>320</v>
      </c>
      <c r="AT10" s="222">
        <v>220</v>
      </c>
      <c r="AU10" s="223">
        <v>210</v>
      </c>
      <c r="AV10" s="99">
        <v>21</v>
      </c>
      <c r="AW10" s="100">
        <v>0</v>
      </c>
      <c r="AX10" s="100">
        <v>14</v>
      </c>
      <c r="AY10" s="100">
        <v>56</v>
      </c>
      <c r="AZ10" s="100">
        <v>21</v>
      </c>
      <c r="BA10" s="100">
        <v>59</v>
      </c>
      <c r="BB10" s="100">
        <v>21</v>
      </c>
      <c r="BC10" s="101">
        <v>0</v>
      </c>
      <c r="BD10" s="96"/>
      <c r="BE10" s="97"/>
      <c r="BF10" s="97"/>
      <c r="BG10" s="97"/>
      <c r="BH10" s="98"/>
      <c r="BI10" s="157" t="e">
        <f t="shared" si="3"/>
        <v>#REF!</v>
      </c>
      <c r="BJ10" s="158" t="e">
        <f>#REF!</f>
        <v>#REF!</v>
      </c>
      <c r="BK10" s="159" t="e">
        <f>#REF!</f>
        <v>#REF!</v>
      </c>
      <c r="BL10" s="181" t="e">
        <f t="shared" si="4"/>
        <v>#REF!</v>
      </c>
      <c r="BM10" s="182" t="e">
        <f t="shared" si="5"/>
        <v>#REF!</v>
      </c>
      <c r="BN10" s="182" t="e">
        <f t="shared" si="6"/>
        <v>#REF!</v>
      </c>
      <c r="BO10" s="182" t="e">
        <f t="shared" si="7"/>
        <v>#REF!</v>
      </c>
      <c r="BP10" s="182" t="e">
        <f t="shared" si="8"/>
        <v>#REF!</v>
      </c>
      <c r="BQ10" s="182" t="e">
        <f t="shared" si="9"/>
        <v>#REF!</v>
      </c>
      <c r="BR10" s="182" t="e">
        <f t="shared" si="10"/>
        <v>#REF!</v>
      </c>
      <c r="BS10" s="183" t="e">
        <f t="shared" si="11"/>
        <v>#REF!</v>
      </c>
      <c r="BT10" s="184" t="e">
        <f t="shared" si="12"/>
        <v>#REF!</v>
      </c>
      <c r="BU10" s="185" t="e">
        <f t="shared" si="13"/>
        <v>#REF!</v>
      </c>
      <c r="BV10" s="185" t="e">
        <f t="shared" si="14"/>
        <v>#REF!</v>
      </c>
      <c r="BW10" s="185" t="e">
        <f t="shared" si="15"/>
        <v>#REF!</v>
      </c>
      <c r="BX10" s="186" t="e">
        <f t="shared" si="16"/>
        <v>#REF!</v>
      </c>
      <c r="BY1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" s="66"/>
      <c r="DA10" s="66"/>
      <c r="DB10" s="66"/>
      <c r="DC10" s="224" t="str">
        <f t="shared" si="1"/>
        <v/>
      </c>
      <c r="DD10" s="1">
        <f>IF($DC10="",0,IF(COUNTIF($DC$2:$DC9,$DC10)=0,1,0))</f>
        <v>0</v>
      </c>
      <c r="DE10" s="252"/>
      <c r="DF10" s="252"/>
      <c r="DG10" s="252"/>
      <c r="DH10" s="252"/>
    </row>
    <row r="11" spans="1:112" s="1" customFormat="1" ht="12" customHeight="1" x14ac:dyDescent="0.25">
      <c r="A11" s="64">
        <v>10</v>
      </c>
      <c r="B11" s="233" t="s">
        <v>41</v>
      </c>
      <c r="C11" s="239"/>
      <c r="D11" s="239"/>
      <c r="E11" s="234"/>
      <c r="F11" s="239"/>
      <c r="G11" s="237"/>
      <c r="H11" s="237"/>
      <c r="I11" s="228"/>
      <c r="J11" s="229"/>
      <c r="K11" s="230"/>
      <c r="L11" s="236"/>
      <c r="M11" s="237"/>
      <c r="N11" s="237"/>
      <c r="O11" s="235"/>
      <c r="P11" s="227"/>
      <c r="Q11" s="232"/>
      <c r="R11" s="228"/>
      <c r="S11" s="227"/>
      <c r="T11" s="240"/>
      <c r="U11" s="240"/>
      <c r="V11" s="240"/>
      <c r="W11" s="227"/>
      <c r="X11" s="240"/>
      <c r="Y11" s="240"/>
      <c r="Z11" s="281"/>
      <c r="AA11" s="231"/>
      <c r="AB11" s="241" t="s">
        <v>278</v>
      </c>
      <c r="AC11" s="247" t="s">
        <v>354</v>
      </c>
      <c r="AD11" s="240">
        <f t="shared" si="2"/>
        <v>6</v>
      </c>
      <c r="AE11" s="240" t="s">
        <v>350</v>
      </c>
      <c r="AF11" s="241">
        <v>2018</v>
      </c>
      <c r="AG11" s="247" t="s">
        <v>313</v>
      </c>
      <c r="AH11" s="228">
        <v>2018</v>
      </c>
      <c r="AI11" s="247" t="s">
        <v>366</v>
      </c>
      <c r="AJ11" s="231"/>
      <c r="AK11" s="240"/>
      <c r="AL11" s="241"/>
      <c r="AM11" s="227" t="s">
        <v>138</v>
      </c>
      <c r="AN11" s="241">
        <v>2018</v>
      </c>
      <c r="AO11" s="227" t="s">
        <v>144</v>
      </c>
      <c r="AP11" s="236">
        <v>43503</v>
      </c>
      <c r="AQ11" s="231">
        <v>43602</v>
      </c>
      <c r="AR11" s="66"/>
      <c r="AS11" s="221" t="s">
        <v>319</v>
      </c>
      <c r="AT11" s="222">
        <v>227</v>
      </c>
      <c r="AU11" s="223">
        <v>210</v>
      </c>
      <c r="AV11" s="99">
        <v>21</v>
      </c>
      <c r="AW11" s="100">
        <v>7</v>
      </c>
      <c r="AX11" s="100">
        <v>14</v>
      </c>
      <c r="AY11" s="100">
        <v>56</v>
      </c>
      <c r="AZ11" s="100">
        <v>21</v>
      </c>
      <c r="BA11" s="100">
        <v>59</v>
      </c>
      <c r="BB11" s="100">
        <v>21</v>
      </c>
      <c r="BC11" s="101">
        <v>0</v>
      </c>
      <c r="BD11" s="96"/>
      <c r="BE11" s="97"/>
      <c r="BF11" s="97"/>
      <c r="BG11" s="97"/>
      <c r="BH11" s="98"/>
      <c r="BI11" s="157" t="e">
        <f t="shared" si="3"/>
        <v>#REF!</v>
      </c>
      <c r="BJ11" s="158" t="e">
        <f>#REF!</f>
        <v>#REF!</v>
      </c>
      <c r="BK11" s="159" t="e">
        <f>#REF!</f>
        <v>#REF!</v>
      </c>
      <c r="BL11" s="181" t="e">
        <f t="shared" si="4"/>
        <v>#REF!</v>
      </c>
      <c r="BM11" s="182" t="e">
        <f t="shared" si="5"/>
        <v>#REF!</v>
      </c>
      <c r="BN11" s="182" t="e">
        <f t="shared" si="6"/>
        <v>#REF!</v>
      </c>
      <c r="BO11" s="182" t="e">
        <f t="shared" si="7"/>
        <v>#REF!</v>
      </c>
      <c r="BP11" s="182" t="e">
        <f t="shared" si="8"/>
        <v>#REF!</v>
      </c>
      <c r="BQ11" s="182" t="e">
        <f t="shared" si="9"/>
        <v>#REF!</v>
      </c>
      <c r="BR11" s="182" t="e">
        <f t="shared" si="10"/>
        <v>#REF!</v>
      </c>
      <c r="BS11" s="183" t="e">
        <f t="shared" si="11"/>
        <v>#REF!</v>
      </c>
      <c r="BT11" s="184" t="e">
        <f t="shared" si="12"/>
        <v>#REF!</v>
      </c>
      <c r="BU11" s="185" t="e">
        <f t="shared" si="13"/>
        <v>#REF!</v>
      </c>
      <c r="BV11" s="185" t="e">
        <f t="shared" si="14"/>
        <v>#REF!</v>
      </c>
      <c r="BW11" s="185" t="e">
        <f t="shared" si="15"/>
        <v>#REF!</v>
      </c>
      <c r="BX11" s="186" t="e">
        <f t="shared" si="16"/>
        <v>#REF!</v>
      </c>
      <c r="BY1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" s="66"/>
      <c r="DA11" s="66"/>
      <c r="DB11" s="66"/>
      <c r="DC11" s="224" t="str">
        <f t="shared" si="1"/>
        <v/>
      </c>
      <c r="DD11" s="1">
        <f>IF($DC11="",0,IF(COUNTIF($DC$2:$DC10,$DC11)=0,1,0))</f>
        <v>0</v>
      </c>
      <c r="DE11" s="252"/>
      <c r="DF11" s="252"/>
      <c r="DG11" s="252"/>
      <c r="DH11" s="252"/>
    </row>
    <row r="12" spans="1:112" s="1" customFormat="1" ht="12" customHeight="1" x14ac:dyDescent="0.25">
      <c r="A12" s="64">
        <v>11</v>
      </c>
      <c r="B12" s="233" t="s">
        <v>67</v>
      </c>
      <c r="C12" s="234"/>
      <c r="D12" s="234"/>
      <c r="E12" s="234"/>
      <c r="F12" s="239"/>
      <c r="G12" s="239"/>
      <c r="H12" s="239"/>
      <c r="I12" s="241"/>
      <c r="J12" s="229"/>
      <c r="K12" s="230"/>
      <c r="L12" s="231"/>
      <c r="M12" s="241"/>
      <c r="N12" s="241"/>
      <c r="O12" s="235"/>
      <c r="P12" s="240"/>
      <c r="Q12" s="232"/>
      <c r="R12" s="241"/>
      <c r="S12" s="227"/>
      <c r="T12" s="240"/>
      <c r="U12" s="240"/>
      <c r="V12" s="240"/>
      <c r="W12" s="227"/>
      <c r="X12" s="240"/>
      <c r="Y12" s="240"/>
      <c r="Z12" s="281"/>
      <c r="AA12" s="231"/>
      <c r="AB12" s="241" t="s">
        <v>278</v>
      </c>
      <c r="AC12" s="247" t="s">
        <v>355</v>
      </c>
      <c r="AD12" s="240">
        <f t="shared" si="2"/>
        <v>5</v>
      </c>
      <c r="AE12" s="240" t="s">
        <v>351</v>
      </c>
      <c r="AF12" s="241">
        <v>2014</v>
      </c>
      <c r="AG12" s="247" t="s">
        <v>341</v>
      </c>
      <c r="AH12" s="241">
        <v>2018</v>
      </c>
      <c r="AI12" s="247" t="s">
        <v>364</v>
      </c>
      <c r="AJ12" s="231">
        <v>2018</v>
      </c>
      <c r="AK12" s="240" t="s">
        <v>124</v>
      </c>
      <c r="AL12" s="241">
        <v>34</v>
      </c>
      <c r="AM12" s="240" t="s">
        <v>136</v>
      </c>
      <c r="AN12" s="241">
        <v>2018</v>
      </c>
      <c r="AO12" s="227" t="s">
        <v>144</v>
      </c>
      <c r="AP12" s="236">
        <v>43503</v>
      </c>
      <c r="AQ12" s="231">
        <v>43616</v>
      </c>
      <c r="AR12" s="66"/>
      <c r="AS12" s="221" t="s">
        <v>319</v>
      </c>
      <c r="AT12" s="222">
        <v>226</v>
      </c>
      <c r="AU12" s="223">
        <v>210</v>
      </c>
      <c r="AV12" s="99">
        <v>21</v>
      </c>
      <c r="AW12" s="100">
        <v>0</v>
      </c>
      <c r="AX12" s="100">
        <v>14</v>
      </c>
      <c r="AY12" s="100">
        <v>56</v>
      </c>
      <c r="AZ12" s="100">
        <v>21</v>
      </c>
      <c r="BA12" s="100">
        <v>59</v>
      </c>
      <c r="BB12" s="100">
        <v>21</v>
      </c>
      <c r="BC12" s="101">
        <v>0</v>
      </c>
      <c r="BD12" s="96">
        <v>102</v>
      </c>
      <c r="BE12" s="97"/>
      <c r="BF12" s="97"/>
      <c r="BG12" s="97"/>
      <c r="BH12" s="98"/>
      <c r="BI12" s="157" t="e">
        <f t="shared" si="3"/>
        <v>#REF!</v>
      </c>
      <c r="BJ12" s="158" t="e">
        <f>#REF!</f>
        <v>#REF!</v>
      </c>
      <c r="BK12" s="159" t="e">
        <f>#REF!</f>
        <v>#REF!</v>
      </c>
      <c r="BL12" s="181" t="e">
        <f t="shared" si="4"/>
        <v>#REF!</v>
      </c>
      <c r="BM12" s="182" t="e">
        <f t="shared" si="5"/>
        <v>#REF!</v>
      </c>
      <c r="BN12" s="182" t="e">
        <f t="shared" si="6"/>
        <v>#REF!</v>
      </c>
      <c r="BO12" s="182" t="e">
        <f t="shared" si="7"/>
        <v>#REF!</v>
      </c>
      <c r="BP12" s="182" t="e">
        <f t="shared" si="8"/>
        <v>#REF!</v>
      </c>
      <c r="BQ12" s="182" t="e">
        <f t="shared" si="9"/>
        <v>#REF!</v>
      </c>
      <c r="BR12" s="182" t="e">
        <f t="shared" si="10"/>
        <v>#REF!</v>
      </c>
      <c r="BS12" s="183" t="e">
        <f t="shared" si="11"/>
        <v>#REF!</v>
      </c>
      <c r="BT12" s="184" t="e">
        <f t="shared" si="12"/>
        <v>#REF!</v>
      </c>
      <c r="BU12" s="185" t="e">
        <f t="shared" si="13"/>
        <v>#REF!</v>
      </c>
      <c r="BV12" s="185" t="e">
        <f t="shared" si="14"/>
        <v>#REF!</v>
      </c>
      <c r="BW12" s="185" t="e">
        <f t="shared" si="15"/>
        <v>#REF!</v>
      </c>
      <c r="BX12" s="186" t="e">
        <f t="shared" si="16"/>
        <v>#REF!</v>
      </c>
      <c r="BY1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" s="66"/>
      <c r="DA12" s="66"/>
      <c r="DB12" s="66"/>
      <c r="DC12" s="224" t="str">
        <f t="shared" si="1"/>
        <v/>
      </c>
      <c r="DD12" s="1">
        <f>IF($DC12="",0,IF(COUNTIF($DC$2:$DC11,$DC12)=0,1,0))</f>
        <v>0</v>
      </c>
      <c r="DE12" s="252"/>
      <c r="DF12" s="252"/>
      <c r="DG12" s="252"/>
      <c r="DH12" s="252"/>
    </row>
    <row r="13" spans="1:112" s="1" customFormat="1" ht="12" customHeight="1" x14ac:dyDescent="0.25">
      <c r="A13" s="64">
        <v>12</v>
      </c>
      <c r="B13" s="233" t="s">
        <v>67</v>
      </c>
      <c r="C13" s="234"/>
      <c r="D13" s="234"/>
      <c r="E13" s="239"/>
      <c r="F13" s="239"/>
      <c r="G13" s="237"/>
      <c r="H13" s="237"/>
      <c r="I13" s="241"/>
      <c r="J13" s="229"/>
      <c r="K13" s="230"/>
      <c r="L13" s="231"/>
      <c r="M13" s="241"/>
      <c r="N13" s="241"/>
      <c r="O13" s="235"/>
      <c r="P13" s="227"/>
      <c r="Q13" s="232"/>
      <c r="R13" s="241"/>
      <c r="S13" s="227"/>
      <c r="T13" s="240"/>
      <c r="U13" s="240"/>
      <c r="V13" s="240"/>
      <c r="W13" s="227"/>
      <c r="X13" s="240"/>
      <c r="Y13" s="240"/>
      <c r="Z13" s="281"/>
      <c r="AA13" s="231"/>
      <c r="AB13" s="241" t="s">
        <v>278</v>
      </c>
      <c r="AC13" s="247" t="s">
        <v>356</v>
      </c>
      <c r="AD13" s="240">
        <f t="shared" si="2"/>
        <v>4</v>
      </c>
      <c r="AE13" s="240" t="s">
        <v>349</v>
      </c>
      <c r="AF13" s="241">
        <v>2016</v>
      </c>
      <c r="AG13" s="247" t="s">
        <v>338</v>
      </c>
      <c r="AH13" s="241">
        <v>2018</v>
      </c>
      <c r="AI13" s="247" t="s">
        <v>364</v>
      </c>
      <c r="AJ13" s="231" t="s">
        <v>333</v>
      </c>
      <c r="AK13" s="240" t="s">
        <v>124</v>
      </c>
      <c r="AL13" s="241">
        <v>39</v>
      </c>
      <c r="AM13" s="240" t="s">
        <v>135</v>
      </c>
      <c r="AN13" s="241">
        <v>2018</v>
      </c>
      <c r="AO13" s="227" t="s">
        <v>144</v>
      </c>
      <c r="AP13" s="236">
        <v>43503</v>
      </c>
      <c r="AQ13" s="231">
        <v>43615</v>
      </c>
      <c r="AR13" s="231">
        <v>43563</v>
      </c>
      <c r="AS13" s="221" t="s">
        <v>319</v>
      </c>
      <c r="AT13" s="222">
        <v>226</v>
      </c>
      <c r="AU13" s="223">
        <v>210</v>
      </c>
      <c r="AV13" s="99">
        <v>21</v>
      </c>
      <c r="AW13" s="100">
        <v>0</v>
      </c>
      <c r="AX13" s="100">
        <v>14</v>
      </c>
      <c r="AY13" s="100">
        <v>56</v>
      </c>
      <c r="AZ13" s="100">
        <v>21</v>
      </c>
      <c r="BA13" s="100">
        <v>59</v>
      </c>
      <c r="BB13" s="100">
        <v>21</v>
      </c>
      <c r="BC13" s="101">
        <v>0</v>
      </c>
      <c r="BD13" s="96">
        <v>102</v>
      </c>
      <c r="BE13" s="97"/>
      <c r="BF13" s="97"/>
      <c r="BG13" s="97"/>
      <c r="BH13" s="98"/>
      <c r="BI13" s="157" t="e">
        <f t="shared" si="3"/>
        <v>#REF!</v>
      </c>
      <c r="BJ13" s="158" t="e">
        <f>#REF!</f>
        <v>#REF!</v>
      </c>
      <c r="BK13" s="159" t="e">
        <f>#REF!</f>
        <v>#REF!</v>
      </c>
      <c r="BL13" s="181" t="e">
        <f t="shared" si="4"/>
        <v>#REF!</v>
      </c>
      <c r="BM13" s="182" t="e">
        <f t="shared" si="5"/>
        <v>#REF!</v>
      </c>
      <c r="BN13" s="182" t="e">
        <f t="shared" si="6"/>
        <v>#REF!</v>
      </c>
      <c r="BO13" s="182" t="e">
        <f t="shared" si="7"/>
        <v>#REF!</v>
      </c>
      <c r="BP13" s="182" t="e">
        <f t="shared" si="8"/>
        <v>#REF!</v>
      </c>
      <c r="BQ13" s="182" t="e">
        <f t="shared" si="9"/>
        <v>#REF!</v>
      </c>
      <c r="BR13" s="182" t="e">
        <f t="shared" si="10"/>
        <v>#REF!</v>
      </c>
      <c r="BS13" s="183" t="e">
        <f t="shared" si="11"/>
        <v>#REF!</v>
      </c>
      <c r="BT13" s="184" t="e">
        <f t="shared" si="12"/>
        <v>#REF!</v>
      </c>
      <c r="BU13" s="185" t="e">
        <f t="shared" si="13"/>
        <v>#REF!</v>
      </c>
      <c r="BV13" s="185" t="e">
        <f t="shared" si="14"/>
        <v>#REF!</v>
      </c>
      <c r="BW13" s="185" t="e">
        <f t="shared" si="15"/>
        <v>#REF!</v>
      </c>
      <c r="BX13" s="186" t="e">
        <f t="shared" si="16"/>
        <v>#REF!</v>
      </c>
      <c r="BY1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" s="66"/>
      <c r="DA13" s="66"/>
      <c r="DB13" s="66"/>
      <c r="DC13" s="224" t="str">
        <f t="shared" si="1"/>
        <v/>
      </c>
      <c r="DD13" s="1">
        <f>IF($DC13="",0,IF(COUNTIF($DC$2:$DC12,$DC13)=0,1,0))</f>
        <v>0</v>
      </c>
      <c r="DE13" s="252"/>
      <c r="DF13" s="252"/>
      <c r="DG13" s="253">
        <v>43564</v>
      </c>
      <c r="DH13" s="253">
        <v>43735</v>
      </c>
    </row>
    <row r="14" spans="1:112" s="1" customFormat="1" ht="12" customHeight="1" x14ac:dyDescent="0.25">
      <c r="A14" s="64">
        <v>13</v>
      </c>
      <c r="B14" s="233" t="s">
        <v>67</v>
      </c>
      <c r="C14" s="234"/>
      <c r="D14" s="234"/>
      <c r="E14" s="239"/>
      <c r="F14" s="239"/>
      <c r="G14" s="239"/>
      <c r="H14" s="239"/>
      <c r="I14" s="241"/>
      <c r="J14" s="229"/>
      <c r="K14" s="230"/>
      <c r="L14" s="231"/>
      <c r="M14" s="241"/>
      <c r="N14" s="241"/>
      <c r="O14" s="235"/>
      <c r="P14" s="227"/>
      <c r="Q14" s="232"/>
      <c r="R14" s="241"/>
      <c r="S14" s="227"/>
      <c r="T14" s="240"/>
      <c r="U14" s="240"/>
      <c r="V14" s="240"/>
      <c r="W14" s="240"/>
      <c r="X14" s="240"/>
      <c r="Y14" s="240"/>
      <c r="Z14" s="281"/>
      <c r="AA14" s="231"/>
      <c r="AB14" s="241" t="s">
        <v>278</v>
      </c>
      <c r="AC14" s="247" t="s">
        <v>357</v>
      </c>
      <c r="AD14" s="240">
        <f t="shared" si="2"/>
        <v>3</v>
      </c>
      <c r="AE14" s="240" t="s">
        <v>348</v>
      </c>
      <c r="AF14" s="241">
        <v>1980</v>
      </c>
      <c r="AG14" s="247" t="s">
        <v>339</v>
      </c>
      <c r="AH14" s="241">
        <v>1980</v>
      </c>
      <c r="AI14" s="247" t="s">
        <v>365</v>
      </c>
      <c r="AJ14" s="231">
        <v>2018</v>
      </c>
      <c r="AK14" s="240" t="s">
        <v>128</v>
      </c>
      <c r="AL14" s="241">
        <v>158</v>
      </c>
      <c r="AM14" s="240" t="s">
        <v>131</v>
      </c>
      <c r="AN14" s="241">
        <v>1980</v>
      </c>
      <c r="AO14" s="227" t="s">
        <v>144</v>
      </c>
      <c r="AP14" s="236">
        <v>43503</v>
      </c>
      <c r="AQ14" s="231">
        <v>43602</v>
      </c>
      <c r="AR14" s="66"/>
      <c r="AS14" s="221" t="s">
        <v>319</v>
      </c>
      <c r="AT14" s="222">
        <v>227</v>
      </c>
      <c r="AU14" s="223">
        <v>210</v>
      </c>
      <c r="AV14" s="99">
        <v>21</v>
      </c>
      <c r="AW14" s="100">
        <v>0</v>
      </c>
      <c r="AX14" s="100">
        <v>14</v>
      </c>
      <c r="AY14" s="100">
        <v>56</v>
      </c>
      <c r="AZ14" s="100">
        <v>21</v>
      </c>
      <c r="BA14" s="100">
        <v>59</v>
      </c>
      <c r="BB14" s="100">
        <v>21</v>
      </c>
      <c r="BC14" s="101">
        <v>7</v>
      </c>
      <c r="BD14" s="96"/>
      <c r="BE14" s="97"/>
      <c r="BF14" s="97"/>
      <c r="BG14" s="97"/>
      <c r="BH14" s="98"/>
      <c r="BI14" s="157" t="e">
        <f t="shared" si="3"/>
        <v>#REF!</v>
      </c>
      <c r="BJ14" s="158" t="e">
        <f>#REF!</f>
        <v>#REF!</v>
      </c>
      <c r="BK14" s="159" t="e">
        <f>#REF!</f>
        <v>#REF!</v>
      </c>
      <c r="BL14" s="181" t="e">
        <f t="shared" si="4"/>
        <v>#REF!</v>
      </c>
      <c r="BM14" s="182" t="e">
        <f t="shared" si="5"/>
        <v>#REF!</v>
      </c>
      <c r="BN14" s="182" t="e">
        <f t="shared" si="6"/>
        <v>#REF!</v>
      </c>
      <c r="BO14" s="182" t="e">
        <f t="shared" si="7"/>
        <v>#REF!</v>
      </c>
      <c r="BP14" s="182" t="e">
        <f t="shared" si="8"/>
        <v>#REF!</v>
      </c>
      <c r="BQ14" s="182" t="e">
        <f t="shared" si="9"/>
        <v>#REF!</v>
      </c>
      <c r="BR14" s="182" t="e">
        <f t="shared" si="10"/>
        <v>#REF!</v>
      </c>
      <c r="BS14" s="183" t="e">
        <f t="shared" si="11"/>
        <v>#REF!</v>
      </c>
      <c r="BT14" s="184" t="e">
        <f t="shared" si="12"/>
        <v>#REF!</v>
      </c>
      <c r="BU14" s="185" t="e">
        <f t="shared" si="13"/>
        <v>#REF!</v>
      </c>
      <c r="BV14" s="185" t="e">
        <f t="shared" si="14"/>
        <v>#REF!</v>
      </c>
      <c r="BW14" s="185" t="e">
        <f t="shared" si="15"/>
        <v>#REF!</v>
      </c>
      <c r="BX14" s="186" t="e">
        <f t="shared" si="16"/>
        <v>#REF!</v>
      </c>
      <c r="BY1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" s="66"/>
      <c r="DA14" s="66"/>
      <c r="DB14" s="66"/>
      <c r="DC14" s="224" t="str">
        <f t="shared" si="1"/>
        <v/>
      </c>
      <c r="DD14" s="1">
        <f>IF($DC14="",0,IF(COUNTIF($DC$2:$DC13,$DC14)=0,1,0))</f>
        <v>0</v>
      </c>
      <c r="DE14" s="252"/>
      <c r="DF14" s="252"/>
      <c r="DG14" s="252"/>
      <c r="DH14" s="252"/>
    </row>
    <row r="15" spans="1:112" s="1" customFormat="1" ht="12" customHeight="1" x14ac:dyDescent="0.25">
      <c r="A15" s="64">
        <v>14</v>
      </c>
      <c r="B15" s="233" t="s">
        <v>67</v>
      </c>
      <c r="C15" s="292"/>
      <c r="D15" s="234"/>
      <c r="E15" s="234"/>
      <c r="F15" s="234"/>
      <c r="G15" s="241"/>
      <c r="H15" s="241"/>
      <c r="I15" s="241"/>
      <c r="J15" s="229"/>
      <c r="K15" s="230"/>
      <c r="L15" s="231"/>
      <c r="M15" s="241"/>
      <c r="N15" s="241"/>
      <c r="O15" s="235"/>
      <c r="P15" s="227"/>
      <c r="Q15" s="232"/>
      <c r="R15" s="241"/>
      <c r="S15" s="227"/>
      <c r="T15" s="240"/>
      <c r="U15" s="240"/>
      <c r="V15" s="240"/>
      <c r="W15" s="227"/>
      <c r="X15" s="240"/>
      <c r="Y15" s="240"/>
      <c r="Z15" s="281"/>
      <c r="AA15" s="231"/>
      <c r="AB15" s="241" t="s">
        <v>278</v>
      </c>
      <c r="AC15" s="247" t="s">
        <v>357</v>
      </c>
      <c r="AD15" s="240">
        <f t="shared" si="2"/>
        <v>3</v>
      </c>
      <c r="AE15" s="240" t="s">
        <v>314</v>
      </c>
      <c r="AF15" s="241"/>
      <c r="AG15" s="247" t="s">
        <v>337</v>
      </c>
      <c r="AH15" s="241">
        <v>2018</v>
      </c>
      <c r="AI15" s="247" t="s">
        <v>365</v>
      </c>
      <c r="AJ15" s="231">
        <v>43415</v>
      </c>
      <c r="AK15" s="240" t="s">
        <v>128</v>
      </c>
      <c r="AL15" s="241">
        <v>5</v>
      </c>
      <c r="AM15" s="240" t="s">
        <v>131</v>
      </c>
      <c r="AN15" s="241">
        <v>2018</v>
      </c>
      <c r="AO15" s="227" t="s">
        <v>144</v>
      </c>
      <c r="AP15" s="236">
        <v>43503</v>
      </c>
      <c r="AQ15" s="231">
        <v>43601</v>
      </c>
      <c r="AR15" s="231">
        <v>43567</v>
      </c>
      <c r="AS15" s="221" t="s">
        <v>320</v>
      </c>
      <c r="AT15" s="222">
        <v>220</v>
      </c>
      <c r="AU15" s="223">
        <v>210</v>
      </c>
      <c r="AV15" s="99">
        <v>21</v>
      </c>
      <c r="AW15" s="100">
        <v>0</v>
      </c>
      <c r="AX15" s="100">
        <v>14</v>
      </c>
      <c r="AY15" s="100">
        <v>56</v>
      </c>
      <c r="AZ15" s="100">
        <v>21</v>
      </c>
      <c r="BA15" s="100">
        <v>59</v>
      </c>
      <c r="BB15" s="100">
        <v>21</v>
      </c>
      <c r="BC15" s="101">
        <v>7</v>
      </c>
      <c r="BD15" s="96"/>
      <c r="BE15" s="97"/>
      <c r="BF15" s="97"/>
      <c r="BG15" s="97"/>
      <c r="BH15" s="98"/>
      <c r="BI15" s="157" t="e">
        <f t="shared" si="3"/>
        <v>#REF!</v>
      </c>
      <c r="BJ15" s="158" t="e">
        <f>#REF!</f>
        <v>#REF!</v>
      </c>
      <c r="BK15" s="159" t="e">
        <f>#REF!</f>
        <v>#REF!</v>
      </c>
      <c r="BL15" s="181" t="e">
        <f t="shared" si="4"/>
        <v>#REF!</v>
      </c>
      <c r="BM15" s="182" t="e">
        <f t="shared" si="5"/>
        <v>#REF!</v>
      </c>
      <c r="BN15" s="182" t="e">
        <f t="shared" si="6"/>
        <v>#REF!</v>
      </c>
      <c r="BO15" s="182" t="e">
        <f t="shared" si="7"/>
        <v>#REF!</v>
      </c>
      <c r="BP15" s="182" t="e">
        <f t="shared" si="8"/>
        <v>#REF!</v>
      </c>
      <c r="BQ15" s="182" t="e">
        <f t="shared" si="9"/>
        <v>#REF!</v>
      </c>
      <c r="BR15" s="182" t="e">
        <f t="shared" si="10"/>
        <v>#REF!</v>
      </c>
      <c r="BS15" s="183" t="e">
        <f t="shared" si="11"/>
        <v>#REF!</v>
      </c>
      <c r="BT15" s="184" t="e">
        <f t="shared" si="12"/>
        <v>#REF!</v>
      </c>
      <c r="BU15" s="185" t="e">
        <f t="shared" si="13"/>
        <v>#REF!</v>
      </c>
      <c r="BV15" s="185" t="e">
        <f t="shared" si="14"/>
        <v>#REF!</v>
      </c>
      <c r="BW15" s="185" t="e">
        <f t="shared" si="15"/>
        <v>#REF!</v>
      </c>
      <c r="BX15" s="186" t="e">
        <f t="shared" si="16"/>
        <v>#REF!</v>
      </c>
      <c r="BY1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" s="66"/>
      <c r="DA15" s="66"/>
      <c r="DB15" s="66"/>
      <c r="DC15" s="224" t="str">
        <f t="shared" si="1"/>
        <v/>
      </c>
      <c r="DD15" s="1">
        <f>IF($DC15="",0,IF(COUNTIF($DC$2:$DC14,$DC15)=0,1,0))</f>
        <v>0</v>
      </c>
      <c r="DE15" s="252"/>
      <c r="DF15" s="252"/>
      <c r="DG15" s="252"/>
      <c r="DH15" s="252"/>
    </row>
    <row r="16" spans="1:112" s="1" customFormat="1" ht="12" customHeight="1" x14ac:dyDescent="0.25">
      <c r="A16" s="64">
        <v>15</v>
      </c>
      <c r="B16" s="233" t="s">
        <v>67</v>
      </c>
      <c r="C16" s="292"/>
      <c r="D16" s="234"/>
      <c r="E16" s="234"/>
      <c r="F16" s="234"/>
      <c r="G16" s="241"/>
      <c r="H16" s="241"/>
      <c r="I16" s="234"/>
      <c r="J16" s="229"/>
      <c r="K16" s="230"/>
      <c r="L16" s="231"/>
      <c r="M16" s="228"/>
      <c r="N16" s="228"/>
      <c r="O16" s="235"/>
      <c r="P16" s="227"/>
      <c r="Q16" s="232"/>
      <c r="R16" s="241"/>
      <c r="S16" s="240"/>
      <c r="T16" s="240"/>
      <c r="U16" s="240"/>
      <c r="V16" s="240"/>
      <c r="W16" s="240"/>
      <c r="X16" s="240"/>
      <c r="Y16" s="240"/>
      <c r="Z16" s="281"/>
      <c r="AA16" s="231"/>
      <c r="AB16" s="241" t="s">
        <v>278</v>
      </c>
      <c r="AC16" s="247" t="s">
        <v>357</v>
      </c>
      <c r="AD16" s="240">
        <f t="shared" si="2"/>
        <v>3</v>
      </c>
      <c r="AE16" s="240" t="s">
        <v>347</v>
      </c>
      <c r="AF16" s="241">
        <v>2007</v>
      </c>
      <c r="AG16" s="247" t="s">
        <v>338</v>
      </c>
      <c r="AH16" s="241">
        <v>2011</v>
      </c>
      <c r="AI16" s="247" t="s">
        <v>364</v>
      </c>
      <c r="AJ16" s="231">
        <v>43373</v>
      </c>
      <c r="AK16" s="240" t="s">
        <v>126</v>
      </c>
      <c r="AL16" s="241">
        <v>9</v>
      </c>
      <c r="AM16" s="240" t="s">
        <v>134</v>
      </c>
      <c r="AN16" s="241">
        <v>2011</v>
      </c>
      <c r="AO16" s="240" t="s">
        <v>144</v>
      </c>
      <c r="AP16" s="236">
        <v>43521</v>
      </c>
      <c r="AQ16" s="231">
        <v>43621</v>
      </c>
      <c r="AR16" s="231">
        <v>43579</v>
      </c>
      <c r="AS16" s="221" t="s">
        <v>320</v>
      </c>
      <c r="AT16" s="222">
        <v>220</v>
      </c>
      <c r="AU16" s="223">
        <v>210</v>
      </c>
      <c r="AV16" s="99">
        <v>21</v>
      </c>
      <c r="AW16" s="100">
        <v>0</v>
      </c>
      <c r="AX16" s="100">
        <v>14</v>
      </c>
      <c r="AY16" s="100">
        <v>56</v>
      </c>
      <c r="AZ16" s="100">
        <v>21</v>
      </c>
      <c r="BA16" s="100">
        <v>59</v>
      </c>
      <c r="BB16" s="100">
        <v>21</v>
      </c>
      <c r="BC16" s="101">
        <v>0</v>
      </c>
      <c r="BD16" s="96"/>
      <c r="BE16" s="97"/>
      <c r="BF16" s="97"/>
      <c r="BG16" s="97"/>
      <c r="BH16" s="98"/>
      <c r="BI16" s="157" t="e">
        <f t="shared" si="3"/>
        <v>#REF!</v>
      </c>
      <c r="BJ16" s="158" t="e">
        <f>#REF!</f>
        <v>#REF!</v>
      </c>
      <c r="BK16" s="159" t="e">
        <f>#REF!</f>
        <v>#REF!</v>
      </c>
      <c r="BL16" s="181" t="e">
        <f t="shared" si="4"/>
        <v>#REF!</v>
      </c>
      <c r="BM16" s="182" t="e">
        <f t="shared" si="5"/>
        <v>#REF!</v>
      </c>
      <c r="BN16" s="182" t="e">
        <f t="shared" si="6"/>
        <v>#REF!</v>
      </c>
      <c r="BO16" s="182" t="e">
        <f t="shared" si="7"/>
        <v>#REF!</v>
      </c>
      <c r="BP16" s="182" t="e">
        <f t="shared" si="8"/>
        <v>#REF!</v>
      </c>
      <c r="BQ16" s="182" t="e">
        <f t="shared" si="9"/>
        <v>#REF!</v>
      </c>
      <c r="BR16" s="182" t="e">
        <f t="shared" si="10"/>
        <v>#REF!</v>
      </c>
      <c r="BS16" s="183" t="e">
        <f t="shared" si="11"/>
        <v>#REF!</v>
      </c>
      <c r="BT16" s="184" t="e">
        <f t="shared" si="12"/>
        <v>#REF!</v>
      </c>
      <c r="BU16" s="185" t="e">
        <f t="shared" si="13"/>
        <v>#REF!</v>
      </c>
      <c r="BV16" s="185" t="e">
        <f t="shared" si="14"/>
        <v>#REF!</v>
      </c>
      <c r="BW16" s="185" t="e">
        <f t="shared" si="15"/>
        <v>#REF!</v>
      </c>
      <c r="BX16" s="186" t="e">
        <f t="shared" si="16"/>
        <v>#REF!</v>
      </c>
      <c r="BY1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" s="66"/>
      <c r="DA16" s="66"/>
      <c r="DB16" s="66"/>
      <c r="DC16" s="224" t="str">
        <f t="shared" si="1"/>
        <v/>
      </c>
      <c r="DD16" s="1">
        <f>IF($DC16="",0,IF(COUNTIF($DC$2:$DC15,$DC16)=0,1,0))</f>
        <v>0</v>
      </c>
      <c r="DE16" s="252"/>
      <c r="DF16" s="252"/>
      <c r="DG16" s="252"/>
      <c r="DH16" s="252"/>
    </row>
    <row r="17" spans="1:112" s="1" customFormat="1" ht="12" customHeight="1" x14ac:dyDescent="0.25">
      <c r="A17" s="64">
        <v>16</v>
      </c>
      <c r="B17" s="71" t="s">
        <v>67</v>
      </c>
      <c r="C17" s="72"/>
      <c r="D17" s="72"/>
      <c r="E17" s="72"/>
      <c r="F17" s="72"/>
      <c r="G17" s="66"/>
      <c r="H17" s="66"/>
      <c r="I17" s="66"/>
      <c r="J17" s="229"/>
      <c r="K17" s="230"/>
      <c r="L17" s="231"/>
      <c r="M17" s="66"/>
      <c r="N17" s="66"/>
      <c r="O17" s="136"/>
      <c r="P17" s="65"/>
      <c r="Q17" s="70"/>
      <c r="R17" s="66"/>
      <c r="S17" s="65"/>
      <c r="T17" s="240"/>
      <c r="U17" s="240"/>
      <c r="V17" s="240"/>
      <c r="W17" s="65"/>
      <c r="X17" s="240"/>
      <c r="Y17" s="65"/>
      <c r="Z17" s="281"/>
      <c r="AA17" s="231"/>
      <c r="AB17" s="241" t="s">
        <v>278</v>
      </c>
      <c r="AC17" s="247" t="s">
        <v>356</v>
      </c>
      <c r="AD17" s="240">
        <f t="shared" si="2"/>
        <v>4</v>
      </c>
      <c r="AE17" s="240" t="s">
        <v>349</v>
      </c>
      <c r="AF17" s="241">
        <v>2014</v>
      </c>
      <c r="AG17" s="247" t="s">
        <v>341</v>
      </c>
      <c r="AH17" s="241">
        <v>2015</v>
      </c>
      <c r="AI17" s="247" t="s">
        <v>364</v>
      </c>
      <c r="AJ17" s="231">
        <v>43461</v>
      </c>
      <c r="AK17" s="240" t="s">
        <v>126</v>
      </c>
      <c r="AL17" s="241">
        <v>5</v>
      </c>
      <c r="AM17" s="240" t="s">
        <v>137</v>
      </c>
      <c r="AN17" s="241">
        <v>2015</v>
      </c>
      <c r="AO17" s="65" t="s">
        <v>144</v>
      </c>
      <c r="AP17" s="69">
        <v>43523</v>
      </c>
      <c r="AQ17" s="231">
        <v>43623</v>
      </c>
      <c r="AR17" s="231">
        <v>43556</v>
      </c>
      <c r="AS17" s="221" t="s">
        <v>319</v>
      </c>
      <c r="AT17" s="222">
        <v>218</v>
      </c>
      <c r="AU17" s="223">
        <v>210</v>
      </c>
      <c r="AV17" s="99">
        <v>21</v>
      </c>
      <c r="AW17" s="100">
        <v>0</v>
      </c>
      <c r="AX17" s="100">
        <v>14</v>
      </c>
      <c r="AY17" s="100">
        <v>56</v>
      </c>
      <c r="AZ17" s="100">
        <v>21</v>
      </c>
      <c r="BA17" s="100">
        <v>59</v>
      </c>
      <c r="BB17" s="100">
        <v>21</v>
      </c>
      <c r="BC17" s="101">
        <v>0</v>
      </c>
      <c r="BD17" s="96"/>
      <c r="BE17" s="97"/>
      <c r="BF17" s="97"/>
      <c r="BG17" s="97"/>
      <c r="BH17" s="98"/>
      <c r="BI17" s="157" t="e">
        <f>SUM(BL17:BX17)+CY17</f>
        <v>#REF!</v>
      </c>
      <c r="BJ17" s="158" t="e">
        <f>#REF!</f>
        <v>#REF!</v>
      </c>
      <c r="BK17" s="159" t="e">
        <f>#REF!</f>
        <v>#REF!</v>
      </c>
      <c r="BL17" s="181" t="e">
        <f t="shared" si="4"/>
        <v>#REF!</v>
      </c>
      <c r="BM17" s="182" t="e">
        <f t="shared" si="5"/>
        <v>#REF!</v>
      </c>
      <c r="BN17" s="182" t="e">
        <f t="shared" si="6"/>
        <v>#REF!</v>
      </c>
      <c r="BO17" s="182" t="e">
        <f t="shared" si="7"/>
        <v>#REF!</v>
      </c>
      <c r="BP17" s="182" t="e">
        <f t="shared" si="8"/>
        <v>#REF!</v>
      </c>
      <c r="BQ17" s="182" t="e">
        <f t="shared" si="9"/>
        <v>#REF!</v>
      </c>
      <c r="BR17" s="182" t="e">
        <f t="shared" si="10"/>
        <v>#REF!</v>
      </c>
      <c r="BS17" s="183" t="e">
        <f t="shared" si="11"/>
        <v>#REF!</v>
      </c>
      <c r="BT17" s="184" t="e">
        <f t="shared" si="12"/>
        <v>#REF!</v>
      </c>
      <c r="BU17" s="185" t="e">
        <f t="shared" si="13"/>
        <v>#REF!</v>
      </c>
      <c r="BV17" s="185" t="e">
        <f t="shared" si="14"/>
        <v>#REF!</v>
      </c>
      <c r="BW17" s="185" t="e">
        <f t="shared" si="15"/>
        <v>#REF!</v>
      </c>
      <c r="BX17" s="186" t="e">
        <f t="shared" si="16"/>
        <v>#REF!</v>
      </c>
      <c r="BY1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" s="66"/>
      <c r="DA17" s="66"/>
      <c r="DB17" s="66"/>
      <c r="DC17" s="224" t="str">
        <f t="shared" si="1"/>
        <v/>
      </c>
      <c r="DD17" s="1">
        <f>IF($DC17="",0,IF(COUNTIF($DC$2:$DC16,$DC17)=0,1,0))</f>
        <v>0</v>
      </c>
      <c r="DE17" s="252"/>
      <c r="DF17" s="252"/>
      <c r="DG17" s="253">
        <v>43557</v>
      </c>
      <c r="DH17" s="253">
        <v>43728</v>
      </c>
    </row>
    <row r="18" spans="1:112" s="1" customFormat="1" ht="12" customHeight="1" x14ac:dyDescent="0.25">
      <c r="A18" s="64">
        <v>17</v>
      </c>
      <c r="B18" s="71" t="s">
        <v>41</v>
      </c>
      <c r="C18" s="72"/>
      <c r="D18" s="234"/>
      <c r="E18" s="72"/>
      <c r="F18" s="72"/>
      <c r="G18" s="66"/>
      <c r="H18" s="66"/>
      <c r="I18" s="66"/>
      <c r="J18" s="67"/>
      <c r="K18" s="230"/>
      <c r="L18" s="69"/>
      <c r="M18" s="250"/>
      <c r="N18" s="66"/>
      <c r="O18" s="136"/>
      <c r="P18" s="65"/>
      <c r="Q18" s="70"/>
      <c r="R18" s="66"/>
      <c r="S18" s="65"/>
      <c r="T18" s="240"/>
      <c r="U18" s="240"/>
      <c r="V18" s="240"/>
      <c r="W18" s="65"/>
      <c r="X18" s="240"/>
      <c r="Y18" s="65"/>
      <c r="Z18" s="282"/>
      <c r="AA18" s="251"/>
      <c r="AB18" s="250" t="s">
        <v>278</v>
      </c>
      <c r="AC18" s="247" t="s">
        <v>358</v>
      </c>
      <c r="AD18" s="240">
        <f t="shared" si="2"/>
        <v>2</v>
      </c>
      <c r="AE18" s="240" t="s">
        <v>314</v>
      </c>
      <c r="AF18" s="241"/>
      <c r="AG18" s="247" t="s">
        <v>342</v>
      </c>
      <c r="AH18" s="66">
        <v>2013</v>
      </c>
      <c r="AI18" s="247" t="s">
        <v>366</v>
      </c>
      <c r="AJ18" s="231"/>
      <c r="AK18" s="240"/>
      <c r="AL18" s="241"/>
      <c r="AM18" s="240" t="s">
        <v>131</v>
      </c>
      <c r="AN18" s="241">
        <v>2013</v>
      </c>
      <c r="AO18" s="65" t="s">
        <v>123</v>
      </c>
      <c r="AP18" s="69">
        <v>43542</v>
      </c>
      <c r="AQ18" s="231">
        <v>43634</v>
      </c>
      <c r="AR18" s="66"/>
      <c r="AS18" s="221" t="s">
        <v>319</v>
      </c>
      <c r="AT18" s="222">
        <v>173</v>
      </c>
      <c r="AU18" s="223">
        <v>210</v>
      </c>
      <c r="AV18" s="99">
        <v>12</v>
      </c>
      <c r="AW18" s="100">
        <v>9</v>
      </c>
      <c r="AX18" s="100">
        <v>9</v>
      </c>
      <c r="AY18" s="100">
        <v>48</v>
      </c>
      <c r="AZ18" s="100">
        <v>12</v>
      </c>
      <c r="BA18" s="100">
        <v>60</v>
      </c>
      <c r="BB18" s="100">
        <v>18</v>
      </c>
      <c r="BC18" s="101">
        <v>0</v>
      </c>
      <c r="BD18" s="96"/>
      <c r="BE18" s="97"/>
      <c r="BF18" s="97"/>
      <c r="BG18" s="97"/>
      <c r="BH18" s="98"/>
      <c r="BI18" s="157" t="e">
        <f t="shared" si="3"/>
        <v>#REF!</v>
      </c>
      <c r="BJ18" s="158" t="e">
        <f>#REF!</f>
        <v>#REF!</v>
      </c>
      <c r="BK18" s="159" t="e">
        <f>#REF!</f>
        <v>#REF!</v>
      </c>
      <c r="BL18" s="181" t="e">
        <f t="shared" si="4"/>
        <v>#REF!</v>
      </c>
      <c r="BM18" s="182" t="e">
        <f t="shared" si="5"/>
        <v>#REF!</v>
      </c>
      <c r="BN18" s="182" t="e">
        <f t="shared" si="6"/>
        <v>#REF!</v>
      </c>
      <c r="BO18" s="182" t="e">
        <f t="shared" si="7"/>
        <v>#REF!</v>
      </c>
      <c r="BP18" s="182" t="e">
        <f t="shared" si="8"/>
        <v>#REF!</v>
      </c>
      <c r="BQ18" s="182" t="e">
        <f t="shared" si="9"/>
        <v>#REF!</v>
      </c>
      <c r="BR18" s="182" t="e">
        <f t="shared" si="10"/>
        <v>#REF!</v>
      </c>
      <c r="BS18" s="183" t="e">
        <f t="shared" si="11"/>
        <v>#REF!</v>
      </c>
      <c r="BT18" s="184" t="e">
        <f t="shared" si="12"/>
        <v>#REF!</v>
      </c>
      <c r="BU18" s="185" t="e">
        <f t="shared" si="13"/>
        <v>#REF!</v>
      </c>
      <c r="BV18" s="185" t="e">
        <f t="shared" si="14"/>
        <v>#REF!</v>
      </c>
      <c r="BW18" s="185" t="e">
        <f t="shared" si="15"/>
        <v>#REF!</v>
      </c>
      <c r="BX18" s="186" t="e">
        <f t="shared" si="16"/>
        <v>#REF!</v>
      </c>
      <c r="BY1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" s="66"/>
      <c r="DA18" s="66"/>
      <c r="DB18" s="66"/>
      <c r="DC18" s="224" t="str">
        <f t="shared" si="1"/>
        <v/>
      </c>
      <c r="DD18" s="1">
        <f>IF($DC18="",0,IF(COUNTIF($DC$2:$DC17,$DC18)=0,1,0))</f>
        <v>0</v>
      </c>
      <c r="DE18" s="252"/>
      <c r="DF18" s="252"/>
      <c r="DG18" s="252"/>
      <c r="DH18" s="252"/>
    </row>
    <row r="19" spans="1:112" s="1" customFormat="1" ht="12" customHeight="1" x14ac:dyDescent="0.25">
      <c r="A19" s="64">
        <v>18</v>
      </c>
      <c r="B19" s="71" t="s">
        <v>67</v>
      </c>
      <c r="C19" s="234"/>
      <c r="D19" s="72"/>
      <c r="E19" s="72"/>
      <c r="F19" s="72"/>
      <c r="G19" s="66"/>
      <c r="H19" s="66"/>
      <c r="I19" s="66"/>
      <c r="J19" s="67"/>
      <c r="K19" s="230"/>
      <c r="L19" s="69"/>
      <c r="M19" s="66"/>
      <c r="N19" s="66"/>
      <c r="O19" s="136"/>
      <c r="P19" s="65"/>
      <c r="Q19" s="70"/>
      <c r="R19" s="66"/>
      <c r="S19" s="65"/>
      <c r="T19" s="240"/>
      <c r="U19" s="240"/>
      <c r="V19" s="240"/>
      <c r="W19" s="65"/>
      <c r="X19" s="240"/>
      <c r="Y19" s="65"/>
      <c r="Z19" s="281"/>
      <c r="AA19" s="251"/>
      <c r="AB19" s="66" t="s">
        <v>278</v>
      </c>
      <c r="AC19" s="247" t="s">
        <v>357</v>
      </c>
      <c r="AD19" s="240">
        <f t="shared" si="2"/>
        <v>3</v>
      </c>
      <c r="AE19" s="240" t="s">
        <v>348</v>
      </c>
      <c r="AF19" s="241">
        <v>2015</v>
      </c>
      <c r="AG19" s="247" t="s">
        <v>338</v>
      </c>
      <c r="AH19" s="66">
        <v>2017</v>
      </c>
      <c r="AI19" s="247" t="s">
        <v>364</v>
      </c>
      <c r="AJ19" s="231">
        <v>43174</v>
      </c>
      <c r="AK19" s="240" t="s">
        <v>128</v>
      </c>
      <c r="AL19" s="241">
        <v>24</v>
      </c>
      <c r="AM19" s="240" t="s">
        <v>133</v>
      </c>
      <c r="AN19" s="241">
        <v>2017</v>
      </c>
      <c r="AO19" s="65" t="s">
        <v>144</v>
      </c>
      <c r="AP19" s="231">
        <v>43542</v>
      </c>
      <c r="AQ19" s="231">
        <v>43633</v>
      </c>
      <c r="AR19" s="66"/>
      <c r="AS19" s="221" t="s">
        <v>320</v>
      </c>
      <c r="AT19" s="222">
        <v>164</v>
      </c>
      <c r="AU19" s="223">
        <v>210</v>
      </c>
      <c r="AV19" s="99">
        <v>12</v>
      </c>
      <c r="AW19" s="100">
        <v>0</v>
      </c>
      <c r="AX19" s="100">
        <v>9</v>
      </c>
      <c r="AY19" s="100">
        <v>48</v>
      </c>
      <c r="AZ19" s="100">
        <v>12</v>
      </c>
      <c r="BA19" s="100">
        <v>60</v>
      </c>
      <c r="BB19" s="100">
        <v>18</v>
      </c>
      <c r="BC19" s="101">
        <v>0</v>
      </c>
      <c r="BD19" s="96"/>
      <c r="BE19" s="97"/>
      <c r="BF19" s="97"/>
      <c r="BG19" s="97"/>
      <c r="BH19" s="98"/>
      <c r="BI19" s="157" t="e">
        <f t="shared" si="3"/>
        <v>#REF!</v>
      </c>
      <c r="BJ19" s="158" t="e">
        <f>#REF!</f>
        <v>#REF!</v>
      </c>
      <c r="BK19" s="159" t="e">
        <f>#REF!</f>
        <v>#REF!</v>
      </c>
      <c r="BL19" s="181" t="e">
        <f t="shared" si="4"/>
        <v>#REF!</v>
      </c>
      <c r="BM19" s="182" t="e">
        <f t="shared" si="5"/>
        <v>#REF!</v>
      </c>
      <c r="BN19" s="182" t="e">
        <f t="shared" si="6"/>
        <v>#REF!</v>
      </c>
      <c r="BO19" s="182" t="e">
        <f t="shared" si="7"/>
        <v>#REF!</v>
      </c>
      <c r="BP19" s="182" t="e">
        <f t="shared" si="8"/>
        <v>#REF!</v>
      </c>
      <c r="BQ19" s="182" t="e">
        <f t="shared" si="9"/>
        <v>#REF!</v>
      </c>
      <c r="BR19" s="182" t="e">
        <f t="shared" si="10"/>
        <v>#REF!</v>
      </c>
      <c r="BS19" s="183" t="e">
        <f t="shared" si="11"/>
        <v>#REF!</v>
      </c>
      <c r="BT19" s="184" t="e">
        <f t="shared" si="12"/>
        <v>#REF!</v>
      </c>
      <c r="BU19" s="185" t="e">
        <f t="shared" si="13"/>
        <v>#REF!</v>
      </c>
      <c r="BV19" s="185" t="e">
        <f t="shared" si="14"/>
        <v>#REF!</v>
      </c>
      <c r="BW19" s="185" t="e">
        <f t="shared" si="15"/>
        <v>#REF!</v>
      </c>
      <c r="BX19" s="186" t="e">
        <f t="shared" si="16"/>
        <v>#REF!</v>
      </c>
      <c r="BY1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" s="66"/>
      <c r="DA19" s="66"/>
      <c r="DB19" s="66"/>
      <c r="DC19" s="224" t="e">
        <f>#REF!&amp;#REF!</f>
        <v>#REF!</v>
      </c>
      <c r="DD19" s="1" t="e">
        <f>IF($DC19="",0,IF(COUNTIF($DC$2:$DC18,$DC19)=0,1,0))</f>
        <v>#REF!</v>
      </c>
      <c r="DE19" s="252"/>
      <c r="DF19" s="252"/>
      <c r="DG19" s="252"/>
      <c r="DH19" s="252"/>
    </row>
    <row r="20" spans="1:112" s="1" customFormat="1" ht="12" customHeight="1" x14ac:dyDescent="0.25">
      <c r="A20" s="64">
        <v>19</v>
      </c>
      <c r="B20" s="71" t="s">
        <v>41</v>
      </c>
      <c r="C20" s="234"/>
      <c r="D20" s="72"/>
      <c r="E20" s="72"/>
      <c r="F20" s="72"/>
      <c r="G20" s="66"/>
      <c r="H20" s="66"/>
      <c r="I20" s="66"/>
      <c r="J20" s="67"/>
      <c r="K20" s="230"/>
      <c r="L20" s="69"/>
      <c r="M20" s="66"/>
      <c r="N20" s="66"/>
      <c r="O20" s="136"/>
      <c r="P20" s="65"/>
      <c r="Q20" s="70"/>
      <c r="R20" s="250"/>
      <c r="S20" s="65"/>
      <c r="T20" s="240"/>
      <c r="U20" s="240"/>
      <c r="V20" s="240"/>
      <c r="W20" s="65"/>
      <c r="X20" s="240"/>
      <c r="Y20" s="65"/>
      <c r="Z20" s="281"/>
      <c r="AA20" s="231"/>
      <c r="AB20" s="66" t="s">
        <v>278</v>
      </c>
      <c r="AC20" s="247" t="s">
        <v>356</v>
      </c>
      <c r="AD20" s="240">
        <f t="shared" si="2"/>
        <v>4</v>
      </c>
      <c r="AE20" s="240" t="s">
        <v>349</v>
      </c>
      <c r="AF20" s="241">
        <v>2013</v>
      </c>
      <c r="AG20" s="247" t="s">
        <v>341</v>
      </c>
      <c r="AH20" s="66">
        <v>2016</v>
      </c>
      <c r="AI20" s="247" t="s">
        <v>364</v>
      </c>
      <c r="AJ20" s="231">
        <v>41486</v>
      </c>
      <c r="AK20" s="240" t="s">
        <v>128</v>
      </c>
      <c r="AL20" s="241">
        <v>1</v>
      </c>
      <c r="AM20" s="240" t="s">
        <v>137</v>
      </c>
      <c r="AN20" s="241">
        <v>2016</v>
      </c>
      <c r="AO20" s="65" t="s">
        <v>144</v>
      </c>
      <c r="AP20" s="231">
        <v>43542</v>
      </c>
      <c r="AQ20" s="231">
        <v>43633</v>
      </c>
      <c r="AR20" s="66"/>
      <c r="AS20" s="221" t="s">
        <v>319</v>
      </c>
      <c r="AT20" s="222">
        <v>164</v>
      </c>
      <c r="AU20" s="223">
        <v>210</v>
      </c>
      <c r="AV20" s="99">
        <v>12</v>
      </c>
      <c r="AW20" s="100">
        <v>0</v>
      </c>
      <c r="AX20" s="100">
        <v>9</v>
      </c>
      <c r="AY20" s="100">
        <v>48</v>
      </c>
      <c r="AZ20" s="100">
        <v>12</v>
      </c>
      <c r="BA20" s="100">
        <v>60</v>
      </c>
      <c r="BB20" s="100">
        <v>18</v>
      </c>
      <c r="BC20" s="101">
        <v>0</v>
      </c>
      <c r="BD20" s="96"/>
      <c r="BE20" s="97"/>
      <c r="BF20" s="97"/>
      <c r="BG20" s="97"/>
      <c r="BH20" s="98"/>
      <c r="BI20" s="157" t="e">
        <f t="shared" si="3"/>
        <v>#REF!</v>
      </c>
      <c r="BJ20" s="158" t="e">
        <f>#REF!</f>
        <v>#REF!</v>
      </c>
      <c r="BK20" s="159" t="e">
        <f>#REF!</f>
        <v>#REF!</v>
      </c>
      <c r="BL20" s="181" t="e">
        <f t="shared" si="4"/>
        <v>#REF!</v>
      </c>
      <c r="BM20" s="182" t="e">
        <f t="shared" si="5"/>
        <v>#REF!</v>
      </c>
      <c r="BN20" s="182" t="e">
        <f t="shared" si="6"/>
        <v>#REF!</v>
      </c>
      <c r="BO20" s="182" t="e">
        <f t="shared" si="7"/>
        <v>#REF!</v>
      </c>
      <c r="BP20" s="182" t="e">
        <f t="shared" si="8"/>
        <v>#REF!</v>
      </c>
      <c r="BQ20" s="182" t="e">
        <f t="shared" si="9"/>
        <v>#REF!</v>
      </c>
      <c r="BR20" s="182" t="e">
        <f t="shared" si="10"/>
        <v>#REF!</v>
      </c>
      <c r="BS20" s="183" t="e">
        <f t="shared" si="11"/>
        <v>#REF!</v>
      </c>
      <c r="BT20" s="184" t="e">
        <f t="shared" si="12"/>
        <v>#REF!</v>
      </c>
      <c r="BU20" s="185" t="e">
        <f t="shared" si="13"/>
        <v>#REF!</v>
      </c>
      <c r="BV20" s="185" t="e">
        <f t="shared" si="14"/>
        <v>#REF!</v>
      </c>
      <c r="BW20" s="185" t="e">
        <f t="shared" si="15"/>
        <v>#REF!</v>
      </c>
      <c r="BX20" s="186" t="e">
        <f t="shared" si="16"/>
        <v>#REF!</v>
      </c>
      <c r="BY2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" s="66"/>
      <c r="DA20" s="66"/>
      <c r="DB20" s="66"/>
      <c r="DC20" s="224" t="e">
        <f>D20&amp;#REF!</f>
        <v>#REF!</v>
      </c>
      <c r="DD20" s="1" t="e">
        <f>IF($DC20="",0,IF(COUNTIF($DC$2:$DC19,$DC20)=0,1,0))</f>
        <v>#REF!</v>
      </c>
      <c r="DE20" s="252"/>
      <c r="DF20" s="252"/>
      <c r="DG20" s="252"/>
      <c r="DH20" s="252"/>
    </row>
    <row r="21" spans="1:112" s="1" customFormat="1" ht="12" customHeight="1" x14ac:dyDescent="0.25">
      <c r="A21" s="64">
        <v>20</v>
      </c>
      <c r="B21" s="71" t="s">
        <v>41</v>
      </c>
      <c r="C21" s="297"/>
      <c r="D21" s="234"/>
      <c r="E21" s="234"/>
      <c r="F21" s="283"/>
      <c r="G21" s="241"/>
      <c r="H21" s="241"/>
      <c r="I21" s="66"/>
      <c r="J21" s="288"/>
      <c r="K21" s="230"/>
      <c r="L21" s="289"/>
      <c r="M21" s="66"/>
      <c r="N21" s="66"/>
      <c r="O21" s="136"/>
      <c r="P21" s="65"/>
      <c r="Q21" s="70"/>
      <c r="R21" s="66"/>
      <c r="S21" s="65"/>
      <c r="T21" s="240"/>
      <c r="U21" s="240"/>
      <c r="V21" s="240"/>
      <c r="W21" s="240"/>
      <c r="X21" s="240"/>
      <c r="Y21" s="65"/>
      <c r="Z21" s="281"/>
      <c r="AA21" s="231"/>
      <c r="AB21" s="241" t="s">
        <v>278</v>
      </c>
      <c r="AC21" s="247" t="s">
        <v>358</v>
      </c>
      <c r="AD21" s="240">
        <f t="shared" si="2"/>
        <v>2</v>
      </c>
      <c r="AE21" s="240" t="s">
        <v>347</v>
      </c>
      <c r="AF21" s="241">
        <v>2016</v>
      </c>
      <c r="AG21" s="247" t="s">
        <v>342</v>
      </c>
      <c r="AH21" s="66">
        <v>2017</v>
      </c>
      <c r="AI21" s="247" t="s">
        <v>364</v>
      </c>
      <c r="AJ21" s="231">
        <v>43465</v>
      </c>
      <c r="AK21" s="240" t="s">
        <v>126</v>
      </c>
      <c r="AL21" s="241">
        <v>1</v>
      </c>
      <c r="AM21" s="65" t="s">
        <v>133</v>
      </c>
      <c r="AN21" s="241">
        <v>2017</v>
      </c>
      <c r="AO21" s="65" t="s">
        <v>144</v>
      </c>
      <c r="AP21" s="231">
        <v>43563</v>
      </c>
      <c r="AQ21" s="231">
        <v>43655</v>
      </c>
      <c r="AR21" s="66"/>
      <c r="AS21" s="221" t="s">
        <v>319</v>
      </c>
      <c r="AT21" s="222">
        <v>173</v>
      </c>
      <c r="AU21" s="223">
        <v>210</v>
      </c>
      <c r="AV21" s="99">
        <v>12</v>
      </c>
      <c r="AW21" s="100">
        <v>9</v>
      </c>
      <c r="AX21" s="100">
        <v>9</v>
      </c>
      <c r="AY21" s="100">
        <v>48</v>
      </c>
      <c r="AZ21" s="100">
        <v>12</v>
      </c>
      <c r="BA21" s="100">
        <v>60</v>
      </c>
      <c r="BB21" s="100">
        <v>18</v>
      </c>
      <c r="BC21" s="101">
        <v>0</v>
      </c>
      <c r="BD21" s="96"/>
      <c r="BE21" s="97"/>
      <c r="BF21" s="97"/>
      <c r="BG21" s="97"/>
      <c r="BH21" s="98"/>
      <c r="BI21" s="157" t="e">
        <f t="shared" si="3"/>
        <v>#REF!</v>
      </c>
      <c r="BJ21" s="158" t="e">
        <f>#REF!</f>
        <v>#REF!</v>
      </c>
      <c r="BK21" s="159" t="e">
        <f>#REF!</f>
        <v>#REF!</v>
      </c>
      <c r="BL21" s="181" t="e">
        <f t="shared" si="4"/>
        <v>#REF!</v>
      </c>
      <c r="BM21" s="182" t="e">
        <f t="shared" si="5"/>
        <v>#REF!</v>
      </c>
      <c r="BN21" s="182" t="e">
        <f t="shared" si="6"/>
        <v>#REF!</v>
      </c>
      <c r="BO21" s="182" t="e">
        <f t="shared" si="7"/>
        <v>#REF!</v>
      </c>
      <c r="BP21" s="182" t="e">
        <f t="shared" si="8"/>
        <v>#REF!</v>
      </c>
      <c r="BQ21" s="182" t="e">
        <f t="shared" si="9"/>
        <v>#REF!</v>
      </c>
      <c r="BR21" s="182" t="e">
        <f t="shared" si="10"/>
        <v>#REF!</v>
      </c>
      <c r="BS21" s="183" t="e">
        <f t="shared" si="11"/>
        <v>#REF!</v>
      </c>
      <c r="BT21" s="184" t="e">
        <f t="shared" si="12"/>
        <v>#REF!</v>
      </c>
      <c r="BU21" s="185" t="e">
        <f t="shared" si="13"/>
        <v>#REF!</v>
      </c>
      <c r="BV21" s="185" t="e">
        <f t="shared" si="14"/>
        <v>#REF!</v>
      </c>
      <c r="BW21" s="185" t="e">
        <f t="shared" si="15"/>
        <v>#REF!</v>
      </c>
      <c r="BX21" s="186" t="e">
        <f t="shared" si="16"/>
        <v>#REF!</v>
      </c>
      <c r="BY2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1" s="66"/>
      <c r="DA21" s="66"/>
      <c r="DB21" s="66"/>
      <c r="DC21" s="224" t="e">
        <f>D19&amp;#REF!</f>
        <v>#REF!</v>
      </c>
      <c r="DD21" s="1" t="e">
        <f>IF($DC21="",0,IF(COUNTIF($DC$2:$DC20,$DC21)=0,1,0))</f>
        <v>#REF!</v>
      </c>
      <c r="DE21" s="252"/>
      <c r="DF21" s="252"/>
      <c r="DG21" s="252"/>
      <c r="DH21" s="252"/>
    </row>
    <row r="22" spans="1:112" s="1" customFormat="1" ht="12" customHeight="1" x14ac:dyDescent="0.25">
      <c r="A22" s="64">
        <v>21</v>
      </c>
      <c r="B22" s="233" t="s">
        <v>41</v>
      </c>
      <c r="C22" s="297"/>
      <c r="D22" s="234"/>
      <c r="E22" s="72"/>
      <c r="F22" s="72"/>
      <c r="G22" s="66"/>
      <c r="H22" s="66"/>
      <c r="I22" s="66"/>
      <c r="J22" s="288"/>
      <c r="K22" s="230"/>
      <c r="L22" s="289"/>
      <c r="M22" s="66"/>
      <c r="N22" s="66"/>
      <c r="O22" s="136"/>
      <c r="P22" s="65"/>
      <c r="Q22" s="70"/>
      <c r="R22" s="241"/>
      <c r="S22" s="65"/>
      <c r="T22" s="240"/>
      <c r="U22" s="240"/>
      <c r="V22" s="240"/>
      <c r="W22" s="65"/>
      <c r="X22" s="240"/>
      <c r="Y22" s="65"/>
      <c r="Z22" s="295"/>
      <c r="AA22" s="296"/>
      <c r="AB22" s="296"/>
      <c r="AC22" s="247" t="s">
        <v>358</v>
      </c>
      <c r="AD22" s="240">
        <f t="shared" si="2"/>
        <v>2</v>
      </c>
      <c r="AE22" s="240" t="s">
        <v>347</v>
      </c>
      <c r="AF22" s="241">
        <v>2014</v>
      </c>
      <c r="AG22" s="247" t="s">
        <v>342</v>
      </c>
      <c r="AH22" s="66">
        <v>2017</v>
      </c>
      <c r="AI22" s="247" t="s">
        <v>366</v>
      </c>
      <c r="AJ22" s="231"/>
      <c r="AK22" s="240"/>
      <c r="AL22" s="241"/>
      <c r="AM22" s="65" t="s">
        <v>133</v>
      </c>
      <c r="AN22" s="241">
        <v>2017</v>
      </c>
      <c r="AO22" s="65" t="s">
        <v>123</v>
      </c>
      <c r="AP22" s="231">
        <v>43563</v>
      </c>
      <c r="AQ22" s="231">
        <v>43655</v>
      </c>
      <c r="AR22" s="66"/>
      <c r="AS22" s="221" t="s">
        <v>319</v>
      </c>
      <c r="AT22" s="222">
        <v>173</v>
      </c>
      <c r="AU22" s="223">
        <v>210</v>
      </c>
      <c r="AV22" s="99">
        <v>12</v>
      </c>
      <c r="AW22" s="100">
        <v>9</v>
      </c>
      <c r="AX22" s="100">
        <v>9</v>
      </c>
      <c r="AY22" s="100">
        <v>48</v>
      </c>
      <c r="AZ22" s="100">
        <v>12</v>
      </c>
      <c r="BA22" s="100">
        <v>60</v>
      </c>
      <c r="BB22" s="100">
        <v>18</v>
      </c>
      <c r="BC22" s="101">
        <v>0</v>
      </c>
      <c r="BD22" s="96"/>
      <c r="BE22" s="97"/>
      <c r="BF22" s="97"/>
      <c r="BG22" s="97"/>
      <c r="BH22" s="98"/>
      <c r="BI22" s="157" t="e">
        <f t="shared" si="3"/>
        <v>#REF!</v>
      </c>
      <c r="BJ22" s="158" t="e">
        <f>#REF!</f>
        <v>#REF!</v>
      </c>
      <c r="BK22" s="159" t="e">
        <f>#REF!</f>
        <v>#REF!</v>
      </c>
      <c r="BL22" s="181" t="e">
        <f t="shared" si="4"/>
        <v>#REF!</v>
      </c>
      <c r="BM22" s="182" t="e">
        <f t="shared" si="5"/>
        <v>#REF!</v>
      </c>
      <c r="BN22" s="182" t="e">
        <f t="shared" si="6"/>
        <v>#REF!</v>
      </c>
      <c r="BO22" s="182" t="e">
        <f t="shared" si="7"/>
        <v>#REF!</v>
      </c>
      <c r="BP22" s="182" t="e">
        <f t="shared" si="8"/>
        <v>#REF!</v>
      </c>
      <c r="BQ22" s="182" t="e">
        <f t="shared" si="9"/>
        <v>#REF!</v>
      </c>
      <c r="BR22" s="182" t="e">
        <f t="shared" si="10"/>
        <v>#REF!</v>
      </c>
      <c r="BS22" s="183" t="e">
        <f t="shared" si="11"/>
        <v>#REF!</v>
      </c>
      <c r="BT22" s="184" t="e">
        <f t="shared" si="12"/>
        <v>#REF!</v>
      </c>
      <c r="BU22" s="185" t="e">
        <f t="shared" si="13"/>
        <v>#REF!</v>
      </c>
      <c r="BV22" s="185" t="e">
        <f t="shared" si="14"/>
        <v>#REF!</v>
      </c>
      <c r="BW22" s="185" t="e">
        <f t="shared" si="15"/>
        <v>#REF!</v>
      </c>
      <c r="BX22" s="186" t="e">
        <f t="shared" si="16"/>
        <v>#REF!</v>
      </c>
      <c r="BY2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2" s="66"/>
      <c r="DA22" s="66"/>
      <c r="DB22" s="66"/>
      <c r="DC22" s="224" t="e">
        <f>C22&amp;#REF!</f>
        <v>#REF!</v>
      </c>
      <c r="DD22" s="1" t="e">
        <f>IF($DC22="",0,IF(COUNTIF($DC$2:$DC21,$DC22)=0,1,0))</f>
        <v>#REF!</v>
      </c>
      <c r="DE22" s="252"/>
      <c r="DF22" s="252"/>
      <c r="DG22" s="252"/>
      <c r="DH22" s="252"/>
    </row>
    <row r="23" spans="1:112" s="1" customFormat="1" ht="12" customHeight="1" x14ac:dyDescent="0.25">
      <c r="A23" s="64">
        <v>22</v>
      </c>
      <c r="B23" s="233" t="s">
        <v>41</v>
      </c>
      <c r="C23" s="297"/>
      <c r="D23" s="234"/>
      <c r="E23" s="72"/>
      <c r="F23" s="72"/>
      <c r="G23" s="66"/>
      <c r="H23" s="66"/>
      <c r="I23" s="66"/>
      <c r="J23" s="288"/>
      <c r="K23" s="230"/>
      <c r="L23" s="289"/>
      <c r="M23" s="66"/>
      <c r="N23" s="66"/>
      <c r="O23" s="136"/>
      <c r="P23" s="65"/>
      <c r="Q23" s="70"/>
      <c r="R23" s="66"/>
      <c r="S23" s="65"/>
      <c r="T23" s="240"/>
      <c r="U23" s="240"/>
      <c r="V23" s="240"/>
      <c r="W23" s="65"/>
      <c r="X23" s="240"/>
      <c r="Y23" s="65"/>
      <c r="Z23" s="281"/>
      <c r="AA23" s="231"/>
      <c r="AB23" s="66" t="s">
        <v>278</v>
      </c>
      <c r="AC23" s="247" t="s">
        <v>357</v>
      </c>
      <c r="AD23" s="240">
        <f t="shared" si="2"/>
        <v>3</v>
      </c>
      <c r="AE23" s="240" t="s">
        <v>348</v>
      </c>
      <c r="AF23" s="241">
        <v>2017</v>
      </c>
      <c r="AG23" s="247" t="s">
        <v>342</v>
      </c>
      <c r="AH23" s="66">
        <v>2018</v>
      </c>
      <c r="AI23" s="247" t="s">
        <v>364</v>
      </c>
      <c r="AJ23" s="231" t="s">
        <v>386</v>
      </c>
      <c r="AK23" s="240" t="s">
        <v>126</v>
      </c>
      <c r="AL23" s="241">
        <v>5</v>
      </c>
      <c r="AM23" s="65" t="s">
        <v>133</v>
      </c>
      <c r="AN23" s="241">
        <v>2018</v>
      </c>
      <c r="AO23" s="65" t="s">
        <v>144</v>
      </c>
      <c r="AP23" s="231">
        <v>43563</v>
      </c>
      <c r="AQ23" s="231">
        <v>43648</v>
      </c>
      <c r="AR23" s="66"/>
      <c r="AS23" s="221" t="s">
        <v>320</v>
      </c>
      <c r="AT23" s="222">
        <v>140</v>
      </c>
      <c r="AU23" s="223">
        <v>210</v>
      </c>
      <c r="AV23" s="99">
        <v>12</v>
      </c>
      <c r="AW23" s="100">
        <v>9</v>
      </c>
      <c r="AX23" s="100">
        <v>0</v>
      </c>
      <c r="AY23" s="100">
        <v>24</v>
      </c>
      <c r="AZ23" s="100">
        <v>12</v>
      </c>
      <c r="BA23" s="100">
        <v>60</v>
      </c>
      <c r="BB23" s="100">
        <v>18</v>
      </c>
      <c r="BC23" s="101">
        <v>0</v>
      </c>
      <c r="BD23" s="96">
        <v>30</v>
      </c>
      <c r="BE23" s="97"/>
      <c r="BF23" s="97"/>
      <c r="BG23" s="97"/>
      <c r="BH23" s="98"/>
      <c r="BI23" s="157" t="e">
        <f t="shared" si="3"/>
        <v>#REF!</v>
      </c>
      <c r="BJ23" s="158" t="e">
        <f>#REF!</f>
        <v>#REF!</v>
      </c>
      <c r="BK23" s="159" t="e">
        <f>#REF!</f>
        <v>#REF!</v>
      </c>
      <c r="BL23" s="181" t="e">
        <f t="shared" si="4"/>
        <v>#REF!</v>
      </c>
      <c r="BM23" s="182" t="e">
        <f t="shared" si="5"/>
        <v>#REF!</v>
      </c>
      <c r="BN23" s="182" t="e">
        <f t="shared" si="6"/>
        <v>#REF!</v>
      </c>
      <c r="BO23" s="182" t="e">
        <f t="shared" si="7"/>
        <v>#REF!</v>
      </c>
      <c r="BP23" s="182" t="e">
        <f t="shared" si="8"/>
        <v>#REF!</v>
      </c>
      <c r="BQ23" s="182" t="e">
        <f t="shared" si="9"/>
        <v>#REF!</v>
      </c>
      <c r="BR23" s="182" t="e">
        <f t="shared" si="10"/>
        <v>#REF!</v>
      </c>
      <c r="BS23" s="183" t="e">
        <f t="shared" si="11"/>
        <v>#REF!</v>
      </c>
      <c r="BT23" s="184" t="e">
        <f t="shared" si="12"/>
        <v>#REF!</v>
      </c>
      <c r="BU23" s="185" t="e">
        <f t="shared" si="13"/>
        <v>#REF!</v>
      </c>
      <c r="BV23" s="185" t="e">
        <f t="shared" si="14"/>
        <v>#REF!</v>
      </c>
      <c r="BW23" s="185" t="e">
        <f t="shared" si="15"/>
        <v>#REF!</v>
      </c>
      <c r="BX23" s="186" t="e">
        <f t="shared" si="16"/>
        <v>#REF!</v>
      </c>
      <c r="BY2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3" s="66"/>
      <c r="DA23" s="66"/>
      <c r="DB23" s="66"/>
      <c r="DC23" s="224" t="e">
        <f>C23&amp;#REF!</f>
        <v>#REF!</v>
      </c>
      <c r="DD23" s="1" t="e">
        <f>IF($DC23="",0,IF(COUNTIF($DC$2:$DC22,$DC23)=0,1,0))</f>
        <v>#REF!</v>
      </c>
      <c r="DE23" s="252"/>
      <c r="DF23" s="252"/>
      <c r="DG23" s="252"/>
      <c r="DH23" s="252"/>
    </row>
    <row r="24" spans="1:112" s="1" customFormat="1" ht="12" customHeight="1" x14ac:dyDescent="0.25">
      <c r="A24" s="64">
        <v>23</v>
      </c>
      <c r="B24" s="233" t="s">
        <v>41</v>
      </c>
      <c r="C24" s="297"/>
      <c r="D24" s="234"/>
      <c r="E24" s="72"/>
      <c r="F24" s="72"/>
      <c r="G24" s="66"/>
      <c r="H24" s="66"/>
      <c r="I24" s="66"/>
      <c r="J24" s="288"/>
      <c r="K24" s="294"/>
      <c r="L24" s="289"/>
      <c r="M24" s="66"/>
      <c r="N24" s="66"/>
      <c r="O24" s="136"/>
      <c r="P24" s="65"/>
      <c r="Q24" s="70"/>
      <c r="R24" s="66"/>
      <c r="S24" s="65"/>
      <c r="T24" s="240"/>
      <c r="U24" s="240"/>
      <c r="V24" s="240"/>
      <c r="W24" s="65"/>
      <c r="X24" s="240"/>
      <c r="Y24" s="65"/>
      <c r="Z24" s="281"/>
      <c r="AA24" s="231"/>
      <c r="AB24" s="66" t="s">
        <v>278</v>
      </c>
      <c r="AC24" s="247" t="s">
        <v>358</v>
      </c>
      <c r="AD24" s="240">
        <f t="shared" si="2"/>
        <v>2</v>
      </c>
      <c r="AE24" s="240" t="s">
        <v>314</v>
      </c>
      <c r="AF24" s="241"/>
      <c r="AG24" s="247" t="s">
        <v>336</v>
      </c>
      <c r="AH24" s="241">
        <v>2004</v>
      </c>
      <c r="AI24" s="247" t="s">
        <v>365</v>
      </c>
      <c r="AJ24" s="231">
        <v>43343</v>
      </c>
      <c r="AK24" s="240" t="s">
        <v>128</v>
      </c>
      <c r="AL24" s="241">
        <v>24</v>
      </c>
      <c r="AM24" s="240" t="s">
        <v>186</v>
      </c>
      <c r="AN24" s="241"/>
      <c r="AO24" s="65" t="s">
        <v>123</v>
      </c>
      <c r="AP24" s="231">
        <v>43563</v>
      </c>
      <c r="AQ24" s="231">
        <v>43661</v>
      </c>
      <c r="AR24" s="66"/>
      <c r="AS24" s="221" t="s">
        <v>319</v>
      </c>
      <c r="AT24" s="222">
        <v>164</v>
      </c>
      <c r="AU24" s="223">
        <v>210</v>
      </c>
      <c r="AV24" s="99">
        <v>12</v>
      </c>
      <c r="AW24" s="100">
        <v>0</v>
      </c>
      <c r="AX24" s="100">
        <v>9</v>
      </c>
      <c r="AY24" s="100">
        <v>48</v>
      </c>
      <c r="AZ24" s="100">
        <v>12</v>
      </c>
      <c r="BA24" s="100">
        <v>60</v>
      </c>
      <c r="BB24" s="100">
        <v>18</v>
      </c>
      <c r="BC24" s="101">
        <v>0</v>
      </c>
      <c r="BD24" s="96"/>
      <c r="BE24" s="97"/>
      <c r="BF24" s="97"/>
      <c r="BG24" s="97"/>
      <c r="BH24" s="98"/>
      <c r="BI24" s="157" t="e">
        <f t="shared" si="3"/>
        <v>#REF!</v>
      </c>
      <c r="BJ24" s="158" t="e">
        <f>#REF!</f>
        <v>#REF!</v>
      </c>
      <c r="BK24" s="159" t="e">
        <f>#REF!</f>
        <v>#REF!</v>
      </c>
      <c r="BL24" s="181" t="e">
        <f t="shared" si="4"/>
        <v>#REF!</v>
      </c>
      <c r="BM24" s="182" t="e">
        <f t="shared" si="5"/>
        <v>#REF!</v>
      </c>
      <c r="BN24" s="182" t="e">
        <f t="shared" si="6"/>
        <v>#REF!</v>
      </c>
      <c r="BO24" s="182" t="e">
        <f t="shared" si="7"/>
        <v>#REF!</v>
      </c>
      <c r="BP24" s="182" t="e">
        <f t="shared" si="8"/>
        <v>#REF!</v>
      </c>
      <c r="BQ24" s="182" t="e">
        <f t="shared" si="9"/>
        <v>#REF!</v>
      </c>
      <c r="BR24" s="182" t="e">
        <f t="shared" si="10"/>
        <v>#REF!</v>
      </c>
      <c r="BS24" s="183" t="e">
        <f t="shared" si="11"/>
        <v>#REF!</v>
      </c>
      <c r="BT24" s="184" t="e">
        <f t="shared" si="12"/>
        <v>#REF!</v>
      </c>
      <c r="BU24" s="185" t="e">
        <f t="shared" si="13"/>
        <v>#REF!</v>
      </c>
      <c r="BV24" s="185" t="e">
        <f t="shared" si="14"/>
        <v>#REF!</v>
      </c>
      <c r="BW24" s="185" t="e">
        <f t="shared" si="15"/>
        <v>#REF!</v>
      </c>
      <c r="BX24" s="186" t="e">
        <f t="shared" si="16"/>
        <v>#REF!</v>
      </c>
      <c r="BY2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4" s="66"/>
      <c r="DA24" s="66"/>
      <c r="DB24" s="66"/>
      <c r="DC24" s="224" t="e">
        <f>C24&amp;#REF!</f>
        <v>#REF!</v>
      </c>
      <c r="DD24" s="1" t="e">
        <f>IF($DC24="",0,IF(COUNTIF($DC$2:$DC23,$DC24)=0,1,0))</f>
        <v>#REF!</v>
      </c>
      <c r="DE24" s="252"/>
      <c r="DF24" s="252"/>
      <c r="DG24" s="252"/>
      <c r="DH24" s="252"/>
    </row>
    <row r="25" spans="1:112" s="1" customFormat="1" ht="12" customHeight="1" x14ac:dyDescent="0.25">
      <c r="A25" s="64">
        <v>24</v>
      </c>
      <c r="B25" s="233" t="s">
        <v>41</v>
      </c>
      <c r="C25" s="297"/>
      <c r="D25" s="234"/>
      <c r="E25" s="234"/>
      <c r="F25" s="234"/>
      <c r="G25" s="66"/>
      <c r="H25" s="66"/>
      <c r="I25" s="66"/>
      <c r="J25" s="67"/>
      <c r="K25" s="294"/>
      <c r="L25" s="69"/>
      <c r="M25" s="66"/>
      <c r="N25" s="66"/>
      <c r="O25" s="136"/>
      <c r="P25" s="65"/>
      <c r="Q25" s="70"/>
      <c r="R25" s="66"/>
      <c r="S25" s="65"/>
      <c r="T25" s="65"/>
      <c r="U25" s="240"/>
      <c r="V25" s="240"/>
      <c r="W25" s="65"/>
      <c r="X25" s="240"/>
      <c r="Y25" s="65"/>
      <c r="Z25" s="295"/>
      <c r="AA25" s="296"/>
      <c r="AB25" s="296"/>
      <c r="AC25" s="247" t="s">
        <v>358</v>
      </c>
      <c r="AD25" s="240">
        <f t="shared" si="2"/>
        <v>2</v>
      </c>
      <c r="AE25" s="240" t="s">
        <v>347</v>
      </c>
      <c r="AF25" s="241">
        <v>2014</v>
      </c>
      <c r="AG25" s="247" t="s">
        <v>338</v>
      </c>
      <c r="AH25" s="241">
        <v>2017</v>
      </c>
      <c r="AI25" s="247" t="s">
        <v>366</v>
      </c>
      <c r="AJ25" s="231"/>
      <c r="AK25" s="240"/>
      <c r="AL25" s="241"/>
      <c r="AM25" s="65" t="s">
        <v>133</v>
      </c>
      <c r="AN25" s="241">
        <v>2017</v>
      </c>
      <c r="AO25" s="65" t="s">
        <v>144</v>
      </c>
      <c r="AP25" s="231">
        <v>43584</v>
      </c>
      <c r="AQ25" s="231">
        <v>43706</v>
      </c>
      <c r="AR25" s="66"/>
      <c r="AS25" s="221" t="s">
        <v>319</v>
      </c>
      <c r="AT25" s="222">
        <v>173</v>
      </c>
      <c r="AU25" s="223">
        <v>210</v>
      </c>
      <c r="AV25" s="99">
        <v>12</v>
      </c>
      <c r="AW25" s="100">
        <v>9</v>
      </c>
      <c r="AX25" s="100">
        <v>9</v>
      </c>
      <c r="AY25" s="100">
        <v>48</v>
      </c>
      <c r="AZ25" s="100">
        <v>12</v>
      </c>
      <c r="BA25" s="100">
        <v>60</v>
      </c>
      <c r="BB25" s="100">
        <v>18</v>
      </c>
      <c r="BC25" s="101">
        <v>0</v>
      </c>
      <c r="BD25" s="96"/>
      <c r="BE25" s="97"/>
      <c r="BF25" s="97"/>
      <c r="BG25" s="97"/>
      <c r="BH25" s="98"/>
      <c r="BI25" s="157" t="e">
        <f t="shared" si="3"/>
        <v>#REF!</v>
      </c>
      <c r="BJ25" s="158" t="e">
        <f>#REF!</f>
        <v>#REF!</v>
      </c>
      <c r="BK25" s="159" t="e">
        <f>#REF!</f>
        <v>#REF!</v>
      </c>
      <c r="BL25" s="181" t="e">
        <f t="shared" si="4"/>
        <v>#REF!</v>
      </c>
      <c r="BM25" s="182" t="e">
        <f t="shared" si="5"/>
        <v>#REF!</v>
      </c>
      <c r="BN25" s="182" t="e">
        <f t="shared" si="6"/>
        <v>#REF!</v>
      </c>
      <c r="BO25" s="182" t="e">
        <f t="shared" si="7"/>
        <v>#REF!</v>
      </c>
      <c r="BP25" s="182" t="e">
        <f t="shared" si="8"/>
        <v>#REF!</v>
      </c>
      <c r="BQ25" s="182" t="e">
        <f t="shared" si="9"/>
        <v>#REF!</v>
      </c>
      <c r="BR25" s="182" t="e">
        <f t="shared" si="10"/>
        <v>#REF!</v>
      </c>
      <c r="BS25" s="183" t="e">
        <f t="shared" si="11"/>
        <v>#REF!</v>
      </c>
      <c r="BT25" s="184" t="e">
        <f t="shared" si="12"/>
        <v>#REF!</v>
      </c>
      <c r="BU25" s="185" t="e">
        <f t="shared" si="13"/>
        <v>#REF!</v>
      </c>
      <c r="BV25" s="185" t="e">
        <f t="shared" si="14"/>
        <v>#REF!</v>
      </c>
      <c r="BW25" s="185" t="e">
        <f t="shared" si="15"/>
        <v>#REF!</v>
      </c>
      <c r="BX25" s="186" t="e">
        <f t="shared" si="16"/>
        <v>#REF!</v>
      </c>
      <c r="BY2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5" s="66"/>
      <c r="DA25" s="66"/>
      <c r="DB25" s="66"/>
      <c r="DC25" s="224" t="e">
        <f>#REF!&amp;#REF!</f>
        <v>#REF!</v>
      </c>
      <c r="DD25" s="1" t="e">
        <f>IF($DC25="",0,IF(COUNTIF($DC$2:$DC24,$DC25)=0,1,0))</f>
        <v>#REF!</v>
      </c>
      <c r="DE25" s="252"/>
      <c r="DF25" s="252"/>
      <c r="DG25" s="252"/>
      <c r="DH25" s="252"/>
    </row>
    <row r="26" spans="1:112" s="1" customFormat="1" ht="12" customHeight="1" x14ac:dyDescent="0.25">
      <c r="A26" s="64">
        <v>25</v>
      </c>
      <c r="B26" s="71" t="s">
        <v>67</v>
      </c>
      <c r="C26" s="297"/>
      <c r="D26" s="72"/>
      <c r="E26" s="72"/>
      <c r="F26" s="72"/>
      <c r="G26" s="66"/>
      <c r="H26" s="66"/>
      <c r="I26" s="66"/>
      <c r="J26" s="67"/>
      <c r="K26" s="294"/>
      <c r="L26" s="69"/>
      <c r="M26" s="66"/>
      <c r="N26" s="66"/>
      <c r="O26" s="136"/>
      <c r="P26" s="65"/>
      <c r="Q26" s="70"/>
      <c r="R26" s="66"/>
      <c r="S26" s="65"/>
      <c r="T26" s="65"/>
      <c r="U26" s="240"/>
      <c r="V26" s="240"/>
      <c r="W26" s="65"/>
      <c r="X26" s="240"/>
      <c r="Y26" s="65"/>
      <c r="Z26" s="281"/>
      <c r="AA26" s="231"/>
      <c r="AB26" s="66" t="s">
        <v>278</v>
      </c>
      <c r="AC26" s="247" t="s">
        <v>356</v>
      </c>
      <c r="AD26" s="240">
        <f t="shared" si="2"/>
        <v>4</v>
      </c>
      <c r="AE26" s="240" t="s">
        <v>349</v>
      </c>
      <c r="AF26" s="241">
        <v>2010</v>
      </c>
      <c r="AG26" s="247" t="s">
        <v>342</v>
      </c>
      <c r="AH26" s="241">
        <v>2015</v>
      </c>
      <c r="AI26" s="247" t="s">
        <v>364</v>
      </c>
      <c r="AJ26" s="231">
        <v>43540</v>
      </c>
      <c r="AK26" s="240" t="s">
        <v>124</v>
      </c>
      <c r="AL26" s="241">
        <v>87</v>
      </c>
      <c r="AM26" s="65" t="s">
        <v>132</v>
      </c>
      <c r="AN26" s="241">
        <v>2015</v>
      </c>
      <c r="AO26" s="65" t="s">
        <v>123</v>
      </c>
      <c r="AP26" s="231">
        <v>43584</v>
      </c>
      <c r="AQ26" s="231">
        <v>43658</v>
      </c>
      <c r="AR26" s="66"/>
      <c r="AS26" s="221" t="s">
        <v>320</v>
      </c>
      <c r="AT26" s="222">
        <v>77</v>
      </c>
      <c r="AU26" s="223">
        <v>210</v>
      </c>
      <c r="AV26" s="99">
        <v>12</v>
      </c>
      <c r="AW26" s="100">
        <v>0</v>
      </c>
      <c r="AX26" s="100">
        <v>0</v>
      </c>
      <c r="AY26" s="100">
        <v>0</v>
      </c>
      <c r="AZ26" s="100">
        <v>0</v>
      </c>
      <c r="BA26" s="100">
        <v>60</v>
      </c>
      <c r="BB26" s="100">
        <v>0</v>
      </c>
      <c r="BC26" s="101">
        <v>0</v>
      </c>
      <c r="BD26" s="96"/>
      <c r="BE26" s="97"/>
      <c r="BF26" s="97"/>
      <c r="BG26" s="97"/>
      <c r="BH26" s="98"/>
      <c r="BI26" s="157" t="e">
        <f t="shared" si="3"/>
        <v>#REF!</v>
      </c>
      <c r="BJ26" s="158" t="e">
        <f>#REF!</f>
        <v>#REF!</v>
      </c>
      <c r="BK26" s="159" t="e">
        <f>#REF!</f>
        <v>#REF!</v>
      </c>
      <c r="BL26" s="181" t="e">
        <f t="shared" si="4"/>
        <v>#REF!</v>
      </c>
      <c r="BM26" s="182" t="e">
        <f t="shared" si="5"/>
        <v>#REF!</v>
      </c>
      <c r="BN26" s="182" t="e">
        <f t="shared" si="6"/>
        <v>#REF!</v>
      </c>
      <c r="BO26" s="182" t="e">
        <f t="shared" si="7"/>
        <v>#REF!</v>
      </c>
      <c r="BP26" s="182" t="e">
        <f t="shared" si="8"/>
        <v>#REF!</v>
      </c>
      <c r="BQ26" s="182" t="e">
        <f t="shared" si="9"/>
        <v>#REF!</v>
      </c>
      <c r="BR26" s="182" t="e">
        <f t="shared" si="10"/>
        <v>#REF!</v>
      </c>
      <c r="BS26" s="183" t="e">
        <f t="shared" si="11"/>
        <v>#REF!</v>
      </c>
      <c r="BT26" s="184" t="e">
        <f t="shared" si="12"/>
        <v>#REF!</v>
      </c>
      <c r="BU26" s="185" t="e">
        <f t="shared" si="13"/>
        <v>#REF!</v>
      </c>
      <c r="BV26" s="185" t="e">
        <f t="shared" si="14"/>
        <v>#REF!</v>
      </c>
      <c r="BW26" s="185" t="e">
        <f t="shared" si="15"/>
        <v>#REF!</v>
      </c>
      <c r="BX26" s="186" t="e">
        <f t="shared" si="16"/>
        <v>#REF!</v>
      </c>
      <c r="BY2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6" s="66"/>
      <c r="DA26" s="66"/>
      <c r="DB26" s="66"/>
      <c r="DC26" s="224" t="str">
        <f t="shared" si="1"/>
        <v/>
      </c>
      <c r="DD26" s="1">
        <f>IF($DC26="",0,IF(COUNTIF($DC$2:$DC25,$DC26)=0,1,0))</f>
        <v>0</v>
      </c>
      <c r="DE26" s="252"/>
      <c r="DF26" s="252"/>
      <c r="DG26" s="252"/>
      <c r="DH26" s="252"/>
    </row>
    <row r="27" spans="1:112" s="1" customFormat="1" ht="12" customHeight="1" x14ac:dyDescent="0.25">
      <c r="A27" s="64">
        <v>26</v>
      </c>
      <c r="B27" s="71"/>
      <c r="C27" s="72"/>
      <c r="D27" s="72"/>
      <c r="E27" s="72"/>
      <c r="F27" s="72"/>
      <c r="G27" s="66"/>
      <c r="H27" s="66"/>
      <c r="I27" s="66"/>
      <c r="J27" s="67"/>
      <c r="K27" s="230"/>
      <c r="L27" s="69"/>
      <c r="M27" s="66"/>
      <c r="N27" s="66"/>
      <c r="O27" s="136"/>
      <c r="P27" s="65"/>
      <c r="Q27" s="70"/>
      <c r="R27" s="66"/>
      <c r="S27" s="65"/>
      <c r="T27" s="65"/>
      <c r="U27" s="240"/>
      <c r="V27" s="65"/>
      <c r="W27" s="65"/>
      <c r="X27" s="240"/>
      <c r="Y27" s="65"/>
      <c r="Z27" s="281"/>
      <c r="AA27" s="66"/>
      <c r="AB27" s="66"/>
      <c r="AC27" s="247"/>
      <c r="AD27" s="240" t="str">
        <f t="shared" si="2"/>
        <v/>
      </c>
      <c r="AE27" s="240"/>
      <c r="AF27" s="241"/>
      <c r="AG27" s="247"/>
      <c r="AH27" s="241"/>
      <c r="AI27" s="247"/>
      <c r="AJ27" s="231"/>
      <c r="AK27" s="240"/>
      <c r="AL27" s="241"/>
      <c r="AM27" s="65"/>
      <c r="AN27" s="241"/>
      <c r="AO27" s="65"/>
      <c r="AP27" s="66"/>
      <c r="AQ27" s="66"/>
      <c r="AR27" s="66"/>
      <c r="AS27" s="221"/>
      <c r="AT27" s="222"/>
      <c r="AU27" s="223"/>
      <c r="AV27" s="99"/>
      <c r="AW27" s="100"/>
      <c r="AX27" s="100"/>
      <c r="AY27" s="100"/>
      <c r="AZ27" s="100"/>
      <c r="BA27" s="100"/>
      <c r="BB27" s="100"/>
      <c r="BC27" s="101"/>
      <c r="BD27" s="96"/>
      <c r="BE27" s="97"/>
      <c r="BF27" s="97"/>
      <c r="BG27" s="97"/>
      <c r="BH27" s="98"/>
      <c r="BI27" s="157" t="e">
        <f t="shared" si="3"/>
        <v>#REF!</v>
      </c>
      <c r="BJ27" s="158" t="e">
        <f>#REF!</f>
        <v>#REF!</v>
      </c>
      <c r="BK27" s="159" t="e">
        <f>#REF!</f>
        <v>#REF!</v>
      </c>
      <c r="BL27" s="181" t="e">
        <f t="shared" si="4"/>
        <v>#REF!</v>
      </c>
      <c r="BM27" s="182" t="e">
        <f t="shared" si="5"/>
        <v>#REF!</v>
      </c>
      <c r="BN27" s="182" t="e">
        <f t="shared" si="6"/>
        <v>#REF!</v>
      </c>
      <c r="BO27" s="182" t="e">
        <f t="shared" si="7"/>
        <v>#REF!</v>
      </c>
      <c r="BP27" s="182" t="e">
        <f t="shared" si="8"/>
        <v>#REF!</v>
      </c>
      <c r="BQ27" s="182" t="e">
        <f t="shared" si="9"/>
        <v>#REF!</v>
      </c>
      <c r="BR27" s="182" t="e">
        <f t="shared" si="10"/>
        <v>#REF!</v>
      </c>
      <c r="BS27" s="183" t="e">
        <f t="shared" si="11"/>
        <v>#REF!</v>
      </c>
      <c r="BT27" s="184" t="e">
        <f t="shared" si="12"/>
        <v>#REF!</v>
      </c>
      <c r="BU27" s="185" t="e">
        <f t="shared" si="13"/>
        <v>#REF!</v>
      </c>
      <c r="BV27" s="185" t="e">
        <f t="shared" si="14"/>
        <v>#REF!</v>
      </c>
      <c r="BW27" s="185" t="e">
        <f t="shared" si="15"/>
        <v>#REF!</v>
      </c>
      <c r="BX27" s="186" t="e">
        <f t="shared" si="16"/>
        <v>#REF!</v>
      </c>
      <c r="BY2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7" s="66"/>
      <c r="DA27" s="66"/>
      <c r="DB27" s="66"/>
      <c r="DC27" s="224" t="str">
        <f t="shared" si="1"/>
        <v/>
      </c>
      <c r="DD27" s="1">
        <f>IF($DC27="",0,IF(COUNTIF($DC$2:$DC26,$DC27)=0,1,0))</f>
        <v>0</v>
      </c>
      <c r="DE27" s="252"/>
      <c r="DF27" s="252"/>
      <c r="DG27" s="252"/>
      <c r="DH27" s="252"/>
    </row>
    <row r="28" spans="1:112" s="1" customFormat="1" ht="12" customHeight="1" x14ac:dyDescent="0.25">
      <c r="A28" s="64">
        <v>27</v>
      </c>
      <c r="B28" s="71"/>
      <c r="C28" s="72"/>
      <c r="D28" s="72"/>
      <c r="E28" s="72"/>
      <c r="F28" s="72"/>
      <c r="G28" s="66"/>
      <c r="H28" s="66"/>
      <c r="I28" s="66"/>
      <c r="J28" s="67"/>
      <c r="K28" s="230"/>
      <c r="L28" s="69"/>
      <c r="M28" s="66"/>
      <c r="N28" s="66"/>
      <c r="O28" s="136"/>
      <c r="P28" s="65"/>
      <c r="Q28" s="70"/>
      <c r="R28" s="66"/>
      <c r="S28" s="65"/>
      <c r="T28" s="65"/>
      <c r="U28" s="240"/>
      <c r="V28" s="65"/>
      <c r="W28" s="65"/>
      <c r="X28" s="240"/>
      <c r="Y28" s="65"/>
      <c r="Z28" s="281"/>
      <c r="AA28" s="66"/>
      <c r="AB28" s="66"/>
      <c r="AC28" s="247"/>
      <c r="AD28" s="240" t="str">
        <f t="shared" si="2"/>
        <v/>
      </c>
      <c r="AE28" s="240"/>
      <c r="AF28" s="241"/>
      <c r="AG28" s="247"/>
      <c r="AH28" s="241"/>
      <c r="AI28" s="247"/>
      <c r="AJ28" s="231"/>
      <c r="AK28" s="240"/>
      <c r="AL28" s="241"/>
      <c r="AM28" s="65"/>
      <c r="AN28" s="241"/>
      <c r="AO28" s="65"/>
      <c r="AP28" s="66"/>
      <c r="AQ28" s="66"/>
      <c r="AR28" s="231"/>
      <c r="AS28" s="221"/>
      <c r="AT28" s="222"/>
      <c r="AU28" s="223"/>
      <c r="AV28" s="99"/>
      <c r="AW28" s="100"/>
      <c r="AX28" s="100"/>
      <c r="AY28" s="100"/>
      <c r="AZ28" s="100"/>
      <c r="BA28" s="100"/>
      <c r="BB28" s="100"/>
      <c r="BC28" s="101"/>
      <c r="BD28" s="96"/>
      <c r="BE28" s="97"/>
      <c r="BF28" s="97"/>
      <c r="BG28" s="97"/>
      <c r="BH28" s="98"/>
      <c r="BI28" s="157" t="e">
        <f t="shared" si="3"/>
        <v>#REF!</v>
      </c>
      <c r="BJ28" s="158" t="e">
        <f>#REF!</f>
        <v>#REF!</v>
      </c>
      <c r="BK28" s="159" t="e">
        <f>#REF!</f>
        <v>#REF!</v>
      </c>
      <c r="BL28" s="181" t="e">
        <f t="shared" si="4"/>
        <v>#REF!</v>
      </c>
      <c r="BM28" s="182" t="e">
        <f t="shared" si="5"/>
        <v>#REF!</v>
      </c>
      <c r="BN28" s="182" t="e">
        <f t="shared" si="6"/>
        <v>#REF!</v>
      </c>
      <c r="BO28" s="182" t="e">
        <f t="shared" si="7"/>
        <v>#REF!</v>
      </c>
      <c r="BP28" s="182" t="e">
        <f t="shared" si="8"/>
        <v>#REF!</v>
      </c>
      <c r="BQ28" s="182" t="e">
        <f t="shared" si="9"/>
        <v>#REF!</v>
      </c>
      <c r="BR28" s="182" t="e">
        <f t="shared" si="10"/>
        <v>#REF!</v>
      </c>
      <c r="BS28" s="183" t="e">
        <f t="shared" si="11"/>
        <v>#REF!</v>
      </c>
      <c r="BT28" s="184" t="e">
        <f t="shared" si="12"/>
        <v>#REF!</v>
      </c>
      <c r="BU28" s="185" t="e">
        <f t="shared" si="13"/>
        <v>#REF!</v>
      </c>
      <c r="BV28" s="185" t="e">
        <f t="shared" si="14"/>
        <v>#REF!</v>
      </c>
      <c r="BW28" s="185" t="e">
        <f t="shared" si="15"/>
        <v>#REF!</v>
      </c>
      <c r="BX28" s="186" t="e">
        <f t="shared" si="16"/>
        <v>#REF!</v>
      </c>
      <c r="BY2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8" s="66"/>
      <c r="DA28" s="66"/>
      <c r="DB28" s="66"/>
      <c r="DC28" s="224" t="str">
        <f t="shared" si="1"/>
        <v/>
      </c>
      <c r="DD28" s="1">
        <f>IF($DC28="",0,IF(COUNTIF($DC$2:$DC27,$DC28)=0,1,0))</f>
        <v>0</v>
      </c>
      <c r="DE28" s="252"/>
      <c r="DF28" s="252"/>
      <c r="DG28" s="252"/>
      <c r="DH28" s="252"/>
    </row>
    <row r="29" spans="1:112" s="1" customFormat="1" ht="12" customHeight="1" x14ac:dyDescent="0.25">
      <c r="A29" s="64">
        <v>28</v>
      </c>
      <c r="B29" s="71"/>
      <c r="C29" s="72"/>
      <c r="D29" s="72"/>
      <c r="E29" s="72"/>
      <c r="F29" s="72"/>
      <c r="G29" s="66"/>
      <c r="H29" s="66"/>
      <c r="I29" s="66"/>
      <c r="J29" s="67"/>
      <c r="K29" s="230"/>
      <c r="L29" s="69"/>
      <c r="M29" s="66"/>
      <c r="N29" s="66"/>
      <c r="O29" s="136"/>
      <c r="P29" s="65"/>
      <c r="Q29" s="70"/>
      <c r="R29" s="66"/>
      <c r="S29" s="65"/>
      <c r="T29" s="65"/>
      <c r="U29" s="240"/>
      <c r="V29" s="65"/>
      <c r="W29" s="65"/>
      <c r="X29" s="240"/>
      <c r="Y29" s="65"/>
      <c r="Z29" s="281"/>
      <c r="AA29" s="66"/>
      <c r="AB29" s="66"/>
      <c r="AC29" s="247"/>
      <c r="AD29" s="240" t="str">
        <f t="shared" si="2"/>
        <v/>
      </c>
      <c r="AE29" s="240"/>
      <c r="AF29" s="241"/>
      <c r="AG29" s="247"/>
      <c r="AH29" s="241"/>
      <c r="AI29" s="247"/>
      <c r="AJ29" s="231"/>
      <c r="AK29" s="240"/>
      <c r="AL29" s="241"/>
      <c r="AM29" s="65"/>
      <c r="AN29" s="241"/>
      <c r="AO29" s="65"/>
      <c r="AP29" s="66"/>
      <c r="AQ29" s="66"/>
      <c r="AR29" s="66"/>
      <c r="AS29" s="221"/>
      <c r="AT29" s="222"/>
      <c r="AU29" s="223"/>
      <c r="AV29" s="99"/>
      <c r="AW29" s="100"/>
      <c r="AX29" s="100"/>
      <c r="AY29" s="100"/>
      <c r="AZ29" s="100"/>
      <c r="BA29" s="100"/>
      <c r="BB29" s="100"/>
      <c r="BC29" s="101"/>
      <c r="BD29" s="96"/>
      <c r="BE29" s="97"/>
      <c r="BF29" s="97"/>
      <c r="BG29" s="97"/>
      <c r="BH29" s="98"/>
      <c r="BI29" s="157" t="e">
        <f t="shared" si="3"/>
        <v>#REF!</v>
      </c>
      <c r="BJ29" s="158" t="e">
        <f>#REF!</f>
        <v>#REF!</v>
      </c>
      <c r="BK29" s="159" t="e">
        <f>#REF!</f>
        <v>#REF!</v>
      </c>
      <c r="BL29" s="181" t="e">
        <f t="shared" si="4"/>
        <v>#REF!</v>
      </c>
      <c r="BM29" s="182" t="e">
        <f t="shared" si="5"/>
        <v>#REF!</v>
      </c>
      <c r="BN29" s="182" t="e">
        <f t="shared" si="6"/>
        <v>#REF!</v>
      </c>
      <c r="BO29" s="182" t="e">
        <f t="shared" si="7"/>
        <v>#REF!</v>
      </c>
      <c r="BP29" s="182" t="e">
        <f t="shared" si="8"/>
        <v>#REF!</v>
      </c>
      <c r="BQ29" s="182" t="e">
        <f t="shared" si="9"/>
        <v>#REF!</v>
      </c>
      <c r="BR29" s="182" t="e">
        <f t="shared" si="10"/>
        <v>#REF!</v>
      </c>
      <c r="BS29" s="183" t="e">
        <f t="shared" si="11"/>
        <v>#REF!</v>
      </c>
      <c r="BT29" s="184" t="e">
        <f t="shared" si="12"/>
        <v>#REF!</v>
      </c>
      <c r="BU29" s="185" t="e">
        <f t="shared" si="13"/>
        <v>#REF!</v>
      </c>
      <c r="BV29" s="185" t="e">
        <f t="shared" si="14"/>
        <v>#REF!</v>
      </c>
      <c r="BW29" s="185" t="e">
        <f t="shared" si="15"/>
        <v>#REF!</v>
      </c>
      <c r="BX29" s="186" t="e">
        <f t="shared" si="16"/>
        <v>#REF!</v>
      </c>
      <c r="BY2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9" s="66"/>
      <c r="DA29" s="66"/>
      <c r="DB29" s="66"/>
      <c r="DC29" s="224" t="str">
        <f t="shared" si="1"/>
        <v/>
      </c>
      <c r="DD29" s="1">
        <f>IF($DC29="",0,IF(COUNTIF($DC$2:$DC28,$DC29)=0,1,0))</f>
        <v>0</v>
      </c>
      <c r="DE29" s="252"/>
      <c r="DF29" s="252"/>
      <c r="DG29" s="252"/>
      <c r="DH29" s="252"/>
    </row>
    <row r="30" spans="1:112" s="1" customFormat="1" ht="12" customHeight="1" x14ac:dyDescent="0.25">
      <c r="A30" s="64">
        <v>29</v>
      </c>
      <c r="B30" s="71"/>
      <c r="C30" s="72"/>
      <c r="D30" s="72"/>
      <c r="E30" s="72"/>
      <c r="F30" s="72"/>
      <c r="G30" s="66"/>
      <c r="H30" s="66"/>
      <c r="I30" s="66"/>
      <c r="J30" s="67"/>
      <c r="K30" s="230"/>
      <c r="L30" s="69"/>
      <c r="M30" s="66"/>
      <c r="N30" s="66"/>
      <c r="O30" s="136"/>
      <c r="P30" s="65"/>
      <c r="Q30" s="70"/>
      <c r="R30" s="66"/>
      <c r="S30" s="65"/>
      <c r="T30" s="65"/>
      <c r="U30" s="240"/>
      <c r="V30" s="65"/>
      <c r="W30" s="65"/>
      <c r="X30" s="240"/>
      <c r="Y30" s="65"/>
      <c r="Z30" s="281"/>
      <c r="AA30" s="66"/>
      <c r="AB30" s="66"/>
      <c r="AC30" s="247"/>
      <c r="AD30" s="240" t="str">
        <f t="shared" si="2"/>
        <v/>
      </c>
      <c r="AE30" s="240"/>
      <c r="AF30" s="241"/>
      <c r="AG30" s="247"/>
      <c r="AH30" s="241"/>
      <c r="AI30" s="247"/>
      <c r="AJ30" s="231"/>
      <c r="AK30" s="240"/>
      <c r="AL30" s="241"/>
      <c r="AM30" s="65"/>
      <c r="AN30" s="241"/>
      <c r="AO30" s="65"/>
      <c r="AP30" s="66"/>
      <c r="AQ30" s="66"/>
      <c r="AR30" s="66"/>
      <c r="AS30" s="221"/>
      <c r="AT30" s="222"/>
      <c r="AU30" s="223"/>
      <c r="AV30" s="99"/>
      <c r="AW30" s="100"/>
      <c r="AX30" s="100"/>
      <c r="AY30" s="100"/>
      <c r="AZ30" s="100"/>
      <c r="BA30" s="100"/>
      <c r="BB30" s="100"/>
      <c r="BC30" s="101"/>
      <c r="BD30" s="96"/>
      <c r="BE30" s="97"/>
      <c r="BF30" s="97"/>
      <c r="BG30" s="97"/>
      <c r="BH30" s="98"/>
      <c r="BI30" s="157" t="e">
        <f t="shared" si="3"/>
        <v>#REF!</v>
      </c>
      <c r="BJ30" s="158" t="e">
        <f>#REF!</f>
        <v>#REF!</v>
      </c>
      <c r="BK30" s="159" t="e">
        <f>#REF!</f>
        <v>#REF!</v>
      </c>
      <c r="BL30" s="181" t="e">
        <f t="shared" si="4"/>
        <v>#REF!</v>
      </c>
      <c r="BM30" s="182" t="e">
        <f t="shared" si="5"/>
        <v>#REF!</v>
      </c>
      <c r="BN30" s="182" t="e">
        <f t="shared" si="6"/>
        <v>#REF!</v>
      </c>
      <c r="BO30" s="182" t="e">
        <f t="shared" si="7"/>
        <v>#REF!</v>
      </c>
      <c r="BP30" s="182" t="e">
        <f t="shared" si="8"/>
        <v>#REF!</v>
      </c>
      <c r="BQ30" s="182" t="e">
        <f t="shared" si="9"/>
        <v>#REF!</v>
      </c>
      <c r="BR30" s="182" t="e">
        <f t="shared" si="10"/>
        <v>#REF!</v>
      </c>
      <c r="BS30" s="183" t="e">
        <f t="shared" si="11"/>
        <v>#REF!</v>
      </c>
      <c r="BT30" s="184" t="e">
        <f t="shared" si="12"/>
        <v>#REF!</v>
      </c>
      <c r="BU30" s="185" t="e">
        <f t="shared" si="13"/>
        <v>#REF!</v>
      </c>
      <c r="BV30" s="185" t="e">
        <f t="shared" si="14"/>
        <v>#REF!</v>
      </c>
      <c r="BW30" s="185" t="e">
        <f t="shared" si="15"/>
        <v>#REF!</v>
      </c>
      <c r="BX30" s="186" t="e">
        <f t="shared" si="16"/>
        <v>#REF!</v>
      </c>
      <c r="BY3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0" s="66"/>
      <c r="DA30" s="66"/>
      <c r="DB30" s="66"/>
      <c r="DC30" s="224" t="str">
        <f t="shared" si="1"/>
        <v/>
      </c>
      <c r="DD30" s="1">
        <f>IF($DC30="",0,IF(COUNTIF($DC$2:$DC29,$DC30)=0,1,0))</f>
        <v>0</v>
      </c>
      <c r="DE30" s="252"/>
      <c r="DF30" s="252"/>
      <c r="DG30" s="252"/>
      <c r="DH30" s="252"/>
    </row>
    <row r="31" spans="1:112" s="1" customFormat="1" ht="12" customHeight="1" x14ac:dyDescent="0.25">
      <c r="A31" s="64">
        <v>30</v>
      </c>
      <c r="B31" s="71"/>
      <c r="C31" s="72"/>
      <c r="D31" s="72"/>
      <c r="E31" s="72"/>
      <c r="F31" s="72"/>
      <c r="G31" s="66"/>
      <c r="H31" s="66"/>
      <c r="I31" s="66"/>
      <c r="J31" s="67"/>
      <c r="K31" s="230"/>
      <c r="L31" s="69"/>
      <c r="M31" s="66"/>
      <c r="N31" s="66"/>
      <c r="O31" s="136"/>
      <c r="P31" s="65"/>
      <c r="Q31" s="70"/>
      <c r="R31" s="66"/>
      <c r="S31" s="65"/>
      <c r="T31" s="65"/>
      <c r="U31" s="240"/>
      <c r="V31" s="65"/>
      <c r="W31" s="65"/>
      <c r="X31" s="240"/>
      <c r="Y31" s="65"/>
      <c r="Z31" s="281"/>
      <c r="AA31" s="66"/>
      <c r="AB31" s="66"/>
      <c r="AC31" s="247"/>
      <c r="AD31" s="240" t="str">
        <f t="shared" si="2"/>
        <v/>
      </c>
      <c r="AE31" s="240"/>
      <c r="AF31" s="241"/>
      <c r="AG31" s="247"/>
      <c r="AH31" s="241"/>
      <c r="AI31" s="247"/>
      <c r="AJ31" s="231"/>
      <c r="AK31" s="240"/>
      <c r="AL31" s="241"/>
      <c r="AM31" s="65"/>
      <c r="AN31" s="241"/>
      <c r="AO31" s="65"/>
      <c r="AP31" s="66"/>
      <c r="AQ31" s="66"/>
      <c r="AR31" s="66"/>
      <c r="AS31" s="221"/>
      <c r="AT31" s="222"/>
      <c r="AU31" s="223"/>
      <c r="AV31" s="99"/>
      <c r="AW31" s="100"/>
      <c r="AX31" s="100"/>
      <c r="AY31" s="100"/>
      <c r="AZ31" s="100"/>
      <c r="BA31" s="100"/>
      <c r="BB31" s="100"/>
      <c r="BC31" s="101"/>
      <c r="BD31" s="96"/>
      <c r="BE31" s="97"/>
      <c r="BF31" s="97"/>
      <c r="BG31" s="97"/>
      <c r="BH31" s="98"/>
      <c r="BI31" s="157" t="e">
        <f t="shared" si="3"/>
        <v>#REF!</v>
      </c>
      <c r="BJ31" s="158" t="e">
        <f>#REF!</f>
        <v>#REF!</v>
      </c>
      <c r="BK31" s="159" t="e">
        <f>#REF!</f>
        <v>#REF!</v>
      </c>
      <c r="BL31" s="181" t="e">
        <f t="shared" si="4"/>
        <v>#REF!</v>
      </c>
      <c r="BM31" s="182" t="e">
        <f t="shared" si="5"/>
        <v>#REF!</v>
      </c>
      <c r="BN31" s="182" t="e">
        <f t="shared" si="6"/>
        <v>#REF!</v>
      </c>
      <c r="BO31" s="182" t="e">
        <f t="shared" si="7"/>
        <v>#REF!</v>
      </c>
      <c r="BP31" s="182" t="e">
        <f t="shared" si="8"/>
        <v>#REF!</v>
      </c>
      <c r="BQ31" s="182" t="e">
        <f t="shared" si="9"/>
        <v>#REF!</v>
      </c>
      <c r="BR31" s="182" t="e">
        <f t="shared" si="10"/>
        <v>#REF!</v>
      </c>
      <c r="BS31" s="183" t="e">
        <f t="shared" si="11"/>
        <v>#REF!</v>
      </c>
      <c r="BT31" s="184" t="e">
        <f t="shared" si="12"/>
        <v>#REF!</v>
      </c>
      <c r="BU31" s="185" t="e">
        <f t="shared" si="13"/>
        <v>#REF!</v>
      </c>
      <c r="BV31" s="185" t="e">
        <f t="shared" si="14"/>
        <v>#REF!</v>
      </c>
      <c r="BW31" s="185" t="e">
        <f t="shared" si="15"/>
        <v>#REF!</v>
      </c>
      <c r="BX31" s="186" t="e">
        <f t="shared" si="16"/>
        <v>#REF!</v>
      </c>
      <c r="BY3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1" s="66"/>
      <c r="DA31" s="66"/>
      <c r="DB31" s="66"/>
      <c r="DC31" s="224" t="str">
        <f t="shared" si="1"/>
        <v/>
      </c>
      <c r="DD31" s="1">
        <f>IF($DC31="",0,IF(COUNTIF($DC$2:$DC30,$DC31)=0,1,0))</f>
        <v>0</v>
      </c>
      <c r="DE31" s="252"/>
      <c r="DF31" s="252"/>
      <c r="DG31" s="252"/>
      <c r="DH31" s="252"/>
    </row>
    <row r="32" spans="1:112" s="1" customFormat="1" ht="12" customHeight="1" x14ac:dyDescent="0.25">
      <c r="A32" s="64">
        <v>31</v>
      </c>
      <c r="B32" s="71"/>
      <c r="C32" s="72"/>
      <c r="D32" s="72"/>
      <c r="E32" s="72"/>
      <c r="F32" s="72"/>
      <c r="G32" s="66"/>
      <c r="H32" s="66"/>
      <c r="I32" s="66"/>
      <c r="J32" s="67"/>
      <c r="K32" s="230"/>
      <c r="L32" s="69"/>
      <c r="M32" s="66"/>
      <c r="N32" s="66"/>
      <c r="O32" s="136"/>
      <c r="P32" s="65"/>
      <c r="Q32" s="70"/>
      <c r="R32" s="66"/>
      <c r="S32" s="65"/>
      <c r="T32" s="65"/>
      <c r="U32" s="240"/>
      <c r="V32" s="65"/>
      <c r="W32" s="65"/>
      <c r="X32" s="240"/>
      <c r="Y32" s="65"/>
      <c r="Z32" s="281"/>
      <c r="AA32" s="66"/>
      <c r="AB32" s="66"/>
      <c r="AC32" s="247"/>
      <c r="AD32" s="240" t="str">
        <f t="shared" si="2"/>
        <v/>
      </c>
      <c r="AE32" s="240"/>
      <c r="AF32" s="241"/>
      <c r="AG32" s="247"/>
      <c r="AH32" s="241"/>
      <c r="AI32" s="247"/>
      <c r="AJ32" s="231"/>
      <c r="AK32" s="240"/>
      <c r="AL32" s="241"/>
      <c r="AM32" s="65"/>
      <c r="AN32" s="241"/>
      <c r="AO32" s="65"/>
      <c r="AP32" s="66"/>
      <c r="AQ32" s="66"/>
      <c r="AR32" s="66"/>
      <c r="AS32" s="221"/>
      <c r="AT32" s="222"/>
      <c r="AU32" s="223"/>
      <c r="AV32" s="99"/>
      <c r="AW32" s="100"/>
      <c r="AX32" s="100"/>
      <c r="AY32" s="100"/>
      <c r="AZ32" s="100"/>
      <c r="BA32" s="100"/>
      <c r="BB32" s="100"/>
      <c r="BC32" s="101"/>
      <c r="BD32" s="96"/>
      <c r="BE32" s="97"/>
      <c r="BF32" s="97"/>
      <c r="BG32" s="97"/>
      <c r="BH32" s="98"/>
      <c r="BI32" s="157" t="e">
        <f t="shared" si="3"/>
        <v>#REF!</v>
      </c>
      <c r="BJ32" s="158" t="e">
        <f>#REF!</f>
        <v>#REF!</v>
      </c>
      <c r="BK32" s="159" t="e">
        <f>#REF!</f>
        <v>#REF!</v>
      </c>
      <c r="BL32" s="181" t="e">
        <f t="shared" si="4"/>
        <v>#REF!</v>
      </c>
      <c r="BM32" s="182" t="e">
        <f t="shared" si="5"/>
        <v>#REF!</v>
      </c>
      <c r="BN32" s="182" t="e">
        <f t="shared" si="6"/>
        <v>#REF!</v>
      </c>
      <c r="BO32" s="182" t="e">
        <f t="shared" si="7"/>
        <v>#REF!</v>
      </c>
      <c r="BP32" s="182" t="e">
        <f t="shared" si="8"/>
        <v>#REF!</v>
      </c>
      <c r="BQ32" s="182" t="e">
        <f t="shared" si="9"/>
        <v>#REF!</v>
      </c>
      <c r="BR32" s="182" t="e">
        <f t="shared" si="10"/>
        <v>#REF!</v>
      </c>
      <c r="BS32" s="183" t="e">
        <f t="shared" si="11"/>
        <v>#REF!</v>
      </c>
      <c r="BT32" s="184" t="e">
        <f t="shared" si="12"/>
        <v>#REF!</v>
      </c>
      <c r="BU32" s="185" t="e">
        <f t="shared" si="13"/>
        <v>#REF!</v>
      </c>
      <c r="BV32" s="185" t="e">
        <f t="shared" si="14"/>
        <v>#REF!</v>
      </c>
      <c r="BW32" s="185" t="e">
        <f t="shared" si="15"/>
        <v>#REF!</v>
      </c>
      <c r="BX32" s="186" t="e">
        <f t="shared" si="16"/>
        <v>#REF!</v>
      </c>
      <c r="BY3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2" s="66"/>
      <c r="DA32" s="66"/>
      <c r="DB32" s="66"/>
      <c r="DC32" s="224" t="str">
        <f t="shared" si="1"/>
        <v/>
      </c>
      <c r="DD32" s="1">
        <f>IF($DC32="",0,IF(COUNTIF($DC$2:$DC31,$DC32)=0,1,0))</f>
        <v>0</v>
      </c>
      <c r="DE32" s="252"/>
      <c r="DF32" s="252"/>
      <c r="DG32" s="252"/>
      <c r="DH32" s="252"/>
    </row>
    <row r="33" spans="1:112" s="1" customFormat="1" ht="12" customHeight="1" x14ac:dyDescent="0.25">
      <c r="A33" s="64">
        <v>32</v>
      </c>
      <c r="B33" s="71"/>
      <c r="C33" s="72"/>
      <c r="D33" s="72"/>
      <c r="E33" s="72"/>
      <c r="F33" s="72"/>
      <c r="G33" s="66"/>
      <c r="H33" s="66"/>
      <c r="I33" s="66"/>
      <c r="J33" s="67"/>
      <c r="K33" s="230"/>
      <c r="L33" s="69"/>
      <c r="M33" s="66"/>
      <c r="N33" s="66"/>
      <c r="O33" s="136"/>
      <c r="P33" s="65"/>
      <c r="Q33" s="70"/>
      <c r="R33" s="66"/>
      <c r="S33" s="65"/>
      <c r="T33" s="65"/>
      <c r="U33" s="65"/>
      <c r="V33" s="65"/>
      <c r="W33" s="65"/>
      <c r="X33" s="240"/>
      <c r="Y33" s="65"/>
      <c r="Z33" s="281"/>
      <c r="AA33" s="66"/>
      <c r="AB33" s="66"/>
      <c r="AC33" s="247"/>
      <c r="AD33" s="240" t="str">
        <f t="shared" si="2"/>
        <v/>
      </c>
      <c r="AE33" s="240"/>
      <c r="AF33" s="241"/>
      <c r="AG33" s="247"/>
      <c r="AH33" s="241"/>
      <c r="AI33" s="247"/>
      <c r="AJ33" s="231"/>
      <c r="AK33" s="240"/>
      <c r="AL33" s="241"/>
      <c r="AM33" s="65"/>
      <c r="AN33" s="241"/>
      <c r="AO33" s="65"/>
      <c r="AP33" s="66"/>
      <c r="AQ33" s="66"/>
      <c r="AR33" s="66"/>
      <c r="AS33" s="221"/>
      <c r="AT33" s="222"/>
      <c r="AU33" s="223"/>
      <c r="AV33" s="99"/>
      <c r="AW33" s="100"/>
      <c r="AX33" s="100"/>
      <c r="AY33" s="100"/>
      <c r="AZ33" s="100"/>
      <c r="BA33" s="100"/>
      <c r="BB33" s="100"/>
      <c r="BC33" s="101"/>
      <c r="BD33" s="96"/>
      <c r="BE33" s="97"/>
      <c r="BF33" s="97"/>
      <c r="BG33" s="97"/>
      <c r="BH33" s="98"/>
      <c r="BI33" s="157" t="e">
        <f t="shared" si="3"/>
        <v>#REF!</v>
      </c>
      <c r="BJ33" s="158" t="e">
        <f>#REF!</f>
        <v>#REF!</v>
      </c>
      <c r="BK33" s="159" t="e">
        <f>#REF!</f>
        <v>#REF!</v>
      </c>
      <c r="BL33" s="181" t="e">
        <f t="shared" si="4"/>
        <v>#REF!</v>
      </c>
      <c r="BM33" s="182" t="e">
        <f t="shared" si="5"/>
        <v>#REF!</v>
      </c>
      <c r="BN33" s="182" t="e">
        <f t="shared" si="6"/>
        <v>#REF!</v>
      </c>
      <c r="BO33" s="182" t="e">
        <f t="shared" si="7"/>
        <v>#REF!</v>
      </c>
      <c r="BP33" s="182" t="e">
        <f t="shared" si="8"/>
        <v>#REF!</v>
      </c>
      <c r="BQ33" s="182" t="e">
        <f t="shared" si="9"/>
        <v>#REF!</v>
      </c>
      <c r="BR33" s="182" t="e">
        <f t="shared" si="10"/>
        <v>#REF!</v>
      </c>
      <c r="BS33" s="183" t="e">
        <f t="shared" si="11"/>
        <v>#REF!</v>
      </c>
      <c r="BT33" s="184" t="e">
        <f t="shared" si="12"/>
        <v>#REF!</v>
      </c>
      <c r="BU33" s="185" t="e">
        <f t="shared" si="13"/>
        <v>#REF!</v>
      </c>
      <c r="BV33" s="185" t="e">
        <f t="shared" si="14"/>
        <v>#REF!</v>
      </c>
      <c r="BW33" s="185" t="e">
        <f t="shared" si="15"/>
        <v>#REF!</v>
      </c>
      <c r="BX33" s="186" t="e">
        <f t="shared" si="16"/>
        <v>#REF!</v>
      </c>
      <c r="BY3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3" s="66"/>
      <c r="DA33" s="66"/>
      <c r="DB33" s="66"/>
      <c r="DC33" s="224" t="str">
        <f t="shared" si="1"/>
        <v/>
      </c>
      <c r="DD33" s="1">
        <f>IF($DC33="",0,IF(COUNTIF($DC$2:$DC32,$DC33)=0,1,0))</f>
        <v>0</v>
      </c>
      <c r="DE33" s="252"/>
      <c r="DF33" s="252"/>
      <c r="DG33" s="252"/>
      <c r="DH33" s="252"/>
    </row>
    <row r="34" spans="1:112" s="1" customFormat="1" ht="12" customHeight="1" x14ac:dyDescent="0.25">
      <c r="A34" s="64">
        <v>33</v>
      </c>
      <c r="B34" s="71"/>
      <c r="C34" s="72"/>
      <c r="D34" s="72"/>
      <c r="E34" s="72"/>
      <c r="F34" s="72"/>
      <c r="G34" s="66"/>
      <c r="H34" s="66"/>
      <c r="I34" s="66"/>
      <c r="J34" s="67"/>
      <c r="K34" s="230"/>
      <c r="L34" s="69"/>
      <c r="M34" s="66"/>
      <c r="N34" s="66"/>
      <c r="O34" s="136"/>
      <c r="P34" s="65"/>
      <c r="Q34" s="70"/>
      <c r="R34" s="66"/>
      <c r="S34" s="65"/>
      <c r="T34" s="65"/>
      <c r="U34" s="65"/>
      <c r="V34" s="65"/>
      <c r="W34" s="65"/>
      <c r="X34" s="240"/>
      <c r="Y34" s="65"/>
      <c r="Z34" s="281"/>
      <c r="AA34" s="66"/>
      <c r="AB34" s="66"/>
      <c r="AC34" s="247"/>
      <c r="AD34" s="240" t="str">
        <f t="shared" si="2"/>
        <v/>
      </c>
      <c r="AE34" s="240"/>
      <c r="AF34" s="241"/>
      <c r="AG34" s="247"/>
      <c r="AH34" s="241"/>
      <c r="AI34" s="247"/>
      <c r="AJ34" s="231"/>
      <c r="AK34" s="240"/>
      <c r="AL34" s="241"/>
      <c r="AM34" s="65"/>
      <c r="AN34" s="241"/>
      <c r="AO34" s="65"/>
      <c r="AP34" s="66"/>
      <c r="AQ34" s="66"/>
      <c r="AR34" s="66"/>
      <c r="AS34" s="221"/>
      <c r="AT34" s="222"/>
      <c r="AU34" s="223"/>
      <c r="AV34" s="99"/>
      <c r="AW34" s="100"/>
      <c r="AX34" s="100"/>
      <c r="AY34" s="100"/>
      <c r="AZ34" s="100"/>
      <c r="BA34" s="100"/>
      <c r="BB34" s="100"/>
      <c r="BC34" s="101"/>
      <c r="BD34" s="96"/>
      <c r="BE34" s="97"/>
      <c r="BF34" s="97"/>
      <c r="BG34" s="97"/>
      <c r="BH34" s="98"/>
      <c r="BI34" s="157" t="e">
        <f t="shared" si="3"/>
        <v>#REF!</v>
      </c>
      <c r="BJ34" s="158" t="e">
        <f>#REF!</f>
        <v>#REF!</v>
      </c>
      <c r="BK34" s="159" t="e">
        <f>#REF!</f>
        <v>#REF!</v>
      </c>
      <c r="BL34" s="181" t="e">
        <f t="shared" si="4"/>
        <v>#REF!</v>
      </c>
      <c r="BM34" s="182" t="e">
        <f t="shared" si="5"/>
        <v>#REF!</v>
      </c>
      <c r="BN34" s="182" t="e">
        <f t="shared" si="6"/>
        <v>#REF!</v>
      </c>
      <c r="BO34" s="182" t="e">
        <f t="shared" si="7"/>
        <v>#REF!</v>
      </c>
      <c r="BP34" s="182" t="e">
        <f t="shared" si="8"/>
        <v>#REF!</v>
      </c>
      <c r="BQ34" s="182" t="e">
        <f t="shared" si="9"/>
        <v>#REF!</v>
      </c>
      <c r="BR34" s="182" t="e">
        <f t="shared" si="10"/>
        <v>#REF!</v>
      </c>
      <c r="BS34" s="183" t="e">
        <f t="shared" si="11"/>
        <v>#REF!</v>
      </c>
      <c r="BT34" s="184" t="e">
        <f t="shared" si="12"/>
        <v>#REF!</v>
      </c>
      <c r="BU34" s="185" t="e">
        <f t="shared" si="13"/>
        <v>#REF!</v>
      </c>
      <c r="BV34" s="185" t="e">
        <f t="shared" si="14"/>
        <v>#REF!</v>
      </c>
      <c r="BW34" s="185" t="e">
        <f t="shared" si="15"/>
        <v>#REF!</v>
      </c>
      <c r="BX34" s="186" t="e">
        <f t="shared" si="16"/>
        <v>#REF!</v>
      </c>
      <c r="BY3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4" s="66"/>
      <c r="DA34" s="66"/>
      <c r="DB34" s="66"/>
      <c r="DC34" s="224" t="str">
        <f t="shared" ref="DC34:DC65" si="17">C34&amp;E34</f>
        <v/>
      </c>
      <c r="DD34" s="1">
        <f>IF($DC34="",0,IF(COUNTIF($DC$2:$DC33,$DC34)=0,1,0))</f>
        <v>0</v>
      </c>
      <c r="DE34" s="252"/>
      <c r="DF34" s="252"/>
      <c r="DG34" s="252"/>
      <c r="DH34" s="252"/>
    </row>
    <row r="35" spans="1:112" s="1" customFormat="1" ht="12" customHeight="1" x14ac:dyDescent="0.25">
      <c r="A35" s="64">
        <v>34</v>
      </c>
      <c r="B35" s="71"/>
      <c r="C35" s="72"/>
      <c r="D35" s="72"/>
      <c r="E35" s="72"/>
      <c r="F35" s="72"/>
      <c r="G35" s="66"/>
      <c r="H35" s="66"/>
      <c r="I35" s="66"/>
      <c r="J35" s="67"/>
      <c r="K35" s="230"/>
      <c r="L35" s="69"/>
      <c r="M35" s="66"/>
      <c r="N35" s="66"/>
      <c r="O35" s="136" t="str">
        <f t="shared" ref="O35:O44" si="18">IF($L35="","",($AP35-$L35)/365)</f>
        <v/>
      </c>
      <c r="P35" s="65" t="str">
        <f t="shared" ref="P35:P66" si="19">IF(B35="","",IF($B35="MR","H","F"))</f>
        <v/>
      </c>
      <c r="Q35" s="70"/>
      <c r="R35" s="66"/>
      <c r="S35" s="65"/>
      <c r="T35" s="65"/>
      <c r="U35" s="65"/>
      <c r="V35" s="65"/>
      <c r="W35" s="65"/>
      <c r="X35" s="240"/>
      <c r="Y35" s="65"/>
      <c r="Z35" s="281"/>
      <c r="AA35" s="66"/>
      <c r="AB35" s="66"/>
      <c r="AC35" s="247"/>
      <c r="AD35" s="240" t="str">
        <f t="shared" si="2"/>
        <v/>
      </c>
      <c r="AE35" s="240"/>
      <c r="AF35" s="241"/>
      <c r="AG35" s="247"/>
      <c r="AH35" s="241"/>
      <c r="AI35" s="247"/>
      <c r="AJ35" s="231"/>
      <c r="AK35" s="240"/>
      <c r="AL35" s="241"/>
      <c r="AM35" s="65"/>
      <c r="AN35" s="241"/>
      <c r="AO35" s="65"/>
      <c r="AP35" s="66"/>
      <c r="AQ35" s="66"/>
      <c r="AR35" s="66"/>
      <c r="AS35" s="221"/>
      <c r="AT35" s="222"/>
      <c r="AU35" s="223"/>
      <c r="AV35" s="99"/>
      <c r="AW35" s="100"/>
      <c r="AX35" s="100"/>
      <c r="AY35" s="100"/>
      <c r="AZ35" s="100"/>
      <c r="BA35" s="100"/>
      <c r="BB35" s="100"/>
      <c r="BC35" s="101"/>
      <c r="BD35" s="96"/>
      <c r="BE35" s="97"/>
      <c r="BF35" s="97"/>
      <c r="BG35" s="97"/>
      <c r="BH35" s="98"/>
      <c r="BI35" s="157" t="e">
        <f t="shared" si="3"/>
        <v>#REF!</v>
      </c>
      <c r="BJ35" s="158" t="e">
        <f>#REF!</f>
        <v>#REF!</v>
      </c>
      <c r="BK35" s="159" t="e">
        <f>#REF!</f>
        <v>#REF!</v>
      </c>
      <c r="BL35" s="181" t="e">
        <f t="shared" si="4"/>
        <v>#REF!</v>
      </c>
      <c r="BM35" s="182" t="e">
        <f t="shared" si="5"/>
        <v>#REF!</v>
      </c>
      <c r="BN35" s="182" t="e">
        <f t="shared" si="6"/>
        <v>#REF!</v>
      </c>
      <c r="BO35" s="182" t="e">
        <f t="shared" si="7"/>
        <v>#REF!</v>
      </c>
      <c r="BP35" s="182" t="e">
        <f t="shared" si="8"/>
        <v>#REF!</v>
      </c>
      <c r="BQ35" s="182" t="e">
        <f t="shared" si="9"/>
        <v>#REF!</v>
      </c>
      <c r="BR35" s="182" t="e">
        <f t="shared" si="10"/>
        <v>#REF!</v>
      </c>
      <c r="BS35" s="183" t="e">
        <f t="shared" si="11"/>
        <v>#REF!</v>
      </c>
      <c r="BT35" s="184" t="e">
        <f t="shared" si="12"/>
        <v>#REF!</v>
      </c>
      <c r="BU35" s="185" t="e">
        <f t="shared" si="13"/>
        <v>#REF!</v>
      </c>
      <c r="BV35" s="185" t="e">
        <f t="shared" si="14"/>
        <v>#REF!</v>
      </c>
      <c r="BW35" s="185" t="e">
        <f t="shared" si="15"/>
        <v>#REF!</v>
      </c>
      <c r="BX35" s="186" t="e">
        <f t="shared" si="16"/>
        <v>#REF!</v>
      </c>
      <c r="BY3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5" s="66"/>
      <c r="DA35" s="66"/>
      <c r="DB35" s="66"/>
      <c r="DC35" s="224" t="str">
        <f t="shared" si="17"/>
        <v/>
      </c>
      <c r="DD35" s="1">
        <f>IF($DC35="",0,IF(COUNTIF($DC$2:$DC34,$DC35)=0,1,0))</f>
        <v>0</v>
      </c>
      <c r="DE35" s="252"/>
      <c r="DF35" s="252"/>
      <c r="DG35" s="252"/>
      <c r="DH35" s="252"/>
    </row>
    <row r="36" spans="1:112" s="1" customFormat="1" ht="12" customHeight="1" x14ac:dyDescent="0.25">
      <c r="A36" s="64">
        <v>35</v>
      </c>
      <c r="B36" s="71"/>
      <c r="C36" s="72"/>
      <c r="D36" s="72"/>
      <c r="E36" s="72"/>
      <c r="F36" s="72"/>
      <c r="G36" s="66"/>
      <c r="H36" s="66"/>
      <c r="I36" s="66"/>
      <c r="J36" s="67"/>
      <c r="K36" s="230"/>
      <c r="L36" s="69"/>
      <c r="M36" s="66"/>
      <c r="N36" s="66"/>
      <c r="O36" s="136" t="str">
        <f t="shared" si="18"/>
        <v/>
      </c>
      <c r="P36" s="65" t="str">
        <f t="shared" si="19"/>
        <v/>
      </c>
      <c r="Q36" s="70"/>
      <c r="R36" s="66"/>
      <c r="S36" s="65"/>
      <c r="T36" s="65"/>
      <c r="U36" s="65"/>
      <c r="V36" s="65"/>
      <c r="W36" s="65"/>
      <c r="X36" s="240"/>
      <c r="Y36" s="65"/>
      <c r="Z36" s="281"/>
      <c r="AA36" s="66"/>
      <c r="AB36" s="66"/>
      <c r="AC36" s="247"/>
      <c r="AD36" s="240" t="str">
        <f t="shared" si="2"/>
        <v/>
      </c>
      <c r="AE36" s="240"/>
      <c r="AF36" s="241"/>
      <c r="AG36" s="247"/>
      <c r="AH36" s="241"/>
      <c r="AI36" s="247"/>
      <c r="AJ36" s="231"/>
      <c r="AK36" s="240"/>
      <c r="AL36" s="241"/>
      <c r="AM36" s="65"/>
      <c r="AN36" s="241"/>
      <c r="AO36" s="65"/>
      <c r="AP36" s="66"/>
      <c r="AQ36" s="66"/>
      <c r="AR36" s="66"/>
      <c r="AS36" s="221"/>
      <c r="AT36" s="222"/>
      <c r="AU36" s="223"/>
      <c r="AV36" s="99"/>
      <c r="AW36" s="100"/>
      <c r="AX36" s="100"/>
      <c r="AY36" s="100"/>
      <c r="AZ36" s="100"/>
      <c r="BA36" s="100"/>
      <c r="BB36" s="100"/>
      <c r="BC36" s="101"/>
      <c r="BD36" s="96"/>
      <c r="BE36" s="97"/>
      <c r="BF36" s="97"/>
      <c r="BG36" s="97"/>
      <c r="BH36" s="98"/>
      <c r="BI36" s="157" t="e">
        <f t="shared" si="3"/>
        <v>#REF!</v>
      </c>
      <c r="BJ36" s="158" t="e">
        <f>#REF!</f>
        <v>#REF!</v>
      </c>
      <c r="BK36" s="159" t="e">
        <f>#REF!</f>
        <v>#REF!</v>
      </c>
      <c r="BL36" s="181" t="e">
        <f t="shared" si="4"/>
        <v>#REF!</v>
      </c>
      <c r="BM36" s="182" t="e">
        <f t="shared" si="5"/>
        <v>#REF!</v>
      </c>
      <c r="BN36" s="182" t="e">
        <f t="shared" si="6"/>
        <v>#REF!</v>
      </c>
      <c r="BO36" s="182" t="e">
        <f t="shared" si="7"/>
        <v>#REF!</v>
      </c>
      <c r="BP36" s="182" t="e">
        <f t="shared" si="8"/>
        <v>#REF!</v>
      </c>
      <c r="BQ36" s="182" t="e">
        <f t="shared" si="9"/>
        <v>#REF!</v>
      </c>
      <c r="BR36" s="182" t="e">
        <f t="shared" si="10"/>
        <v>#REF!</v>
      </c>
      <c r="BS36" s="183" t="e">
        <f t="shared" si="11"/>
        <v>#REF!</v>
      </c>
      <c r="BT36" s="184" t="e">
        <f t="shared" si="12"/>
        <v>#REF!</v>
      </c>
      <c r="BU36" s="185" t="e">
        <f t="shared" si="13"/>
        <v>#REF!</v>
      </c>
      <c r="BV36" s="185" t="e">
        <f t="shared" si="14"/>
        <v>#REF!</v>
      </c>
      <c r="BW36" s="185" t="e">
        <f t="shared" si="15"/>
        <v>#REF!</v>
      </c>
      <c r="BX36" s="186" t="e">
        <f t="shared" si="16"/>
        <v>#REF!</v>
      </c>
      <c r="BY3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6" s="66"/>
      <c r="DA36" s="66"/>
      <c r="DB36" s="66"/>
      <c r="DC36" s="224" t="str">
        <f t="shared" si="17"/>
        <v/>
      </c>
      <c r="DD36" s="1">
        <f>IF($DC36="",0,IF(COUNTIF($DC$2:$DC35,$DC36)=0,1,0))</f>
        <v>0</v>
      </c>
      <c r="DE36" s="252"/>
      <c r="DF36" s="252"/>
      <c r="DG36" s="252"/>
      <c r="DH36" s="252"/>
    </row>
    <row r="37" spans="1:112" s="1" customFormat="1" ht="12" customHeight="1" x14ac:dyDescent="0.25">
      <c r="A37" s="64">
        <v>36</v>
      </c>
      <c r="B37" s="71"/>
      <c r="C37" s="72"/>
      <c r="D37" s="72"/>
      <c r="E37" s="72"/>
      <c r="F37" s="72"/>
      <c r="G37" s="66"/>
      <c r="H37" s="66"/>
      <c r="I37" s="66"/>
      <c r="J37" s="67"/>
      <c r="K37" s="230"/>
      <c r="L37" s="69"/>
      <c r="M37" s="66"/>
      <c r="N37" s="66"/>
      <c r="O37" s="136" t="str">
        <f t="shared" si="18"/>
        <v/>
      </c>
      <c r="P37" s="65" t="str">
        <f t="shared" si="19"/>
        <v/>
      </c>
      <c r="Q37" s="70"/>
      <c r="R37" s="66"/>
      <c r="S37" s="65"/>
      <c r="T37" s="65"/>
      <c r="U37" s="65"/>
      <c r="V37" s="65"/>
      <c r="W37" s="65"/>
      <c r="X37" s="240"/>
      <c r="Y37" s="65"/>
      <c r="Z37" s="281"/>
      <c r="AA37" s="66"/>
      <c r="AB37" s="66"/>
      <c r="AC37" s="247"/>
      <c r="AD37" s="240" t="str">
        <f t="shared" si="2"/>
        <v/>
      </c>
      <c r="AE37" s="240"/>
      <c r="AF37" s="241"/>
      <c r="AG37" s="247"/>
      <c r="AH37" s="241"/>
      <c r="AI37" s="247"/>
      <c r="AJ37" s="231"/>
      <c r="AK37" s="240"/>
      <c r="AL37" s="241"/>
      <c r="AM37" s="65"/>
      <c r="AN37" s="241"/>
      <c r="AO37" s="65"/>
      <c r="AP37" s="66"/>
      <c r="AQ37" s="66"/>
      <c r="AR37" s="66"/>
      <c r="AS37" s="221"/>
      <c r="AT37" s="222"/>
      <c r="AU37" s="223"/>
      <c r="AV37" s="99"/>
      <c r="AW37" s="100"/>
      <c r="AX37" s="100"/>
      <c r="AY37" s="100"/>
      <c r="AZ37" s="100"/>
      <c r="BA37" s="100"/>
      <c r="BB37" s="100"/>
      <c r="BC37" s="101"/>
      <c r="BD37" s="96"/>
      <c r="BE37" s="97"/>
      <c r="BF37" s="97"/>
      <c r="BG37" s="97"/>
      <c r="BH37" s="98"/>
      <c r="BI37" s="157" t="e">
        <f t="shared" si="3"/>
        <v>#REF!</v>
      </c>
      <c r="BJ37" s="158" t="e">
        <f>#REF!</f>
        <v>#REF!</v>
      </c>
      <c r="BK37" s="159" t="e">
        <f>#REF!</f>
        <v>#REF!</v>
      </c>
      <c r="BL37" s="181" t="e">
        <f t="shared" si="4"/>
        <v>#REF!</v>
      </c>
      <c r="BM37" s="182" t="e">
        <f t="shared" si="5"/>
        <v>#REF!</v>
      </c>
      <c r="BN37" s="182" t="e">
        <f t="shared" si="6"/>
        <v>#REF!</v>
      </c>
      <c r="BO37" s="182" t="e">
        <f t="shared" si="7"/>
        <v>#REF!</v>
      </c>
      <c r="BP37" s="182" t="e">
        <f t="shared" si="8"/>
        <v>#REF!</v>
      </c>
      <c r="BQ37" s="182" t="e">
        <f t="shared" si="9"/>
        <v>#REF!</v>
      </c>
      <c r="BR37" s="182" t="e">
        <f t="shared" si="10"/>
        <v>#REF!</v>
      </c>
      <c r="BS37" s="183" t="e">
        <f t="shared" si="11"/>
        <v>#REF!</v>
      </c>
      <c r="BT37" s="184" t="e">
        <f t="shared" si="12"/>
        <v>#REF!</v>
      </c>
      <c r="BU37" s="185" t="e">
        <f t="shared" si="13"/>
        <v>#REF!</v>
      </c>
      <c r="BV37" s="185" t="e">
        <f t="shared" si="14"/>
        <v>#REF!</v>
      </c>
      <c r="BW37" s="185" t="e">
        <f t="shared" si="15"/>
        <v>#REF!</v>
      </c>
      <c r="BX37" s="186" t="e">
        <f t="shared" si="16"/>
        <v>#REF!</v>
      </c>
      <c r="BY3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7" s="66"/>
      <c r="DA37" s="66"/>
      <c r="DB37" s="66"/>
      <c r="DC37" s="224" t="str">
        <f t="shared" si="17"/>
        <v/>
      </c>
      <c r="DD37" s="1">
        <f>IF($DC37="",0,IF(COUNTIF($DC$2:$DC36,$DC37)=0,1,0))</f>
        <v>0</v>
      </c>
      <c r="DE37" s="252"/>
      <c r="DF37" s="252"/>
      <c r="DG37" s="252"/>
      <c r="DH37" s="252"/>
    </row>
    <row r="38" spans="1:112" s="1" customFormat="1" ht="12" customHeight="1" x14ac:dyDescent="0.25">
      <c r="A38" s="64">
        <v>37</v>
      </c>
      <c r="B38" s="71"/>
      <c r="C38" s="72"/>
      <c r="D38" s="72"/>
      <c r="E38" s="72"/>
      <c r="F38" s="72"/>
      <c r="G38" s="66"/>
      <c r="H38" s="66"/>
      <c r="I38" s="66"/>
      <c r="J38" s="67"/>
      <c r="K38" s="230"/>
      <c r="L38" s="69"/>
      <c r="M38" s="66"/>
      <c r="N38" s="66"/>
      <c r="O38" s="136" t="str">
        <f t="shared" si="18"/>
        <v/>
      </c>
      <c r="P38" s="65" t="str">
        <f t="shared" si="19"/>
        <v/>
      </c>
      <c r="Q38" s="70"/>
      <c r="R38" s="66"/>
      <c r="S38" s="65"/>
      <c r="T38" s="65"/>
      <c r="U38" s="65"/>
      <c r="V38" s="65"/>
      <c r="W38" s="65"/>
      <c r="X38" s="240"/>
      <c r="Y38" s="65"/>
      <c r="Z38" s="281"/>
      <c r="AA38" s="66"/>
      <c r="AB38" s="66"/>
      <c r="AC38" s="247"/>
      <c r="AD38" s="240" t="str">
        <f t="shared" si="2"/>
        <v/>
      </c>
      <c r="AE38" s="240"/>
      <c r="AF38" s="241"/>
      <c r="AG38" s="247"/>
      <c r="AH38" s="241"/>
      <c r="AI38" s="247"/>
      <c r="AJ38" s="231"/>
      <c r="AK38" s="240"/>
      <c r="AL38" s="241"/>
      <c r="AM38" s="65"/>
      <c r="AN38" s="241"/>
      <c r="AO38" s="65"/>
      <c r="AP38" s="66"/>
      <c r="AQ38" s="66"/>
      <c r="AR38" s="66"/>
      <c r="AS38" s="221"/>
      <c r="AT38" s="222"/>
      <c r="AU38" s="223"/>
      <c r="AV38" s="99"/>
      <c r="AW38" s="100"/>
      <c r="AX38" s="100"/>
      <c r="AY38" s="100"/>
      <c r="AZ38" s="100"/>
      <c r="BA38" s="100"/>
      <c r="BB38" s="100"/>
      <c r="BC38" s="101"/>
      <c r="BD38" s="96"/>
      <c r="BE38" s="97"/>
      <c r="BF38" s="97"/>
      <c r="BG38" s="97"/>
      <c r="BH38" s="98"/>
      <c r="BI38" s="157" t="e">
        <f t="shared" si="3"/>
        <v>#REF!</v>
      </c>
      <c r="BJ38" s="158" t="e">
        <f>#REF!</f>
        <v>#REF!</v>
      </c>
      <c r="BK38" s="159" t="e">
        <f>#REF!</f>
        <v>#REF!</v>
      </c>
      <c r="BL38" s="181" t="e">
        <f t="shared" si="4"/>
        <v>#REF!</v>
      </c>
      <c r="BM38" s="182" t="e">
        <f t="shared" si="5"/>
        <v>#REF!</v>
      </c>
      <c r="BN38" s="182" t="e">
        <f t="shared" si="6"/>
        <v>#REF!</v>
      </c>
      <c r="BO38" s="182" t="e">
        <f t="shared" si="7"/>
        <v>#REF!</v>
      </c>
      <c r="BP38" s="182" t="e">
        <f t="shared" si="8"/>
        <v>#REF!</v>
      </c>
      <c r="BQ38" s="182" t="e">
        <f t="shared" si="9"/>
        <v>#REF!</v>
      </c>
      <c r="BR38" s="182" t="e">
        <f t="shared" si="10"/>
        <v>#REF!</v>
      </c>
      <c r="BS38" s="183" t="e">
        <f t="shared" si="11"/>
        <v>#REF!</v>
      </c>
      <c r="BT38" s="184" t="e">
        <f t="shared" si="12"/>
        <v>#REF!</v>
      </c>
      <c r="BU38" s="185" t="e">
        <f t="shared" si="13"/>
        <v>#REF!</v>
      </c>
      <c r="BV38" s="185" t="e">
        <f t="shared" si="14"/>
        <v>#REF!</v>
      </c>
      <c r="BW38" s="185" t="e">
        <f t="shared" si="15"/>
        <v>#REF!</v>
      </c>
      <c r="BX38" s="186" t="e">
        <f t="shared" si="16"/>
        <v>#REF!</v>
      </c>
      <c r="BY3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8" s="66"/>
      <c r="DA38" s="66"/>
      <c r="DB38" s="66"/>
      <c r="DC38" s="224" t="str">
        <f t="shared" si="17"/>
        <v/>
      </c>
      <c r="DD38" s="1">
        <f>IF($DC38="",0,IF(COUNTIF($DC$2:$DC37,$DC38)=0,1,0))</f>
        <v>0</v>
      </c>
      <c r="DE38" s="252"/>
      <c r="DF38" s="252"/>
      <c r="DG38" s="252"/>
      <c r="DH38" s="252"/>
    </row>
    <row r="39" spans="1:112" s="1" customFormat="1" ht="12" customHeight="1" x14ac:dyDescent="0.25">
      <c r="A39" s="64">
        <v>38</v>
      </c>
      <c r="B39" s="71"/>
      <c r="C39" s="72"/>
      <c r="D39" s="72"/>
      <c r="E39" s="72"/>
      <c r="F39" s="72"/>
      <c r="G39" s="66"/>
      <c r="H39" s="66"/>
      <c r="I39" s="66"/>
      <c r="J39" s="67"/>
      <c r="K39" s="230"/>
      <c r="L39" s="69"/>
      <c r="M39" s="66"/>
      <c r="N39" s="66"/>
      <c r="O39" s="136" t="str">
        <f t="shared" si="18"/>
        <v/>
      </c>
      <c r="P39" s="65" t="str">
        <f t="shared" si="19"/>
        <v/>
      </c>
      <c r="Q39" s="70"/>
      <c r="R39" s="66"/>
      <c r="S39" s="65"/>
      <c r="T39" s="65"/>
      <c r="U39" s="65"/>
      <c r="V39" s="65"/>
      <c r="W39" s="65"/>
      <c r="X39" s="240"/>
      <c r="Y39" s="65"/>
      <c r="Z39" s="281"/>
      <c r="AA39" s="66"/>
      <c r="AB39" s="66"/>
      <c r="AC39" s="247"/>
      <c r="AD39" s="240" t="str">
        <f t="shared" si="2"/>
        <v/>
      </c>
      <c r="AE39" s="240"/>
      <c r="AF39" s="241"/>
      <c r="AG39" s="247"/>
      <c r="AH39" s="241"/>
      <c r="AI39" s="247"/>
      <c r="AJ39" s="231"/>
      <c r="AK39" s="240"/>
      <c r="AL39" s="241"/>
      <c r="AM39" s="65"/>
      <c r="AN39" s="241"/>
      <c r="AO39" s="65"/>
      <c r="AP39" s="66"/>
      <c r="AQ39" s="66"/>
      <c r="AR39" s="66"/>
      <c r="AS39" s="221"/>
      <c r="AT39" s="222"/>
      <c r="AU39" s="223"/>
      <c r="AV39" s="99"/>
      <c r="AW39" s="100"/>
      <c r="AX39" s="100"/>
      <c r="AY39" s="100"/>
      <c r="AZ39" s="100"/>
      <c r="BA39" s="100"/>
      <c r="BB39" s="100"/>
      <c r="BC39" s="101"/>
      <c r="BD39" s="96"/>
      <c r="BE39" s="97"/>
      <c r="BF39" s="97"/>
      <c r="BG39" s="97"/>
      <c r="BH39" s="98"/>
      <c r="BI39" s="157" t="e">
        <f t="shared" si="3"/>
        <v>#REF!</v>
      </c>
      <c r="BJ39" s="158" t="e">
        <f>#REF!</f>
        <v>#REF!</v>
      </c>
      <c r="BK39" s="159" t="e">
        <f>#REF!</f>
        <v>#REF!</v>
      </c>
      <c r="BL39" s="181" t="e">
        <f t="shared" si="4"/>
        <v>#REF!</v>
      </c>
      <c r="BM39" s="182" t="e">
        <f t="shared" si="5"/>
        <v>#REF!</v>
      </c>
      <c r="BN39" s="182" t="e">
        <f t="shared" si="6"/>
        <v>#REF!</v>
      </c>
      <c r="BO39" s="182" t="e">
        <f t="shared" si="7"/>
        <v>#REF!</v>
      </c>
      <c r="BP39" s="182" t="e">
        <f t="shared" si="8"/>
        <v>#REF!</v>
      </c>
      <c r="BQ39" s="182" t="e">
        <f t="shared" si="9"/>
        <v>#REF!</v>
      </c>
      <c r="BR39" s="182" t="e">
        <f t="shared" si="10"/>
        <v>#REF!</v>
      </c>
      <c r="BS39" s="183" t="e">
        <f t="shared" si="11"/>
        <v>#REF!</v>
      </c>
      <c r="BT39" s="184" t="e">
        <f t="shared" si="12"/>
        <v>#REF!</v>
      </c>
      <c r="BU39" s="185" t="e">
        <f t="shared" si="13"/>
        <v>#REF!</v>
      </c>
      <c r="BV39" s="185" t="e">
        <f t="shared" si="14"/>
        <v>#REF!</v>
      </c>
      <c r="BW39" s="185" t="e">
        <f t="shared" si="15"/>
        <v>#REF!</v>
      </c>
      <c r="BX39" s="186" t="e">
        <f t="shared" si="16"/>
        <v>#REF!</v>
      </c>
      <c r="BY3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3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3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3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3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3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3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3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3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3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3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3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3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3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3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3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3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3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3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3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3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3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3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3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3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3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3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39" s="66"/>
      <c r="DA39" s="66"/>
      <c r="DB39" s="66"/>
      <c r="DC39" s="224" t="str">
        <f t="shared" si="17"/>
        <v/>
      </c>
      <c r="DD39" s="1">
        <f>IF($DC39="",0,IF(COUNTIF($DC$2:$DC38,$DC39)=0,1,0))</f>
        <v>0</v>
      </c>
      <c r="DE39" s="252"/>
      <c r="DF39" s="252"/>
      <c r="DG39" s="252"/>
      <c r="DH39" s="252"/>
    </row>
    <row r="40" spans="1:112" s="1" customFormat="1" ht="12" customHeight="1" x14ac:dyDescent="0.25">
      <c r="A40" s="64">
        <v>39</v>
      </c>
      <c r="B40" s="71"/>
      <c r="C40" s="72"/>
      <c r="D40" s="72"/>
      <c r="E40" s="72"/>
      <c r="F40" s="72"/>
      <c r="G40" s="66"/>
      <c r="H40" s="66"/>
      <c r="I40" s="66"/>
      <c r="J40" s="67"/>
      <c r="K40" s="230"/>
      <c r="L40" s="69"/>
      <c r="M40" s="66"/>
      <c r="N40" s="66"/>
      <c r="O40" s="136" t="str">
        <f t="shared" si="18"/>
        <v/>
      </c>
      <c r="P40" s="65" t="str">
        <f t="shared" si="19"/>
        <v/>
      </c>
      <c r="Q40" s="70"/>
      <c r="R40" s="66"/>
      <c r="S40" s="65"/>
      <c r="T40" s="65"/>
      <c r="U40" s="65"/>
      <c r="V40" s="65"/>
      <c r="W40" s="65"/>
      <c r="X40" s="240"/>
      <c r="Y40" s="65"/>
      <c r="Z40" s="281"/>
      <c r="AA40" s="66"/>
      <c r="AB40" s="66"/>
      <c r="AC40" s="247"/>
      <c r="AD40" s="240" t="str">
        <f t="shared" si="2"/>
        <v/>
      </c>
      <c r="AE40" s="240"/>
      <c r="AF40" s="241"/>
      <c r="AG40" s="247"/>
      <c r="AH40" s="241"/>
      <c r="AI40" s="247"/>
      <c r="AJ40" s="231"/>
      <c r="AK40" s="240"/>
      <c r="AL40" s="241"/>
      <c r="AM40" s="65"/>
      <c r="AN40" s="241"/>
      <c r="AO40" s="65"/>
      <c r="AP40" s="66"/>
      <c r="AQ40" s="66"/>
      <c r="AR40" s="66"/>
      <c r="AS40" s="221"/>
      <c r="AT40" s="222">
        <f t="shared" ref="AT40:AT69" si="20">SUM(AV40:BH40)</f>
        <v>0</v>
      </c>
      <c r="AU40" s="223"/>
      <c r="AV40" s="99"/>
      <c r="AW40" s="100"/>
      <c r="AX40" s="100"/>
      <c r="AY40" s="100"/>
      <c r="AZ40" s="100"/>
      <c r="BA40" s="100"/>
      <c r="BB40" s="100"/>
      <c r="BC40" s="101"/>
      <c r="BD40" s="96"/>
      <c r="BE40" s="97"/>
      <c r="BF40" s="97"/>
      <c r="BG40" s="97"/>
      <c r="BH40" s="98"/>
      <c r="BI40" s="157" t="e">
        <f t="shared" si="3"/>
        <v>#REF!</v>
      </c>
      <c r="BJ40" s="158" t="e">
        <f>#REF!</f>
        <v>#REF!</v>
      </c>
      <c r="BK40" s="159" t="e">
        <f>#REF!</f>
        <v>#REF!</v>
      </c>
      <c r="BL40" s="181" t="e">
        <f t="shared" si="4"/>
        <v>#REF!</v>
      </c>
      <c r="BM40" s="182" t="e">
        <f t="shared" si="5"/>
        <v>#REF!</v>
      </c>
      <c r="BN40" s="182" t="e">
        <f t="shared" si="6"/>
        <v>#REF!</v>
      </c>
      <c r="BO40" s="182" t="e">
        <f t="shared" si="7"/>
        <v>#REF!</v>
      </c>
      <c r="BP40" s="182" t="e">
        <f t="shared" si="8"/>
        <v>#REF!</v>
      </c>
      <c r="BQ40" s="182" t="e">
        <f t="shared" si="9"/>
        <v>#REF!</v>
      </c>
      <c r="BR40" s="182" t="e">
        <f t="shared" si="10"/>
        <v>#REF!</v>
      </c>
      <c r="BS40" s="183" t="e">
        <f t="shared" si="11"/>
        <v>#REF!</v>
      </c>
      <c r="BT40" s="184" t="e">
        <f t="shared" si="12"/>
        <v>#REF!</v>
      </c>
      <c r="BU40" s="185" t="e">
        <f t="shared" si="13"/>
        <v>#REF!</v>
      </c>
      <c r="BV40" s="185" t="e">
        <f t="shared" si="14"/>
        <v>#REF!</v>
      </c>
      <c r="BW40" s="185" t="e">
        <f t="shared" si="15"/>
        <v>#REF!</v>
      </c>
      <c r="BX40" s="186" t="e">
        <f t="shared" si="16"/>
        <v>#REF!</v>
      </c>
      <c r="BY4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0" s="66"/>
      <c r="DA40" s="66"/>
      <c r="DB40" s="66"/>
      <c r="DC40" s="224" t="str">
        <f t="shared" si="17"/>
        <v/>
      </c>
      <c r="DD40" s="1">
        <f>IF($DC40="",0,IF(COUNTIF($DC$2:$DC39,$DC40)=0,1,0))</f>
        <v>0</v>
      </c>
      <c r="DE40" s="252"/>
      <c r="DF40" s="252"/>
      <c r="DG40" s="252"/>
      <c r="DH40" s="252"/>
    </row>
    <row r="41" spans="1:112" s="1" customFormat="1" ht="12" customHeight="1" x14ac:dyDescent="0.25">
      <c r="A41" s="64">
        <v>40</v>
      </c>
      <c r="B41" s="71"/>
      <c r="C41" s="72"/>
      <c r="D41" s="72"/>
      <c r="E41" s="72"/>
      <c r="F41" s="72"/>
      <c r="G41" s="66"/>
      <c r="H41" s="66"/>
      <c r="I41" s="66"/>
      <c r="J41" s="67"/>
      <c r="K41" s="230"/>
      <c r="L41" s="69"/>
      <c r="M41" s="66"/>
      <c r="N41" s="66"/>
      <c r="O41" s="136" t="str">
        <f t="shared" si="18"/>
        <v/>
      </c>
      <c r="P41" s="65" t="str">
        <f t="shared" si="19"/>
        <v/>
      </c>
      <c r="Q41" s="70"/>
      <c r="R41" s="66"/>
      <c r="S41" s="65"/>
      <c r="T41" s="65"/>
      <c r="U41" s="65"/>
      <c r="V41" s="65"/>
      <c r="W41" s="65"/>
      <c r="X41" s="240"/>
      <c r="Y41" s="65"/>
      <c r="Z41" s="281"/>
      <c r="AA41" s="66"/>
      <c r="AB41" s="66"/>
      <c r="AC41" s="247"/>
      <c r="AD41" s="240" t="str">
        <f t="shared" si="2"/>
        <v/>
      </c>
      <c r="AE41" s="240"/>
      <c r="AF41" s="241"/>
      <c r="AG41" s="247"/>
      <c r="AH41" s="241"/>
      <c r="AI41" s="247"/>
      <c r="AJ41" s="231"/>
      <c r="AK41" s="240"/>
      <c r="AL41" s="241"/>
      <c r="AM41" s="65"/>
      <c r="AN41" s="241"/>
      <c r="AO41" s="65"/>
      <c r="AP41" s="66"/>
      <c r="AQ41" s="66"/>
      <c r="AR41" s="66"/>
      <c r="AS41" s="221"/>
      <c r="AT41" s="222">
        <f t="shared" si="20"/>
        <v>0</v>
      </c>
      <c r="AU41" s="223"/>
      <c r="AV41" s="99"/>
      <c r="AW41" s="100"/>
      <c r="AX41" s="100"/>
      <c r="AY41" s="100"/>
      <c r="AZ41" s="100"/>
      <c r="BA41" s="100"/>
      <c r="BB41" s="100"/>
      <c r="BC41" s="101"/>
      <c r="BD41" s="96"/>
      <c r="BE41" s="97"/>
      <c r="BF41" s="97"/>
      <c r="BG41" s="97"/>
      <c r="BH41" s="98"/>
      <c r="BI41" s="157" t="e">
        <f t="shared" si="3"/>
        <v>#REF!</v>
      </c>
      <c r="BJ41" s="158" t="e">
        <f>#REF!</f>
        <v>#REF!</v>
      </c>
      <c r="BK41" s="159" t="e">
        <f>#REF!</f>
        <v>#REF!</v>
      </c>
      <c r="BL41" s="181" t="e">
        <f t="shared" si="4"/>
        <v>#REF!</v>
      </c>
      <c r="BM41" s="182" t="e">
        <f t="shared" si="5"/>
        <v>#REF!</v>
      </c>
      <c r="BN41" s="182" t="e">
        <f t="shared" si="6"/>
        <v>#REF!</v>
      </c>
      <c r="BO41" s="182" t="e">
        <f t="shared" si="7"/>
        <v>#REF!</v>
      </c>
      <c r="BP41" s="182" t="e">
        <f t="shared" si="8"/>
        <v>#REF!</v>
      </c>
      <c r="BQ41" s="182" t="e">
        <f t="shared" si="9"/>
        <v>#REF!</v>
      </c>
      <c r="BR41" s="182" t="e">
        <f t="shared" si="10"/>
        <v>#REF!</v>
      </c>
      <c r="BS41" s="183" t="e">
        <f t="shared" si="11"/>
        <v>#REF!</v>
      </c>
      <c r="BT41" s="184" t="e">
        <f t="shared" si="12"/>
        <v>#REF!</v>
      </c>
      <c r="BU41" s="185" t="e">
        <f t="shared" si="13"/>
        <v>#REF!</v>
      </c>
      <c r="BV41" s="185" t="e">
        <f t="shared" si="14"/>
        <v>#REF!</v>
      </c>
      <c r="BW41" s="185" t="e">
        <f t="shared" si="15"/>
        <v>#REF!</v>
      </c>
      <c r="BX41" s="186" t="e">
        <f t="shared" si="16"/>
        <v>#REF!</v>
      </c>
      <c r="BY4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1" s="66"/>
      <c r="DA41" s="66"/>
      <c r="DB41" s="66"/>
      <c r="DC41" s="224" t="str">
        <f t="shared" si="17"/>
        <v/>
      </c>
      <c r="DD41" s="1">
        <f>IF($DC41="",0,IF(COUNTIF($DC$2:$DC40,$DC41)=0,1,0))</f>
        <v>0</v>
      </c>
      <c r="DE41" s="252"/>
      <c r="DF41" s="252"/>
      <c r="DG41" s="252"/>
      <c r="DH41" s="252"/>
    </row>
    <row r="42" spans="1:112" s="1" customFormat="1" ht="12" customHeight="1" x14ac:dyDescent="0.25">
      <c r="A42" s="64">
        <v>41</v>
      </c>
      <c r="B42" s="71"/>
      <c r="C42" s="72"/>
      <c r="D42" s="72"/>
      <c r="E42" s="72"/>
      <c r="F42" s="72"/>
      <c r="G42" s="66"/>
      <c r="H42" s="66"/>
      <c r="I42" s="66"/>
      <c r="J42" s="67"/>
      <c r="K42" s="230"/>
      <c r="L42" s="69"/>
      <c r="M42" s="66"/>
      <c r="N42" s="66"/>
      <c r="O42" s="136" t="str">
        <f t="shared" si="18"/>
        <v/>
      </c>
      <c r="P42" s="65" t="str">
        <f t="shared" si="19"/>
        <v/>
      </c>
      <c r="Q42" s="70"/>
      <c r="R42" s="66"/>
      <c r="S42" s="65"/>
      <c r="T42" s="65"/>
      <c r="U42" s="65"/>
      <c r="V42" s="65"/>
      <c r="W42" s="65"/>
      <c r="X42" s="240"/>
      <c r="Y42" s="65"/>
      <c r="Z42" s="281"/>
      <c r="AA42" s="66"/>
      <c r="AB42" s="66"/>
      <c r="AC42" s="247"/>
      <c r="AD42" s="240" t="str">
        <f t="shared" si="2"/>
        <v/>
      </c>
      <c r="AE42" s="240"/>
      <c r="AF42" s="241"/>
      <c r="AG42" s="247"/>
      <c r="AH42" s="241"/>
      <c r="AI42" s="247"/>
      <c r="AJ42" s="231"/>
      <c r="AK42" s="240"/>
      <c r="AL42" s="241"/>
      <c r="AM42" s="65"/>
      <c r="AN42" s="241"/>
      <c r="AO42" s="65"/>
      <c r="AP42" s="66"/>
      <c r="AQ42" s="66"/>
      <c r="AR42" s="66"/>
      <c r="AS42" s="221"/>
      <c r="AT42" s="222">
        <f t="shared" si="20"/>
        <v>0</v>
      </c>
      <c r="AU42" s="223"/>
      <c r="AV42" s="99"/>
      <c r="AW42" s="100"/>
      <c r="AX42" s="100"/>
      <c r="AY42" s="100"/>
      <c r="AZ42" s="100"/>
      <c r="BA42" s="100"/>
      <c r="BB42" s="100"/>
      <c r="BC42" s="101"/>
      <c r="BD42" s="96"/>
      <c r="BE42" s="97"/>
      <c r="BF42" s="97"/>
      <c r="BG42" s="97"/>
      <c r="BH42" s="98"/>
      <c r="BI42" s="157" t="e">
        <f t="shared" si="3"/>
        <v>#REF!</v>
      </c>
      <c r="BJ42" s="158" t="e">
        <f>#REF!</f>
        <v>#REF!</v>
      </c>
      <c r="BK42" s="159" t="e">
        <f>#REF!</f>
        <v>#REF!</v>
      </c>
      <c r="BL42" s="181" t="e">
        <f t="shared" si="4"/>
        <v>#REF!</v>
      </c>
      <c r="BM42" s="182" t="e">
        <f t="shared" si="5"/>
        <v>#REF!</v>
      </c>
      <c r="BN42" s="182" t="e">
        <f t="shared" si="6"/>
        <v>#REF!</v>
      </c>
      <c r="BO42" s="182" t="e">
        <f t="shared" si="7"/>
        <v>#REF!</v>
      </c>
      <c r="BP42" s="182" t="e">
        <f t="shared" si="8"/>
        <v>#REF!</v>
      </c>
      <c r="BQ42" s="182" t="e">
        <f t="shared" si="9"/>
        <v>#REF!</v>
      </c>
      <c r="BR42" s="182" t="e">
        <f t="shared" si="10"/>
        <v>#REF!</v>
      </c>
      <c r="BS42" s="183" t="e">
        <f t="shared" si="11"/>
        <v>#REF!</v>
      </c>
      <c r="BT42" s="184" t="e">
        <f t="shared" si="12"/>
        <v>#REF!</v>
      </c>
      <c r="BU42" s="185" t="e">
        <f t="shared" si="13"/>
        <v>#REF!</v>
      </c>
      <c r="BV42" s="185" t="e">
        <f t="shared" si="14"/>
        <v>#REF!</v>
      </c>
      <c r="BW42" s="185" t="e">
        <f t="shared" si="15"/>
        <v>#REF!</v>
      </c>
      <c r="BX42" s="186" t="e">
        <f t="shared" si="16"/>
        <v>#REF!</v>
      </c>
      <c r="BY4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2" s="66"/>
      <c r="DA42" s="66"/>
      <c r="DB42" s="66"/>
      <c r="DC42" s="224" t="str">
        <f t="shared" si="17"/>
        <v/>
      </c>
      <c r="DD42" s="1">
        <f>IF($DC42="",0,IF(COUNTIF($DC$2:$DC41,$DC42)=0,1,0))</f>
        <v>0</v>
      </c>
      <c r="DE42" s="252"/>
      <c r="DF42" s="252"/>
      <c r="DG42" s="252"/>
      <c r="DH42" s="252"/>
    </row>
    <row r="43" spans="1:112" s="1" customFormat="1" ht="12" customHeight="1" x14ac:dyDescent="0.25">
      <c r="A43" s="64">
        <v>42</v>
      </c>
      <c r="B43" s="71"/>
      <c r="C43" s="72"/>
      <c r="D43" s="72"/>
      <c r="E43" s="72"/>
      <c r="F43" s="72"/>
      <c r="G43" s="66"/>
      <c r="H43" s="66"/>
      <c r="I43" s="66"/>
      <c r="J43" s="67"/>
      <c r="K43" s="230"/>
      <c r="L43" s="69"/>
      <c r="M43" s="66"/>
      <c r="N43" s="66"/>
      <c r="O43" s="136" t="str">
        <f t="shared" si="18"/>
        <v/>
      </c>
      <c r="P43" s="65" t="str">
        <f t="shared" si="19"/>
        <v/>
      </c>
      <c r="Q43" s="70"/>
      <c r="R43" s="66"/>
      <c r="S43" s="65"/>
      <c r="T43" s="65"/>
      <c r="U43" s="65"/>
      <c r="V43" s="65"/>
      <c r="W43" s="65"/>
      <c r="X43" s="240"/>
      <c r="Y43" s="65"/>
      <c r="Z43" s="281"/>
      <c r="AA43" s="66"/>
      <c r="AB43" s="66"/>
      <c r="AC43" s="247"/>
      <c r="AD43" s="240" t="str">
        <f t="shared" si="2"/>
        <v/>
      </c>
      <c r="AE43" s="240"/>
      <c r="AF43" s="241"/>
      <c r="AG43" s="247"/>
      <c r="AH43" s="241"/>
      <c r="AI43" s="247"/>
      <c r="AJ43" s="231"/>
      <c r="AK43" s="240"/>
      <c r="AL43" s="241"/>
      <c r="AM43" s="65"/>
      <c r="AN43" s="241"/>
      <c r="AO43" s="65"/>
      <c r="AP43" s="66"/>
      <c r="AQ43" s="66"/>
      <c r="AR43" s="66"/>
      <c r="AS43" s="221"/>
      <c r="AT43" s="222">
        <f t="shared" si="20"/>
        <v>0</v>
      </c>
      <c r="AU43" s="223"/>
      <c r="AV43" s="99"/>
      <c r="AW43" s="100"/>
      <c r="AX43" s="100"/>
      <c r="AY43" s="100"/>
      <c r="AZ43" s="100"/>
      <c r="BA43" s="100"/>
      <c r="BB43" s="100"/>
      <c r="BC43" s="101"/>
      <c r="BD43" s="96"/>
      <c r="BE43" s="97"/>
      <c r="BF43" s="97"/>
      <c r="BG43" s="97"/>
      <c r="BH43" s="98"/>
      <c r="BI43" s="157" t="e">
        <f t="shared" si="3"/>
        <v>#REF!</v>
      </c>
      <c r="BJ43" s="158" t="e">
        <f>#REF!</f>
        <v>#REF!</v>
      </c>
      <c r="BK43" s="159" t="e">
        <f>#REF!</f>
        <v>#REF!</v>
      </c>
      <c r="BL43" s="181" t="e">
        <f t="shared" si="4"/>
        <v>#REF!</v>
      </c>
      <c r="BM43" s="182" t="e">
        <f t="shared" si="5"/>
        <v>#REF!</v>
      </c>
      <c r="BN43" s="182" t="e">
        <f t="shared" si="6"/>
        <v>#REF!</v>
      </c>
      <c r="BO43" s="182" t="e">
        <f t="shared" si="7"/>
        <v>#REF!</v>
      </c>
      <c r="BP43" s="182" t="e">
        <f t="shared" si="8"/>
        <v>#REF!</v>
      </c>
      <c r="BQ43" s="182" t="e">
        <f t="shared" si="9"/>
        <v>#REF!</v>
      </c>
      <c r="BR43" s="182" t="e">
        <f t="shared" si="10"/>
        <v>#REF!</v>
      </c>
      <c r="BS43" s="183" t="e">
        <f t="shared" si="11"/>
        <v>#REF!</v>
      </c>
      <c r="BT43" s="184" t="e">
        <f t="shared" si="12"/>
        <v>#REF!</v>
      </c>
      <c r="BU43" s="185" t="e">
        <f t="shared" si="13"/>
        <v>#REF!</v>
      </c>
      <c r="BV43" s="185" t="e">
        <f t="shared" si="14"/>
        <v>#REF!</v>
      </c>
      <c r="BW43" s="185" t="e">
        <f t="shared" si="15"/>
        <v>#REF!</v>
      </c>
      <c r="BX43" s="186" t="e">
        <f t="shared" si="16"/>
        <v>#REF!</v>
      </c>
      <c r="BY4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3" s="66"/>
      <c r="DA43" s="66"/>
      <c r="DB43" s="66"/>
      <c r="DC43" s="224" t="str">
        <f t="shared" si="17"/>
        <v/>
      </c>
      <c r="DD43" s="1">
        <f>IF($DC43="",0,IF(COUNTIF($DC$2:$DC42,$DC43)=0,1,0))</f>
        <v>0</v>
      </c>
      <c r="DE43" s="252"/>
      <c r="DF43" s="252"/>
      <c r="DG43" s="252"/>
      <c r="DH43" s="252"/>
    </row>
    <row r="44" spans="1:112" s="1" customFormat="1" ht="12" customHeight="1" x14ac:dyDescent="0.25">
      <c r="A44" s="64">
        <v>43</v>
      </c>
      <c r="B44" s="71"/>
      <c r="C44" s="72"/>
      <c r="D44" s="72"/>
      <c r="E44" s="72"/>
      <c r="F44" s="72"/>
      <c r="G44" s="66"/>
      <c r="H44" s="66"/>
      <c r="I44" s="66"/>
      <c r="J44" s="67"/>
      <c r="K44" s="230"/>
      <c r="L44" s="69"/>
      <c r="M44" s="66"/>
      <c r="N44" s="66"/>
      <c r="O44" s="136" t="str">
        <f t="shared" si="18"/>
        <v/>
      </c>
      <c r="P44" s="65" t="str">
        <f t="shared" si="19"/>
        <v/>
      </c>
      <c r="Q44" s="70"/>
      <c r="R44" s="66"/>
      <c r="S44" s="65"/>
      <c r="T44" s="65"/>
      <c r="U44" s="65"/>
      <c r="V44" s="65"/>
      <c r="W44" s="65"/>
      <c r="X44" s="240"/>
      <c r="Y44" s="65"/>
      <c r="Z44" s="281"/>
      <c r="AA44" s="66"/>
      <c r="AB44" s="66"/>
      <c r="AC44" s="247"/>
      <c r="AD44" s="240" t="str">
        <f t="shared" si="2"/>
        <v/>
      </c>
      <c r="AE44" s="240"/>
      <c r="AF44" s="241"/>
      <c r="AG44" s="247"/>
      <c r="AH44" s="241"/>
      <c r="AI44" s="247"/>
      <c r="AJ44" s="231"/>
      <c r="AK44" s="240"/>
      <c r="AL44" s="241"/>
      <c r="AM44" s="65"/>
      <c r="AN44" s="241"/>
      <c r="AO44" s="65"/>
      <c r="AP44" s="66"/>
      <c r="AQ44" s="66"/>
      <c r="AR44" s="66"/>
      <c r="AS44" s="221"/>
      <c r="AT44" s="222">
        <f t="shared" si="20"/>
        <v>0</v>
      </c>
      <c r="AU44" s="223"/>
      <c r="AV44" s="99"/>
      <c r="AW44" s="100"/>
      <c r="AX44" s="100"/>
      <c r="AY44" s="100"/>
      <c r="AZ44" s="100"/>
      <c r="BA44" s="100"/>
      <c r="BB44" s="100"/>
      <c r="BC44" s="101"/>
      <c r="BD44" s="96"/>
      <c r="BE44" s="97"/>
      <c r="BF44" s="97"/>
      <c r="BG44" s="97"/>
      <c r="BH44" s="98"/>
      <c r="BI44" s="157" t="e">
        <f t="shared" si="3"/>
        <v>#REF!</v>
      </c>
      <c r="BJ44" s="158" t="e">
        <f>#REF!</f>
        <v>#REF!</v>
      </c>
      <c r="BK44" s="159" t="e">
        <f>#REF!</f>
        <v>#REF!</v>
      </c>
      <c r="BL44" s="181" t="e">
        <f t="shared" si="4"/>
        <v>#REF!</v>
      </c>
      <c r="BM44" s="182" t="e">
        <f t="shared" si="5"/>
        <v>#REF!</v>
      </c>
      <c r="BN44" s="182" t="e">
        <f t="shared" si="6"/>
        <v>#REF!</v>
      </c>
      <c r="BO44" s="182" t="e">
        <f t="shared" si="7"/>
        <v>#REF!</v>
      </c>
      <c r="BP44" s="182" t="e">
        <f t="shared" si="8"/>
        <v>#REF!</v>
      </c>
      <c r="BQ44" s="182" t="e">
        <f t="shared" si="9"/>
        <v>#REF!</v>
      </c>
      <c r="BR44" s="182" t="e">
        <f t="shared" si="10"/>
        <v>#REF!</v>
      </c>
      <c r="BS44" s="183" t="e">
        <f t="shared" si="11"/>
        <v>#REF!</v>
      </c>
      <c r="BT44" s="184" t="e">
        <f t="shared" si="12"/>
        <v>#REF!</v>
      </c>
      <c r="BU44" s="185" t="e">
        <f t="shared" si="13"/>
        <v>#REF!</v>
      </c>
      <c r="BV44" s="185" t="e">
        <f t="shared" si="14"/>
        <v>#REF!</v>
      </c>
      <c r="BW44" s="185" t="e">
        <f t="shared" si="15"/>
        <v>#REF!</v>
      </c>
      <c r="BX44" s="186" t="e">
        <f t="shared" si="16"/>
        <v>#REF!</v>
      </c>
      <c r="BY4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4" s="66"/>
      <c r="DA44" s="66"/>
      <c r="DB44" s="66"/>
      <c r="DC44" s="224" t="str">
        <f t="shared" si="17"/>
        <v/>
      </c>
      <c r="DD44" s="1">
        <f>IF($DC44="",0,IF(COUNTIF($DC$2:$DC43,$DC44)=0,1,0))</f>
        <v>0</v>
      </c>
      <c r="DE44" s="252"/>
      <c r="DF44" s="252"/>
      <c r="DG44" s="252"/>
      <c r="DH44" s="252"/>
    </row>
    <row r="45" spans="1:112" s="1" customFormat="1" ht="12" customHeight="1" x14ac:dyDescent="0.25">
      <c r="A45" s="64">
        <v>44</v>
      </c>
      <c r="B45" s="71"/>
      <c r="C45" s="72"/>
      <c r="D45" s="72"/>
      <c r="E45" s="72"/>
      <c r="F45" s="72"/>
      <c r="G45" s="66"/>
      <c r="H45" s="66"/>
      <c r="I45" s="66"/>
      <c r="J45" s="67"/>
      <c r="K45" s="230"/>
      <c r="L45" s="69"/>
      <c r="M45" s="66"/>
      <c r="N45" s="66"/>
      <c r="O45" s="136" t="str">
        <f t="shared" ref="O45:O76" si="21">IF($L45="","",($AP45-$L45)/365)</f>
        <v/>
      </c>
      <c r="P45" s="65" t="str">
        <f t="shared" si="19"/>
        <v/>
      </c>
      <c r="Q45" s="70"/>
      <c r="R45" s="66"/>
      <c r="S45" s="65"/>
      <c r="T45" s="65"/>
      <c r="U45" s="65"/>
      <c r="V45" s="65"/>
      <c r="W45" s="65"/>
      <c r="X45" s="240"/>
      <c r="Y45" s="65"/>
      <c r="Z45" s="281"/>
      <c r="AA45" s="66"/>
      <c r="AB45" s="66"/>
      <c r="AC45" s="247"/>
      <c r="AD45" s="240" t="str">
        <f t="shared" si="2"/>
        <v/>
      </c>
      <c r="AE45" s="240"/>
      <c r="AF45" s="241"/>
      <c r="AG45" s="247"/>
      <c r="AH45" s="241"/>
      <c r="AI45" s="247"/>
      <c r="AJ45" s="231"/>
      <c r="AK45" s="240"/>
      <c r="AL45" s="241"/>
      <c r="AM45" s="65"/>
      <c r="AN45" s="241"/>
      <c r="AO45" s="65"/>
      <c r="AP45" s="66"/>
      <c r="AQ45" s="66"/>
      <c r="AR45" s="66"/>
      <c r="AS45" s="221"/>
      <c r="AT45" s="222">
        <f t="shared" si="20"/>
        <v>0</v>
      </c>
      <c r="AU45" s="223"/>
      <c r="AV45" s="99"/>
      <c r="AW45" s="100"/>
      <c r="AX45" s="100"/>
      <c r="AY45" s="100"/>
      <c r="AZ45" s="100"/>
      <c r="BA45" s="100"/>
      <c r="BB45" s="100"/>
      <c r="BC45" s="101"/>
      <c r="BD45" s="96"/>
      <c r="BE45" s="97"/>
      <c r="BF45" s="97"/>
      <c r="BG45" s="97"/>
      <c r="BH45" s="98"/>
      <c r="BI45" s="157" t="e">
        <f t="shared" si="3"/>
        <v>#REF!</v>
      </c>
      <c r="BJ45" s="158" t="e">
        <f>#REF!</f>
        <v>#REF!</v>
      </c>
      <c r="BK45" s="159" t="e">
        <f>#REF!</f>
        <v>#REF!</v>
      </c>
      <c r="BL45" s="181" t="e">
        <f t="shared" si="4"/>
        <v>#REF!</v>
      </c>
      <c r="BM45" s="182" t="e">
        <f t="shared" si="5"/>
        <v>#REF!</v>
      </c>
      <c r="BN45" s="182" t="e">
        <f t="shared" si="6"/>
        <v>#REF!</v>
      </c>
      <c r="BO45" s="182" t="e">
        <f t="shared" si="7"/>
        <v>#REF!</v>
      </c>
      <c r="BP45" s="182" t="e">
        <f t="shared" si="8"/>
        <v>#REF!</v>
      </c>
      <c r="BQ45" s="182" t="e">
        <f t="shared" si="9"/>
        <v>#REF!</v>
      </c>
      <c r="BR45" s="182" t="e">
        <f t="shared" si="10"/>
        <v>#REF!</v>
      </c>
      <c r="BS45" s="183" t="e">
        <f t="shared" si="11"/>
        <v>#REF!</v>
      </c>
      <c r="BT45" s="184" t="e">
        <f t="shared" si="12"/>
        <v>#REF!</v>
      </c>
      <c r="BU45" s="185" t="e">
        <f t="shared" si="13"/>
        <v>#REF!</v>
      </c>
      <c r="BV45" s="185" t="e">
        <f t="shared" si="14"/>
        <v>#REF!</v>
      </c>
      <c r="BW45" s="185" t="e">
        <f t="shared" si="15"/>
        <v>#REF!</v>
      </c>
      <c r="BX45" s="186" t="e">
        <f t="shared" si="16"/>
        <v>#REF!</v>
      </c>
      <c r="BY4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5" s="66"/>
      <c r="DA45" s="66"/>
      <c r="DB45" s="66"/>
      <c r="DC45" s="224" t="str">
        <f t="shared" si="17"/>
        <v/>
      </c>
      <c r="DD45" s="1">
        <f>IF($DC45="",0,IF(COUNTIF($DC$2:$DC44,$DC45)=0,1,0))</f>
        <v>0</v>
      </c>
      <c r="DE45" s="252"/>
      <c r="DF45" s="252"/>
      <c r="DG45" s="252"/>
      <c r="DH45" s="252"/>
    </row>
    <row r="46" spans="1:112" s="1" customFormat="1" ht="12" customHeight="1" x14ac:dyDescent="0.25">
      <c r="A46" s="64">
        <v>45</v>
      </c>
      <c r="B46" s="71"/>
      <c r="C46" s="72"/>
      <c r="D46" s="72"/>
      <c r="E46" s="72"/>
      <c r="F46" s="72"/>
      <c r="G46" s="66"/>
      <c r="H46" s="66"/>
      <c r="I46" s="66"/>
      <c r="J46" s="67"/>
      <c r="K46" s="230"/>
      <c r="L46" s="69"/>
      <c r="M46" s="66"/>
      <c r="N46" s="66"/>
      <c r="O46" s="136" t="str">
        <f t="shared" si="21"/>
        <v/>
      </c>
      <c r="P46" s="65" t="str">
        <f t="shared" si="19"/>
        <v/>
      </c>
      <c r="Q46" s="70"/>
      <c r="R46" s="66"/>
      <c r="S46" s="65"/>
      <c r="T46" s="65"/>
      <c r="U46" s="65"/>
      <c r="V46" s="65"/>
      <c r="W46" s="65"/>
      <c r="X46" s="240"/>
      <c r="Y46" s="65"/>
      <c r="Z46" s="281"/>
      <c r="AA46" s="66"/>
      <c r="AB46" s="66"/>
      <c r="AC46" s="247"/>
      <c r="AD46" s="240" t="str">
        <f t="shared" si="2"/>
        <v/>
      </c>
      <c r="AE46" s="240"/>
      <c r="AF46" s="241"/>
      <c r="AG46" s="247"/>
      <c r="AH46" s="241"/>
      <c r="AI46" s="247"/>
      <c r="AJ46" s="231"/>
      <c r="AK46" s="240"/>
      <c r="AL46" s="241"/>
      <c r="AM46" s="65"/>
      <c r="AN46" s="241"/>
      <c r="AO46" s="65"/>
      <c r="AP46" s="66"/>
      <c r="AQ46" s="66"/>
      <c r="AR46" s="66"/>
      <c r="AS46" s="221"/>
      <c r="AT46" s="222">
        <f t="shared" si="20"/>
        <v>0</v>
      </c>
      <c r="AU46" s="223"/>
      <c r="AV46" s="99"/>
      <c r="AW46" s="100"/>
      <c r="AX46" s="100"/>
      <c r="AY46" s="100"/>
      <c r="AZ46" s="100"/>
      <c r="BA46" s="100"/>
      <c r="BB46" s="100"/>
      <c r="BC46" s="101"/>
      <c r="BD46" s="96"/>
      <c r="BE46" s="97"/>
      <c r="BF46" s="97"/>
      <c r="BG46" s="97"/>
      <c r="BH46" s="98"/>
      <c r="BI46" s="157" t="e">
        <f t="shared" si="3"/>
        <v>#REF!</v>
      </c>
      <c r="BJ46" s="158" t="e">
        <f>#REF!</f>
        <v>#REF!</v>
      </c>
      <c r="BK46" s="159" t="e">
        <f>#REF!</f>
        <v>#REF!</v>
      </c>
      <c r="BL46" s="181" t="e">
        <f t="shared" si="4"/>
        <v>#REF!</v>
      </c>
      <c r="BM46" s="182" t="e">
        <f t="shared" si="5"/>
        <v>#REF!</v>
      </c>
      <c r="BN46" s="182" t="e">
        <f t="shared" si="6"/>
        <v>#REF!</v>
      </c>
      <c r="BO46" s="182" t="e">
        <f t="shared" si="7"/>
        <v>#REF!</v>
      </c>
      <c r="BP46" s="182" t="e">
        <f t="shared" si="8"/>
        <v>#REF!</v>
      </c>
      <c r="BQ46" s="182" t="e">
        <f t="shared" si="9"/>
        <v>#REF!</v>
      </c>
      <c r="BR46" s="182" t="e">
        <f t="shared" si="10"/>
        <v>#REF!</v>
      </c>
      <c r="BS46" s="183" t="e">
        <f t="shared" si="11"/>
        <v>#REF!</v>
      </c>
      <c r="BT46" s="184" t="e">
        <f t="shared" si="12"/>
        <v>#REF!</v>
      </c>
      <c r="BU46" s="185" t="e">
        <f t="shared" si="13"/>
        <v>#REF!</v>
      </c>
      <c r="BV46" s="185" t="e">
        <f t="shared" si="14"/>
        <v>#REF!</v>
      </c>
      <c r="BW46" s="185" t="e">
        <f t="shared" si="15"/>
        <v>#REF!</v>
      </c>
      <c r="BX46" s="186" t="e">
        <f t="shared" si="16"/>
        <v>#REF!</v>
      </c>
      <c r="BY4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6" s="66"/>
      <c r="DA46" s="66"/>
      <c r="DB46" s="66"/>
      <c r="DC46" s="224" t="str">
        <f t="shared" si="17"/>
        <v/>
      </c>
      <c r="DD46" s="1">
        <f>IF($DC46="",0,IF(COUNTIF($DC$2:$DC45,$DC46)=0,1,0))</f>
        <v>0</v>
      </c>
      <c r="DE46" s="252"/>
      <c r="DF46" s="252"/>
      <c r="DG46" s="252"/>
      <c r="DH46" s="252"/>
    </row>
    <row r="47" spans="1:112" s="1" customFormat="1" ht="12" customHeight="1" x14ac:dyDescent="0.25">
      <c r="A47" s="64">
        <v>46</v>
      </c>
      <c r="B47" s="71"/>
      <c r="C47" s="72"/>
      <c r="D47" s="72"/>
      <c r="E47" s="72"/>
      <c r="F47" s="72"/>
      <c r="G47" s="66"/>
      <c r="H47" s="66"/>
      <c r="I47" s="66"/>
      <c r="J47" s="67"/>
      <c r="K47" s="230"/>
      <c r="L47" s="69"/>
      <c r="M47" s="66"/>
      <c r="N47" s="66"/>
      <c r="O47" s="136" t="str">
        <f t="shared" si="21"/>
        <v/>
      </c>
      <c r="P47" s="65" t="str">
        <f t="shared" si="19"/>
        <v/>
      </c>
      <c r="Q47" s="70"/>
      <c r="R47" s="66"/>
      <c r="S47" s="65"/>
      <c r="T47" s="65"/>
      <c r="U47" s="65"/>
      <c r="V47" s="65"/>
      <c r="W47" s="65"/>
      <c r="X47" s="240"/>
      <c r="Y47" s="65"/>
      <c r="Z47" s="281"/>
      <c r="AA47" s="66"/>
      <c r="AB47" s="66"/>
      <c r="AC47" s="247"/>
      <c r="AD47" s="240" t="str">
        <f t="shared" si="2"/>
        <v/>
      </c>
      <c r="AE47" s="240"/>
      <c r="AF47" s="241"/>
      <c r="AG47" s="247"/>
      <c r="AH47" s="241"/>
      <c r="AI47" s="247"/>
      <c r="AJ47" s="231"/>
      <c r="AK47" s="240"/>
      <c r="AL47" s="241"/>
      <c r="AM47" s="65"/>
      <c r="AN47" s="241"/>
      <c r="AO47" s="65"/>
      <c r="AP47" s="66"/>
      <c r="AQ47" s="66"/>
      <c r="AR47" s="66"/>
      <c r="AS47" s="221"/>
      <c r="AT47" s="222">
        <f t="shared" si="20"/>
        <v>0</v>
      </c>
      <c r="AU47" s="223"/>
      <c r="AV47" s="99"/>
      <c r="AW47" s="100"/>
      <c r="AX47" s="100"/>
      <c r="AY47" s="100"/>
      <c r="AZ47" s="100"/>
      <c r="BA47" s="100"/>
      <c r="BB47" s="100"/>
      <c r="BC47" s="101"/>
      <c r="BD47" s="96"/>
      <c r="BE47" s="97"/>
      <c r="BF47" s="97"/>
      <c r="BG47" s="97"/>
      <c r="BH47" s="98"/>
      <c r="BI47" s="157" t="e">
        <f t="shared" si="3"/>
        <v>#REF!</v>
      </c>
      <c r="BJ47" s="158" t="e">
        <f>#REF!</f>
        <v>#REF!</v>
      </c>
      <c r="BK47" s="159" t="e">
        <f>#REF!</f>
        <v>#REF!</v>
      </c>
      <c r="BL47" s="181" t="e">
        <f t="shared" si="4"/>
        <v>#REF!</v>
      </c>
      <c r="BM47" s="182" t="e">
        <f t="shared" si="5"/>
        <v>#REF!</v>
      </c>
      <c r="BN47" s="182" t="e">
        <f t="shared" si="6"/>
        <v>#REF!</v>
      </c>
      <c r="BO47" s="182" t="e">
        <f t="shared" si="7"/>
        <v>#REF!</v>
      </c>
      <c r="BP47" s="182" t="e">
        <f t="shared" si="8"/>
        <v>#REF!</v>
      </c>
      <c r="BQ47" s="182" t="e">
        <f t="shared" si="9"/>
        <v>#REF!</v>
      </c>
      <c r="BR47" s="182" t="e">
        <f t="shared" si="10"/>
        <v>#REF!</v>
      </c>
      <c r="BS47" s="183" t="e">
        <f t="shared" si="11"/>
        <v>#REF!</v>
      </c>
      <c r="BT47" s="184" t="e">
        <f t="shared" si="12"/>
        <v>#REF!</v>
      </c>
      <c r="BU47" s="185" t="e">
        <f t="shared" si="13"/>
        <v>#REF!</v>
      </c>
      <c r="BV47" s="185" t="e">
        <f t="shared" si="14"/>
        <v>#REF!</v>
      </c>
      <c r="BW47" s="185" t="e">
        <f t="shared" si="15"/>
        <v>#REF!</v>
      </c>
      <c r="BX47" s="186" t="e">
        <f t="shared" si="16"/>
        <v>#REF!</v>
      </c>
      <c r="BY4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7" s="66"/>
      <c r="DA47" s="66"/>
      <c r="DB47" s="66"/>
      <c r="DC47" s="224" t="str">
        <f t="shared" si="17"/>
        <v/>
      </c>
      <c r="DD47" s="1">
        <f>IF($DC47="",0,IF(COUNTIF($DC$2:$DC46,$DC47)=0,1,0))</f>
        <v>0</v>
      </c>
      <c r="DE47" s="252"/>
      <c r="DF47" s="252"/>
      <c r="DG47" s="252"/>
      <c r="DH47" s="252"/>
    </row>
    <row r="48" spans="1:112" s="1" customFormat="1" ht="12" customHeight="1" x14ac:dyDescent="0.25">
      <c r="A48" s="64">
        <v>47</v>
      </c>
      <c r="B48" s="71"/>
      <c r="C48" s="72"/>
      <c r="D48" s="72"/>
      <c r="E48" s="72"/>
      <c r="F48" s="72"/>
      <c r="G48" s="66"/>
      <c r="H48" s="66"/>
      <c r="I48" s="66"/>
      <c r="J48" s="67"/>
      <c r="K48" s="230"/>
      <c r="L48" s="69"/>
      <c r="M48" s="66"/>
      <c r="N48" s="66"/>
      <c r="O48" s="136" t="str">
        <f t="shared" si="21"/>
        <v/>
      </c>
      <c r="P48" s="65" t="str">
        <f t="shared" si="19"/>
        <v/>
      </c>
      <c r="Q48" s="70"/>
      <c r="R48" s="66"/>
      <c r="S48" s="65"/>
      <c r="T48" s="65"/>
      <c r="U48" s="65"/>
      <c r="V48" s="65"/>
      <c r="W48" s="65"/>
      <c r="X48" s="240"/>
      <c r="Y48" s="65"/>
      <c r="Z48" s="281"/>
      <c r="AA48" s="66"/>
      <c r="AB48" s="66"/>
      <c r="AC48" s="247"/>
      <c r="AD48" s="240" t="str">
        <f t="shared" si="2"/>
        <v/>
      </c>
      <c r="AE48" s="240"/>
      <c r="AF48" s="241"/>
      <c r="AG48" s="247"/>
      <c r="AH48" s="241"/>
      <c r="AI48" s="247"/>
      <c r="AJ48" s="231"/>
      <c r="AK48" s="240"/>
      <c r="AL48" s="241"/>
      <c r="AM48" s="65"/>
      <c r="AN48" s="241"/>
      <c r="AO48" s="65"/>
      <c r="AP48" s="66"/>
      <c r="AQ48" s="66"/>
      <c r="AR48" s="66"/>
      <c r="AS48" s="221"/>
      <c r="AT48" s="222">
        <f t="shared" si="20"/>
        <v>0</v>
      </c>
      <c r="AU48" s="223"/>
      <c r="AV48" s="99"/>
      <c r="AW48" s="100"/>
      <c r="AX48" s="100"/>
      <c r="AY48" s="100"/>
      <c r="AZ48" s="100"/>
      <c r="BA48" s="100"/>
      <c r="BB48" s="100"/>
      <c r="BC48" s="101"/>
      <c r="BD48" s="96"/>
      <c r="BE48" s="97"/>
      <c r="BF48" s="97"/>
      <c r="BG48" s="97"/>
      <c r="BH48" s="98"/>
      <c r="BI48" s="157" t="e">
        <f t="shared" si="3"/>
        <v>#REF!</v>
      </c>
      <c r="BJ48" s="158" t="e">
        <f>#REF!</f>
        <v>#REF!</v>
      </c>
      <c r="BK48" s="159" t="e">
        <f>#REF!</f>
        <v>#REF!</v>
      </c>
      <c r="BL48" s="181" t="e">
        <f t="shared" si="4"/>
        <v>#REF!</v>
      </c>
      <c r="BM48" s="182" t="e">
        <f t="shared" si="5"/>
        <v>#REF!</v>
      </c>
      <c r="BN48" s="182" t="e">
        <f t="shared" si="6"/>
        <v>#REF!</v>
      </c>
      <c r="BO48" s="182" t="e">
        <f t="shared" si="7"/>
        <v>#REF!</v>
      </c>
      <c r="BP48" s="182" t="e">
        <f t="shared" si="8"/>
        <v>#REF!</v>
      </c>
      <c r="BQ48" s="182" t="e">
        <f t="shared" si="9"/>
        <v>#REF!</v>
      </c>
      <c r="BR48" s="182" t="e">
        <f t="shared" si="10"/>
        <v>#REF!</v>
      </c>
      <c r="BS48" s="183" t="e">
        <f t="shared" si="11"/>
        <v>#REF!</v>
      </c>
      <c r="BT48" s="184" t="e">
        <f t="shared" si="12"/>
        <v>#REF!</v>
      </c>
      <c r="BU48" s="185" t="e">
        <f t="shared" si="13"/>
        <v>#REF!</v>
      </c>
      <c r="BV48" s="185" t="e">
        <f t="shared" si="14"/>
        <v>#REF!</v>
      </c>
      <c r="BW48" s="185" t="e">
        <f t="shared" si="15"/>
        <v>#REF!</v>
      </c>
      <c r="BX48" s="186" t="e">
        <f t="shared" si="16"/>
        <v>#REF!</v>
      </c>
      <c r="BY4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8" s="66"/>
      <c r="DA48" s="66"/>
      <c r="DB48" s="66"/>
      <c r="DC48" s="224" t="str">
        <f t="shared" si="17"/>
        <v/>
      </c>
      <c r="DD48" s="1">
        <f>IF($DC48="",0,IF(COUNTIF($DC$2:$DC47,$DC48)=0,1,0))</f>
        <v>0</v>
      </c>
      <c r="DE48" s="252"/>
      <c r="DF48" s="252"/>
      <c r="DG48" s="252"/>
      <c r="DH48" s="252"/>
    </row>
    <row r="49" spans="1:112" s="1" customFormat="1" ht="12" customHeight="1" x14ac:dyDescent="0.25">
      <c r="A49" s="64">
        <v>48</v>
      </c>
      <c r="B49" s="71"/>
      <c r="C49" s="72"/>
      <c r="D49" s="72"/>
      <c r="E49" s="72"/>
      <c r="F49" s="72"/>
      <c r="G49" s="66"/>
      <c r="H49" s="66"/>
      <c r="I49" s="66"/>
      <c r="J49" s="67"/>
      <c r="K49" s="230"/>
      <c r="L49" s="69"/>
      <c r="M49" s="66"/>
      <c r="N49" s="66"/>
      <c r="O49" s="136" t="str">
        <f t="shared" si="21"/>
        <v/>
      </c>
      <c r="P49" s="65" t="str">
        <f t="shared" si="19"/>
        <v/>
      </c>
      <c r="Q49" s="70"/>
      <c r="R49" s="66"/>
      <c r="S49" s="65"/>
      <c r="T49" s="65"/>
      <c r="U49" s="65"/>
      <c r="V49" s="65"/>
      <c r="W49" s="65"/>
      <c r="X49" s="240"/>
      <c r="Y49" s="65"/>
      <c r="Z49" s="281"/>
      <c r="AA49" s="66"/>
      <c r="AB49" s="66"/>
      <c r="AC49" s="247"/>
      <c r="AD49" s="240" t="str">
        <f t="shared" si="2"/>
        <v/>
      </c>
      <c r="AE49" s="240"/>
      <c r="AF49" s="241"/>
      <c r="AG49" s="247"/>
      <c r="AH49" s="241"/>
      <c r="AI49" s="247"/>
      <c r="AJ49" s="231"/>
      <c r="AK49" s="240"/>
      <c r="AL49" s="241"/>
      <c r="AM49" s="65"/>
      <c r="AN49" s="241"/>
      <c r="AO49" s="65"/>
      <c r="AP49" s="66"/>
      <c r="AQ49" s="66"/>
      <c r="AR49" s="66"/>
      <c r="AS49" s="221"/>
      <c r="AT49" s="222">
        <f t="shared" si="20"/>
        <v>0</v>
      </c>
      <c r="AU49" s="223"/>
      <c r="AV49" s="99"/>
      <c r="AW49" s="100"/>
      <c r="AX49" s="100"/>
      <c r="AY49" s="100"/>
      <c r="AZ49" s="100"/>
      <c r="BA49" s="100"/>
      <c r="BB49" s="100"/>
      <c r="BC49" s="101"/>
      <c r="BD49" s="96"/>
      <c r="BE49" s="97"/>
      <c r="BF49" s="97"/>
      <c r="BG49" s="97"/>
      <c r="BH49" s="98"/>
      <c r="BI49" s="157" t="e">
        <f t="shared" si="3"/>
        <v>#REF!</v>
      </c>
      <c r="BJ49" s="158" t="e">
        <f>#REF!</f>
        <v>#REF!</v>
      </c>
      <c r="BK49" s="159" t="e">
        <f>#REF!</f>
        <v>#REF!</v>
      </c>
      <c r="BL49" s="181" t="e">
        <f t="shared" si="4"/>
        <v>#REF!</v>
      </c>
      <c r="BM49" s="182" t="e">
        <f t="shared" si="5"/>
        <v>#REF!</v>
      </c>
      <c r="BN49" s="182" t="e">
        <f t="shared" si="6"/>
        <v>#REF!</v>
      </c>
      <c r="BO49" s="182" t="e">
        <f t="shared" si="7"/>
        <v>#REF!</v>
      </c>
      <c r="BP49" s="182" t="e">
        <f t="shared" si="8"/>
        <v>#REF!</v>
      </c>
      <c r="BQ49" s="182" t="e">
        <f t="shared" si="9"/>
        <v>#REF!</v>
      </c>
      <c r="BR49" s="182" t="e">
        <f t="shared" si="10"/>
        <v>#REF!</v>
      </c>
      <c r="BS49" s="183" t="e">
        <f t="shared" si="11"/>
        <v>#REF!</v>
      </c>
      <c r="BT49" s="184" t="e">
        <f t="shared" si="12"/>
        <v>#REF!</v>
      </c>
      <c r="BU49" s="185" t="e">
        <f t="shared" si="13"/>
        <v>#REF!</v>
      </c>
      <c r="BV49" s="185" t="e">
        <f t="shared" si="14"/>
        <v>#REF!</v>
      </c>
      <c r="BW49" s="185" t="e">
        <f t="shared" si="15"/>
        <v>#REF!</v>
      </c>
      <c r="BX49" s="186" t="e">
        <f t="shared" si="16"/>
        <v>#REF!</v>
      </c>
      <c r="BY4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4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4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4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4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4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4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4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4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4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4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4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4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4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4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4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4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4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4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4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4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4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4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4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4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4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4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49" s="66"/>
      <c r="DA49" s="66"/>
      <c r="DB49" s="66"/>
      <c r="DC49" s="224" t="str">
        <f t="shared" si="17"/>
        <v/>
      </c>
      <c r="DD49" s="1">
        <f>IF($DC49="",0,IF(COUNTIF($DC$2:$DC48,$DC49)=0,1,0))</f>
        <v>0</v>
      </c>
      <c r="DE49" s="252"/>
      <c r="DF49" s="252"/>
      <c r="DG49" s="252"/>
      <c r="DH49" s="252"/>
    </row>
    <row r="50" spans="1:112" s="1" customFormat="1" ht="12" customHeight="1" x14ac:dyDescent="0.25">
      <c r="A50" s="64">
        <v>49</v>
      </c>
      <c r="B50" s="71"/>
      <c r="C50" s="72"/>
      <c r="D50" s="72"/>
      <c r="E50" s="72"/>
      <c r="F50" s="72"/>
      <c r="G50" s="66"/>
      <c r="H50" s="66"/>
      <c r="I50" s="66"/>
      <c r="J50" s="67"/>
      <c r="K50" s="230"/>
      <c r="L50" s="69"/>
      <c r="M50" s="66"/>
      <c r="N50" s="66"/>
      <c r="O50" s="136" t="str">
        <f t="shared" si="21"/>
        <v/>
      </c>
      <c r="P50" s="65" t="str">
        <f t="shared" si="19"/>
        <v/>
      </c>
      <c r="Q50" s="70"/>
      <c r="R50" s="66"/>
      <c r="S50" s="65"/>
      <c r="T50" s="65"/>
      <c r="U50" s="65"/>
      <c r="V50" s="65"/>
      <c r="W50" s="65"/>
      <c r="X50" s="240"/>
      <c r="Y50" s="65"/>
      <c r="Z50" s="281"/>
      <c r="AA50" s="66"/>
      <c r="AB50" s="66"/>
      <c r="AC50" s="247"/>
      <c r="AD50" s="240" t="str">
        <f t="shared" si="2"/>
        <v/>
      </c>
      <c r="AE50" s="240"/>
      <c r="AF50" s="241"/>
      <c r="AG50" s="247"/>
      <c r="AH50" s="241"/>
      <c r="AI50" s="247"/>
      <c r="AJ50" s="231"/>
      <c r="AK50" s="240"/>
      <c r="AL50" s="241"/>
      <c r="AM50" s="65"/>
      <c r="AN50" s="241"/>
      <c r="AO50" s="65"/>
      <c r="AP50" s="66"/>
      <c r="AQ50" s="66"/>
      <c r="AR50" s="66"/>
      <c r="AS50" s="221"/>
      <c r="AT50" s="222">
        <f t="shared" si="20"/>
        <v>0</v>
      </c>
      <c r="AU50" s="223"/>
      <c r="AV50" s="99"/>
      <c r="AW50" s="100"/>
      <c r="AX50" s="100"/>
      <c r="AY50" s="100"/>
      <c r="AZ50" s="100"/>
      <c r="BA50" s="100"/>
      <c r="BB50" s="100"/>
      <c r="BC50" s="101"/>
      <c r="BD50" s="96"/>
      <c r="BE50" s="97"/>
      <c r="BF50" s="97"/>
      <c r="BG50" s="97"/>
      <c r="BH50" s="98"/>
      <c r="BI50" s="157" t="e">
        <f t="shared" si="3"/>
        <v>#REF!</v>
      </c>
      <c r="BJ50" s="158" t="e">
        <f>#REF!</f>
        <v>#REF!</v>
      </c>
      <c r="BK50" s="159" t="e">
        <f>#REF!</f>
        <v>#REF!</v>
      </c>
      <c r="BL50" s="181" t="e">
        <f t="shared" si="4"/>
        <v>#REF!</v>
      </c>
      <c r="BM50" s="182" t="e">
        <f t="shared" si="5"/>
        <v>#REF!</v>
      </c>
      <c r="BN50" s="182" t="e">
        <f t="shared" si="6"/>
        <v>#REF!</v>
      </c>
      <c r="BO50" s="182" t="e">
        <f t="shared" si="7"/>
        <v>#REF!</v>
      </c>
      <c r="BP50" s="182" t="e">
        <f t="shared" si="8"/>
        <v>#REF!</v>
      </c>
      <c r="BQ50" s="182" t="e">
        <f t="shared" si="9"/>
        <v>#REF!</v>
      </c>
      <c r="BR50" s="182" t="e">
        <f t="shared" si="10"/>
        <v>#REF!</v>
      </c>
      <c r="BS50" s="183" t="e">
        <f t="shared" si="11"/>
        <v>#REF!</v>
      </c>
      <c r="BT50" s="184" t="e">
        <f t="shared" si="12"/>
        <v>#REF!</v>
      </c>
      <c r="BU50" s="185" t="e">
        <f t="shared" si="13"/>
        <v>#REF!</v>
      </c>
      <c r="BV50" s="185" t="e">
        <f t="shared" si="14"/>
        <v>#REF!</v>
      </c>
      <c r="BW50" s="185" t="e">
        <f t="shared" si="15"/>
        <v>#REF!</v>
      </c>
      <c r="BX50" s="186" t="e">
        <f t="shared" si="16"/>
        <v>#REF!</v>
      </c>
      <c r="BY5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0" s="66"/>
      <c r="DA50" s="66"/>
      <c r="DB50" s="66"/>
      <c r="DC50" s="224" t="str">
        <f t="shared" si="17"/>
        <v/>
      </c>
      <c r="DD50" s="1">
        <f>IF($DC50="",0,IF(COUNTIF($DC$2:$DC49,$DC50)=0,1,0))</f>
        <v>0</v>
      </c>
      <c r="DE50" s="252"/>
      <c r="DF50" s="252"/>
      <c r="DG50" s="252"/>
      <c r="DH50" s="252"/>
    </row>
    <row r="51" spans="1:112" s="1" customFormat="1" ht="12" customHeight="1" x14ac:dyDescent="0.25">
      <c r="A51" s="64">
        <v>50</v>
      </c>
      <c r="B51" s="71"/>
      <c r="C51" s="72"/>
      <c r="D51" s="72"/>
      <c r="E51" s="72"/>
      <c r="F51" s="72"/>
      <c r="G51" s="66"/>
      <c r="H51" s="66"/>
      <c r="I51" s="66"/>
      <c r="J51" s="67"/>
      <c r="K51" s="230"/>
      <c r="L51" s="69"/>
      <c r="M51" s="66"/>
      <c r="N51" s="66"/>
      <c r="O51" s="136" t="str">
        <f t="shared" si="21"/>
        <v/>
      </c>
      <c r="P51" s="65" t="str">
        <f t="shared" si="19"/>
        <v/>
      </c>
      <c r="Q51" s="70"/>
      <c r="R51" s="66"/>
      <c r="S51" s="65"/>
      <c r="T51" s="65"/>
      <c r="U51" s="65"/>
      <c r="V51" s="65"/>
      <c r="W51" s="65"/>
      <c r="X51" s="240"/>
      <c r="Y51" s="65"/>
      <c r="Z51" s="281"/>
      <c r="AA51" s="66"/>
      <c r="AB51" s="66"/>
      <c r="AC51" s="247"/>
      <c r="AD51" s="240" t="str">
        <f t="shared" si="2"/>
        <v/>
      </c>
      <c r="AE51" s="240"/>
      <c r="AF51" s="241"/>
      <c r="AG51" s="247"/>
      <c r="AH51" s="241"/>
      <c r="AI51" s="247"/>
      <c r="AJ51" s="231"/>
      <c r="AK51" s="240"/>
      <c r="AL51" s="241"/>
      <c r="AM51" s="65"/>
      <c r="AN51" s="241"/>
      <c r="AO51" s="65"/>
      <c r="AP51" s="66"/>
      <c r="AQ51" s="66"/>
      <c r="AR51" s="66"/>
      <c r="AS51" s="221"/>
      <c r="AT51" s="222">
        <f t="shared" si="20"/>
        <v>0</v>
      </c>
      <c r="AU51" s="223"/>
      <c r="AV51" s="99"/>
      <c r="AW51" s="100"/>
      <c r="AX51" s="100"/>
      <c r="AY51" s="100"/>
      <c r="AZ51" s="100"/>
      <c r="BA51" s="100"/>
      <c r="BB51" s="100"/>
      <c r="BC51" s="101"/>
      <c r="BD51" s="96"/>
      <c r="BE51" s="97"/>
      <c r="BF51" s="97"/>
      <c r="BG51" s="97"/>
      <c r="BH51" s="98"/>
      <c r="BI51" s="157" t="e">
        <f t="shared" si="3"/>
        <v>#REF!</v>
      </c>
      <c r="BJ51" s="158" t="e">
        <f>#REF!</f>
        <v>#REF!</v>
      </c>
      <c r="BK51" s="159" t="e">
        <f>#REF!</f>
        <v>#REF!</v>
      </c>
      <c r="BL51" s="181" t="e">
        <f t="shared" si="4"/>
        <v>#REF!</v>
      </c>
      <c r="BM51" s="182" t="e">
        <f t="shared" si="5"/>
        <v>#REF!</v>
      </c>
      <c r="BN51" s="182" t="e">
        <f t="shared" si="6"/>
        <v>#REF!</v>
      </c>
      <c r="BO51" s="182" t="e">
        <f t="shared" si="7"/>
        <v>#REF!</v>
      </c>
      <c r="BP51" s="182" t="e">
        <f t="shared" si="8"/>
        <v>#REF!</v>
      </c>
      <c r="BQ51" s="182" t="e">
        <f t="shared" si="9"/>
        <v>#REF!</v>
      </c>
      <c r="BR51" s="182" t="e">
        <f t="shared" si="10"/>
        <v>#REF!</v>
      </c>
      <c r="BS51" s="183" t="e">
        <f t="shared" si="11"/>
        <v>#REF!</v>
      </c>
      <c r="BT51" s="184" t="e">
        <f t="shared" si="12"/>
        <v>#REF!</v>
      </c>
      <c r="BU51" s="185" t="e">
        <f t="shared" si="13"/>
        <v>#REF!</v>
      </c>
      <c r="BV51" s="185" t="e">
        <f t="shared" si="14"/>
        <v>#REF!</v>
      </c>
      <c r="BW51" s="185" t="e">
        <f t="shared" si="15"/>
        <v>#REF!</v>
      </c>
      <c r="BX51" s="186" t="e">
        <f t="shared" si="16"/>
        <v>#REF!</v>
      </c>
      <c r="BY5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1" s="66"/>
      <c r="DA51" s="66"/>
      <c r="DB51" s="66"/>
      <c r="DC51" s="224" t="str">
        <f t="shared" si="17"/>
        <v/>
      </c>
      <c r="DD51" s="1">
        <f>IF($DC51="",0,IF(COUNTIF($DC$2:$DC50,$DC51)=0,1,0))</f>
        <v>0</v>
      </c>
      <c r="DE51" s="252"/>
      <c r="DF51" s="252"/>
      <c r="DG51" s="252"/>
      <c r="DH51" s="252"/>
    </row>
    <row r="52" spans="1:112" s="1" customFormat="1" ht="12" customHeight="1" x14ac:dyDescent="0.25">
      <c r="A52" s="64">
        <v>51</v>
      </c>
      <c r="B52" s="71"/>
      <c r="C52" s="72"/>
      <c r="D52" s="72"/>
      <c r="E52" s="72"/>
      <c r="F52" s="72"/>
      <c r="G52" s="66"/>
      <c r="H52" s="66"/>
      <c r="I52" s="66"/>
      <c r="J52" s="67"/>
      <c r="K52" s="230"/>
      <c r="L52" s="69"/>
      <c r="M52" s="66"/>
      <c r="N52" s="66"/>
      <c r="O52" s="136" t="str">
        <f t="shared" si="21"/>
        <v/>
      </c>
      <c r="P52" s="65" t="str">
        <f t="shared" si="19"/>
        <v/>
      </c>
      <c r="Q52" s="70"/>
      <c r="R52" s="66"/>
      <c r="S52" s="65"/>
      <c r="T52" s="65"/>
      <c r="U52" s="65"/>
      <c r="V52" s="65"/>
      <c r="W52" s="65"/>
      <c r="X52" s="240"/>
      <c r="Y52" s="65"/>
      <c r="Z52" s="281"/>
      <c r="AA52" s="66"/>
      <c r="AB52" s="66"/>
      <c r="AC52" s="247"/>
      <c r="AD52" s="240" t="str">
        <f t="shared" si="2"/>
        <v/>
      </c>
      <c r="AE52" s="240"/>
      <c r="AF52" s="241"/>
      <c r="AG52" s="247"/>
      <c r="AH52" s="241"/>
      <c r="AI52" s="247"/>
      <c r="AJ52" s="231"/>
      <c r="AK52" s="240"/>
      <c r="AL52" s="241"/>
      <c r="AM52" s="65"/>
      <c r="AN52" s="241"/>
      <c r="AO52" s="65"/>
      <c r="AP52" s="66"/>
      <c r="AQ52" s="66"/>
      <c r="AR52" s="66"/>
      <c r="AS52" s="221"/>
      <c r="AT52" s="222">
        <f t="shared" si="20"/>
        <v>0</v>
      </c>
      <c r="AU52" s="223"/>
      <c r="AV52" s="99"/>
      <c r="AW52" s="100"/>
      <c r="AX52" s="100"/>
      <c r="AY52" s="100"/>
      <c r="AZ52" s="100"/>
      <c r="BA52" s="100"/>
      <c r="BB52" s="100"/>
      <c r="BC52" s="101"/>
      <c r="BD52" s="96"/>
      <c r="BE52" s="97"/>
      <c r="BF52" s="97"/>
      <c r="BG52" s="97"/>
      <c r="BH52" s="98"/>
      <c r="BI52" s="157" t="e">
        <f t="shared" si="3"/>
        <v>#REF!</v>
      </c>
      <c r="BJ52" s="158" t="e">
        <f>#REF!</f>
        <v>#REF!</v>
      </c>
      <c r="BK52" s="159" t="e">
        <f>#REF!</f>
        <v>#REF!</v>
      </c>
      <c r="BL52" s="181" t="e">
        <f t="shared" si="4"/>
        <v>#REF!</v>
      </c>
      <c r="BM52" s="182" t="e">
        <f t="shared" si="5"/>
        <v>#REF!</v>
      </c>
      <c r="BN52" s="182" t="e">
        <f t="shared" si="6"/>
        <v>#REF!</v>
      </c>
      <c r="BO52" s="182" t="e">
        <f t="shared" si="7"/>
        <v>#REF!</v>
      </c>
      <c r="BP52" s="182" t="e">
        <f t="shared" si="8"/>
        <v>#REF!</v>
      </c>
      <c r="BQ52" s="182" t="e">
        <f t="shared" si="9"/>
        <v>#REF!</v>
      </c>
      <c r="BR52" s="182" t="e">
        <f t="shared" si="10"/>
        <v>#REF!</v>
      </c>
      <c r="BS52" s="183" t="e">
        <f t="shared" si="11"/>
        <v>#REF!</v>
      </c>
      <c r="BT52" s="184" t="e">
        <f t="shared" si="12"/>
        <v>#REF!</v>
      </c>
      <c r="BU52" s="185" t="e">
        <f t="shared" si="13"/>
        <v>#REF!</v>
      </c>
      <c r="BV52" s="185" t="e">
        <f t="shared" si="14"/>
        <v>#REF!</v>
      </c>
      <c r="BW52" s="185" t="e">
        <f t="shared" si="15"/>
        <v>#REF!</v>
      </c>
      <c r="BX52" s="186" t="e">
        <f t="shared" si="16"/>
        <v>#REF!</v>
      </c>
      <c r="BY5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2" s="66"/>
      <c r="DA52" s="66"/>
      <c r="DB52" s="66"/>
      <c r="DC52" s="224" t="str">
        <f t="shared" si="17"/>
        <v/>
      </c>
      <c r="DD52" s="1">
        <f>IF($DC52="",0,IF(COUNTIF($DC$2:$DC51,$DC52)=0,1,0))</f>
        <v>0</v>
      </c>
    </row>
    <row r="53" spans="1:112" s="1" customFormat="1" ht="12" customHeight="1" x14ac:dyDescent="0.25">
      <c r="A53" s="64">
        <v>52</v>
      </c>
      <c r="B53" s="71"/>
      <c r="C53" s="72"/>
      <c r="D53" s="72"/>
      <c r="E53" s="72"/>
      <c r="F53" s="72"/>
      <c r="G53" s="66"/>
      <c r="H53" s="66"/>
      <c r="I53" s="66"/>
      <c r="J53" s="67"/>
      <c r="K53" s="68"/>
      <c r="L53" s="69"/>
      <c r="M53" s="66"/>
      <c r="N53" s="66"/>
      <c r="O53" s="136" t="str">
        <f t="shared" si="21"/>
        <v/>
      </c>
      <c r="P53" s="65" t="str">
        <f t="shared" si="19"/>
        <v/>
      </c>
      <c r="Q53" s="70"/>
      <c r="R53" s="66"/>
      <c r="S53" s="65"/>
      <c r="T53" s="65"/>
      <c r="U53" s="65"/>
      <c r="V53" s="65"/>
      <c r="W53" s="65"/>
      <c r="X53" s="240"/>
      <c r="Y53" s="65"/>
      <c r="Z53" s="281"/>
      <c r="AA53" s="66"/>
      <c r="AB53" s="66"/>
      <c r="AC53" s="247"/>
      <c r="AD53" s="240" t="str">
        <f t="shared" si="2"/>
        <v/>
      </c>
      <c r="AE53" s="240"/>
      <c r="AF53" s="241"/>
      <c r="AG53" s="247"/>
      <c r="AH53" s="241"/>
      <c r="AI53" s="247"/>
      <c r="AJ53" s="231"/>
      <c r="AK53" s="240"/>
      <c r="AL53" s="241"/>
      <c r="AM53" s="65"/>
      <c r="AN53" s="241"/>
      <c r="AO53" s="65"/>
      <c r="AP53" s="66"/>
      <c r="AQ53" s="66"/>
      <c r="AR53" s="66"/>
      <c r="AS53" s="221"/>
      <c r="AT53" s="222">
        <f t="shared" si="20"/>
        <v>0</v>
      </c>
      <c r="AU53" s="223"/>
      <c r="AV53" s="99"/>
      <c r="AW53" s="100"/>
      <c r="AX53" s="100"/>
      <c r="AY53" s="100"/>
      <c r="AZ53" s="100"/>
      <c r="BA53" s="100"/>
      <c r="BB53" s="100"/>
      <c r="BC53" s="101"/>
      <c r="BD53" s="96"/>
      <c r="BE53" s="97"/>
      <c r="BF53" s="97"/>
      <c r="BG53" s="97"/>
      <c r="BH53" s="98"/>
      <c r="BI53" s="157" t="e">
        <f t="shared" si="3"/>
        <v>#REF!</v>
      </c>
      <c r="BJ53" s="158" t="e">
        <f>#REF!</f>
        <v>#REF!</v>
      </c>
      <c r="BK53" s="159" t="e">
        <f>#REF!</f>
        <v>#REF!</v>
      </c>
      <c r="BL53" s="181" t="e">
        <f t="shared" si="4"/>
        <v>#REF!</v>
      </c>
      <c r="BM53" s="182" t="e">
        <f t="shared" si="5"/>
        <v>#REF!</v>
      </c>
      <c r="BN53" s="182" t="e">
        <f t="shared" si="6"/>
        <v>#REF!</v>
      </c>
      <c r="BO53" s="182" t="e">
        <f t="shared" si="7"/>
        <v>#REF!</v>
      </c>
      <c r="BP53" s="182" t="e">
        <f t="shared" si="8"/>
        <v>#REF!</v>
      </c>
      <c r="BQ53" s="182" t="e">
        <f t="shared" si="9"/>
        <v>#REF!</v>
      </c>
      <c r="BR53" s="182" t="e">
        <f t="shared" si="10"/>
        <v>#REF!</v>
      </c>
      <c r="BS53" s="183" t="e">
        <f t="shared" si="11"/>
        <v>#REF!</v>
      </c>
      <c r="BT53" s="184" t="e">
        <f t="shared" si="12"/>
        <v>#REF!</v>
      </c>
      <c r="BU53" s="185" t="e">
        <f t="shared" si="13"/>
        <v>#REF!</v>
      </c>
      <c r="BV53" s="185" t="e">
        <f t="shared" si="14"/>
        <v>#REF!</v>
      </c>
      <c r="BW53" s="185" t="e">
        <f t="shared" si="15"/>
        <v>#REF!</v>
      </c>
      <c r="BX53" s="186" t="e">
        <f t="shared" si="16"/>
        <v>#REF!</v>
      </c>
      <c r="BY5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3" s="66"/>
      <c r="DA53" s="66"/>
      <c r="DB53" s="66"/>
      <c r="DC53" s="224" t="str">
        <f t="shared" si="17"/>
        <v/>
      </c>
      <c r="DD53" s="1">
        <f>IF($DC53="",0,IF(COUNTIF($DC$2:$DC52,$DC53)=0,1,0))</f>
        <v>0</v>
      </c>
    </row>
    <row r="54" spans="1:112" s="1" customFormat="1" ht="12" customHeight="1" x14ac:dyDescent="0.25">
      <c r="A54" s="64">
        <v>53</v>
      </c>
      <c r="B54" s="71"/>
      <c r="C54" s="72"/>
      <c r="D54" s="72"/>
      <c r="E54" s="72"/>
      <c r="F54" s="72"/>
      <c r="G54" s="66"/>
      <c r="H54" s="66"/>
      <c r="I54" s="66"/>
      <c r="J54" s="67"/>
      <c r="K54" s="68"/>
      <c r="L54" s="69"/>
      <c r="M54" s="66"/>
      <c r="N54" s="66"/>
      <c r="O54" s="136" t="str">
        <f t="shared" si="21"/>
        <v/>
      </c>
      <c r="P54" s="65" t="str">
        <f t="shared" si="19"/>
        <v/>
      </c>
      <c r="Q54" s="70"/>
      <c r="R54" s="66"/>
      <c r="S54" s="65"/>
      <c r="T54" s="65"/>
      <c r="U54" s="65"/>
      <c r="V54" s="65"/>
      <c r="W54" s="65"/>
      <c r="X54" s="240"/>
      <c r="Y54" s="65"/>
      <c r="Z54" s="281"/>
      <c r="AA54" s="66"/>
      <c r="AB54" s="66"/>
      <c r="AC54" s="247"/>
      <c r="AD54" s="240" t="str">
        <f t="shared" si="2"/>
        <v/>
      </c>
      <c r="AE54" s="240"/>
      <c r="AF54" s="241"/>
      <c r="AG54" s="247"/>
      <c r="AH54" s="241"/>
      <c r="AI54" s="247"/>
      <c r="AJ54" s="231"/>
      <c r="AK54" s="240"/>
      <c r="AL54" s="241"/>
      <c r="AM54" s="65"/>
      <c r="AN54" s="241"/>
      <c r="AO54" s="65"/>
      <c r="AP54" s="66"/>
      <c r="AQ54" s="66"/>
      <c r="AR54" s="66"/>
      <c r="AS54" s="221"/>
      <c r="AT54" s="222">
        <f t="shared" si="20"/>
        <v>0</v>
      </c>
      <c r="AU54" s="223"/>
      <c r="AV54" s="99"/>
      <c r="AW54" s="100"/>
      <c r="AX54" s="100"/>
      <c r="AY54" s="100"/>
      <c r="AZ54" s="100"/>
      <c r="BA54" s="100"/>
      <c r="BB54" s="100"/>
      <c r="BC54" s="101"/>
      <c r="BD54" s="96"/>
      <c r="BE54" s="97"/>
      <c r="BF54" s="97"/>
      <c r="BG54" s="97"/>
      <c r="BH54" s="98"/>
      <c r="BI54" s="157" t="e">
        <f t="shared" si="3"/>
        <v>#REF!</v>
      </c>
      <c r="BJ54" s="158" t="e">
        <f>#REF!</f>
        <v>#REF!</v>
      </c>
      <c r="BK54" s="159" t="e">
        <f>#REF!</f>
        <v>#REF!</v>
      </c>
      <c r="BL54" s="181" t="e">
        <f t="shared" si="4"/>
        <v>#REF!</v>
      </c>
      <c r="BM54" s="182" t="e">
        <f t="shared" si="5"/>
        <v>#REF!</v>
      </c>
      <c r="BN54" s="182" t="e">
        <f t="shared" si="6"/>
        <v>#REF!</v>
      </c>
      <c r="BO54" s="182" t="e">
        <f t="shared" si="7"/>
        <v>#REF!</v>
      </c>
      <c r="BP54" s="182" t="e">
        <f t="shared" si="8"/>
        <v>#REF!</v>
      </c>
      <c r="BQ54" s="182" t="e">
        <f t="shared" si="9"/>
        <v>#REF!</v>
      </c>
      <c r="BR54" s="182" t="e">
        <f t="shared" si="10"/>
        <v>#REF!</v>
      </c>
      <c r="BS54" s="183" t="e">
        <f t="shared" si="11"/>
        <v>#REF!</v>
      </c>
      <c r="BT54" s="184" t="e">
        <f t="shared" si="12"/>
        <v>#REF!</v>
      </c>
      <c r="BU54" s="185" t="e">
        <f t="shared" si="13"/>
        <v>#REF!</v>
      </c>
      <c r="BV54" s="185" t="e">
        <f t="shared" si="14"/>
        <v>#REF!</v>
      </c>
      <c r="BW54" s="185" t="e">
        <f t="shared" si="15"/>
        <v>#REF!</v>
      </c>
      <c r="BX54" s="186" t="e">
        <f t="shared" si="16"/>
        <v>#REF!</v>
      </c>
      <c r="BY5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4" s="66"/>
      <c r="DA54" s="66"/>
      <c r="DB54" s="66"/>
      <c r="DC54" s="224" t="str">
        <f t="shared" si="17"/>
        <v/>
      </c>
      <c r="DD54" s="1">
        <f>IF($DC54="",0,IF(COUNTIF($DC$2:$DC53,$DC54)=0,1,0))</f>
        <v>0</v>
      </c>
    </row>
    <row r="55" spans="1:112" s="1" customFormat="1" ht="12" customHeight="1" x14ac:dyDescent="0.25">
      <c r="A55" s="64">
        <v>54</v>
      </c>
      <c r="B55" s="71"/>
      <c r="C55" s="72"/>
      <c r="D55" s="72"/>
      <c r="E55" s="72"/>
      <c r="F55" s="72"/>
      <c r="G55" s="66"/>
      <c r="H55" s="66"/>
      <c r="I55" s="66"/>
      <c r="J55" s="67"/>
      <c r="K55" s="68"/>
      <c r="L55" s="69"/>
      <c r="M55" s="66"/>
      <c r="N55" s="66"/>
      <c r="O55" s="136" t="str">
        <f t="shared" si="21"/>
        <v/>
      </c>
      <c r="P55" s="65" t="str">
        <f t="shared" si="19"/>
        <v/>
      </c>
      <c r="Q55" s="70"/>
      <c r="R55" s="66"/>
      <c r="S55" s="65"/>
      <c r="T55" s="65"/>
      <c r="U55" s="65"/>
      <c r="V55" s="65"/>
      <c r="W55" s="65"/>
      <c r="X55" s="240"/>
      <c r="Y55" s="65"/>
      <c r="Z55" s="281"/>
      <c r="AA55" s="66"/>
      <c r="AB55" s="66"/>
      <c r="AC55" s="247"/>
      <c r="AD55" s="240" t="str">
        <f t="shared" si="2"/>
        <v/>
      </c>
      <c r="AE55" s="240"/>
      <c r="AF55" s="241"/>
      <c r="AG55" s="247"/>
      <c r="AH55" s="241"/>
      <c r="AI55" s="247"/>
      <c r="AJ55" s="231"/>
      <c r="AK55" s="240"/>
      <c r="AL55" s="241"/>
      <c r="AM55" s="65"/>
      <c r="AN55" s="241"/>
      <c r="AO55" s="65"/>
      <c r="AP55" s="66"/>
      <c r="AQ55" s="66"/>
      <c r="AR55" s="66"/>
      <c r="AS55" s="221"/>
      <c r="AT55" s="222">
        <f t="shared" si="20"/>
        <v>0</v>
      </c>
      <c r="AU55" s="223"/>
      <c r="AV55" s="99"/>
      <c r="AW55" s="100"/>
      <c r="AX55" s="100"/>
      <c r="AY55" s="100"/>
      <c r="AZ55" s="100"/>
      <c r="BA55" s="100"/>
      <c r="BB55" s="100"/>
      <c r="BC55" s="101"/>
      <c r="BD55" s="96"/>
      <c r="BE55" s="97"/>
      <c r="BF55" s="97"/>
      <c r="BG55" s="97"/>
      <c r="BH55" s="98"/>
      <c r="BI55" s="157" t="e">
        <f t="shared" si="3"/>
        <v>#REF!</v>
      </c>
      <c r="BJ55" s="158" t="e">
        <f>#REF!</f>
        <v>#REF!</v>
      </c>
      <c r="BK55" s="159" t="e">
        <f>#REF!</f>
        <v>#REF!</v>
      </c>
      <c r="BL55" s="181" t="e">
        <f t="shared" si="4"/>
        <v>#REF!</v>
      </c>
      <c r="BM55" s="182" t="e">
        <f t="shared" si="5"/>
        <v>#REF!</v>
      </c>
      <c r="BN55" s="182" t="e">
        <f t="shared" si="6"/>
        <v>#REF!</v>
      </c>
      <c r="BO55" s="182" t="e">
        <f t="shared" si="7"/>
        <v>#REF!</v>
      </c>
      <c r="BP55" s="182" t="e">
        <f t="shared" si="8"/>
        <v>#REF!</v>
      </c>
      <c r="BQ55" s="182" t="e">
        <f t="shared" si="9"/>
        <v>#REF!</v>
      </c>
      <c r="BR55" s="182" t="e">
        <f t="shared" si="10"/>
        <v>#REF!</v>
      </c>
      <c r="BS55" s="183" t="e">
        <f t="shared" si="11"/>
        <v>#REF!</v>
      </c>
      <c r="BT55" s="184" t="e">
        <f t="shared" si="12"/>
        <v>#REF!</v>
      </c>
      <c r="BU55" s="185" t="e">
        <f t="shared" si="13"/>
        <v>#REF!</v>
      </c>
      <c r="BV55" s="185" t="e">
        <f t="shared" si="14"/>
        <v>#REF!</v>
      </c>
      <c r="BW55" s="185" t="e">
        <f t="shared" si="15"/>
        <v>#REF!</v>
      </c>
      <c r="BX55" s="186" t="e">
        <f t="shared" si="16"/>
        <v>#REF!</v>
      </c>
      <c r="BY5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5" s="66"/>
      <c r="DA55" s="66"/>
      <c r="DB55" s="66"/>
      <c r="DC55" s="224" t="str">
        <f t="shared" si="17"/>
        <v/>
      </c>
      <c r="DD55" s="1">
        <f>IF($DC55="",0,IF(COUNTIF($DC$2:$DC54,$DC55)=0,1,0))</f>
        <v>0</v>
      </c>
    </row>
    <row r="56" spans="1:112" s="1" customFormat="1" ht="12" customHeight="1" x14ac:dyDescent="0.25">
      <c r="A56" s="64">
        <v>55</v>
      </c>
      <c r="B56" s="71"/>
      <c r="C56" s="72"/>
      <c r="D56" s="72"/>
      <c r="E56" s="72"/>
      <c r="F56" s="72"/>
      <c r="G56" s="66"/>
      <c r="H56" s="66"/>
      <c r="I56" s="66"/>
      <c r="J56" s="67"/>
      <c r="K56" s="68"/>
      <c r="L56" s="69"/>
      <c r="M56" s="66"/>
      <c r="N56" s="66"/>
      <c r="O56" s="136" t="str">
        <f t="shared" si="21"/>
        <v/>
      </c>
      <c r="P56" s="65" t="str">
        <f t="shared" si="19"/>
        <v/>
      </c>
      <c r="Q56" s="70"/>
      <c r="R56" s="66"/>
      <c r="S56" s="65"/>
      <c r="T56" s="65"/>
      <c r="U56" s="65"/>
      <c r="V56" s="65"/>
      <c r="W56" s="65"/>
      <c r="X56" s="240"/>
      <c r="Y56" s="65"/>
      <c r="Z56" s="281"/>
      <c r="AA56" s="66"/>
      <c r="AB56" s="66"/>
      <c r="AC56" s="247"/>
      <c r="AD56" s="240" t="str">
        <f t="shared" si="2"/>
        <v/>
      </c>
      <c r="AE56" s="240"/>
      <c r="AF56" s="241"/>
      <c r="AG56" s="247"/>
      <c r="AH56" s="241"/>
      <c r="AI56" s="247"/>
      <c r="AJ56" s="231"/>
      <c r="AK56" s="240"/>
      <c r="AL56" s="241"/>
      <c r="AM56" s="65"/>
      <c r="AN56" s="241"/>
      <c r="AO56" s="65"/>
      <c r="AP56" s="66"/>
      <c r="AQ56" s="66"/>
      <c r="AR56" s="66"/>
      <c r="AS56" s="221"/>
      <c r="AT56" s="222">
        <f t="shared" si="20"/>
        <v>0</v>
      </c>
      <c r="AU56" s="223"/>
      <c r="AV56" s="99"/>
      <c r="AW56" s="100"/>
      <c r="AX56" s="100"/>
      <c r="AY56" s="100"/>
      <c r="AZ56" s="100"/>
      <c r="BA56" s="100"/>
      <c r="BB56" s="100"/>
      <c r="BC56" s="101"/>
      <c r="BD56" s="96"/>
      <c r="BE56" s="97"/>
      <c r="BF56" s="97"/>
      <c r="BG56" s="97"/>
      <c r="BH56" s="98"/>
      <c r="BI56" s="157" t="e">
        <f t="shared" si="3"/>
        <v>#REF!</v>
      </c>
      <c r="BJ56" s="158" t="e">
        <f>#REF!</f>
        <v>#REF!</v>
      </c>
      <c r="BK56" s="159" t="e">
        <f>#REF!</f>
        <v>#REF!</v>
      </c>
      <c r="BL56" s="181" t="e">
        <f t="shared" si="4"/>
        <v>#REF!</v>
      </c>
      <c r="BM56" s="182" t="e">
        <f t="shared" si="5"/>
        <v>#REF!</v>
      </c>
      <c r="BN56" s="182" t="e">
        <f t="shared" si="6"/>
        <v>#REF!</v>
      </c>
      <c r="BO56" s="182" t="e">
        <f t="shared" si="7"/>
        <v>#REF!</v>
      </c>
      <c r="BP56" s="182" t="e">
        <f t="shared" si="8"/>
        <v>#REF!</v>
      </c>
      <c r="BQ56" s="182" t="e">
        <f t="shared" si="9"/>
        <v>#REF!</v>
      </c>
      <c r="BR56" s="182" t="e">
        <f t="shared" si="10"/>
        <v>#REF!</v>
      </c>
      <c r="BS56" s="183" t="e">
        <f t="shared" si="11"/>
        <v>#REF!</v>
      </c>
      <c r="BT56" s="184" t="e">
        <f t="shared" si="12"/>
        <v>#REF!</v>
      </c>
      <c r="BU56" s="185" t="e">
        <f t="shared" si="13"/>
        <v>#REF!</v>
      </c>
      <c r="BV56" s="185" t="e">
        <f t="shared" si="14"/>
        <v>#REF!</v>
      </c>
      <c r="BW56" s="185" t="e">
        <f t="shared" si="15"/>
        <v>#REF!</v>
      </c>
      <c r="BX56" s="186" t="e">
        <f t="shared" si="16"/>
        <v>#REF!</v>
      </c>
      <c r="BY5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6" s="66"/>
      <c r="DA56" s="66"/>
      <c r="DB56" s="66"/>
      <c r="DC56" s="224" t="str">
        <f t="shared" si="17"/>
        <v/>
      </c>
      <c r="DD56" s="1">
        <f>IF($DC56="",0,IF(COUNTIF($DC$2:$DC55,$DC56)=0,1,0))</f>
        <v>0</v>
      </c>
    </row>
    <row r="57" spans="1:112" s="1" customFormat="1" ht="12" customHeight="1" x14ac:dyDescent="0.25">
      <c r="A57" s="64">
        <v>56</v>
      </c>
      <c r="B57" s="71"/>
      <c r="C57" s="72"/>
      <c r="D57" s="72"/>
      <c r="E57" s="72"/>
      <c r="F57" s="72"/>
      <c r="G57" s="66"/>
      <c r="H57" s="66"/>
      <c r="I57" s="66"/>
      <c r="J57" s="67"/>
      <c r="K57" s="68"/>
      <c r="L57" s="69"/>
      <c r="M57" s="66"/>
      <c r="N57" s="66"/>
      <c r="O57" s="136" t="str">
        <f t="shared" si="21"/>
        <v/>
      </c>
      <c r="P57" s="65" t="str">
        <f t="shared" si="19"/>
        <v/>
      </c>
      <c r="Q57" s="70"/>
      <c r="R57" s="66"/>
      <c r="S57" s="65"/>
      <c r="T57" s="65"/>
      <c r="U57" s="65"/>
      <c r="V57" s="65"/>
      <c r="W57" s="65"/>
      <c r="X57" s="240"/>
      <c r="Y57" s="65"/>
      <c r="Z57" s="281"/>
      <c r="AA57" s="66"/>
      <c r="AB57" s="66"/>
      <c r="AC57" s="247"/>
      <c r="AD57" s="240" t="str">
        <f t="shared" si="2"/>
        <v/>
      </c>
      <c r="AE57" s="240"/>
      <c r="AF57" s="241"/>
      <c r="AG57" s="247"/>
      <c r="AH57" s="241"/>
      <c r="AI57" s="247"/>
      <c r="AJ57" s="231"/>
      <c r="AK57" s="240"/>
      <c r="AL57" s="241"/>
      <c r="AM57" s="65"/>
      <c r="AN57" s="241"/>
      <c r="AO57" s="65"/>
      <c r="AP57" s="66"/>
      <c r="AQ57" s="66"/>
      <c r="AR57" s="66"/>
      <c r="AS57" s="221"/>
      <c r="AT57" s="222">
        <f t="shared" si="20"/>
        <v>0</v>
      </c>
      <c r="AU57" s="223"/>
      <c r="AV57" s="99"/>
      <c r="AW57" s="100"/>
      <c r="AX57" s="100"/>
      <c r="AY57" s="100"/>
      <c r="AZ57" s="100"/>
      <c r="BA57" s="100"/>
      <c r="BB57" s="100"/>
      <c r="BC57" s="101"/>
      <c r="BD57" s="96"/>
      <c r="BE57" s="97"/>
      <c r="BF57" s="97"/>
      <c r="BG57" s="97"/>
      <c r="BH57" s="98"/>
      <c r="BI57" s="157" t="e">
        <f t="shared" si="3"/>
        <v>#REF!</v>
      </c>
      <c r="BJ57" s="158" t="e">
        <f>#REF!</f>
        <v>#REF!</v>
      </c>
      <c r="BK57" s="159" t="e">
        <f>#REF!</f>
        <v>#REF!</v>
      </c>
      <c r="BL57" s="181" t="e">
        <f t="shared" si="4"/>
        <v>#REF!</v>
      </c>
      <c r="BM57" s="182" t="e">
        <f t="shared" si="5"/>
        <v>#REF!</v>
      </c>
      <c r="BN57" s="182" t="e">
        <f t="shared" si="6"/>
        <v>#REF!</v>
      </c>
      <c r="BO57" s="182" t="e">
        <f t="shared" si="7"/>
        <v>#REF!</v>
      </c>
      <c r="BP57" s="182" t="e">
        <f t="shared" si="8"/>
        <v>#REF!</v>
      </c>
      <c r="BQ57" s="182" t="e">
        <f t="shared" si="9"/>
        <v>#REF!</v>
      </c>
      <c r="BR57" s="182" t="e">
        <f t="shared" si="10"/>
        <v>#REF!</v>
      </c>
      <c r="BS57" s="183" t="e">
        <f t="shared" si="11"/>
        <v>#REF!</v>
      </c>
      <c r="BT57" s="184" t="e">
        <f t="shared" si="12"/>
        <v>#REF!</v>
      </c>
      <c r="BU57" s="185" t="e">
        <f t="shared" si="13"/>
        <v>#REF!</v>
      </c>
      <c r="BV57" s="185" t="e">
        <f t="shared" si="14"/>
        <v>#REF!</v>
      </c>
      <c r="BW57" s="185" t="e">
        <f t="shared" si="15"/>
        <v>#REF!</v>
      </c>
      <c r="BX57" s="186" t="e">
        <f t="shared" si="16"/>
        <v>#REF!</v>
      </c>
      <c r="BY5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7" s="66"/>
      <c r="DA57" s="66"/>
      <c r="DB57" s="66"/>
      <c r="DC57" s="224" t="str">
        <f t="shared" si="17"/>
        <v/>
      </c>
      <c r="DD57" s="1">
        <f>IF($DC57="",0,IF(COUNTIF($DC$2:$DC56,$DC57)=0,1,0))</f>
        <v>0</v>
      </c>
    </row>
    <row r="58" spans="1:112" s="1" customFormat="1" ht="12" customHeight="1" x14ac:dyDescent="0.25">
      <c r="A58" s="64">
        <v>57</v>
      </c>
      <c r="B58" s="71"/>
      <c r="C58" s="72"/>
      <c r="D58" s="72"/>
      <c r="E58" s="72"/>
      <c r="F58" s="72"/>
      <c r="G58" s="66"/>
      <c r="H58" s="66"/>
      <c r="I58" s="66"/>
      <c r="J58" s="67"/>
      <c r="K58" s="68"/>
      <c r="L58" s="69"/>
      <c r="M58" s="66"/>
      <c r="N58" s="66"/>
      <c r="O58" s="136" t="str">
        <f t="shared" si="21"/>
        <v/>
      </c>
      <c r="P58" s="65" t="str">
        <f t="shared" si="19"/>
        <v/>
      </c>
      <c r="Q58" s="70"/>
      <c r="R58" s="66"/>
      <c r="S58" s="65"/>
      <c r="T58" s="65"/>
      <c r="U58" s="65"/>
      <c r="V58" s="65"/>
      <c r="W58" s="65"/>
      <c r="X58" s="240"/>
      <c r="Y58" s="65"/>
      <c r="Z58" s="281"/>
      <c r="AA58" s="66"/>
      <c r="AB58" s="66"/>
      <c r="AC58" s="247"/>
      <c r="AD58" s="240" t="str">
        <f t="shared" si="2"/>
        <v/>
      </c>
      <c r="AE58" s="240"/>
      <c r="AF58" s="241"/>
      <c r="AG58" s="247"/>
      <c r="AH58" s="241"/>
      <c r="AI58" s="247"/>
      <c r="AJ58" s="231"/>
      <c r="AK58" s="240"/>
      <c r="AL58" s="241"/>
      <c r="AM58" s="65"/>
      <c r="AN58" s="241"/>
      <c r="AO58" s="65"/>
      <c r="AP58" s="66"/>
      <c r="AQ58" s="66"/>
      <c r="AR58" s="66"/>
      <c r="AS58" s="221"/>
      <c r="AT58" s="222">
        <f t="shared" si="20"/>
        <v>0</v>
      </c>
      <c r="AU58" s="223"/>
      <c r="AV58" s="99"/>
      <c r="AW58" s="100"/>
      <c r="AX58" s="100"/>
      <c r="AY58" s="100"/>
      <c r="AZ58" s="100"/>
      <c r="BA58" s="100"/>
      <c r="BB58" s="100"/>
      <c r="BC58" s="101"/>
      <c r="BD58" s="96"/>
      <c r="BE58" s="97"/>
      <c r="BF58" s="97"/>
      <c r="BG58" s="97"/>
      <c r="BH58" s="98"/>
      <c r="BI58" s="157" t="e">
        <f t="shared" si="3"/>
        <v>#REF!</v>
      </c>
      <c r="BJ58" s="158" t="e">
        <f>#REF!</f>
        <v>#REF!</v>
      </c>
      <c r="BK58" s="159" t="e">
        <f>#REF!</f>
        <v>#REF!</v>
      </c>
      <c r="BL58" s="181" t="e">
        <f t="shared" si="4"/>
        <v>#REF!</v>
      </c>
      <c r="BM58" s="182" t="e">
        <f t="shared" si="5"/>
        <v>#REF!</v>
      </c>
      <c r="BN58" s="182" t="e">
        <f t="shared" si="6"/>
        <v>#REF!</v>
      </c>
      <c r="BO58" s="182" t="e">
        <f t="shared" si="7"/>
        <v>#REF!</v>
      </c>
      <c r="BP58" s="182" t="e">
        <f t="shared" si="8"/>
        <v>#REF!</v>
      </c>
      <c r="BQ58" s="182" t="e">
        <f t="shared" si="9"/>
        <v>#REF!</v>
      </c>
      <c r="BR58" s="182" t="e">
        <f t="shared" si="10"/>
        <v>#REF!</v>
      </c>
      <c r="BS58" s="183" t="e">
        <f t="shared" si="11"/>
        <v>#REF!</v>
      </c>
      <c r="BT58" s="184" t="e">
        <f t="shared" si="12"/>
        <v>#REF!</v>
      </c>
      <c r="BU58" s="185" t="e">
        <f t="shared" si="13"/>
        <v>#REF!</v>
      </c>
      <c r="BV58" s="185" t="e">
        <f t="shared" si="14"/>
        <v>#REF!</v>
      </c>
      <c r="BW58" s="185" t="e">
        <f t="shared" si="15"/>
        <v>#REF!</v>
      </c>
      <c r="BX58" s="186" t="e">
        <f t="shared" si="16"/>
        <v>#REF!</v>
      </c>
      <c r="BY5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8" s="66"/>
      <c r="DA58" s="66"/>
      <c r="DB58" s="66"/>
      <c r="DC58" s="224" t="str">
        <f t="shared" si="17"/>
        <v/>
      </c>
      <c r="DD58" s="1">
        <f>IF($DC58="",0,IF(COUNTIF($DC$2:$DC57,$DC58)=0,1,0))</f>
        <v>0</v>
      </c>
    </row>
    <row r="59" spans="1:112" s="1" customFormat="1" ht="12" customHeight="1" x14ac:dyDescent="0.25">
      <c r="A59" s="64">
        <v>58</v>
      </c>
      <c r="B59" s="71"/>
      <c r="C59" s="72"/>
      <c r="D59" s="72"/>
      <c r="E59" s="72"/>
      <c r="F59" s="72"/>
      <c r="G59" s="66"/>
      <c r="H59" s="66"/>
      <c r="I59" s="66"/>
      <c r="J59" s="67"/>
      <c r="K59" s="68"/>
      <c r="L59" s="69"/>
      <c r="M59" s="66"/>
      <c r="N59" s="66"/>
      <c r="O59" s="136" t="str">
        <f t="shared" si="21"/>
        <v/>
      </c>
      <c r="P59" s="65" t="str">
        <f t="shared" si="19"/>
        <v/>
      </c>
      <c r="Q59" s="70"/>
      <c r="R59" s="66"/>
      <c r="S59" s="65"/>
      <c r="T59" s="65"/>
      <c r="U59" s="65"/>
      <c r="V59" s="65"/>
      <c r="W59" s="65"/>
      <c r="X59" s="240"/>
      <c r="Y59" s="65"/>
      <c r="Z59" s="281"/>
      <c r="AA59" s="66"/>
      <c r="AB59" s="66"/>
      <c r="AC59" s="247"/>
      <c r="AD59" s="240" t="str">
        <f t="shared" si="2"/>
        <v/>
      </c>
      <c r="AE59" s="240"/>
      <c r="AF59" s="241"/>
      <c r="AG59" s="247"/>
      <c r="AH59" s="241"/>
      <c r="AI59" s="247"/>
      <c r="AJ59" s="231"/>
      <c r="AK59" s="240"/>
      <c r="AL59" s="241"/>
      <c r="AM59" s="65"/>
      <c r="AN59" s="241"/>
      <c r="AO59" s="65"/>
      <c r="AP59" s="66"/>
      <c r="AQ59" s="66"/>
      <c r="AR59" s="66"/>
      <c r="AS59" s="221"/>
      <c r="AT59" s="222">
        <f t="shared" si="20"/>
        <v>0</v>
      </c>
      <c r="AU59" s="223"/>
      <c r="AV59" s="99"/>
      <c r="AW59" s="100"/>
      <c r="AX59" s="100"/>
      <c r="AY59" s="100"/>
      <c r="AZ59" s="100"/>
      <c r="BA59" s="100"/>
      <c r="BB59" s="100"/>
      <c r="BC59" s="101"/>
      <c r="BD59" s="96"/>
      <c r="BE59" s="97"/>
      <c r="BF59" s="97"/>
      <c r="BG59" s="97"/>
      <c r="BH59" s="98"/>
      <c r="BI59" s="157" t="e">
        <f t="shared" si="3"/>
        <v>#REF!</v>
      </c>
      <c r="BJ59" s="158" t="e">
        <f>#REF!</f>
        <v>#REF!</v>
      </c>
      <c r="BK59" s="159" t="e">
        <f>#REF!</f>
        <v>#REF!</v>
      </c>
      <c r="BL59" s="181" t="e">
        <f t="shared" si="4"/>
        <v>#REF!</v>
      </c>
      <c r="BM59" s="182" t="e">
        <f t="shared" si="5"/>
        <v>#REF!</v>
      </c>
      <c r="BN59" s="182" t="e">
        <f t="shared" si="6"/>
        <v>#REF!</v>
      </c>
      <c r="BO59" s="182" t="e">
        <f t="shared" si="7"/>
        <v>#REF!</v>
      </c>
      <c r="BP59" s="182" t="e">
        <f t="shared" si="8"/>
        <v>#REF!</v>
      </c>
      <c r="BQ59" s="182" t="e">
        <f t="shared" si="9"/>
        <v>#REF!</v>
      </c>
      <c r="BR59" s="182" t="e">
        <f t="shared" si="10"/>
        <v>#REF!</v>
      </c>
      <c r="BS59" s="183" t="e">
        <f t="shared" si="11"/>
        <v>#REF!</v>
      </c>
      <c r="BT59" s="184" t="e">
        <f t="shared" si="12"/>
        <v>#REF!</v>
      </c>
      <c r="BU59" s="185" t="e">
        <f t="shared" si="13"/>
        <v>#REF!</v>
      </c>
      <c r="BV59" s="185" t="e">
        <f t="shared" si="14"/>
        <v>#REF!</v>
      </c>
      <c r="BW59" s="185" t="e">
        <f t="shared" si="15"/>
        <v>#REF!</v>
      </c>
      <c r="BX59" s="186" t="e">
        <f t="shared" si="16"/>
        <v>#REF!</v>
      </c>
      <c r="BY5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5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5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5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5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5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5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5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5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5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5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5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5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5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5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5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5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5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5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5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5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5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5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5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5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5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5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59" s="66"/>
      <c r="DA59" s="66"/>
      <c r="DB59" s="66"/>
      <c r="DC59" s="224" t="str">
        <f t="shared" si="17"/>
        <v/>
      </c>
      <c r="DD59" s="1">
        <f>IF($DC59="",0,IF(COUNTIF($DC$2:$DC58,$DC59)=0,1,0))</f>
        <v>0</v>
      </c>
    </row>
    <row r="60" spans="1:112" s="1" customFormat="1" ht="12" customHeight="1" x14ac:dyDescent="0.25">
      <c r="A60" s="64">
        <v>59</v>
      </c>
      <c r="B60" s="71"/>
      <c r="C60" s="72"/>
      <c r="D60" s="72"/>
      <c r="E60" s="72"/>
      <c r="F60" s="72"/>
      <c r="G60" s="66"/>
      <c r="H60" s="66"/>
      <c r="I60" s="66"/>
      <c r="J60" s="67"/>
      <c r="K60" s="68"/>
      <c r="L60" s="69"/>
      <c r="M60" s="66"/>
      <c r="N60" s="66"/>
      <c r="O60" s="136" t="str">
        <f t="shared" si="21"/>
        <v/>
      </c>
      <c r="P60" s="65" t="str">
        <f t="shared" si="19"/>
        <v/>
      </c>
      <c r="Q60" s="70"/>
      <c r="R60" s="66"/>
      <c r="S60" s="65"/>
      <c r="T60" s="65"/>
      <c r="U60" s="65"/>
      <c r="V60" s="65"/>
      <c r="W60" s="65"/>
      <c r="X60" s="240"/>
      <c r="Y60" s="65"/>
      <c r="Z60" s="281"/>
      <c r="AA60" s="66"/>
      <c r="AB60" s="66"/>
      <c r="AC60" s="247"/>
      <c r="AD60" s="240" t="str">
        <f t="shared" si="2"/>
        <v/>
      </c>
      <c r="AE60" s="240"/>
      <c r="AF60" s="241"/>
      <c r="AG60" s="247"/>
      <c r="AH60" s="241"/>
      <c r="AI60" s="247"/>
      <c r="AJ60" s="231"/>
      <c r="AK60" s="240"/>
      <c r="AL60" s="241"/>
      <c r="AM60" s="65"/>
      <c r="AN60" s="241"/>
      <c r="AO60" s="65"/>
      <c r="AP60" s="66"/>
      <c r="AQ60" s="66"/>
      <c r="AR60" s="66"/>
      <c r="AS60" s="221"/>
      <c r="AT60" s="222">
        <f t="shared" si="20"/>
        <v>0</v>
      </c>
      <c r="AU60" s="223"/>
      <c r="AV60" s="99"/>
      <c r="AW60" s="100"/>
      <c r="AX60" s="100"/>
      <c r="AY60" s="100"/>
      <c r="AZ60" s="100"/>
      <c r="BA60" s="100"/>
      <c r="BB60" s="100"/>
      <c r="BC60" s="101"/>
      <c r="BD60" s="96"/>
      <c r="BE60" s="97"/>
      <c r="BF60" s="97"/>
      <c r="BG60" s="97"/>
      <c r="BH60" s="98"/>
      <c r="BI60" s="157" t="e">
        <f t="shared" si="3"/>
        <v>#REF!</v>
      </c>
      <c r="BJ60" s="158" t="e">
        <f>#REF!</f>
        <v>#REF!</v>
      </c>
      <c r="BK60" s="159" t="e">
        <f>#REF!</f>
        <v>#REF!</v>
      </c>
      <c r="BL60" s="181" t="e">
        <f t="shared" si="4"/>
        <v>#REF!</v>
      </c>
      <c r="BM60" s="182" t="e">
        <f t="shared" si="5"/>
        <v>#REF!</v>
      </c>
      <c r="BN60" s="182" t="e">
        <f t="shared" si="6"/>
        <v>#REF!</v>
      </c>
      <c r="BO60" s="182" t="e">
        <f t="shared" si="7"/>
        <v>#REF!</v>
      </c>
      <c r="BP60" s="182" t="e">
        <f t="shared" si="8"/>
        <v>#REF!</v>
      </c>
      <c r="BQ60" s="182" t="e">
        <f t="shared" si="9"/>
        <v>#REF!</v>
      </c>
      <c r="BR60" s="182" t="e">
        <f t="shared" si="10"/>
        <v>#REF!</v>
      </c>
      <c r="BS60" s="183" t="e">
        <f t="shared" si="11"/>
        <v>#REF!</v>
      </c>
      <c r="BT60" s="184" t="e">
        <f t="shared" si="12"/>
        <v>#REF!</v>
      </c>
      <c r="BU60" s="185" t="e">
        <f t="shared" si="13"/>
        <v>#REF!</v>
      </c>
      <c r="BV60" s="185" t="e">
        <f t="shared" si="14"/>
        <v>#REF!</v>
      </c>
      <c r="BW60" s="185" t="e">
        <f t="shared" si="15"/>
        <v>#REF!</v>
      </c>
      <c r="BX60" s="186" t="e">
        <f t="shared" si="16"/>
        <v>#REF!</v>
      </c>
      <c r="BY6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0" s="66"/>
      <c r="DA60" s="66"/>
      <c r="DB60" s="66"/>
      <c r="DC60" s="224" t="str">
        <f t="shared" si="17"/>
        <v/>
      </c>
      <c r="DD60" s="1">
        <f>IF($DC60="",0,IF(COUNTIF($DC$2:$DC59,$DC60)=0,1,0))</f>
        <v>0</v>
      </c>
    </row>
    <row r="61" spans="1:112" s="1" customFormat="1" ht="12" customHeight="1" x14ac:dyDescent="0.25">
      <c r="A61" s="64">
        <v>60</v>
      </c>
      <c r="B61" s="71"/>
      <c r="C61" s="72"/>
      <c r="D61" s="72"/>
      <c r="E61" s="72"/>
      <c r="F61" s="72"/>
      <c r="G61" s="66"/>
      <c r="H61" s="66"/>
      <c r="I61" s="66"/>
      <c r="J61" s="67"/>
      <c r="K61" s="68"/>
      <c r="L61" s="69"/>
      <c r="M61" s="66"/>
      <c r="N61" s="66"/>
      <c r="O61" s="136" t="str">
        <f t="shared" si="21"/>
        <v/>
      </c>
      <c r="P61" s="65" t="str">
        <f t="shared" si="19"/>
        <v/>
      </c>
      <c r="Q61" s="70"/>
      <c r="R61" s="66"/>
      <c r="S61" s="65"/>
      <c r="T61" s="65"/>
      <c r="U61" s="65"/>
      <c r="V61" s="65"/>
      <c r="W61" s="65"/>
      <c r="X61" s="240"/>
      <c r="Y61" s="65"/>
      <c r="Z61" s="281"/>
      <c r="AA61" s="66"/>
      <c r="AB61" s="66"/>
      <c r="AC61" s="247"/>
      <c r="AD61" s="240" t="str">
        <f t="shared" si="2"/>
        <v/>
      </c>
      <c r="AE61" s="240"/>
      <c r="AF61" s="241"/>
      <c r="AG61" s="247"/>
      <c r="AH61" s="241"/>
      <c r="AI61" s="247"/>
      <c r="AJ61" s="231"/>
      <c r="AK61" s="240"/>
      <c r="AL61" s="241"/>
      <c r="AM61" s="65"/>
      <c r="AN61" s="241"/>
      <c r="AO61" s="65"/>
      <c r="AP61" s="66"/>
      <c r="AQ61" s="66"/>
      <c r="AR61" s="66"/>
      <c r="AS61" s="221"/>
      <c r="AT61" s="222">
        <f t="shared" si="20"/>
        <v>0</v>
      </c>
      <c r="AU61" s="223"/>
      <c r="AV61" s="99"/>
      <c r="AW61" s="100"/>
      <c r="AX61" s="100"/>
      <c r="AY61" s="100"/>
      <c r="AZ61" s="100"/>
      <c r="BA61" s="100"/>
      <c r="BB61" s="100"/>
      <c r="BC61" s="101"/>
      <c r="BD61" s="96"/>
      <c r="BE61" s="97"/>
      <c r="BF61" s="97"/>
      <c r="BG61" s="97"/>
      <c r="BH61" s="98"/>
      <c r="BI61" s="157" t="e">
        <f t="shared" si="3"/>
        <v>#REF!</v>
      </c>
      <c r="BJ61" s="158" t="e">
        <f>#REF!</f>
        <v>#REF!</v>
      </c>
      <c r="BK61" s="159" t="e">
        <f>#REF!</f>
        <v>#REF!</v>
      </c>
      <c r="BL61" s="181" t="e">
        <f t="shared" si="4"/>
        <v>#REF!</v>
      </c>
      <c r="BM61" s="182" t="e">
        <f t="shared" si="5"/>
        <v>#REF!</v>
      </c>
      <c r="BN61" s="182" t="e">
        <f t="shared" si="6"/>
        <v>#REF!</v>
      </c>
      <c r="BO61" s="182" t="e">
        <f t="shared" si="7"/>
        <v>#REF!</v>
      </c>
      <c r="BP61" s="182" t="e">
        <f t="shared" si="8"/>
        <v>#REF!</v>
      </c>
      <c r="BQ61" s="182" t="e">
        <f t="shared" si="9"/>
        <v>#REF!</v>
      </c>
      <c r="BR61" s="182" t="e">
        <f t="shared" si="10"/>
        <v>#REF!</v>
      </c>
      <c r="BS61" s="183" t="e">
        <f t="shared" si="11"/>
        <v>#REF!</v>
      </c>
      <c r="BT61" s="184" t="e">
        <f t="shared" si="12"/>
        <v>#REF!</v>
      </c>
      <c r="BU61" s="185" t="e">
        <f t="shared" si="13"/>
        <v>#REF!</v>
      </c>
      <c r="BV61" s="185" t="e">
        <f t="shared" si="14"/>
        <v>#REF!</v>
      </c>
      <c r="BW61" s="185" t="e">
        <f t="shared" si="15"/>
        <v>#REF!</v>
      </c>
      <c r="BX61" s="186" t="e">
        <f t="shared" si="16"/>
        <v>#REF!</v>
      </c>
      <c r="BY6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1" s="66"/>
      <c r="DA61" s="66"/>
      <c r="DB61" s="66"/>
      <c r="DC61" s="224" t="str">
        <f t="shared" si="17"/>
        <v/>
      </c>
      <c r="DD61" s="1">
        <f>IF($DC61="",0,IF(COUNTIF($DC$2:$DC60,$DC61)=0,1,0))</f>
        <v>0</v>
      </c>
    </row>
    <row r="62" spans="1:112" s="1" customFormat="1" ht="12" customHeight="1" x14ac:dyDescent="0.25">
      <c r="A62" s="64">
        <v>61</v>
      </c>
      <c r="B62" s="71"/>
      <c r="C62" s="72"/>
      <c r="D62" s="72"/>
      <c r="E62" s="72"/>
      <c r="F62" s="72"/>
      <c r="G62" s="66"/>
      <c r="H62" s="66"/>
      <c r="I62" s="66"/>
      <c r="J62" s="67"/>
      <c r="K62" s="68"/>
      <c r="L62" s="69"/>
      <c r="M62" s="66"/>
      <c r="N62" s="66"/>
      <c r="O62" s="136" t="str">
        <f t="shared" si="21"/>
        <v/>
      </c>
      <c r="P62" s="65" t="str">
        <f t="shared" si="19"/>
        <v/>
      </c>
      <c r="Q62" s="70"/>
      <c r="R62" s="66"/>
      <c r="S62" s="65"/>
      <c r="T62" s="65"/>
      <c r="U62" s="65"/>
      <c r="V62" s="65"/>
      <c r="W62" s="65"/>
      <c r="X62" s="240"/>
      <c r="Y62" s="65"/>
      <c r="Z62" s="281"/>
      <c r="AA62" s="66"/>
      <c r="AB62" s="66"/>
      <c r="AC62" s="247"/>
      <c r="AD62" s="240" t="str">
        <f t="shared" si="2"/>
        <v/>
      </c>
      <c r="AE62" s="240"/>
      <c r="AF62" s="241"/>
      <c r="AG62" s="247"/>
      <c r="AH62" s="241"/>
      <c r="AI62" s="247"/>
      <c r="AJ62" s="231"/>
      <c r="AK62" s="240"/>
      <c r="AL62" s="241"/>
      <c r="AM62" s="65"/>
      <c r="AN62" s="241"/>
      <c r="AO62" s="65"/>
      <c r="AP62" s="66"/>
      <c r="AQ62" s="66"/>
      <c r="AR62" s="66"/>
      <c r="AS62" s="221"/>
      <c r="AT62" s="222">
        <f t="shared" si="20"/>
        <v>0</v>
      </c>
      <c r="AU62" s="223"/>
      <c r="AV62" s="99"/>
      <c r="AW62" s="100"/>
      <c r="AX62" s="100"/>
      <c r="AY62" s="100"/>
      <c r="AZ62" s="100"/>
      <c r="BA62" s="100"/>
      <c r="BB62" s="100"/>
      <c r="BC62" s="101"/>
      <c r="BD62" s="96"/>
      <c r="BE62" s="97"/>
      <c r="BF62" s="97"/>
      <c r="BG62" s="97"/>
      <c r="BH62" s="98"/>
      <c r="BI62" s="157" t="e">
        <f t="shared" si="3"/>
        <v>#REF!</v>
      </c>
      <c r="BJ62" s="158" t="e">
        <f>#REF!</f>
        <v>#REF!</v>
      </c>
      <c r="BK62" s="159" t="e">
        <f>#REF!</f>
        <v>#REF!</v>
      </c>
      <c r="BL62" s="181" t="e">
        <f t="shared" si="4"/>
        <v>#REF!</v>
      </c>
      <c r="BM62" s="182" t="e">
        <f t="shared" si="5"/>
        <v>#REF!</v>
      </c>
      <c r="BN62" s="182" t="e">
        <f t="shared" si="6"/>
        <v>#REF!</v>
      </c>
      <c r="BO62" s="182" t="e">
        <f t="shared" si="7"/>
        <v>#REF!</v>
      </c>
      <c r="BP62" s="182" t="e">
        <f t="shared" si="8"/>
        <v>#REF!</v>
      </c>
      <c r="BQ62" s="182" t="e">
        <f t="shared" si="9"/>
        <v>#REF!</v>
      </c>
      <c r="BR62" s="182" t="e">
        <f t="shared" si="10"/>
        <v>#REF!</v>
      </c>
      <c r="BS62" s="183" t="e">
        <f t="shared" si="11"/>
        <v>#REF!</v>
      </c>
      <c r="BT62" s="184" t="e">
        <f t="shared" si="12"/>
        <v>#REF!</v>
      </c>
      <c r="BU62" s="185" t="e">
        <f t="shared" si="13"/>
        <v>#REF!</v>
      </c>
      <c r="BV62" s="185" t="e">
        <f t="shared" si="14"/>
        <v>#REF!</v>
      </c>
      <c r="BW62" s="185" t="e">
        <f t="shared" si="15"/>
        <v>#REF!</v>
      </c>
      <c r="BX62" s="186" t="e">
        <f t="shared" si="16"/>
        <v>#REF!</v>
      </c>
      <c r="BY6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2" s="66"/>
      <c r="DA62" s="66"/>
      <c r="DB62" s="66"/>
      <c r="DC62" s="224" t="str">
        <f t="shared" si="17"/>
        <v/>
      </c>
      <c r="DD62" s="1">
        <f>IF($DC62="",0,IF(COUNTIF($DC$2:$DC61,$DC62)=0,1,0))</f>
        <v>0</v>
      </c>
    </row>
    <row r="63" spans="1:112" s="1" customFormat="1" ht="12" customHeight="1" x14ac:dyDescent="0.25">
      <c r="A63" s="64">
        <v>62</v>
      </c>
      <c r="B63" s="71"/>
      <c r="C63" s="72"/>
      <c r="D63" s="72"/>
      <c r="E63" s="72"/>
      <c r="F63" s="72"/>
      <c r="G63" s="66"/>
      <c r="H63" s="66"/>
      <c r="I63" s="66"/>
      <c r="J63" s="67"/>
      <c r="K63" s="68"/>
      <c r="L63" s="69"/>
      <c r="M63" s="66"/>
      <c r="N63" s="66"/>
      <c r="O63" s="136" t="str">
        <f t="shared" si="21"/>
        <v/>
      </c>
      <c r="P63" s="65" t="str">
        <f t="shared" si="19"/>
        <v/>
      </c>
      <c r="Q63" s="70"/>
      <c r="R63" s="66"/>
      <c r="S63" s="65"/>
      <c r="T63" s="65"/>
      <c r="U63" s="65"/>
      <c r="V63" s="65"/>
      <c r="W63" s="65"/>
      <c r="X63" s="240"/>
      <c r="Y63" s="65"/>
      <c r="Z63" s="281"/>
      <c r="AA63" s="66"/>
      <c r="AB63" s="66"/>
      <c r="AC63" s="247"/>
      <c r="AD63" s="240" t="str">
        <f t="shared" si="2"/>
        <v/>
      </c>
      <c r="AE63" s="240"/>
      <c r="AF63" s="241"/>
      <c r="AG63" s="247"/>
      <c r="AH63" s="241"/>
      <c r="AI63" s="247"/>
      <c r="AJ63" s="231"/>
      <c r="AK63" s="240"/>
      <c r="AL63" s="241"/>
      <c r="AM63" s="65"/>
      <c r="AN63" s="241"/>
      <c r="AO63" s="65"/>
      <c r="AP63" s="66"/>
      <c r="AQ63" s="66"/>
      <c r="AR63" s="66"/>
      <c r="AS63" s="221"/>
      <c r="AT63" s="222">
        <f t="shared" si="20"/>
        <v>0</v>
      </c>
      <c r="AU63" s="223"/>
      <c r="AV63" s="99"/>
      <c r="AW63" s="100"/>
      <c r="AX63" s="100"/>
      <c r="AY63" s="100"/>
      <c r="AZ63" s="100"/>
      <c r="BA63" s="100"/>
      <c r="BB63" s="100"/>
      <c r="BC63" s="101"/>
      <c r="BD63" s="96"/>
      <c r="BE63" s="97"/>
      <c r="BF63" s="97"/>
      <c r="BG63" s="97"/>
      <c r="BH63" s="98"/>
      <c r="BI63" s="157" t="e">
        <f t="shared" si="3"/>
        <v>#REF!</v>
      </c>
      <c r="BJ63" s="158" t="e">
        <f>#REF!</f>
        <v>#REF!</v>
      </c>
      <c r="BK63" s="159" t="e">
        <f>#REF!</f>
        <v>#REF!</v>
      </c>
      <c r="BL63" s="181" t="e">
        <f t="shared" si="4"/>
        <v>#REF!</v>
      </c>
      <c r="BM63" s="182" t="e">
        <f t="shared" si="5"/>
        <v>#REF!</v>
      </c>
      <c r="BN63" s="182" t="e">
        <f t="shared" si="6"/>
        <v>#REF!</v>
      </c>
      <c r="BO63" s="182" t="e">
        <f t="shared" si="7"/>
        <v>#REF!</v>
      </c>
      <c r="BP63" s="182" t="e">
        <f t="shared" si="8"/>
        <v>#REF!</v>
      </c>
      <c r="BQ63" s="182" t="e">
        <f t="shared" si="9"/>
        <v>#REF!</v>
      </c>
      <c r="BR63" s="182" t="e">
        <f t="shared" si="10"/>
        <v>#REF!</v>
      </c>
      <c r="BS63" s="183" t="e">
        <f t="shared" si="11"/>
        <v>#REF!</v>
      </c>
      <c r="BT63" s="184" t="e">
        <f t="shared" si="12"/>
        <v>#REF!</v>
      </c>
      <c r="BU63" s="185" t="e">
        <f t="shared" si="13"/>
        <v>#REF!</v>
      </c>
      <c r="BV63" s="185" t="e">
        <f t="shared" si="14"/>
        <v>#REF!</v>
      </c>
      <c r="BW63" s="185" t="e">
        <f t="shared" si="15"/>
        <v>#REF!</v>
      </c>
      <c r="BX63" s="186" t="e">
        <f t="shared" si="16"/>
        <v>#REF!</v>
      </c>
      <c r="BY6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3" s="66"/>
      <c r="DA63" s="66"/>
      <c r="DB63" s="66"/>
      <c r="DC63" s="224" t="str">
        <f t="shared" si="17"/>
        <v/>
      </c>
      <c r="DD63" s="1">
        <f>IF($DC63="",0,IF(COUNTIF($DC$2:$DC62,$DC63)=0,1,0))</f>
        <v>0</v>
      </c>
    </row>
    <row r="64" spans="1:112" s="1" customFormat="1" ht="12" customHeight="1" x14ac:dyDescent="0.25">
      <c r="A64" s="64">
        <v>63</v>
      </c>
      <c r="B64" s="71"/>
      <c r="C64" s="72"/>
      <c r="D64" s="72"/>
      <c r="E64" s="72"/>
      <c r="F64" s="72"/>
      <c r="G64" s="66"/>
      <c r="H64" s="66"/>
      <c r="I64" s="66"/>
      <c r="J64" s="67"/>
      <c r="K64" s="68"/>
      <c r="L64" s="69"/>
      <c r="M64" s="66"/>
      <c r="N64" s="66"/>
      <c r="O64" s="136" t="str">
        <f t="shared" si="21"/>
        <v/>
      </c>
      <c r="P64" s="65" t="str">
        <f t="shared" si="19"/>
        <v/>
      </c>
      <c r="Q64" s="70"/>
      <c r="R64" s="66"/>
      <c r="S64" s="65"/>
      <c r="T64" s="65"/>
      <c r="U64" s="65"/>
      <c r="V64" s="65"/>
      <c r="W64" s="65"/>
      <c r="X64" s="240"/>
      <c r="Y64" s="65"/>
      <c r="Z64" s="281"/>
      <c r="AA64" s="66"/>
      <c r="AB64" s="66"/>
      <c r="AC64" s="247"/>
      <c r="AD64" s="240" t="str">
        <f t="shared" si="2"/>
        <v/>
      </c>
      <c r="AE64" s="240"/>
      <c r="AF64" s="241"/>
      <c r="AG64" s="247"/>
      <c r="AH64" s="241"/>
      <c r="AI64" s="247"/>
      <c r="AJ64" s="231"/>
      <c r="AK64" s="240"/>
      <c r="AL64" s="241"/>
      <c r="AM64" s="65"/>
      <c r="AN64" s="241"/>
      <c r="AO64" s="65"/>
      <c r="AP64" s="66"/>
      <c r="AQ64" s="66"/>
      <c r="AR64" s="66"/>
      <c r="AS64" s="221"/>
      <c r="AT64" s="222">
        <f t="shared" si="20"/>
        <v>0</v>
      </c>
      <c r="AU64" s="223"/>
      <c r="AV64" s="99"/>
      <c r="AW64" s="100"/>
      <c r="AX64" s="100"/>
      <c r="AY64" s="100"/>
      <c r="AZ64" s="100"/>
      <c r="BA64" s="100"/>
      <c r="BB64" s="100"/>
      <c r="BC64" s="101"/>
      <c r="BD64" s="96"/>
      <c r="BE64" s="97"/>
      <c r="BF64" s="97"/>
      <c r="BG64" s="97"/>
      <c r="BH64" s="98"/>
      <c r="BI64" s="157" t="e">
        <f t="shared" si="3"/>
        <v>#REF!</v>
      </c>
      <c r="BJ64" s="158" t="e">
        <f>#REF!</f>
        <v>#REF!</v>
      </c>
      <c r="BK64" s="159" t="e">
        <f>#REF!</f>
        <v>#REF!</v>
      </c>
      <c r="BL64" s="181" t="e">
        <f t="shared" si="4"/>
        <v>#REF!</v>
      </c>
      <c r="BM64" s="182" t="e">
        <f t="shared" si="5"/>
        <v>#REF!</v>
      </c>
      <c r="BN64" s="182" t="e">
        <f t="shared" si="6"/>
        <v>#REF!</v>
      </c>
      <c r="BO64" s="182" t="e">
        <f t="shared" si="7"/>
        <v>#REF!</v>
      </c>
      <c r="BP64" s="182" t="e">
        <f t="shared" si="8"/>
        <v>#REF!</v>
      </c>
      <c r="BQ64" s="182" t="e">
        <f t="shared" si="9"/>
        <v>#REF!</v>
      </c>
      <c r="BR64" s="182" t="e">
        <f t="shared" si="10"/>
        <v>#REF!</v>
      </c>
      <c r="BS64" s="183" t="e">
        <f t="shared" si="11"/>
        <v>#REF!</v>
      </c>
      <c r="BT64" s="184" t="e">
        <f t="shared" si="12"/>
        <v>#REF!</v>
      </c>
      <c r="BU64" s="185" t="e">
        <f t="shared" si="13"/>
        <v>#REF!</v>
      </c>
      <c r="BV64" s="185" t="e">
        <f t="shared" si="14"/>
        <v>#REF!</v>
      </c>
      <c r="BW64" s="185" t="e">
        <f t="shared" si="15"/>
        <v>#REF!</v>
      </c>
      <c r="BX64" s="186" t="e">
        <f t="shared" si="16"/>
        <v>#REF!</v>
      </c>
      <c r="BY6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4" s="66"/>
      <c r="DA64" s="66"/>
      <c r="DB64" s="66"/>
      <c r="DC64" s="224" t="str">
        <f t="shared" si="17"/>
        <v/>
      </c>
      <c r="DD64" s="1">
        <f>IF($DC64="",0,IF(COUNTIF($DC$2:$DC63,$DC64)=0,1,0))</f>
        <v>0</v>
      </c>
    </row>
    <row r="65" spans="1:108" s="1" customFormat="1" ht="12" customHeight="1" x14ac:dyDescent="0.25">
      <c r="A65" s="64">
        <v>64</v>
      </c>
      <c r="B65" s="71"/>
      <c r="C65" s="72"/>
      <c r="D65" s="72"/>
      <c r="E65" s="72"/>
      <c r="F65" s="72"/>
      <c r="G65" s="66"/>
      <c r="H65" s="66"/>
      <c r="I65" s="66"/>
      <c r="J65" s="67"/>
      <c r="K65" s="68"/>
      <c r="L65" s="69"/>
      <c r="M65" s="66"/>
      <c r="N65" s="66"/>
      <c r="O65" s="136" t="str">
        <f t="shared" si="21"/>
        <v/>
      </c>
      <c r="P65" s="65" t="str">
        <f t="shared" si="19"/>
        <v/>
      </c>
      <c r="Q65" s="70"/>
      <c r="R65" s="66"/>
      <c r="S65" s="65"/>
      <c r="T65" s="65"/>
      <c r="U65" s="65"/>
      <c r="V65" s="65"/>
      <c r="W65" s="65"/>
      <c r="X65" s="240"/>
      <c r="Y65" s="65"/>
      <c r="Z65" s="281"/>
      <c r="AA65" s="66"/>
      <c r="AB65" s="66"/>
      <c r="AC65" s="247"/>
      <c r="AD65" s="240" t="str">
        <f t="shared" si="2"/>
        <v/>
      </c>
      <c r="AE65" s="240"/>
      <c r="AF65" s="241"/>
      <c r="AG65" s="247"/>
      <c r="AH65" s="241"/>
      <c r="AI65" s="247"/>
      <c r="AJ65" s="231"/>
      <c r="AK65" s="240"/>
      <c r="AL65" s="241"/>
      <c r="AM65" s="65"/>
      <c r="AN65" s="241"/>
      <c r="AO65" s="65"/>
      <c r="AP65" s="66"/>
      <c r="AQ65" s="66"/>
      <c r="AR65" s="66"/>
      <c r="AS65" s="221"/>
      <c r="AT65" s="222">
        <f t="shared" si="20"/>
        <v>0</v>
      </c>
      <c r="AU65" s="223"/>
      <c r="AV65" s="99"/>
      <c r="AW65" s="100"/>
      <c r="AX65" s="100"/>
      <c r="AY65" s="100"/>
      <c r="AZ65" s="100"/>
      <c r="BA65" s="100"/>
      <c r="BB65" s="100"/>
      <c r="BC65" s="101"/>
      <c r="BD65" s="96"/>
      <c r="BE65" s="97"/>
      <c r="BF65" s="97"/>
      <c r="BG65" s="97"/>
      <c r="BH65" s="98"/>
      <c r="BI65" s="157" t="e">
        <f t="shared" si="3"/>
        <v>#REF!</v>
      </c>
      <c r="BJ65" s="158" t="e">
        <f>#REF!</f>
        <v>#REF!</v>
      </c>
      <c r="BK65" s="159" t="e">
        <f>#REF!</f>
        <v>#REF!</v>
      </c>
      <c r="BL65" s="181" t="e">
        <f t="shared" si="4"/>
        <v>#REF!</v>
      </c>
      <c r="BM65" s="182" t="e">
        <f t="shared" si="5"/>
        <v>#REF!</v>
      </c>
      <c r="BN65" s="182" t="e">
        <f t="shared" si="6"/>
        <v>#REF!</v>
      </c>
      <c r="BO65" s="182" t="e">
        <f t="shared" si="7"/>
        <v>#REF!</v>
      </c>
      <c r="BP65" s="182" t="e">
        <f t="shared" si="8"/>
        <v>#REF!</v>
      </c>
      <c r="BQ65" s="182" t="e">
        <f t="shared" si="9"/>
        <v>#REF!</v>
      </c>
      <c r="BR65" s="182" t="e">
        <f t="shared" si="10"/>
        <v>#REF!</v>
      </c>
      <c r="BS65" s="183" t="e">
        <f t="shared" si="11"/>
        <v>#REF!</v>
      </c>
      <c r="BT65" s="184" t="e">
        <f t="shared" si="12"/>
        <v>#REF!</v>
      </c>
      <c r="BU65" s="185" t="e">
        <f t="shared" si="13"/>
        <v>#REF!</v>
      </c>
      <c r="BV65" s="185" t="e">
        <f t="shared" si="14"/>
        <v>#REF!</v>
      </c>
      <c r="BW65" s="185" t="e">
        <f t="shared" si="15"/>
        <v>#REF!</v>
      </c>
      <c r="BX65" s="186" t="e">
        <f t="shared" si="16"/>
        <v>#REF!</v>
      </c>
      <c r="BY6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5" s="66"/>
      <c r="DA65" s="66"/>
      <c r="DB65" s="66"/>
      <c r="DC65" s="224" t="str">
        <f t="shared" si="17"/>
        <v/>
      </c>
      <c r="DD65" s="1">
        <f>IF($DC65="",0,IF(COUNTIF($DC$2:$DC64,$DC65)=0,1,0))</f>
        <v>0</v>
      </c>
    </row>
    <row r="66" spans="1:108" s="1" customFormat="1" ht="12" customHeight="1" x14ac:dyDescent="0.25">
      <c r="A66" s="64">
        <v>65</v>
      </c>
      <c r="B66" s="71"/>
      <c r="C66" s="72"/>
      <c r="D66" s="72"/>
      <c r="E66" s="72"/>
      <c r="F66" s="72"/>
      <c r="G66" s="66"/>
      <c r="H66" s="66"/>
      <c r="I66" s="66"/>
      <c r="J66" s="67"/>
      <c r="K66" s="68"/>
      <c r="L66" s="69"/>
      <c r="M66" s="66"/>
      <c r="N66" s="66"/>
      <c r="O66" s="136" t="str">
        <f t="shared" si="21"/>
        <v/>
      </c>
      <c r="P66" s="65" t="str">
        <f t="shared" si="19"/>
        <v/>
      </c>
      <c r="Q66" s="70"/>
      <c r="R66" s="66"/>
      <c r="S66" s="65"/>
      <c r="T66" s="65"/>
      <c r="U66" s="65"/>
      <c r="V66" s="65"/>
      <c r="W66" s="65"/>
      <c r="X66" s="240"/>
      <c r="Y66" s="65"/>
      <c r="Z66" s="281"/>
      <c r="AA66" s="66"/>
      <c r="AB66" s="66"/>
      <c r="AC66" s="247"/>
      <c r="AD66" s="240" t="str">
        <f t="shared" si="2"/>
        <v/>
      </c>
      <c r="AE66" s="240"/>
      <c r="AF66" s="241"/>
      <c r="AG66" s="247"/>
      <c r="AH66" s="241"/>
      <c r="AI66" s="247"/>
      <c r="AJ66" s="231"/>
      <c r="AK66" s="240"/>
      <c r="AL66" s="241"/>
      <c r="AM66" s="65"/>
      <c r="AN66" s="241"/>
      <c r="AO66" s="65"/>
      <c r="AP66" s="66"/>
      <c r="AQ66" s="66"/>
      <c r="AR66" s="66"/>
      <c r="AS66" s="221"/>
      <c r="AT66" s="222">
        <f t="shared" si="20"/>
        <v>0</v>
      </c>
      <c r="AU66" s="223"/>
      <c r="AV66" s="99"/>
      <c r="AW66" s="100"/>
      <c r="AX66" s="100"/>
      <c r="AY66" s="100"/>
      <c r="AZ66" s="100"/>
      <c r="BA66" s="100"/>
      <c r="BB66" s="100"/>
      <c r="BC66" s="101"/>
      <c r="BD66" s="96"/>
      <c r="BE66" s="97"/>
      <c r="BF66" s="97"/>
      <c r="BG66" s="97"/>
      <c r="BH66" s="98"/>
      <c r="BI66" s="157" t="e">
        <f t="shared" si="3"/>
        <v>#REF!</v>
      </c>
      <c r="BJ66" s="158" t="e">
        <f>#REF!</f>
        <v>#REF!</v>
      </c>
      <c r="BK66" s="159" t="e">
        <f>#REF!</f>
        <v>#REF!</v>
      </c>
      <c r="BL66" s="181" t="e">
        <f t="shared" si="4"/>
        <v>#REF!</v>
      </c>
      <c r="BM66" s="182" t="e">
        <f t="shared" si="5"/>
        <v>#REF!</v>
      </c>
      <c r="BN66" s="182" t="e">
        <f t="shared" si="6"/>
        <v>#REF!</v>
      </c>
      <c r="BO66" s="182" t="e">
        <f t="shared" si="7"/>
        <v>#REF!</v>
      </c>
      <c r="BP66" s="182" t="e">
        <f t="shared" si="8"/>
        <v>#REF!</v>
      </c>
      <c r="BQ66" s="182" t="e">
        <f t="shared" si="9"/>
        <v>#REF!</v>
      </c>
      <c r="BR66" s="182" t="e">
        <f t="shared" si="10"/>
        <v>#REF!</v>
      </c>
      <c r="BS66" s="183" t="e">
        <f t="shared" si="11"/>
        <v>#REF!</v>
      </c>
      <c r="BT66" s="184" t="e">
        <f t="shared" si="12"/>
        <v>#REF!</v>
      </c>
      <c r="BU66" s="185" t="e">
        <f t="shared" si="13"/>
        <v>#REF!</v>
      </c>
      <c r="BV66" s="185" t="e">
        <f t="shared" si="14"/>
        <v>#REF!</v>
      </c>
      <c r="BW66" s="185" t="e">
        <f t="shared" si="15"/>
        <v>#REF!</v>
      </c>
      <c r="BX66" s="186" t="e">
        <f t="shared" si="16"/>
        <v>#REF!</v>
      </c>
      <c r="BY6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6" s="66"/>
      <c r="DA66" s="66"/>
      <c r="DB66" s="66"/>
      <c r="DC66" s="224" t="str">
        <f t="shared" ref="DC66:DC97" si="22">C66&amp;E66</f>
        <v/>
      </c>
      <c r="DD66" s="1">
        <f>IF($DC66="",0,IF(COUNTIF($DC$2:$DC65,$DC66)=0,1,0))</f>
        <v>0</v>
      </c>
    </row>
    <row r="67" spans="1:108" s="1" customFormat="1" ht="12" customHeight="1" x14ac:dyDescent="0.25">
      <c r="A67" s="64">
        <v>66</v>
      </c>
      <c r="B67" s="71"/>
      <c r="C67" s="72"/>
      <c r="D67" s="72"/>
      <c r="E67" s="72"/>
      <c r="F67" s="72"/>
      <c r="G67" s="66"/>
      <c r="H67" s="66"/>
      <c r="I67" s="66"/>
      <c r="J67" s="67"/>
      <c r="K67" s="68"/>
      <c r="L67" s="69"/>
      <c r="M67" s="66"/>
      <c r="N67" s="66"/>
      <c r="O67" s="136" t="str">
        <f t="shared" si="21"/>
        <v/>
      </c>
      <c r="P67" s="65" t="str">
        <f t="shared" ref="P67:P130" si="23">IF(B67="","",IF($B67="MR","H","F"))</f>
        <v/>
      </c>
      <c r="Q67" s="70"/>
      <c r="R67" s="66"/>
      <c r="S67" s="65"/>
      <c r="T67" s="65"/>
      <c r="U67" s="65"/>
      <c r="V67" s="65"/>
      <c r="W67" s="65"/>
      <c r="X67" s="240"/>
      <c r="Y67" s="65"/>
      <c r="Z67" s="281"/>
      <c r="AA67" s="66"/>
      <c r="AB67" s="66"/>
      <c r="AC67" s="247"/>
      <c r="AD67" s="240" t="str">
        <f t="shared" ref="AD67:AD130" si="24">IF($AC67="","",IF($AC67="À l'étranger","À l'étranger",IF($AC67="N. VI et Vbis (sans diplôme validé)",2,IF($AC67="N. V (CAP / BEP)",3,IF($AC67="N. IV (bac)",4,IF($AC67="N. III (bac + 2)",5,IF($AC67="N. II (bac + 4 et bac +3)",6,"7/8")))))))</f>
        <v/>
      </c>
      <c r="AE67" s="240"/>
      <c r="AF67" s="241"/>
      <c r="AG67" s="247"/>
      <c r="AH67" s="241"/>
      <c r="AI67" s="247"/>
      <c r="AJ67" s="231"/>
      <c r="AK67" s="240"/>
      <c r="AL67" s="241"/>
      <c r="AM67" s="65"/>
      <c r="AN67" s="241"/>
      <c r="AO67" s="65"/>
      <c r="AP67" s="66"/>
      <c r="AQ67" s="66"/>
      <c r="AR67" s="66"/>
      <c r="AS67" s="221"/>
      <c r="AT67" s="222">
        <f t="shared" si="20"/>
        <v>0</v>
      </c>
      <c r="AU67" s="223"/>
      <c r="AV67" s="99"/>
      <c r="AW67" s="100"/>
      <c r="AX67" s="100"/>
      <c r="AY67" s="100"/>
      <c r="AZ67" s="100"/>
      <c r="BA67" s="100"/>
      <c r="BB67" s="100"/>
      <c r="BC67" s="101"/>
      <c r="BD67" s="96"/>
      <c r="BE67" s="97"/>
      <c r="BF67" s="97"/>
      <c r="BG67" s="97"/>
      <c r="BH67" s="98"/>
      <c r="BI67" s="157" t="e">
        <f t="shared" ref="BI67:BI130" si="25">SUM(BL67:BX67)+CY67</f>
        <v>#REF!</v>
      </c>
      <c r="BJ67" s="158" t="e">
        <f>#REF!</f>
        <v>#REF!</v>
      </c>
      <c r="BK67" s="159" t="e">
        <f>#REF!</f>
        <v>#REF!</v>
      </c>
      <c r="BL67" s="181" t="e">
        <f t="shared" ref="BL67:BL130" si="26">BY67+CL67</f>
        <v>#REF!</v>
      </c>
      <c r="BM67" s="182" t="e">
        <f t="shared" ref="BM67:BM130" si="27">BZ67+CM67</f>
        <v>#REF!</v>
      </c>
      <c r="BN67" s="182" t="e">
        <f t="shared" ref="BN67:BN130" si="28">CA67+CN67</f>
        <v>#REF!</v>
      </c>
      <c r="BO67" s="182" t="e">
        <f t="shared" ref="BO67:BO130" si="29">CB67+CO67</f>
        <v>#REF!</v>
      </c>
      <c r="BP67" s="182" t="e">
        <f t="shared" ref="BP67:BP130" si="30">CC67+CP67</f>
        <v>#REF!</v>
      </c>
      <c r="BQ67" s="182" t="e">
        <f t="shared" ref="BQ67:BQ130" si="31">CD67+CQ67</f>
        <v>#REF!</v>
      </c>
      <c r="BR67" s="182" t="e">
        <f t="shared" ref="BR67:BR130" si="32">CE67+CR67</f>
        <v>#REF!</v>
      </c>
      <c r="BS67" s="183" t="e">
        <f t="shared" ref="BS67:BS130" si="33">CF67+CS67</f>
        <v>#REF!</v>
      </c>
      <c r="BT67" s="184" t="e">
        <f t="shared" ref="BT67:BT130" si="34">CG67+CT67</f>
        <v>#REF!</v>
      </c>
      <c r="BU67" s="185" t="e">
        <f t="shared" ref="BU67:BU130" si="35">CH67+CU67</f>
        <v>#REF!</v>
      </c>
      <c r="BV67" s="185" t="e">
        <f t="shared" ref="BV67:BV130" si="36">CI67+CV67</f>
        <v>#REF!</v>
      </c>
      <c r="BW67" s="185" t="e">
        <f t="shared" ref="BW67:BW130" si="37">CJ67+CW67</f>
        <v>#REF!</v>
      </c>
      <c r="BX67" s="186" t="e">
        <f t="shared" ref="BX67:BX130" si="38">CK67+CX67</f>
        <v>#REF!</v>
      </c>
      <c r="BY6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7" s="66"/>
      <c r="DA67" s="66"/>
      <c r="DB67" s="66"/>
      <c r="DC67" s="224" t="str">
        <f t="shared" si="22"/>
        <v/>
      </c>
      <c r="DD67" s="1">
        <f>IF($DC67="",0,IF(COUNTIF($DC$2:$DC66,$DC67)=0,1,0))</f>
        <v>0</v>
      </c>
    </row>
    <row r="68" spans="1:108" s="1" customFormat="1" ht="12" customHeight="1" x14ac:dyDescent="0.25">
      <c r="A68" s="64">
        <v>67</v>
      </c>
      <c r="B68" s="71"/>
      <c r="C68" s="72"/>
      <c r="D68" s="72"/>
      <c r="E68" s="72"/>
      <c r="F68" s="72"/>
      <c r="G68" s="66"/>
      <c r="H68" s="66"/>
      <c r="I68" s="66"/>
      <c r="J68" s="67"/>
      <c r="K68" s="68"/>
      <c r="L68" s="69"/>
      <c r="M68" s="66"/>
      <c r="N68" s="66"/>
      <c r="O68" s="136" t="str">
        <f t="shared" si="21"/>
        <v/>
      </c>
      <c r="P68" s="65" t="str">
        <f t="shared" si="23"/>
        <v/>
      </c>
      <c r="Q68" s="70"/>
      <c r="R68" s="66"/>
      <c r="S68" s="65"/>
      <c r="T68" s="65"/>
      <c r="U68" s="65"/>
      <c r="V68" s="65"/>
      <c r="W68" s="65"/>
      <c r="X68" s="240"/>
      <c r="Y68" s="65"/>
      <c r="Z68" s="281"/>
      <c r="AA68" s="66"/>
      <c r="AB68" s="66"/>
      <c r="AC68" s="247"/>
      <c r="AD68" s="240" t="str">
        <f t="shared" si="24"/>
        <v/>
      </c>
      <c r="AE68" s="240"/>
      <c r="AF68" s="241"/>
      <c r="AG68" s="247"/>
      <c r="AH68" s="241"/>
      <c r="AI68" s="247"/>
      <c r="AJ68" s="231"/>
      <c r="AK68" s="240"/>
      <c r="AL68" s="241"/>
      <c r="AM68" s="65"/>
      <c r="AN68" s="241"/>
      <c r="AO68" s="65"/>
      <c r="AP68" s="66"/>
      <c r="AQ68" s="66"/>
      <c r="AR68" s="66"/>
      <c r="AS68" s="221"/>
      <c r="AT68" s="222">
        <f t="shared" si="20"/>
        <v>0</v>
      </c>
      <c r="AU68" s="223"/>
      <c r="AV68" s="99"/>
      <c r="AW68" s="100"/>
      <c r="AX68" s="100"/>
      <c r="AY68" s="100"/>
      <c r="AZ68" s="100"/>
      <c r="BA68" s="100"/>
      <c r="BB68" s="100"/>
      <c r="BC68" s="101"/>
      <c r="BD68" s="96"/>
      <c r="BE68" s="97"/>
      <c r="BF68" s="97"/>
      <c r="BG68" s="97"/>
      <c r="BH68" s="98"/>
      <c r="BI68" s="157" t="e">
        <f t="shared" si="25"/>
        <v>#REF!</v>
      </c>
      <c r="BJ68" s="158" t="e">
        <f>#REF!</f>
        <v>#REF!</v>
      </c>
      <c r="BK68" s="159" t="e">
        <f>#REF!</f>
        <v>#REF!</v>
      </c>
      <c r="BL68" s="181" t="e">
        <f t="shared" si="26"/>
        <v>#REF!</v>
      </c>
      <c r="BM68" s="182" t="e">
        <f t="shared" si="27"/>
        <v>#REF!</v>
      </c>
      <c r="BN68" s="182" t="e">
        <f t="shared" si="28"/>
        <v>#REF!</v>
      </c>
      <c r="BO68" s="182" t="e">
        <f t="shared" si="29"/>
        <v>#REF!</v>
      </c>
      <c r="BP68" s="182" t="e">
        <f t="shared" si="30"/>
        <v>#REF!</v>
      </c>
      <c r="BQ68" s="182" t="e">
        <f t="shared" si="31"/>
        <v>#REF!</v>
      </c>
      <c r="BR68" s="182" t="e">
        <f t="shared" si="32"/>
        <v>#REF!</v>
      </c>
      <c r="BS68" s="183" t="e">
        <f t="shared" si="33"/>
        <v>#REF!</v>
      </c>
      <c r="BT68" s="184" t="e">
        <f t="shared" si="34"/>
        <v>#REF!</v>
      </c>
      <c r="BU68" s="185" t="e">
        <f t="shared" si="35"/>
        <v>#REF!</v>
      </c>
      <c r="BV68" s="185" t="e">
        <f t="shared" si="36"/>
        <v>#REF!</v>
      </c>
      <c r="BW68" s="185" t="e">
        <f t="shared" si="37"/>
        <v>#REF!</v>
      </c>
      <c r="BX68" s="186" t="e">
        <f t="shared" si="38"/>
        <v>#REF!</v>
      </c>
      <c r="BY6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8" s="66"/>
      <c r="DA68" s="66"/>
      <c r="DB68" s="66"/>
      <c r="DC68" s="224" t="str">
        <f t="shared" si="22"/>
        <v/>
      </c>
      <c r="DD68" s="1">
        <f>IF($DC68="",0,IF(COUNTIF($DC$2:$DC67,$DC68)=0,1,0))</f>
        <v>0</v>
      </c>
    </row>
    <row r="69" spans="1:108" s="1" customFormat="1" ht="12" customHeight="1" x14ac:dyDescent="0.25">
      <c r="A69" s="64">
        <v>68</v>
      </c>
      <c r="B69" s="71"/>
      <c r="C69" s="72"/>
      <c r="D69" s="72"/>
      <c r="E69" s="72"/>
      <c r="F69" s="72"/>
      <c r="G69" s="66"/>
      <c r="H69" s="66"/>
      <c r="I69" s="66"/>
      <c r="J69" s="67"/>
      <c r="K69" s="68"/>
      <c r="L69" s="69"/>
      <c r="M69" s="66"/>
      <c r="N69" s="66"/>
      <c r="O69" s="136" t="str">
        <f t="shared" si="21"/>
        <v/>
      </c>
      <c r="P69" s="65" t="str">
        <f t="shared" si="23"/>
        <v/>
      </c>
      <c r="Q69" s="70"/>
      <c r="R69" s="66"/>
      <c r="S69" s="65"/>
      <c r="T69" s="65"/>
      <c r="U69" s="65"/>
      <c r="V69" s="65"/>
      <c r="W69" s="65"/>
      <c r="X69" s="240"/>
      <c r="Y69" s="65"/>
      <c r="Z69" s="281"/>
      <c r="AA69" s="66"/>
      <c r="AB69" s="66"/>
      <c r="AC69" s="247"/>
      <c r="AD69" s="240" t="str">
        <f t="shared" si="24"/>
        <v/>
      </c>
      <c r="AE69" s="240"/>
      <c r="AF69" s="241"/>
      <c r="AG69" s="247"/>
      <c r="AH69" s="241"/>
      <c r="AI69" s="247"/>
      <c r="AJ69" s="231"/>
      <c r="AK69" s="240"/>
      <c r="AL69" s="241"/>
      <c r="AM69" s="65"/>
      <c r="AN69" s="241"/>
      <c r="AO69" s="65"/>
      <c r="AP69" s="66"/>
      <c r="AQ69" s="66"/>
      <c r="AR69" s="66"/>
      <c r="AS69" s="221"/>
      <c r="AT69" s="222">
        <f t="shared" si="20"/>
        <v>0</v>
      </c>
      <c r="AU69" s="223"/>
      <c r="AV69" s="99"/>
      <c r="AW69" s="100"/>
      <c r="AX69" s="100"/>
      <c r="AY69" s="100"/>
      <c r="AZ69" s="100"/>
      <c r="BA69" s="100"/>
      <c r="BB69" s="100"/>
      <c r="BC69" s="101"/>
      <c r="BD69" s="96"/>
      <c r="BE69" s="97"/>
      <c r="BF69" s="97"/>
      <c r="BG69" s="97"/>
      <c r="BH69" s="98"/>
      <c r="BI69" s="157" t="e">
        <f t="shared" si="25"/>
        <v>#REF!</v>
      </c>
      <c r="BJ69" s="158" t="e">
        <f>#REF!</f>
        <v>#REF!</v>
      </c>
      <c r="BK69" s="159" t="e">
        <f>#REF!</f>
        <v>#REF!</v>
      </c>
      <c r="BL69" s="181" t="e">
        <f t="shared" si="26"/>
        <v>#REF!</v>
      </c>
      <c r="BM69" s="182" t="e">
        <f t="shared" si="27"/>
        <v>#REF!</v>
      </c>
      <c r="BN69" s="182" t="e">
        <f t="shared" si="28"/>
        <v>#REF!</v>
      </c>
      <c r="BO69" s="182" t="e">
        <f t="shared" si="29"/>
        <v>#REF!</v>
      </c>
      <c r="BP69" s="182" t="e">
        <f t="shared" si="30"/>
        <v>#REF!</v>
      </c>
      <c r="BQ69" s="182" t="e">
        <f t="shared" si="31"/>
        <v>#REF!</v>
      </c>
      <c r="BR69" s="182" t="e">
        <f t="shared" si="32"/>
        <v>#REF!</v>
      </c>
      <c r="BS69" s="183" t="e">
        <f t="shared" si="33"/>
        <v>#REF!</v>
      </c>
      <c r="BT69" s="184" t="e">
        <f t="shared" si="34"/>
        <v>#REF!</v>
      </c>
      <c r="BU69" s="185" t="e">
        <f t="shared" si="35"/>
        <v>#REF!</v>
      </c>
      <c r="BV69" s="185" t="e">
        <f t="shared" si="36"/>
        <v>#REF!</v>
      </c>
      <c r="BW69" s="185" t="e">
        <f t="shared" si="37"/>
        <v>#REF!</v>
      </c>
      <c r="BX69" s="186" t="e">
        <f t="shared" si="38"/>
        <v>#REF!</v>
      </c>
      <c r="BY6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6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6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6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6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6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6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6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6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6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6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6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6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6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6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6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6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6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6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6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6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6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6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6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6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6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6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69" s="66"/>
      <c r="DA69" s="66"/>
      <c r="DB69" s="66"/>
      <c r="DC69" s="224" t="str">
        <f t="shared" si="22"/>
        <v/>
      </c>
      <c r="DD69" s="1">
        <f>IF($DC69="",0,IF(COUNTIF($DC$2:$DC68,$DC69)=0,1,0))</f>
        <v>0</v>
      </c>
    </row>
    <row r="70" spans="1:108" s="1" customFormat="1" ht="12" customHeight="1" x14ac:dyDescent="0.25">
      <c r="A70" s="64">
        <v>69</v>
      </c>
      <c r="B70" s="71"/>
      <c r="C70" s="72"/>
      <c r="D70" s="72"/>
      <c r="E70" s="72"/>
      <c r="F70" s="72"/>
      <c r="G70" s="66"/>
      <c r="H70" s="66"/>
      <c r="I70" s="66"/>
      <c r="J70" s="67"/>
      <c r="K70" s="68"/>
      <c r="L70" s="69"/>
      <c r="M70" s="66"/>
      <c r="N70" s="66"/>
      <c r="O70" s="136" t="str">
        <f t="shared" si="21"/>
        <v/>
      </c>
      <c r="P70" s="65" t="str">
        <f t="shared" si="23"/>
        <v/>
      </c>
      <c r="Q70" s="70"/>
      <c r="R70" s="66"/>
      <c r="S70" s="65"/>
      <c r="T70" s="65"/>
      <c r="U70" s="65"/>
      <c r="V70" s="65"/>
      <c r="W70" s="65"/>
      <c r="X70" s="240"/>
      <c r="Y70" s="65"/>
      <c r="Z70" s="281"/>
      <c r="AA70" s="66"/>
      <c r="AB70" s="66"/>
      <c r="AC70" s="247"/>
      <c r="AD70" s="240" t="str">
        <f t="shared" si="24"/>
        <v/>
      </c>
      <c r="AE70" s="240"/>
      <c r="AF70" s="241"/>
      <c r="AG70" s="247"/>
      <c r="AH70" s="241"/>
      <c r="AI70" s="247"/>
      <c r="AJ70" s="231"/>
      <c r="AK70" s="240"/>
      <c r="AL70" s="241"/>
      <c r="AM70" s="65"/>
      <c r="AN70" s="241"/>
      <c r="AO70" s="65"/>
      <c r="AP70" s="66"/>
      <c r="AQ70" s="66"/>
      <c r="AR70" s="66"/>
      <c r="AS70" s="221"/>
      <c r="AT70" s="222">
        <f t="shared" ref="AT70:AT133" si="39">SUM(AV70:BH70)</f>
        <v>0</v>
      </c>
      <c r="AU70" s="223"/>
      <c r="AV70" s="99"/>
      <c r="AW70" s="100"/>
      <c r="AX70" s="100"/>
      <c r="AY70" s="100"/>
      <c r="AZ70" s="100"/>
      <c r="BA70" s="100"/>
      <c r="BB70" s="100"/>
      <c r="BC70" s="101"/>
      <c r="BD70" s="96"/>
      <c r="BE70" s="97"/>
      <c r="BF70" s="97"/>
      <c r="BG70" s="97"/>
      <c r="BH70" s="98"/>
      <c r="BI70" s="157" t="e">
        <f t="shared" si="25"/>
        <v>#REF!</v>
      </c>
      <c r="BJ70" s="158" t="e">
        <f>#REF!</f>
        <v>#REF!</v>
      </c>
      <c r="BK70" s="159" t="e">
        <f>#REF!</f>
        <v>#REF!</v>
      </c>
      <c r="BL70" s="181" t="e">
        <f t="shared" si="26"/>
        <v>#REF!</v>
      </c>
      <c r="BM70" s="182" t="e">
        <f t="shared" si="27"/>
        <v>#REF!</v>
      </c>
      <c r="BN70" s="182" t="e">
        <f t="shared" si="28"/>
        <v>#REF!</v>
      </c>
      <c r="BO70" s="182" t="e">
        <f t="shared" si="29"/>
        <v>#REF!</v>
      </c>
      <c r="BP70" s="182" t="e">
        <f t="shared" si="30"/>
        <v>#REF!</v>
      </c>
      <c r="BQ70" s="182" t="e">
        <f t="shared" si="31"/>
        <v>#REF!</v>
      </c>
      <c r="BR70" s="182" t="e">
        <f t="shared" si="32"/>
        <v>#REF!</v>
      </c>
      <c r="BS70" s="183" t="e">
        <f t="shared" si="33"/>
        <v>#REF!</v>
      </c>
      <c r="BT70" s="184" t="e">
        <f t="shared" si="34"/>
        <v>#REF!</v>
      </c>
      <c r="BU70" s="185" t="e">
        <f t="shared" si="35"/>
        <v>#REF!</v>
      </c>
      <c r="BV70" s="185" t="e">
        <f t="shared" si="36"/>
        <v>#REF!</v>
      </c>
      <c r="BW70" s="185" t="e">
        <f t="shared" si="37"/>
        <v>#REF!</v>
      </c>
      <c r="BX70" s="186" t="e">
        <f t="shared" si="38"/>
        <v>#REF!</v>
      </c>
      <c r="BY7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0" s="66"/>
      <c r="DA70" s="66"/>
      <c r="DB70" s="66"/>
      <c r="DC70" s="224" t="str">
        <f t="shared" si="22"/>
        <v/>
      </c>
      <c r="DD70" s="1">
        <f>IF($DC70="",0,IF(COUNTIF($DC$2:$DC69,$DC70)=0,1,0))</f>
        <v>0</v>
      </c>
    </row>
    <row r="71" spans="1:108" s="1" customFormat="1" ht="12" customHeight="1" x14ac:dyDescent="0.25">
      <c r="A71" s="64">
        <v>70</v>
      </c>
      <c r="B71" s="71"/>
      <c r="C71" s="72"/>
      <c r="D71" s="72"/>
      <c r="E71" s="72"/>
      <c r="F71" s="72"/>
      <c r="G71" s="66"/>
      <c r="H71" s="66"/>
      <c r="I71" s="66"/>
      <c r="J71" s="67"/>
      <c r="K71" s="68"/>
      <c r="L71" s="69"/>
      <c r="M71" s="66"/>
      <c r="N71" s="66"/>
      <c r="O71" s="136" t="str">
        <f t="shared" si="21"/>
        <v/>
      </c>
      <c r="P71" s="65" t="str">
        <f t="shared" si="23"/>
        <v/>
      </c>
      <c r="Q71" s="70"/>
      <c r="R71" s="66"/>
      <c r="S71" s="65"/>
      <c r="T71" s="65"/>
      <c r="U71" s="65"/>
      <c r="V71" s="65"/>
      <c r="W71" s="65"/>
      <c r="X71" s="240"/>
      <c r="Y71" s="65"/>
      <c r="Z71" s="281"/>
      <c r="AA71" s="66"/>
      <c r="AB71" s="66"/>
      <c r="AC71" s="247"/>
      <c r="AD71" s="240" t="str">
        <f t="shared" si="24"/>
        <v/>
      </c>
      <c r="AE71" s="240"/>
      <c r="AF71" s="241"/>
      <c r="AG71" s="247"/>
      <c r="AH71" s="241"/>
      <c r="AI71" s="247"/>
      <c r="AJ71" s="231"/>
      <c r="AK71" s="240"/>
      <c r="AL71" s="241"/>
      <c r="AM71" s="65"/>
      <c r="AN71" s="241"/>
      <c r="AO71" s="65"/>
      <c r="AP71" s="66"/>
      <c r="AQ71" s="66"/>
      <c r="AR71" s="66"/>
      <c r="AS71" s="221"/>
      <c r="AT71" s="222">
        <f t="shared" si="39"/>
        <v>0</v>
      </c>
      <c r="AU71" s="223"/>
      <c r="AV71" s="99"/>
      <c r="AW71" s="100"/>
      <c r="AX71" s="100"/>
      <c r="AY71" s="100"/>
      <c r="AZ71" s="100"/>
      <c r="BA71" s="100"/>
      <c r="BB71" s="100"/>
      <c r="BC71" s="101"/>
      <c r="BD71" s="96"/>
      <c r="BE71" s="97"/>
      <c r="BF71" s="97"/>
      <c r="BG71" s="97"/>
      <c r="BH71" s="98"/>
      <c r="BI71" s="157" t="e">
        <f t="shared" si="25"/>
        <v>#REF!</v>
      </c>
      <c r="BJ71" s="158" t="e">
        <f>#REF!</f>
        <v>#REF!</v>
      </c>
      <c r="BK71" s="159" t="e">
        <f>#REF!</f>
        <v>#REF!</v>
      </c>
      <c r="BL71" s="181" t="e">
        <f t="shared" si="26"/>
        <v>#REF!</v>
      </c>
      <c r="BM71" s="182" t="e">
        <f t="shared" si="27"/>
        <v>#REF!</v>
      </c>
      <c r="BN71" s="182" t="e">
        <f t="shared" si="28"/>
        <v>#REF!</v>
      </c>
      <c r="BO71" s="182" t="e">
        <f t="shared" si="29"/>
        <v>#REF!</v>
      </c>
      <c r="BP71" s="182" t="e">
        <f t="shared" si="30"/>
        <v>#REF!</v>
      </c>
      <c r="BQ71" s="182" t="e">
        <f t="shared" si="31"/>
        <v>#REF!</v>
      </c>
      <c r="BR71" s="182" t="e">
        <f t="shared" si="32"/>
        <v>#REF!</v>
      </c>
      <c r="BS71" s="183" t="e">
        <f t="shared" si="33"/>
        <v>#REF!</v>
      </c>
      <c r="BT71" s="184" t="e">
        <f t="shared" si="34"/>
        <v>#REF!</v>
      </c>
      <c r="BU71" s="185" t="e">
        <f t="shared" si="35"/>
        <v>#REF!</v>
      </c>
      <c r="BV71" s="185" t="e">
        <f t="shared" si="36"/>
        <v>#REF!</v>
      </c>
      <c r="BW71" s="185" t="e">
        <f t="shared" si="37"/>
        <v>#REF!</v>
      </c>
      <c r="BX71" s="186" t="e">
        <f t="shared" si="38"/>
        <v>#REF!</v>
      </c>
      <c r="BY7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1" s="66"/>
      <c r="DA71" s="66"/>
      <c r="DB71" s="66"/>
      <c r="DC71" s="224" t="str">
        <f t="shared" si="22"/>
        <v/>
      </c>
      <c r="DD71" s="1">
        <f>IF($DC71="",0,IF(COUNTIF($DC$2:$DC70,$DC71)=0,1,0))</f>
        <v>0</v>
      </c>
    </row>
    <row r="72" spans="1:108" s="1" customFormat="1" ht="12" customHeight="1" x14ac:dyDescent="0.25">
      <c r="A72" s="64">
        <v>71</v>
      </c>
      <c r="B72" s="71"/>
      <c r="C72" s="72"/>
      <c r="D72" s="72"/>
      <c r="E72" s="72"/>
      <c r="F72" s="72"/>
      <c r="G72" s="66"/>
      <c r="H72" s="66"/>
      <c r="I72" s="66"/>
      <c r="J72" s="67"/>
      <c r="K72" s="68"/>
      <c r="L72" s="69"/>
      <c r="M72" s="66"/>
      <c r="N72" s="66"/>
      <c r="O72" s="136" t="str">
        <f t="shared" si="21"/>
        <v/>
      </c>
      <c r="P72" s="65" t="str">
        <f t="shared" si="23"/>
        <v/>
      </c>
      <c r="Q72" s="70"/>
      <c r="R72" s="66"/>
      <c r="S72" s="65"/>
      <c r="T72" s="65"/>
      <c r="U72" s="65"/>
      <c r="V72" s="65"/>
      <c r="W72" s="65"/>
      <c r="X72" s="240"/>
      <c r="Y72" s="65"/>
      <c r="Z72" s="281"/>
      <c r="AA72" s="66"/>
      <c r="AB72" s="66"/>
      <c r="AC72" s="247"/>
      <c r="AD72" s="240" t="str">
        <f t="shared" si="24"/>
        <v/>
      </c>
      <c r="AE72" s="240"/>
      <c r="AF72" s="241"/>
      <c r="AG72" s="247"/>
      <c r="AH72" s="241"/>
      <c r="AI72" s="247"/>
      <c r="AJ72" s="231"/>
      <c r="AK72" s="240"/>
      <c r="AL72" s="241"/>
      <c r="AM72" s="65"/>
      <c r="AN72" s="241"/>
      <c r="AO72" s="65"/>
      <c r="AP72" s="66"/>
      <c r="AQ72" s="66"/>
      <c r="AR72" s="66"/>
      <c r="AS72" s="221"/>
      <c r="AT72" s="222">
        <f t="shared" si="39"/>
        <v>0</v>
      </c>
      <c r="AU72" s="223"/>
      <c r="AV72" s="99"/>
      <c r="AW72" s="100"/>
      <c r="AX72" s="100"/>
      <c r="AY72" s="100"/>
      <c r="AZ72" s="100"/>
      <c r="BA72" s="100"/>
      <c r="BB72" s="100"/>
      <c r="BC72" s="101"/>
      <c r="BD72" s="96"/>
      <c r="BE72" s="97"/>
      <c r="BF72" s="97"/>
      <c r="BG72" s="97"/>
      <c r="BH72" s="98"/>
      <c r="BI72" s="157" t="e">
        <f t="shared" si="25"/>
        <v>#REF!</v>
      </c>
      <c r="BJ72" s="158" t="e">
        <f>#REF!</f>
        <v>#REF!</v>
      </c>
      <c r="BK72" s="159" t="e">
        <f>#REF!</f>
        <v>#REF!</v>
      </c>
      <c r="BL72" s="181" t="e">
        <f t="shared" si="26"/>
        <v>#REF!</v>
      </c>
      <c r="BM72" s="182" t="e">
        <f t="shared" si="27"/>
        <v>#REF!</v>
      </c>
      <c r="BN72" s="182" t="e">
        <f t="shared" si="28"/>
        <v>#REF!</v>
      </c>
      <c r="BO72" s="182" t="e">
        <f t="shared" si="29"/>
        <v>#REF!</v>
      </c>
      <c r="BP72" s="182" t="e">
        <f t="shared" si="30"/>
        <v>#REF!</v>
      </c>
      <c r="BQ72" s="182" t="e">
        <f t="shared" si="31"/>
        <v>#REF!</v>
      </c>
      <c r="BR72" s="182" t="e">
        <f t="shared" si="32"/>
        <v>#REF!</v>
      </c>
      <c r="BS72" s="183" t="e">
        <f t="shared" si="33"/>
        <v>#REF!</v>
      </c>
      <c r="BT72" s="184" t="e">
        <f t="shared" si="34"/>
        <v>#REF!</v>
      </c>
      <c r="BU72" s="185" t="e">
        <f t="shared" si="35"/>
        <v>#REF!</v>
      </c>
      <c r="BV72" s="185" t="e">
        <f t="shared" si="36"/>
        <v>#REF!</v>
      </c>
      <c r="BW72" s="185" t="e">
        <f t="shared" si="37"/>
        <v>#REF!</v>
      </c>
      <c r="BX72" s="186" t="e">
        <f t="shared" si="38"/>
        <v>#REF!</v>
      </c>
      <c r="BY7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2" s="66"/>
      <c r="DA72" s="66"/>
      <c r="DB72" s="66"/>
      <c r="DC72" s="224" t="str">
        <f t="shared" si="22"/>
        <v/>
      </c>
      <c r="DD72" s="1">
        <f>IF($DC72="",0,IF(COUNTIF($DC$2:$DC71,$DC72)=0,1,0))</f>
        <v>0</v>
      </c>
    </row>
    <row r="73" spans="1:108" s="1" customFormat="1" ht="12" customHeight="1" x14ac:dyDescent="0.25">
      <c r="A73" s="64">
        <v>72</v>
      </c>
      <c r="B73" s="71"/>
      <c r="C73" s="72"/>
      <c r="D73" s="72"/>
      <c r="E73" s="72"/>
      <c r="F73" s="72"/>
      <c r="G73" s="66"/>
      <c r="H73" s="66"/>
      <c r="I73" s="66"/>
      <c r="J73" s="67"/>
      <c r="K73" s="68"/>
      <c r="L73" s="69"/>
      <c r="M73" s="66"/>
      <c r="N73" s="66"/>
      <c r="O73" s="136" t="str">
        <f t="shared" si="21"/>
        <v/>
      </c>
      <c r="P73" s="65" t="str">
        <f t="shared" si="23"/>
        <v/>
      </c>
      <c r="Q73" s="70"/>
      <c r="R73" s="66"/>
      <c r="S73" s="65"/>
      <c r="T73" s="65"/>
      <c r="U73" s="65"/>
      <c r="V73" s="65"/>
      <c r="W73" s="65"/>
      <c r="X73" s="240"/>
      <c r="Y73" s="65"/>
      <c r="Z73" s="281"/>
      <c r="AA73" s="66"/>
      <c r="AB73" s="66"/>
      <c r="AC73" s="247"/>
      <c r="AD73" s="240" t="str">
        <f t="shared" si="24"/>
        <v/>
      </c>
      <c r="AE73" s="240"/>
      <c r="AF73" s="241"/>
      <c r="AG73" s="247"/>
      <c r="AH73" s="241"/>
      <c r="AI73" s="247"/>
      <c r="AJ73" s="231"/>
      <c r="AK73" s="240"/>
      <c r="AL73" s="241"/>
      <c r="AM73" s="65"/>
      <c r="AN73" s="241"/>
      <c r="AO73" s="65"/>
      <c r="AP73" s="66"/>
      <c r="AQ73" s="66"/>
      <c r="AR73" s="66"/>
      <c r="AS73" s="221"/>
      <c r="AT73" s="222">
        <f t="shared" si="39"/>
        <v>0</v>
      </c>
      <c r="AU73" s="223"/>
      <c r="AV73" s="99"/>
      <c r="AW73" s="100"/>
      <c r="AX73" s="100"/>
      <c r="AY73" s="100"/>
      <c r="AZ73" s="100"/>
      <c r="BA73" s="100"/>
      <c r="BB73" s="100"/>
      <c r="BC73" s="101"/>
      <c r="BD73" s="96"/>
      <c r="BE73" s="97"/>
      <c r="BF73" s="97"/>
      <c r="BG73" s="97"/>
      <c r="BH73" s="98"/>
      <c r="BI73" s="157" t="e">
        <f t="shared" si="25"/>
        <v>#REF!</v>
      </c>
      <c r="BJ73" s="158" t="e">
        <f>#REF!</f>
        <v>#REF!</v>
      </c>
      <c r="BK73" s="159" t="e">
        <f>#REF!</f>
        <v>#REF!</v>
      </c>
      <c r="BL73" s="181" t="e">
        <f t="shared" si="26"/>
        <v>#REF!</v>
      </c>
      <c r="BM73" s="182" t="e">
        <f t="shared" si="27"/>
        <v>#REF!</v>
      </c>
      <c r="BN73" s="182" t="e">
        <f t="shared" si="28"/>
        <v>#REF!</v>
      </c>
      <c r="BO73" s="182" t="e">
        <f t="shared" si="29"/>
        <v>#REF!</v>
      </c>
      <c r="BP73" s="182" t="e">
        <f t="shared" si="30"/>
        <v>#REF!</v>
      </c>
      <c r="BQ73" s="182" t="e">
        <f t="shared" si="31"/>
        <v>#REF!</v>
      </c>
      <c r="BR73" s="182" t="e">
        <f t="shared" si="32"/>
        <v>#REF!</v>
      </c>
      <c r="BS73" s="183" t="e">
        <f t="shared" si="33"/>
        <v>#REF!</v>
      </c>
      <c r="BT73" s="184" t="e">
        <f t="shared" si="34"/>
        <v>#REF!</v>
      </c>
      <c r="BU73" s="185" t="e">
        <f t="shared" si="35"/>
        <v>#REF!</v>
      </c>
      <c r="BV73" s="185" t="e">
        <f t="shared" si="36"/>
        <v>#REF!</v>
      </c>
      <c r="BW73" s="185" t="e">
        <f t="shared" si="37"/>
        <v>#REF!</v>
      </c>
      <c r="BX73" s="186" t="e">
        <f t="shared" si="38"/>
        <v>#REF!</v>
      </c>
      <c r="BY7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3" s="66"/>
      <c r="DA73" s="66"/>
      <c r="DB73" s="66"/>
      <c r="DC73" s="224" t="str">
        <f t="shared" si="22"/>
        <v/>
      </c>
      <c r="DD73" s="1">
        <f>IF($DC73="",0,IF(COUNTIF($DC$2:$DC72,$DC73)=0,1,0))</f>
        <v>0</v>
      </c>
    </row>
    <row r="74" spans="1:108" s="1" customFormat="1" ht="12" customHeight="1" x14ac:dyDescent="0.25">
      <c r="A74" s="64">
        <v>73</v>
      </c>
      <c r="B74" s="71"/>
      <c r="C74" s="72"/>
      <c r="D74" s="72"/>
      <c r="E74" s="72"/>
      <c r="F74" s="72"/>
      <c r="G74" s="66"/>
      <c r="H74" s="66"/>
      <c r="I74" s="66"/>
      <c r="J74" s="67"/>
      <c r="K74" s="68"/>
      <c r="L74" s="69"/>
      <c r="M74" s="66"/>
      <c r="N74" s="66"/>
      <c r="O74" s="136" t="str">
        <f t="shared" si="21"/>
        <v/>
      </c>
      <c r="P74" s="65" t="str">
        <f t="shared" si="23"/>
        <v/>
      </c>
      <c r="Q74" s="70"/>
      <c r="R74" s="66"/>
      <c r="S74" s="65"/>
      <c r="T74" s="65"/>
      <c r="U74" s="65"/>
      <c r="V74" s="65"/>
      <c r="W74" s="65"/>
      <c r="X74" s="240"/>
      <c r="Y74" s="65"/>
      <c r="Z74" s="281"/>
      <c r="AA74" s="66"/>
      <c r="AB74" s="66"/>
      <c r="AC74" s="247"/>
      <c r="AD74" s="240" t="str">
        <f t="shared" si="24"/>
        <v/>
      </c>
      <c r="AE74" s="240"/>
      <c r="AF74" s="241"/>
      <c r="AG74" s="247"/>
      <c r="AH74" s="241"/>
      <c r="AI74" s="247"/>
      <c r="AJ74" s="231"/>
      <c r="AK74" s="240"/>
      <c r="AL74" s="241"/>
      <c r="AM74" s="65"/>
      <c r="AN74" s="241"/>
      <c r="AO74" s="65"/>
      <c r="AP74" s="66"/>
      <c r="AQ74" s="66"/>
      <c r="AR74" s="66"/>
      <c r="AS74" s="221"/>
      <c r="AT74" s="222">
        <f t="shared" si="39"/>
        <v>0</v>
      </c>
      <c r="AU74" s="223"/>
      <c r="AV74" s="99"/>
      <c r="AW74" s="100"/>
      <c r="AX74" s="100"/>
      <c r="AY74" s="100"/>
      <c r="AZ74" s="100"/>
      <c r="BA74" s="100"/>
      <c r="BB74" s="100"/>
      <c r="BC74" s="101"/>
      <c r="BD74" s="96"/>
      <c r="BE74" s="97"/>
      <c r="BF74" s="97"/>
      <c r="BG74" s="97"/>
      <c r="BH74" s="98"/>
      <c r="BI74" s="157" t="e">
        <f t="shared" si="25"/>
        <v>#REF!</v>
      </c>
      <c r="BJ74" s="158" t="e">
        <f>#REF!</f>
        <v>#REF!</v>
      </c>
      <c r="BK74" s="159" t="e">
        <f>#REF!</f>
        <v>#REF!</v>
      </c>
      <c r="BL74" s="181" t="e">
        <f t="shared" si="26"/>
        <v>#REF!</v>
      </c>
      <c r="BM74" s="182" t="e">
        <f t="shared" si="27"/>
        <v>#REF!</v>
      </c>
      <c r="BN74" s="182" t="e">
        <f t="shared" si="28"/>
        <v>#REF!</v>
      </c>
      <c r="BO74" s="182" t="e">
        <f t="shared" si="29"/>
        <v>#REF!</v>
      </c>
      <c r="BP74" s="182" t="e">
        <f t="shared" si="30"/>
        <v>#REF!</v>
      </c>
      <c r="BQ74" s="182" t="e">
        <f t="shared" si="31"/>
        <v>#REF!</v>
      </c>
      <c r="BR74" s="182" t="e">
        <f t="shared" si="32"/>
        <v>#REF!</v>
      </c>
      <c r="BS74" s="183" t="e">
        <f t="shared" si="33"/>
        <v>#REF!</v>
      </c>
      <c r="BT74" s="184" t="e">
        <f t="shared" si="34"/>
        <v>#REF!</v>
      </c>
      <c r="BU74" s="185" t="e">
        <f t="shared" si="35"/>
        <v>#REF!</v>
      </c>
      <c r="BV74" s="185" t="e">
        <f t="shared" si="36"/>
        <v>#REF!</v>
      </c>
      <c r="BW74" s="185" t="e">
        <f t="shared" si="37"/>
        <v>#REF!</v>
      </c>
      <c r="BX74" s="186" t="e">
        <f t="shared" si="38"/>
        <v>#REF!</v>
      </c>
      <c r="BY7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4" s="66"/>
      <c r="DA74" s="66"/>
      <c r="DB74" s="66"/>
      <c r="DC74" s="224" t="str">
        <f t="shared" si="22"/>
        <v/>
      </c>
      <c r="DD74" s="1">
        <f>IF($DC74="",0,IF(COUNTIF($DC$2:$DC73,$DC74)=0,1,0))</f>
        <v>0</v>
      </c>
    </row>
    <row r="75" spans="1:108" s="1" customFormat="1" ht="12" customHeight="1" x14ac:dyDescent="0.25">
      <c r="A75" s="64">
        <v>74</v>
      </c>
      <c r="B75" s="71"/>
      <c r="C75" s="72"/>
      <c r="D75" s="72"/>
      <c r="E75" s="72"/>
      <c r="F75" s="72"/>
      <c r="G75" s="66"/>
      <c r="H75" s="66"/>
      <c r="I75" s="66"/>
      <c r="J75" s="67"/>
      <c r="K75" s="68"/>
      <c r="L75" s="69"/>
      <c r="M75" s="66"/>
      <c r="N75" s="66"/>
      <c r="O75" s="136" t="str">
        <f t="shared" si="21"/>
        <v/>
      </c>
      <c r="P75" s="65" t="str">
        <f t="shared" si="23"/>
        <v/>
      </c>
      <c r="Q75" s="70"/>
      <c r="R75" s="66"/>
      <c r="S75" s="65"/>
      <c r="T75" s="65"/>
      <c r="U75" s="65"/>
      <c r="V75" s="65"/>
      <c r="W75" s="65"/>
      <c r="X75" s="240"/>
      <c r="Y75" s="65"/>
      <c r="Z75" s="281"/>
      <c r="AA75" s="66"/>
      <c r="AB75" s="66"/>
      <c r="AC75" s="247"/>
      <c r="AD75" s="240" t="str">
        <f t="shared" si="24"/>
        <v/>
      </c>
      <c r="AE75" s="240"/>
      <c r="AF75" s="241"/>
      <c r="AG75" s="247"/>
      <c r="AH75" s="241"/>
      <c r="AI75" s="247"/>
      <c r="AJ75" s="231"/>
      <c r="AK75" s="240"/>
      <c r="AL75" s="241"/>
      <c r="AM75" s="65"/>
      <c r="AN75" s="241"/>
      <c r="AO75" s="65"/>
      <c r="AP75" s="66"/>
      <c r="AQ75" s="66"/>
      <c r="AR75" s="66"/>
      <c r="AS75" s="221"/>
      <c r="AT75" s="222">
        <f t="shared" si="39"/>
        <v>0</v>
      </c>
      <c r="AU75" s="223"/>
      <c r="AV75" s="99"/>
      <c r="AW75" s="100"/>
      <c r="AX75" s="100"/>
      <c r="AY75" s="100"/>
      <c r="AZ75" s="100"/>
      <c r="BA75" s="100"/>
      <c r="BB75" s="100"/>
      <c r="BC75" s="101"/>
      <c r="BD75" s="96"/>
      <c r="BE75" s="97"/>
      <c r="BF75" s="97"/>
      <c r="BG75" s="97"/>
      <c r="BH75" s="98"/>
      <c r="BI75" s="157" t="e">
        <f t="shared" si="25"/>
        <v>#REF!</v>
      </c>
      <c r="BJ75" s="158" t="e">
        <f>#REF!</f>
        <v>#REF!</v>
      </c>
      <c r="BK75" s="159" t="e">
        <f>#REF!</f>
        <v>#REF!</v>
      </c>
      <c r="BL75" s="181" t="e">
        <f t="shared" si="26"/>
        <v>#REF!</v>
      </c>
      <c r="BM75" s="182" t="e">
        <f t="shared" si="27"/>
        <v>#REF!</v>
      </c>
      <c r="BN75" s="182" t="e">
        <f t="shared" si="28"/>
        <v>#REF!</v>
      </c>
      <c r="BO75" s="182" t="e">
        <f t="shared" si="29"/>
        <v>#REF!</v>
      </c>
      <c r="BP75" s="182" t="e">
        <f t="shared" si="30"/>
        <v>#REF!</v>
      </c>
      <c r="BQ75" s="182" t="e">
        <f t="shared" si="31"/>
        <v>#REF!</v>
      </c>
      <c r="BR75" s="182" t="e">
        <f t="shared" si="32"/>
        <v>#REF!</v>
      </c>
      <c r="BS75" s="183" t="e">
        <f t="shared" si="33"/>
        <v>#REF!</v>
      </c>
      <c r="BT75" s="184" t="e">
        <f t="shared" si="34"/>
        <v>#REF!</v>
      </c>
      <c r="BU75" s="185" t="e">
        <f t="shared" si="35"/>
        <v>#REF!</v>
      </c>
      <c r="BV75" s="185" t="e">
        <f t="shared" si="36"/>
        <v>#REF!</v>
      </c>
      <c r="BW75" s="185" t="e">
        <f t="shared" si="37"/>
        <v>#REF!</v>
      </c>
      <c r="BX75" s="186" t="e">
        <f t="shared" si="38"/>
        <v>#REF!</v>
      </c>
      <c r="BY7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5" s="66"/>
      <c r="DA75" s="66"/>
      <c r="DB75" s="66"/>
      <c r="DC75" s="224" t="str">
        <f t="shared" si="22"/>
        <v/>
      </c>
      <c r="DD75" s="1">
        <f>IF($DC75="",0,IF(COUNTIF($DC$2:$DC74,$DC75)=0,1,0))</f>
        <v>0</v>
      </c>
    </row>
    <row r="76" spans="1:108" s="1" customFormat="1" ht="12" customHeight="1" x14ac:dyDescent="0.25">
      <c r="A76" s="64">
        <v>75</v>
      </c>
      <c r="B76" s="71"/>
      <c r="C76" s="72"/>
      <c r="D76" s="72"/>
      <c r="E76" s="72"/>
      <c r="F76" s="72"/>
      <c r="G76" s="66"/>
      <c r="H76" s="66"/>
      <c r="I76" s="66"/>
      <c r="J76" s="67"/>
      <c r="K76" s="68"/>
      <c r="L76" s="69"/>
      <c r="M76" s="66"/>
      <c r="N76" s="66"/>
      <c r="O76" s="136" t="str">
        <f t="shared" si="21"/>
        <v/>
      </c>
      <c r="P76" s="65" t="str">
        <f t="shared" si="23"/>
        <v/>
      </c>
      <c r="Q76" s="70"/>
      <c r="R76" s="66"/>
      <c r="S76" s="65"/>
      <c r="T76" s="65"/>
      <c r="U76" s="65"/>
      <c r="V76" s="65"/>
      <c r="W76" s="65"/>
      <c r="X76" s="240"/>
      <c r="Y76" s="65"/>
      <c r="Z76" s="281"/>
      <c r="AA76" s="66"/>
      <c r="AB76" s="66"/>
      <c r="AC76" s="247"/>
      <c r="AD76" s="240" t="str">
        <f t="shared" si="24"/>
        <v/>
      </c>
      <c r="AE76" s="240"/>
      <c r="AF76" s="241"/>
      <c r="AG76" s="247"/>
      <c r="AH76" s="241"/>
      <c r="AI76" s="247"/>
      <c r="AJ76" s="231"/>
      <c r="AK76" s="240"/>
      <c r="AL76" s="241"/>
      <c r="AM76" s="65"/>
      <c r="AN76" s="241"/>
      <c r="AO76" s="65"/>
      <c r="AP76" s="66"/>
      <c r="AQ76" s="66"/>
      <c r="AR76" s="66"/>
      <c r="AS76" s="221"/>
      <c r="AT76" s="222">
        <f t="shared" si="39"/>
        <v>0</v>
      </c>
      <c r="AU76" s="223"/>
      <c r="AV76" s="99"/>
      <c r="AW76" s="100"/>
      <c r="AX76" s="100"/>
      <c r="AY76" s="100"/>
      <c r="AZ76" s="100"/>
      <c r="BA76" s="100"/>
      <c r="BB76" s="100"/>
      <c r="BC76" s="101"/>
      <c r="BD76" s="96"/>
      <c r="BE76" s="97"/>
      <c r="BF76" s="97"/>
      <c r="BG76" s="97"/>
      <c r="BH76" s="98"/>
      <c r="BI76" s="157" t="e">
        <f t="shared" si="25"/>
        <v>#REF!</v>
      </c>
      <c r="BJ76" s="158" t="e">
        <f>#REF!</f>
        <v>#REF!</v>
      </c>
      <c r="BK76" s="159" t="e">
        <f>#REF!</f>
        <v>#REF!</v>
      </c>
      <c r="BL76" s="181" t="e">
        <f t="shared" si="26"/>
        <v>#REF!</v>
      </c>
      <c r="BM76" s="182" t="e">
        <f t="shared" si="27"/>
        <v>#REF!</v>
      </c>
      <c r="BN76" s="182" t="e">
        <f t="shared" si="28"/>
        <v>#REF!</v>
      </c>
      <c r="BO76" s="182" t="e">
        <f t="shared" si="29"/>
        <v>#REF!</v>
      </c>
      <c r="BP76" s="182" t="e">
        <f t="shared" si="30"/>
        <v>#REF!</v>
      </c>
      <c r="BQ76" s="182" t="e">
        <f t="shared" si="31"/>
        <v>#REF!</v>
      </c>
      <c r="BR76" s="182" t="e">
        <f t="shared" si="32"/>
        <v>#REF!</v>
      </c>
      <c r="BS76" s="183" t="e">
        <f t="shared" si="33"/>
        <v>#REF!</v>
      </c>
      <c r="BT76" s="184" t="e">
        <f t="shared" si="34"/>
        <v>#REF!</v>
      </c>
      <c r="BU76" s="185" t="e">
        <f t="shared" si="35"/>
        <v>#REF!</v>
      </c>
      <c r="BV76" s="185" t="e">
        <f t="shared" si="36"/>
        <v>#REF!</v>
      </c>
      <c r="BW76" s="185" t="e">
        <f t="shared" si="37"/>
        <v>#REF!</v>
      </c>
      <c r="BX76" s="186" t="e">
        <f t="shared" si="38"/>
        <v>#REF!</v>
      </c>
      <c r="BY7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6" s="66"/>
      <c r="DA76" s="66"/>
      <c r="DB76" s="66"/>
      <c r="DC76" s="224" t="str">
        <f t="shared" si="22"/>
        <v/>
      </c>
      <c r="DD76" s="1">
        <f>IF($DC76="",0,IF(COUNTIF($DC$2:$DC75,$DC76)=0,1,0))</f>
        <v>0</v>
      </c>
    </row>
    <row r="77" spans="1:108" s="1" customFormat="1" ht="12" customHeight="1" x14ac:dyDescent="0.25">
      <c r="A77" s="64">
        <v>76</v>
      </c>
      <c r="B77" s="71"/>
      <c r="C77" s="72"/>
      <c r="D77" s="72"/>
      <c r="E77" s="72"/>
      <c r="F77" s="72"/>
      <c r="G77" s="66"/>
      <c r="H77" s="66"/>
      <c r="I77" s="66"/>
      <c r="J77" s="67"/>
      <c r="K77" s="68"/>
      <c r="L77" s="69"/>
      <c r="M77" s="66"/>
      <c r="N77" s="66"/>
      <c r="O77" s="136" t="str">
        <f t="shared" ref="O77:O108" si="40">IF($L77="","",($AP77-$L77)/365)</f>
        <v/>
      </c>
      <c r="P77" s="65" t="str">
        <f t="shared" si="23"/>
        <v/>
      </c>
      <c r="Q77" s="70"/>
      <c r="R77" s="66"/>
      <c r="S77" s="65"/>
      <c r="T77" s="65"/>
      <c r="U77" s="65"/>
      <c r="V77" s="65"/>
      <c r="W77" s="65"/>
      <c r="X77" s="240"/>
      <c r="Y77" s="65"/>
      <c r="Z77" s="281"/>
      <c r="AA77" s="66"/>
      <c r="AB77" s="66"/>
      <c r="AC77" s="247"/>
      <c r="AD77" s="240" t="str">
        <f t="shared" si="24"/>
        <v/>
      </c>
      <c r="AE77" s="240"/>
      <c r="AF77" s="241"/>
      <c r="AG77" s="247"/>
      <c r="AH77" s="241"/>
      <c r="AI77" s="247"/>
      <c r="AJ77" s="231"/>
      <c r="AK77" s="240"/>
      <c r="AL77" s="241"/>
      <c r="AM77" s="65"/>
      <c r="AN77" s="241"/>
      <c r="AO77" s="65"/>
      <c r="AP77" s="66"/>
      <c r="AQ77" s="66"/>
      <c r="AR77" s="66"/>
      <c r="AS77" s="221"/>
      <c r="AT77" s="222">
        <f t="shared" si="39"/>
        <v>0</v>
      </c>
      <c r="AU77" s="223"/>
      <c r="AV77" s="99"/>
      <c r="AW77" s="100"/>
      <c r="AX77" s="100"/>
      <c r="AY77" s="100"/>
      <c r="AZ77" s="100"/>
      <c r="BA77" s="100"/>
      <c r="BB77" s="100"/>
      <c r="BC77" s="101"/>
      <c r="BD77" s="96"/>
      <c r="BE77" s="97"/>
      <c r="BF77" s="97"/>
      <c r="BG77" s="97"/>
      <c r="BH77" s="98"/>
      <c r="BI77" s="157" t="e">
        <f t="shared" si="25"/>
        <v>#REF!</v>
      </c>
      <c r="BJ77" s="158" t="e">
        <f>#REF!</f>
        <v>#REF!</v>
      </c>
      <c r="BK77" s="159" t="e">
        <f>#REF!</f>
        <v>#REF!</v>
      </c>
      <c r="BL77" s="181" t="e">
        <f t="shared" si="26"/>
        <v>#REF!</v>
      </c>
      <c r="BM77" s="182" t="e">
        <f t="shared" si="27"/>
        <v>#REF!</v>
      </c>
      <c r="BN77" s="182" t="e">
        <f t="shared" si="28"/>
        <v>#REF!</v>
      </c>
      <c r="BO77" s="182" t="e">
        <f t="shared" si="29"/>
        <v>#REF!</v>
      </c>
      <c r="BP77" s="182" t="e">
        <f t="shared" si="30"/>
        <v>#REF!</v>
      </c>
      <c r="BQ77" s="182" t="e">
        <f t="shared" si="31"/>
        <v>#REF!</v>
      </c>
      <c r="BR77" s="182" t="e">
        <f t="shared" si="32"/>
        <v>#REF!</v>
      </c>
      <c r="BS77" s="183" t="e">
        <f t="shared" si="33"/>
        <v>#REF!</v>
      </c>
      <c r="BT77" s="184" t="e">
        <f t="shared" si="34"/>
        <v>#REF!</v>
      </c>
      <c r="BU77" s="185" t="e">
        <f t="shared" si="35"/>
        <v>#REF!</v>
      </c>
      <c r="BV77" s="185" t="e">
        <f t="shared" si="36"/>
        <v>#REF!</v>
      </c>
      <c r="BW77" s="185" t="e">
        <f t="shared" si="37"/>
        <v>#REF!</v>
      </c>
      <c r="BX77" s="186" t="e">
        <f t="shared" si="38"/>
        <v>#REF!</v>
      </c>
      <c r="BY7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7" s="66"/>
      <c r="DA77" s="66"/>
      <c r="DB77" s="66"/>
      <c r="DC77" s="224" t="str">
        <f t="shared" si="22"/>
        <v/>
      </c>
      <c r="DD77" s="1">
        <f>IF($DC77="",0,IF(COUNTIF($DC$2:$DC76,$DC77)=0,1,0))</f>
        <v>0</v>
      </c>
    </row>
    <row r="78" spans="1:108" s="1" customFormat="1" ht="12" customHeight="1" x14ac:dyDescent="0.25">
      <c r="A78" s="64">
        <v>77</v>
      </c>
      <c r="B78" s="71"/>
      <c r="C78" s="72"/>
      <c r="D78" s="72"/>
      <c r="E78" s="72"/>
      <c r="F78" s="72"/>
      <c r="G78" s="66"/>
      <c r="H78" s="66"/>
      <c r="I78" s="66"/>
      <c r="J78" s="67"/>
      <c r="K78" s="68"/>
      <c r="L78" s="69"/>
      <c r="M78" s="66"/>
      <c r="N78" s="66"/>
      <c r="O78" s="136" t="str">
        <f t="shared" si="40"/>
        <v/>
      </c>
      <c r="P78" s="65" t="str">
        <f t="shared" si="23"/>
        <v/>
      </c>
      <c r="Q78" s="70"/>
      <c r="R78" s="66"/>
      <c r="S78" s="65"/>
      <c r="T78" s="65"/>
      <c r="U78" s="65"/>
      <c r="V78" s="65"/>
      <c r="W78" s="65"/>
      <c r="X78" s="240"/>
      <c r="Y78" s="65"/>
      <c r="Z78" s="281"/>
      <c r="AA78" s="66"/>
      <c r="AB78" s="66"/>
      <c r="AC78" s="247"/>
      <c r="AD78" s="240" t="str">
        <f t="shared" si="24"/>
        <v/>
      </c>
      <c r="AE78" s="240"/>
      <c r="AF78" s="241"/>
      <c r="AG78" s="247"/>
      <c r="AH78" s="241"/>
      <c r="AI78" s="247"/>
      <c r="AJ78" s="231"/>
      <c r="AK78" s="240"/>
      <c r="AL78" s="241"/>
      <c r="AM78" s="65"/>
      <c r="AN78" s="241"/>
      <c r="AO78" s="65"/>
      <c r="AP78" s="66"/>
      <c r="AQ78" s="66"/>
      <c r="AR78" s="66"/>
      <c r="AS78" s="221"/>
      <c r="AT78" s="222">
        <f t="shared" si="39"/>
        <v>0</v>
      </c>
      <c r="AU78" s="223"/>
      <c r="AV78" s="99"/>
      <c r="AW78" s="100"/>
      <c r="AX78" s="100"/>
      <c r="AY78" s="100"/>
      <c r="AZ78" s="100"/>
      <c r="BA78" s="100"/>
      <c r="BB78" s="100"/>
      <c r="BC78" s="101"/>
      <c r="BD78" s="96"/>
      <c r="BE78" s="97"/>
      <c r="BF78" s="97"/>
      <c r="BG78" s="97"/>
      <c r="BH78" s="98"/>
      <c r="BI78" s="157" t="e">
        <f t="shared" si="25"/>
        <v>#REF!</v>
      </c>
      <c r="BJ78" s="158" t="e">
        <f>#REF!</f>
        <v>#REF!</v>
      </c>
      <c r="BK78" s="159" t="e">
        <f>#REF!</f>
        <v>#REF!</v>
      </c>
      <c r="BL78" s="181" t="e">
        <f t="shared" si="26"/>
        <v>#REF!</v>
      </c>
      <c r="BM78" s="182" t="e">
        <f t="shared" si="27"/>
        <v>#REF!</v>
      </c>
      <c r="BN78" s="182" t="e">
        <f t="shared" si="28"/>
        <v>#REF!</v>
      </c>
      <c r="BO78" s="182" t="e">
        <f t="shared" si="29"/>
        <v>#REF!</v>
      </c>
      <c r="BP78" s="182" t="e">
        <f t="shared" si="30"/>
        <v>#REF!</v>
      </c>
      <c r="BQ78" s="182" t="e">
        <f t="shared" si="31"/>
        <v>#REF!</v>
      </c>
      <c r="BR78" s="182" t="e">
        <f t="shared" si="32"/>
        <v>#REF!</v>
      </c>
      <c r="BS78" s="183" t="e">
        <f t="shared" si="33"/>
        <v>#REF!</v>
      </c>
      <c r="BT78" s="184" t="e">
        <f t="shared" si="34"/>
        <v>#REF!</v>
      </c>
      <c r="BU78" s="185" t="e">
        <f t="shared" si="35"/>
        <v>#REF!</v>
      </c>
      <c r="BV78" s="185" t="e">
        <f t="shared" si="36"/>
        <v>#REF!</v>
      </c>
      <c r="BW78" s="185" t="e">
        <f t="shared" si="37"/>
        <v>#REF!</v>
      </c>
      <c r="BX78" s="186" t="e">
        <f t="shared" si="38"/>
        <v>#REF!</v>
      </c>
      <c r="BY7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8" s="66"/>
      <c r="DA78" s="66"/>
      <c r="DB78" s="66"/>
      <c r="DC78" s="224" t="str">
        <f t="shared" si="22"/>
        <v/>
      </c>
      <c r="DD78" s="1">
        <f>IF($DC78="",0,IF(COUNTIF($DC$2:$DC77,$DC78)=0,1,0))</f>
        <v>0</v>
      </c>
    </row>
    <row r="79" spans="1:108" s="1" customFormat="1" ht="12" customHeight="1" x14ac:dyDescent="0.25">
      <c r="A79" s="64">
        <v>78</v>
      </c>
      <c r="B79" s="71"/>
      <c r="C79" s="72"/>
      <c r="D79" s="72"/>
      <c r="E79" s="72"/>
      <c r="F79" s="72"/>
      <c r="G79" s="66"/>
      <c r="H79" s="66"/>
      <c r="I79" s="66"/>
      <c r="J79" s="67"/>
      <c r="K79" s="68"/>
      <c r="L79" s="69"/>
      <c r="M79" s="66"/>
      <c r="N79" s="66"/>
      <c r="O79" s="136" t="str">
        <f t="shared" si="40"/>
        <v/>
      </c>
      <c r="P79" s="65" t="str">
        <f t="shared" si="23"/>
        <v/>
      </c>
      <c r="Q79" s="70"/>
      <c r="R79" s="66"/>
      <c r="S79" s="65"/>
      <c r="T79" s="65"/>
      <c r="U79" s="65"/>
      <c r="V79" s="65"/>
      <c r="W79" s="65"/>
      <c r="X79" s="240"/>
      <c r="Y79" s="65"/>
      <c r="Z79" s="281"/>
      <c r="AA79" s="66"/>
      <c r="AB79" s="66"/>
      <c r="AC79" s="247"/>
      <c r="AD79" s="240" t="str">
        <f t="shared" si="24"/>
        <v/>
      </c>
      <c r="AE79" s="240"/>
      <c r="AF79" s="241"/>
      <c r="AG79" s="247"/>
      <c r="AH79" s="241"/>
      <c r="AI79" s="247"/>
      <c r="AJ79" s="231"/>
      <c r="AK79" s="240"/>
      <c r="AL79" s="241"/>
      <c r="AM79" s="65"/>
      <c r="AN79" s="241"/>
      <c r="AO79" s="65"/>
      <c r="AP79" s="66"/>
      <c r="AQ79" s="66"/>
      <c r="AR79" s="66"/>
      <c r="AS79" s="221"/>
      <c r="AT79" s="222">
        <f t="shared" si="39"/>
        <v>0</v>
      </c>
      <c r="AU79" s="223"/>
      <c r="AV79" s="99"/>
      <c r="AW79" s="100"/>
      <c r="AX79" s="100"/>
      <c r="AY79" s="100"/>
      <c r="AZ79" s="100"/>
      <c r="BA79" s="100"/>
      <c r="BB79" s="100"/>
      <c r="BC79" s="101"/>
      <c r="BD79" s="96"/>
      <c r="BE79" s="97"/>
      <c r="BF79" s="97"/>
      <c r="BG79" s="97"/>
      <c r="BH79" s="98"/>
      <c r="BI79" s="157" t="e">
        <f t="shared" si="25"/>
        <v>#REF!</v>
      </c>
      <c r="BJ79" s="158" t="e">
        <f>#REF!</f>
        <v>#REF!</v>
      </c>
      <c r="BK79" s="159" t="e">
        <f>#REF!</f>
        <v>#REF!</v>
      </c>
      <c r="BL79" s="181" t="e">
        <f t="shared" si="26"/>
        <v>#REF!</v>
      </c>
      <c r="BM79" s="182" t="e">
        <f t="shared" si="27"/>
        <v>#REF!</v>
      </c>
      <c r="BN79" s="182" t="e">
        <f t="shared" si="28"/>
        <v>#REF!</v>
      </c>
      <c r="BO79" s="182" t="e">
        <f t="shared" si="29"/>
        <v>#REF!</v>
      </c>
      <c r="BP79" s="182" t="e">
        <f t="shared" si="30"/>
        <v>#REF!</v>
      </c>
      <c r="BQ79" s="182" t="e">
        <f t="shared" si="31"/>
        <v>#REF!</v>
      </c>
      <c r="BR79" s="182" t="e">
        <f t="shared" si="32"/>
        <v>#REF!</v>
      </c>
      <c r="BS79" s="183" t="e">
        <f t="shared" si="33"/>
        <v>#REF!</v>
      </c>
      <c r="BT79" s="184" t="e">
        <f t="shared" si="34"/>
        <v>#REF!</v>
      </c>
      <c r="BU79" s="185" t="e">
        <f t="shared" si="35"/>
        <v>#REF!</v>
      </c>
      <c r="BV79" s="185" t="e">
        <f t="shared" si="36"/>
        <v>#REF!</v>
      </c>
      <c r="BW79" s="185" t="e">
        <f t="shared" si="37"/>
        <v>#REF!</v>
      </c>
      <c r="BX79" s="186" t="e">
        <f t="shared" si="38"/>
        <v>#REF!</v>
      </c>
      <c r="BY7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7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7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7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7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7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7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7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7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7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7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7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7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7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7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7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7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7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7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7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7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7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7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7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7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7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7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79" s="66"/>
      <c r="DA79" s="66"/>
      <c r="DB79" s="66"/>
      <c r="DC79" s="224" t="str">
        <f t="shared" si="22"/>
        <v/>
      </c>
      <c r="DD79" s="1">
        <f>IF($DC79="",0,IF(COUNTIF($DC$2:$DC78,$DC79)=0,1,0))</f>
        <v>0</v>
      </c>
    </row>
    <row r="80" spans="1:108" s="1" customFormat="1" ht="12" customHeight="1" x14ac:dyDescent="0.25">
      <c r="A80" s="64">
        <v>79</v>
      </c>
      <c r="B80" s="71"/>
      <c r="C80" s="72"/>
      <c r="D80" s="72"/>
      <c r="E80" s="72"/>
      <c r="F80" s="72"/>
      <c r="G80" s="66"/>
      <c r="H80" s="66"/>
      <c r="I80" s="66"/>
      <c r="J80" s="67"/>
      <c r="K80" s="68"/>
      <c r="L80" s="69"/>
      <c r="M80" s="66"/>
      <c r="N80" s="66"/>
      <c r="O80" s="136" t="str">
        <f t="shared" si="40"/>
        <v/>
      </c>
      <c r="P80" s="65" t="str">
        <f t="shared" si="23"/>
        <v/>
      </c>
      <c r="Q80" s="70"/>
      <c r="R80" s="66"/>
      <c r="S80" s="65"/>
      <c r="T80" s="65"/>
      <c r="U80" s="65"/>
      <c r="V80" s="65"/>
      <c r="W80" s="65"/>
      <c r="X80" s="240"/>
      <c r="Y80" s="65"/>
      <c r="Z80" s="281"/>
      <c r="AA80" s="66"/>
      <c r="AB80" s="66"/>
      <c r="AC80" s="247"/>
      <c r="AD80" s="240" t="str">
        <f t="shared" si="24"/>
        <v/>
      </c>
      <c r="AE80" s="240"/>
      <c r="AF80" s="241"/>
      <c r="AG80" s="247"/>
      <c r="AH80" s="241"/>
      <c r="AI80" s="247"/>
      <c r="AJ80" s="231"/>
      <c r="AK80" s="240"/>
      <c r="AL80" s="241"/>
      <c r="AM80" s="65"/>
      <c r="AN80" s="241"/>
      <c r="AO80" s="65"/>
      <c r="AP80" s="66"/>
      <c r="AQ80" s="66"/>
      <c r="AR80" s="66"/>
      <c r="AS80" s="221"/>
      <c r="AT80" s="222">
        <f t="shared" si="39"/>
        <v>0</v>
      </c>
      <c r="AU80" s="223"/>
      <c r="AV80" s="99"/>
      <c r="AW80" s="100"/>
      <c r="AX80" s="100"/>
      <c r="AY80" s="100"/>
      <c r="AZ80" s="100"/>
      <c r="BA80" s="100"/>
      <c r="BB80" s="100"/>
      <c r="BC80" s="101"/>
      <c r="BD80" s="96"/>
      <c r="BE80" s="97"/>
      <c r="BF80" s="97"/>
      <c r="BG80" s="97"/>
      <c r="BH80" s="98"/>
      <c r="BI80" s="157" t="e">
        <f t="shared" si="25"/>
        <v>#REF!</v>
      </c>
      <c r="BJ80" s="158" t="e">
        <f>#REF!</f>
        <v>#REF!</v>
      </c>
      <c r="BK80" s="159" t="e">
        <f>#REF!</f>
        <v>#REF!</v>
      </c>
      <c r="BL80" s="181" t="e">
        <f t="shared" si="26"/>
        <v>#REF!</v>
      </c>
      <c r="BM80" s="182" t="e">
        <f t="shared" si="27"/>
        <v>#REF!</v>
      </c>
      <c r="BN80" s="182" t="e">
        <f t="shared" si="28"/>
        <v>#REF!</v>
      </c>
      <c r="BO80" s="182" t="e">
        <f t="shared" si="29"/>
        <v>#REF!</v>
      </c>
      <c r="BP80" s="182" t="e">
        <f t="shared" si="30"/>
        <v>#REF!</v>
      </c>
      <c r="BQ80" s="182" t="e">
        <f t="shared" si="31"/>
        <v>#REF!</v>
      </c>
      <c r="BR80" s="182" t="e">
        <f t="shared" si="32"/>
        <v>#REF!</v>
      </c>
      <c r="BS80" s="183" t="e">
        <f t="shared" si="33"/>
        <v>#REF!</v>
      </c>
      <c r="BT80" s="184" t="e">
        <f t="shared" si="34"/>
        <v>#REF!</v>
      </c>
      <c r="BU80" s="185" t="e">
        <f t="shared" si="35"/>
        <v>#REF!</v>
      </c>
      <c r="BV80" s="185" t="e">
        <f t="shared" si="36"/>
        <v>#REF!</v>
      </c>
      <c r="BW80" s="185" t="e">
        <f t="shared" si="37"/>
        <v>#REF!</v>
      </c>
      <c r="BX80" s="186" t="e">
        <f t="shared" si="38"/>
        <v>#REF!</v>
      </c>
      <c r="BY8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0" s="66"/>
      <c r="DA80" s="66"/>
      <c r="DB80" s="66"/>
      <c r="DC80" s="224" t="str">
        <f t="shared" si="22"/>
        <v/>
      </c>
      <c r="DD80" s="1">
        <f>IF($DC80="",0,IF(COUNTIF($DC$2:$DC79,$DC80)=0,1,0))</f>
        <v>0</v>
      </c>
    </row>
    <row r="81" spans="1:108" s="1" customFormat="1" ht="12" customHeight="1" x14ac:dyDescent="0.25">
      <c r="A81" s="64">
        <v>80</v>
      </c>
      <c r="B81" s="71"/>
      <c r="C81" s="72"/>
      <c r="D81" s="72"/>
      <c r="E81" s="72"/>
      <c r="F81" s="72"/>
      <c r="G81" s="66"/>
      <c r="H81" s="66"/>
      <c r="I81" s="66"/>
      <c r="J81" s="67"/>
      <c r="K81" s="68"/>
      <c r="L81" s="69"/>
      <c r="M81" s="66"/>
      <c r="N81" s="66"/>
      <c r="O81" s="136" t="str">
        <f t="shared" si="40"/>
        <v/>
      </c>
      <c r="P81" s="65" t="str">
        <f t="shared" si="23"/>
        <v/>
      </c>
      <c r="Q81" s="70"/>
      <c r="R81" s="66"/>
      <c r="S81" s="65"/>
      <c r="T81" s="65"/>
      <c r="U81" s="65"/>
      <c r="V81" s="65"/>
      <c r="W81" s="65"/>
      <c r="X81" s="240"/>
      <c r="Y81" s="65"/>
      <c r="Z81" s="281"/>
      <c r="AA81" s="66"/>
      <c r="AB81" s="66"/>
      <c r="AC81" s="247"/>
      <c r="AD81" s="240" t="str">
        <f t="shared" si="24"/>
        <v/>
      </c>
      <c r="AE81" s="240"/>
      <c r="AF81" s="241"/>
      <c r="AG81" s="247"/>
      <c r="AH81" s="241"/>
      <c r="AI81" s="247"/>
      <c r="AJ81" s="231"/>
      <c r="AK81" s="240"/>
      <c r="AL81" s="241"/>
      <c r="AM81" s="65"/>
      <c r="AN81" s="241"/>
      <c r="AO81" s="65"/>
      <c r="AP81" s="66"/>
      <c r="AQ81" s="66"/>
      <c r="AR81" s="66"/>
      <c r="AS81" s="221"/>
      <c r="AT81" s="222">
        <f t="shared" si="39"/>
        <v>0</v>
      </c>
      <c r="AU81" s="223"/>
      <c r="AV81" s="99"/>
      <c r="AW81" s="100"/>
      <c r="AX81" s="100"/>
      <c r="AY81" s="100"/>
      <c r="AZ81" s="100"/>
      <c r="BA81" s="100"/>
      <c r="BB81" s="100"/>
      <c r="BC81" s="101"/>
      <c r="BD81" s="96"/>
      <c r="BE81" s="97"/>
      <c r="BF81" s="97"/>
      <c r="BG81" s="97"/>
      <c r="BH81" s="98"/>
      <c r="BI81" s="157" t="e">
        <f t="shared" si="25"/>
        <v>#REF!</v>
      </c>
      <c r="BJ81" s="158" t="e">
        <f>#REF!</f>
        <v>#REF!</v>
      </c>
      <c r="BK81" s="159" t="e">
        <f>#REF!</f>
        <v>#REF!</v>
      </c>
      <c r="BL81" s="181" t="e">
        <f t="shared" si="26"/>
        <v>#REF!</v>
      </c>
      <c r="BM81" s="182" t="e">
        <f t="shared" si="27"/>
        <v>#REF!</v>
      </c>
      <c r="BN81" s="182" t="e">
        <f t="shared" si="28"/>
        <v>#REF!</v>
      </c>
      <c r="BO81" s="182" t="e">
        <f t="shared" si="29"/>
        <v>#REF!</v>
      </c>
      <c r="BP81" s="182" t="e">
        <f t="shared" si="30"/>
        <v>#REF!</v>
      </c>
      <c r="BQ81" s="182" t="e">
        <f t="shared" si="31"/>
        <v>#REF!</v>
      </c>
      <c r="BR81" s="182" t="e">
        <f t="shared" si="32"/>
        <v>#REF!</v>
      </c>
      <c r="BS81" s="183" t="e">
        <f t="shared" si="33"/>
        <v>#REF!</v>
      </c>
      <c r="BT81" s="184" t="e">
        <f t="shared" si="34"/>
        <v>#REF!</v>
      </c>
      <c r="BU81" s="185" t="e">
        <f t="shared" si="35"/>
        <v>#REF!</v>
      </c>
      <c r="BV81" s="185" t="e">
        <f t="shared" si="36"/>
        <v>#REF!</v>
      </c>
      <c r="BW81" s="185" t="e">
        <f t="shared" si="37"/>
        <v>#REF!</v>
      </c>
      <c r="BX81" s="186" t="e">
        <f t="shared" si="38"/>
        <v>#REF!</v>
      </c>
      <c r="BY8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1" s="66"/>
      <c r="DA81" s="66"/>
      <c r="DB81" s="66"/>
      <c r="DC81" s="224" t="str">
        <f t="shared" si="22"/>
        <v/>
      </c>
      <c r="DD81" s="1">
        <f>IF($DC81="",0,IF(COUNTIF($DC$2:$DC80,$DC81)=0,1,0))</f>
        <v>0</v>
      </c>
    </row>
    <row r="82" spans="1:108" s="1" customFormat="1" ht="12" customHeight="1" x14ac:dyDescent="0.25">
      <c r="A82" s="64">
        <v>81</v>
      </c>
      <c r="B82" s="71"/>
      <c r="C82" s="72"/>
      <c r="D82" s="72"/>
      <c r="E82" s="72"/>
      <c r="F82" s="72"/>
      <c r="G82" s="66"/>
      <c r="H82" s="66"/>
      <c r="I82" s="66"/>
      <c r="J82" s="67"/>
      <c r="K82" s="68"/>
      <c r="L82" s="69"/>
      <c r="M82" s="66"/>
      <c r="N82" s="66"/>
      <c r="O82" s="136" t="str">
        <f t="shared" si="40"/>
        <v/>
      </c>
      <c r="P82" s="65" t="str">
        <f t="shared" si="23"/>
        <v/>
      </c>
      <c r="Q82" s="70"/>
      <c r="R82" s="66"/>
      <c r="S82" s="65"/>
      <c r="T82" s="65"/>
      <c r="U82" s="65"/>
      <c r="V82" s="65"/>
      <c r="W82" s="65"/>
      <c r="X82" s="240"/>
      <c r="Y82" s="65"/>
      <c r="Z82" s="281"/>
      <c r="AA82" s="66"/>
      <c r="AB82" s="66"/>
      <c r="AC82" s="247"/>
      <c r="AD82" s="240" t="str">
        <f t="shared" si="24"/>
        <v/>
      </c>
      <c r="AE82" s="240"/>
      <c r="AF82" s="241"/>
      <c r="AG82" s="247"/>
      <c r="AH82" s="241"/>
      <c r="AI82" s="247"/>
      <c r="AJ82" s="231"/>
      <c r="AK82" s="240"/>
      <c r="AL82" s="241"/>
      <c r="AM82" s="65"/>
      <c r="AN82" s="241"/>
      <c r="AO82" s="65"/>
      <c r="AP82" s="66"/>
      <c r="AQ82" s="66"/>
      <c r="AR82" s="66"/>
      <c r="AS82" s="221"/>
      <c r="AT82" s="222">
        <f t="shared" si="39"/>
        <v>0</v>
      </c>
      <c r="AU82" s="223"/>
      <c r="AV82" s="99"/>
      <c r="AW82" s="100"/>
      <c r="AX82" s="100"/>
      <c r="AY82" s="100"/>
      <c r="AZ82" s="100"/>
      <c r="BA82" s="100"/>
      <c r="BB82" s="100"/>
      <c r="BC82" s="101"/>
      <c r="BD82" s="96"/>
      <c r="BE82" s="97"/>
      <c r="BF82" s="97"/>
      <c r="BG82" s="97"/>
      <c r="BH82" s="98"/>
      <c r="BI82" s="157" t="e">
        <f t="shared" si="25"/>
        <v>#REF!</v>
      </c>
      <c r="BJ82" s="158" t="e">
        <f>#REF!</f>
        <v>#REF!</v>
      </c>
      <c r="BK82" s="159" t="e">
        <f>#REF!</f>
        <v>#REF!</v>
      </c>
      <c r="BL82" s="181" t="e">
        <f t="shared" si="26"/>
        <v>#REF!</v>
      </c>
      <c r="BM82" s="182" t="e">
        <f t="shared" si="27"/>
        <v>#REF!</v>
      </c>
      <c r="BN82" s="182" t="e">
        <f t="shared" si="28"/>
        <v>#REF!</v>
      </c>
      <c r="BO82" s="182" t="e">
        <f t="shared" si="29"/>
        <v>#REF!</v>
      </c>
      <c r="BP82" s="182" t="e">
        <f t="shared" si="30"/>
        <v>#REF!</v>
      </c>
      <c r="BQ82" s="182" t="e">
        <f t="shared" si="31"/>
        <v>#REF!</v>
      </c>
      <c r="BR82" s="182" t="e">
        <f t="shared" si="32"/>
        <v>#REF!</v>
      </c>
      <c r="BS82" s="183" t="e">
        <f t="shared" si="33"/>
        <v>#REF!</v>
      </c>
      <c r="BT82" s="184" t="e">
        <f t="shared" si="34"/>
        <v>#REF!</v>
      </c>
      <c r="BU82" s="185" t="e">
        <f t="shared" si="35"/>
        <v>#REF!</v>
      </c>
      <c r="BV82" s="185" t="e">
        <f t="shared" si="36"/>
        <v>#REF!</v>
      </c>
      <c r="BW82" s="185" t="e">
        <f t="shared" si="37"/>
        <v>#REF!</v>
      </c>
      <c r="BX82" s="186" t="e">
        <f t="shared" si="38"/>
        <v>#REF!</v>
      </c>
      <c r="BY8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2" s="66"/>
      <c r="DA82" s="66"/>
      <c r="DB82" s="66"/>
      <c r="DC82" s="224" t="str">
        <f t="shared" si="22"/>
        <v/>
      </c>
      <c r="DD82" s="1">
        <f>IF($DC82="",0,IF(COUNTIF($DC$2:$DC81,$DC82)=0,1,0))</f>
        <v>0</v>
      </c>
    </row>
    <row r="83" spans="1:108" s="1" customFormat="1" ht="12" customHeight="1" x14ac:dyDescent="0.25">
      <c r="A83" s="64">
        <v>82</v>
      </c>
      <c r="B83" s="71"/>
      <c r="C83" s="72"/>
      <c r="D83" s="72"/>
      <c r="E83" s="72"/>
      <c r="F83" s="72"/>
      <c r="G83" s="66"/>
      <c r="H83" s="66"/>
      <c r="I83" s="66"/>
      <c r="J83" s="67"/>
      <c r="K83" s="68"/>
      <c r="L83" s="69"/>
      <c r="M83" s="66"/>
      <c r="N83" s="66"/>
      <c r="O83" s="136" t="str">
        <f t="shared" si="40"/>
        <v/>
      </c>
      <c r="P83" s="65" t="str">
        <f t="shared" si="23"/>
        <v/>
      </c>
      <c r="Q83" s="70"/>
      <c r="R83" s="66"/>
      <c r="S83" s="65"/>
      <c r="T83" s="65"/>
      <c r="U83" s="65"/>
      <c r="V83" s="65"/>
      <c r="W83" s="65"/>
      <c r="X83" s="240"/>
      <c r="Y83" s="65"/>
      <c r="Z83" s="281"/>
      <c r="AA83" s="66"/>
      <c r="AB83" s="66"/>
      <c r="AC83" s="247"/>
      <c r="AD83" s="240" t="str">
        <f t="shared" si="24"/>
        <v/>
      </c>
      <c r="AE83" s="240"/>
      <c r="AF83" s="241"/>
      <c r="AG83" s="247"/>
      <c r="AH83" s="241"/>
      <c r="AI83" s="247"/>
      <c r="AJ83" s="231"/>
      <c r="AK83" s="240"/>
      <c r="AL83" s="241"/>
      <c r="AM83" s="65"/>
      <c r="AN83" s="241"/>
      <c r="AO83" s="65"/>
      <c r="AP83" s="66"/>
      <c r="AQ83" s="66"/>
      <c r="AR83" s="66"/>
      <c r="AS83" s="221"/>
      <c r="AT83" s="222">
        <f t="shared" si="39"/>
        <v>0</v>
      </c>
      <c r="AU83" s="223"/>
      <c r="AV83" s="99"/>
      <c r="AW83" s="100"/>
      <c r="AX83" s="100"/>
      <c r="AY83" s="100"/>
      <c r="AZ83" s="100"/>
      <c r="BA83" s="100"/>
      <c r="BB83" s="100"/>
      <c r="BC83" s="101"/>
      <c r="BD83" s="96"/>
      <c r="BE83" s="97"/>
      <c r="BF83" s="97"/>
      <c r="BG83" s="97"/>
      <c r="BH83" s="98"/>
      <c r="BI83" s="157" t="e">
        <f t="shared" si="25"/>
        <v>#REF!</v>
      </c>
      <c r="BJ83" s="158" t="e">
        <f>#REF!</f>
        <v>#REF!</v>
      </c>
      <c r="BK83" s="159" t="e">
        <f>#REF!</f>
        <v>#REF!</v>
      </c>
      <c r="BL83" s="181" t="e">
        <f t="shared" si="26"/>
        <v>#REF!</v>
      </c>
      <c r="BM83" s="182" t="e">
        <f t="shared" si="27"/>
        <v>#REF!</v>
      </c>
      <c r="BN83" s="182" t="e">
        <f t="shared" si="28"/>
        <v>#REF!</v>
      </c>
      <c r="BO83" s="182" t="e">
        <f t="shared" si="29"/>
        <v>#REF!</v>
      </c>
      <c r="BP83" s="182" t="e">
        <f t="shared" si="30"/>
        <v>#REF!</v>
      </c>
      <c r="BQ83" s="182" t="e">
        <f t="shared" si="31"/>
        <v>#REF!</v>
      </c>
      <c r="BR83" s="182" t="e">
        <f t="shared" si="32"/>
        <v>#REF!</v>
      </c>
      <c r="BS83" s="183" t="e">
        <f t="shared" si="33"/>
        <v>#REF!</v>
      </c>
      <c r="BT83" s="184" t="e">
        <f t="shared" si="34"/>
        <v>#REF!</v>
      </c>
      <c r="BU83" s="185" t="e">
        <f t="shared" si="35"/>
        <v>#REF!</v>
      </c>
      <c r="BV83" s="185" t="e">
        <f t="shared" si="36"/>
        <v>#REF!</v>
      </c>
      <c r="BW83" s="185" t="e">
        <f t="shared" si="37"/>
        <v>#REF!</v>
      </c>
      <c r="BX83" s="186" t="e">
        <f t="shared" si="38"/>
        <v>#REF!</v>
      </c>
      <c r="BY8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3" s="66"/>
      <c r="DA83" s="66"/>
      <c r="DB83" s="66"/>
      <c r="DC83" s="224" t="str">
        <f t="shared" si="22"/>
        <v/>
      </c>
      <c r="DD83" s="1">
        <f>IF($DC83="",0,IF(COUNTIF($DC$2:$DC82,$DC83)=0,1,0))</f>
        <v>0</v>
      </c>
    </row>
    <row r="84" spans="1:108" s="1" customFormat="1" ht="12" customHeight="1" x14ac:dyDescent="0.25">
      <c r="A84" s="64">
        <v>83</v>
      </c>
      <c r="B84" s="71"/>
      <c r="C84" s="72"/>
      <c r="D84" s="72"/>
      <c r="E84" s="72"/>
      <c r="F84" s="72"/>
      <c r="G84" s="66"/>
      <c r="H84" s="66"/>
      <c r="I84" s="66"/>
      <c r="J84" s="67"/>
      <c r="K84" s="68"/>
      <c r="L84" s="69"/>
      <c r="M84" s="66"/>
      <c r="N84" s="66"/>
      <c r="O84" s="136" t="str">
        <f t="shared" si="40"/>
        <v/>
      </c>
      <c r="P84" s="65" t="str">
        <f t="shared" si="23"/>
        <v/>
      </c>
      <c r="Q84" s="70"/>
      <c r="R84" s="66"/>
      <c r="S84" s="65"/>
      <c r="T84" s="65"/>
      <c r="U84" s="65"/>
      <c r="V84" s="65"/>
      <c r="W84" s="65"/>
      <c r="X84" s="240"/>
      <c r="Y84" s="65"/>
      <c r="Z84" s="281"/>
      <c r="AA84" s="66"/>
      <c r="AB84" s="66"/>
      <c r="AC84" s="247"/>
      <c r="AD84" s="240" t="str">
        <f t="shared" si="24"/>
        <v/>
      </c>
      <c r="AE84" s="240"/>
      <c r="AF84" s="241"/>
      <c r="AG84" s="247"/>
      <c r="AH84" s="241"/>
      <c r="AI84" s="247"/>
      <c r="AJ84" s="231"/>
      <c r="AK84" s="240"/>
      <c r="AL84" s="241"/>
      <c r="AM84" s="65"/>
      <c r="AN84" s="241"/>
      <c r="AO84" s="65"/>
      <c r="AP84" s="66"/>
      <c r="AQ84" s="66"/>
      <c r="AR84" s="66"/>
      <c r="AS84" s="221"/>
      <c r="AT84" s="222">
        <f t="shared" si="39"/>
        <v>0</v>
      </c>
      <c r="AU84" s="223"/>
      <c r="AV84" s="99"/>
      <c r="AW84" s="100"/>
      <c r="AX84" s="100"/>
      <c r="AY84" s="100"/>
      <c r="AZ84" s="100"/>
      <c r="BA84" s="100"/>
      <c r="BB84" s="100"/>
      <c r="BC84" s="101"/>
      <c r="BD84" s="96"/>
      <c r="BE84" s="97"/>
      <c r="BF84" s="97"/>
      <c r="BG84" s="97"/>
      <c r="BH84" s="98"/>
      <c r="BI84" s="157" t="e">
        <f t="shared" si="25"/>
        <v>#REF!</v>
      </c>
      <c r="BJ84" s="158" t="e">
        <f>#REF!</f>
        <v>#REF!</v>
      </c>
      <c r="BK84" s="159" t="e">
        <f>#REF!</f>
        <v>#REF!</v>
      </c>
      <c r="BL84" s="181" t="e">
        <f t="shared" si="26"/>
        <v>#REF!</v>
      </c>
      <c r="BM84" s="182" t="e">
        <f t="shared" si="27"/>
        <v>#REF!</v>
      </c>
      <c r="BN84" s="182" t="e">
        <f t="shared" si="28"/>
        <v>#REF!</v>
      </c>
      <c r="BO84" s="182" t="e">
        <f t="shared" si="29"/>
        <v>#REF!</v>
      </c>
      <c r="BP84" s="182" t="e">
        <f t="shared" si="30"/>
        <v>#REF!</v>
      </c>
      <c r="BQ84" s="182" t="e">
        <f t="shared" si="31"/>
        <v>#REF!</v>
      </c>
      <c r="BR84" s="182" t="e">
        <f t="shared" si="32"/>
        <v>#REF!</v>
      </c>
      <c r="BS84" s="183" t="e">
        <f t="shared" si="33"/>
        <v>#REF!</v>
      </c>
      <c r="BT84" s="184" t="e">
        <f t="shared" si="34"/>
        <v>#REF!</v>
      </c>
      <c r="BU84" s="185" t="e">
        <f t="shared" si="35"/>
        <v>#REF!</v>
      </c>
      <c r="BV84" s="185" t="e">
        <f t="shared" si="36"/>
        <v>#REF!</v>
      </c>
      <c r="BW84" s="185" t="e">
        <f t="shared" si="37"/>
        <v>#REF!</v>
      </c>
      <c r="BX84" s="186" t="e">
        <f t="shared" si="38"/>
        <v>#REF!</v>
      </c>
      <c r="BY8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4" s="66"/>
      <c r="DA84" s="66"/>
      <c r="DB84" s="66"/>
      <c r="DC84" s="224" t="str">
        <f t="shared" si="22"/>
        <v/>
      </c>
      <c r="DD84" s="1">
        <f>IF($DC84="",0,IF(COUNTIF($DC$2:$DC83,$DC84)=0,1,0))</f>
        <v>0</v>
      </c>
    </row>
    <row r="85" spans="1:108" s="1" customFormat="1" ht="12" customHeight="1" x14ac:dyDescent="0.25">
      <c r="A85" s="64">
        <v>84</v>
      </c>
      <c r="B85" s="71"/>
      <c r="C85" s="72"/>
      <c r="D85" s="72"/>
      <c r="E85" s="72"/>
      <c r="F85" s="72"/>
      <c r="G85" s="66"/>
      <c r="H85" s="66"/>
      <c r="I85" s="66"/>
      <c r="J85" s="67"/>
      <c r="K85" s="68"/>
      <c r="L85" s="69"/>
      <c r="M85" s="66"/>
      <c r="N85" s="66"/>
      <c r="O85" s="136" t="str">
        <f t="shared" si="40"/>
        <v/>
      </c>
      <c r="P85" s="65" t="str">
        <f t="shared" si="23"/>
        <v/>
      </c>
      <c r="Q85" s="70"/>
      <c r="R85" s="66"/>
      <c r="S85" s="65"/>
      <c r="T85" s="65"/>
      <c r="U85" s="65"/>
      <c r="V85" s="65"/>
      <c r="W85" s="65"/>
      <c r="X85" s="240"/>
      <c r="Y85" s="65"/>
      <c r="Z85" s="281"/>
      <c r="AA85" s="66"/>
      <c r="AB85" s="66"/>
      <c r="AC85" s="247"/>
      <c r="AD85" s="240" t="str">
        <f t="shared" si="24"/>
        <v/>
      </c>
      <c r="AE85" s="240"/>
      <c r="AF85" s="241"/>
      <c r="AG85" s="247"/>
      <c r="AH85" s="241"/>
      <c r="AI85" s="247"/>
      <c r="AJ85" s="231"/>
      <c r="AK85" s="240"/>
      <c r="AL85" s="241"/>
      <c r="AM85" s="65"/>
      <c r="AN85" s="241"/>
      <c r="AO85" s="65"/>
      <c r="AP85" s="66"/>
      <c r="AQ85" s="66"/>
      <c r="AR85" s="66"/>
      <c r="AS85" s="221"/>
      <c r="AT85" s="222">
        <f t="shared" si="39"/>
        <v>0</v>
      </c>
      <c r="AU85" s="223"/>
      <c r="AV85" s="99"/>
      <c r="AW85" s="100"/>
      <c r="AX85" s="100"/>
      <c r="AY85" s="100"/>
      <c r="AZ85" s="100"/>
      <c r="BA85" s="100"/>
      <c r="BB85" s="100"/>
      <c r="BC85" s="101"/>
      <c r="BD85" s="96"/>
      <c r="BE85" s="97"/>
      <c r="BF85" s="97"/>
      <c r="BG85" s="97"/>
      <c r="BH85" s="98"/>
      <c r="BI85" s="157" t="e">
        <f t="shared" si="25"/>
        <v>#REF!</v>
      </c>
      <c r="BJ85" s="158" t="e">
        <f>#REF!</f>
        <v>#REF!</v>
      </c>
      <c r="BK85" s="159" t="e">
        <f>#REF!</f>
        <v>#REF!</v>
      </c>
      <c r="BL85" s="181" t="e">
        <f t="shared" si="26"/>
        <v>#REF!</v>
      </c>
      <c r="BM85" s="182" t="e">
        <f t="shared" si="27"/>
        <v>#REF!</v>
      </c>
      <c r="BN85" s="182" t="e">
        <f t="shared" si="28"/>
        <v>#REF!</v>
      </c>
      <c r="BO85" s="182" t="e">
        <f t="shared" si="29"/>
        <v>#REF!</v>
      </c>
      <c r="BP85" s="182" t="e">
        <f t="shared" si="30"/>
        <v>#REF!</v>
      </c>
      <c r="BQ85" s="182" t="e">
        <f t="shared" si="31"/>
        <v>#REF!</v>
      </c>
      <c r="BR85" s="182" t="e">
        <f t="shared" si="32"/>
        <v>#REF!</v>
      </c>
      <c r="BS85" s="183" t="e">
        <f t="shared" si="33"/>
        <v>#REF!</v>
      </c>
      <c r="BT85" s="184" t="e">
        <f t="shared" si="34"/>
        <v>#REF!</v>
      </c>
      <c r="BU85" s="185" t="e">
        <f t="shared" si="35"/>
        <v>#REF!</v>
      </c>
      <c r="BV85" s="185" t="e">
        <f t="shared" si="36"/>
        <v>#REF!</v>
      </c>
      <c r="BW85" s="185" t="e">
        <f t="shared" si="37"/>
        <v>#REF!</v>
      </c>
      <c r="BX85" s="186" t="e">
        <f t="shared" si="38"/>
        <v>#REF!</v>
      </c>
      <c r="BY8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5" s="66"/>
      <c r="DA85" s="66"/>
      <c r="DB85" s="66"/>
      <c r="DC85" s="224" t="str">
        <f t="shared" si="22"/>
        <v/>
      </c>
      <c r="DD85" s="1">
        <f>IF($DC85="",0,IF(COUNTIF($DC$2:$DC84,$DC85)=0,1,0))</f>
        <v>0</v>
      </c>
    </row>
    <row r="86" spans="1:108" s="1" customFormat="1" ht="12" customHeight="1" x14ac:dyDescent="0.25">
      <c r="A86" s="64">
        <v>85</v>
      </c>
      <c r="B86" s="71"/>
      <c r="C86" s="72"/>
      <c r="D86" s="72"/>
      <c r="E86" s="72"/>
      <c r="F86" s="72"/>
      <c r="G86" s="66"/>
      <c r="H86" s="66"/>
      <c r="I86" s="66"/>
      <c r="J86" s="67"/>
      <c r="K86" s="68"/>
      <c r="L86" s="69"/>
      <c r="M86" s="66"/>
      <c r="N86" s="66"/>
      <c r="O86" s="136" t="str">
        <f t="shared" si="40"/>
        <v/>
      </c>
      <c r="P86" s="65" t="str">
        <f t="shared" si="23"/>
        <v/>
      </c>
      <c r="Q86" s="70"/>
      <c r="R86" s="66"/>
      <c r="S86" s="65"/>
      <c r="T86" s="65"/>
      <c r="U86" s="65"/>
      <c r="V86" s="65"/>
      <c r="W86" s="65"/>
      <c r="X86" s="240"/>
      <c r="Y86" s="65"/>
      <c r="Z86" s="281"/>
      <c r="AA86" s="66"/>
      <c r="AB86" s="66"/>
      <c r="AC86" s="247"/>
      <c r="AD86" s="240" t="str">
        <f t="shared" si="24"/>
        <v/>
      </c>
      <c r="AE86" s="240"/>
      <c r="AF86" s="241"/>
      <c r="AG86" s="247"/>
      <c r="AH86" s="241"/>
      <c r="AI86" s="247"/>
      <c r="AJ86" s="231"/>
      <c r="AK86" s="240"/>
      <c r="AL86" s="241"/>
      <c r="AM86" s="65"/>
      <c r="AN86" s="241"/>
      <c r="AO86" s="65"/>
      <c r="AP86" s="66"/>
      <c r="AQ86" s="66"/>
      <c r="AR86" s="66"/>
      <c r="AS86" s="221"/>
      <c r="AT86" s="222">
        <f t="shared" si="39"/>
        <v>0</v>
      </c>
      <c r="AU86" s="223"/>
      <c r="AV86" s="99"/>
      <c r="AW86" s="100"/>
      <c r="AX86" s="100"/>
      <c r="AY86" s="100"/>
      <c r="AZ86" s="100"/>
      <c r="BA86" s="100"/>
      <c r="BB86" s="100"/>
      <c r="BC86" s="101"/>
      <c r="BD86" s="96"/>
      <c r="BE86" s="97"/>
      <c r="BF86" s="97"/>
      <c r="BG86" s="97"/>
      <c r="BH86" s="98"/>
      <c r="BI86" s="157" t="e">
        <f t="shared" si="25"/>
        <v>#REF!</v>
      </c>
      <c r="BJ86" s="158" t="e">
        <f>#REF!</f>
        <v>#REF!</v>
      </c>
      <c r="BK86" s="159" t="e">
        <f>#REF!</f>
        <v>#REF!</v>
      </c>
      <c r="BL86" s="181" t="e">
        <f t="shared" si="26"/>
        <v>#REF!</v>
      </c>
      <c r="BM86" s="182" t="e">
        <f t="shared" si="27"/>
        <v>#REF!</v>
      </c>
      <c r="BN86" s="182" t="e">
        <f t="shared" si="28"/>
        <v>#REF!</v>
      </c>
      <c r="BO86" s="182" t="e">
        <f t="shared" si="29"/>
        <v>#REF!</v>
      </c>
      <c r="BP86" s="182" t="e">
        <f t="shared" si="30"/>
        <v>#REF!</v>
      </c>
      <c r="BQ86" s="182" t="e">
        <f t="shared" si="31"/>
        <v>#REF!</v>
      </c>
      <c r="BR86" s="182" t="e">
        <f t="shared" si="32"/>
        <v>#REF!</v>
      </c>
      <c r="BS86" s="183" t="e">
        <f t="shared" si="33"/>
        <v>#REF!</v>
      </c>
      <c r="BT86" s="184" t="e">
        <f t="shared" si="34"/>
        <v>#REF!</v>
      </c>
      <c r="BU86" s="185" t="e">
        <f t="shared" si="35"/>
        <v>#REF!</v>
      </c>
      <c r="BV86" s="185" t="e">
        <f t="shared" si="36"/>
        <v>#REF!</v>
      </c>
      <c r="BW86" s="185" t="e">
        <f t="shared" si="37"/>
        <v>#REF!</v>
      </c>
      <c r="BX86" s="186" t="e">
        <f t="shared" si="38"/>
        <v>#REF!</v>
      </c>
      <c r="BY8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6" s="66"/>
      <c r="DA86" s="66"/>
      <c r="DB86" s="66"/>
      <c r="DC86" s="224" t="str">
        <f t="shared" si="22"/>
        <v/>
      </c>
      <c r="DD86" s="1">
        <f>IF($DC86="",0,IF(COUNTIF($DC$2:$DC85,$DC86)=0,1,0))</f>
        <v>0</v>
      </c>
    </row>
    <row r="87" spans="1:108" s="1" customFormat="1" ht="12" customHeight="1" x14ac:dyDescent="0.25">
      <c r="A87" s="64">
        <v>86</v>
      </c>
      <c r="B87" s="71"/>
      <c r="C87" s="72"/>
      <c r="D87" s="72"/>
      <c r="E87" s="72"/>
      <c r="F87" s="72"/>
      <c r="G87" s="66"/>
      <c r="H87" s="66"/>
      <c r="I87" s="66"/>
      <c r="J87" s="67"/>
      <c r="K87" s="68"/>
      <c r="L87" s="69"/>
      <c r="M87" s="66"/>
      <c r="N87" s="66"/>
      <c r="O87" s="136" t="str">
        <f t="shared" si="40"/>
        <v/>
      </c>
      <c r="P87" s="65" t="str">
        <f t="shared" si="23"/>
        <v/>
      </c>
      <c r="Q87" s="70"/>
      <c r="R87" s="66"/>
      <c r="S87" s="65"/>
      <c r="T87" s="65"/>
      <c r="U87" s="65"/>
      <c r="V87" s="65"/>
      <c r="W87" s="65"/>
      <c r="X87" s="240"/>
      <c r="Y87" s="65"/>
      <c r="Z87" s="281"/>
      <c r="AA87" s="66"/>
      <c r="AB87" s="66"/>
      <c r="AC87" s="247"/>
      <c r="AD87" s="240" t="str">
        <f t="shared" si="24"/>
        <v/>
      </c>
      <c r="AE87" s="240"/>
      <c r="AF87" s="241"/>
      <c r="AG87" s="247"/>
      <c r="AH87" s="241"/>
      <c r="AI87" s="247"/>
      <c r="AJ87" s="231"/>
      <c r="AK87" s="240"/>
      <c r="AL87" s="241"/>
      <c r="AM87" s="65"/>
      <c r="AN87" s="241"/>
      <c r="AO87" s="65"/>
      <c r="AP87" s="66"/>
      <c r="AQ87" s="66"/>
      <c r="AR87" s="66"/>
      <c r="AS87" s="221"/>
      <c r="AT87" s="222">
        <f t="shared" si="39"/>
        <v>0</v>
      </c>
      <c r="AU87" s="223"/>
      <c r="AV87" s="99"/>
      <c r="AW87" s="100"/>
      <c r="AX87" s="100"/>
      <c r="AY87" s="100"/>
      <c r="AZ87" s="100"/>
      <c r="BA87" s="100"/>
      <c r="BB87" s="100"/>
      <c r="BC87" s="101"/>
      <c r="BD87" s="96"/>
      <c r="BE87" s="97"/>
      <c r="BF87" s="97"/>
      <c r="BG87" s="97"/>
      <c r="BH87" s="98"/>
      <c r="BI87" s="157" t="e">
        <f t="shared" si="25"/>
        <v>#REF!</v>
      </c>
      <c r="BJ87" s="158" t="e">
        <f>#REF!</f>
        <v>#REF!</v>
      </c>
      <c r="BK87" s="159" t="e">
        <f>#REF!</f>
        <v>#REF!</v>
      </c>
      <c r="BL87" s="181" t="e">
        <f t="shared" si="26"/>
        <v>#REF!</v>
      </c>
      <c r="BM87" s="182" t="e">
        <f t="shared" si="27"/>
        <v>#REF!</v>
      </c>
      <c r="BN87" s="182" t="e">
        <f t="shared" si="28"/>
        <v>#REF!</v>
      </c>
      <c r="BO87" s="182" t="e">
        <f t="shared" si="29"/>
        <v>#REF!</v>
      </c>
      <c r="BP87" s="182" t="e">
        <f t="shared" si="30"/>
        <v>#REF!</v>
      </c>
      <c r="BQ87" s="182" t="e">
        <f t="shared" si="31"/>
        <v>#REF!</v>
      </c>
      <c r="BR87" s="182" t="e">
        <f t="shared" si="32"/>
        <v>#REF!</v>
      </c>
      <c r="BS87" s="183" t="e">
        <f t="shared" si="33"/>
        <v>#REF!</v>
      </c>
      <c r="BT87" s="184" t="e">
        <f t="shared" si="34"/>
        <v>#REF!</v>
      </c>
      <c r="BU87" s="185" t="e">
        <f t="shared" si="35"/>
        <v>#REF!</v>
      </c>
      <c r="BV87" s="185" t="e">
        <f t="shared" si="36"/>
        <v>#REF!</v>
      </c>
      <c r="BW87" s="185" t="e">
        <f t="shared" si="37"/>
        <v>#REF!</v>
      </c>
      <c r="BX87" s="186" t="e">
        <f t="shared" si="38"/>
        <v>#REF!</v>
      </c>
      <c r="BY8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7" s="66"/>
      <c r="DA87" s="66"/>
      <c r="DB87" s="66"/>
      <c r="DC87" s="224" t="str">
        <f t="shared" si="22"/>
        <v/>
      </c>
      <c r="DD87" s="1">
        <f>IF($DC87="",0,IF(COUNTIF($DC$2:$DC86,$DC87)=0,1,0))</f>
        <v>0</v>
      </c>
    </row>
    <row r="88" spans="1:108" s="1" customFormat="1" ht="12" customHeight="1" x14ac:dyDescent="0.25">
      <c r="A88" s="64">
        <v>87</v>
      </c>
      <c r="B88" s="71"/>
      <c r="C88" s="72"/>
      <c r="D88" s="72"/>
      <c r="E88" s="72"/>
      <c r="F88" s="72"/>
      <c r="G88" s="66"/>
      <c r="H88" s="66"/>
      <c r="I88" s="66"/>
      <c r="J88" s="67"/>
      <c r="K88" s="68"/>
      <c r="L88" s="69"/>
      <c r="M88" s="66"/>
      <c r="N88" s="66"/>
      <c r="O88" s="136" t="str">
        <f t="shared" si="40"/>
        <v/>
      </c>
      <c r="P88" s="65" t="str">
        <f t="shared" si="23"/>
        <v/>
      </c>
      <c r="Q88" s="70"/>
      <c r="R88" s="66"/>
      <c r="S88" s="65"/>
      <c r="T88" s="65"/>
      <c r="U88" s="65"/>
      <c r="V88" s="65"/>
      <c r="W88" s="65"/>
      <c r="X88" s="240"/>
      <c r="Y88" s="65"/>
      <c r="Z88" s="281"/>
      <c r="AA88" s="66"/>
      <c r="AB88" s="66"/>
      <c r="AC88" s="247"/>
      <c r="AD88" s="240" t="str">
        <f t="shared" si="24"/>
        <v/>
      </c>
      <c r="AE88" s="240"/>
      <c r="AF88" s="241"/>
      <c r="AG88" s="247"/>
      <c r="AH88" s="241"/>
      <c r="AI88" s="247"/>
      <c r="AJ88" s="231"/>
      <c r="AK88" s="240"/>
      <c r="AL88" s="241"/>
      <c r="AM88" s="65"/>
      <c r="AN88" s="241"/>
      <c r="AO88" s="65"/>
      <c r="AP88" s="66"/>
      <c r="AQ88" s="66"/>
      <c r="AR88" s="66"/>
      <c r="AS88" s="221"/>
      <c r="AT88" s="222">
        <f t="shared" si="39"/>
        <v>0</v>
      </c>
      <c r="AU88" s="223"/>
      <c r="AV88" s="99"/>
      <c r="AW88" s="100"/>
      <c r="AX88" s="100"/>
      <c r="AY88" s="100"/>
      <c r="AZ88" s="100"/>
      <c r="BA88" s="100"/>
      <c r="BB88" s="100"/>
      <c r="BC88" s="101"/>
      <c r="BD88" s="96"/>
      <c r="BE88" s="97"/>
      <c r="BF88" s="97"/>
      <c r="BG88" s="97"/>
      <c r="BH88" s="98"/>
      <c r="BI88" s="157" t="e">
        <f t="shared" si="25"/>
        <v>#REF!</v>
      </c>
      <c r="BJ88" s="158" t="e">
        <f>#REF!</f>
        <v>#REF!</v>
      </c>
      <c r="BK88" s="159" t="e">
        <f>#REF!</f>
        <v>#REF!</v>
      </c>
      <c r="BL88" s="181" t="e">
        <f t="shared" si="26"/>
        <v>#REF!</v>
      </c>
      <c r="BM88" s="182" t="e">
        <f t="shared" si="27"/>
        <v>#REF!</v>
      </c>
      <c r="BN88" s="182" t="e">
        <f t="shared" si="28"/>
        <v>#REF!</v>
      </c>
      <c r="BO88" s="182" t="e">
        <f t="shared" si="29"/>
        <v>#REF!</v>
      </c>
      <c r="BP88" s="182" t="e">
        <f t="shared" si="30"/>
        <v>#REF!</v>
      </c>
      <c r="BQ88" s="182" t="e">
        <f t="shared" si="31"/>
        <v>#REF!</v>
      </c>
      <c r="BR88" s="182" t="e">
        <f t="shared" si="32"/>
        <v>#REF!</v>
      </c>
      <c r="BS88" s="183" t="e">
        <f t="shared" si="33"/>
        <v>#REF!</v>
      </c>
      <c r="BT88" s="184" t="e">
        <f t="shared" si="34"/>
        <v>#REF!</v>
      </c>
      <c r="BU88" s="185" t="e">
        <f t="shared" si="35"/>
        <v>#REF!</v>
      </c>
      <c r="BV88" s="185" t="e">
        <f t="shared" si="36"/>
        <v>#REF!</v>
      </c>
      <c r="BW88" s="185" t="e">
        <f t="shared" si="37"/>
        <v>#REF!</v>
      </c>
      <c r="BX88" s="186" t="e">
        <f t="shared" si="38"/>
        <v>#REF!</v>
      </c>
      <c r="BY8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8" s="66"/>
      <c r="DA88" s="66"/>
      <c r="DB88" s="66"/>
      <c r="DC88" s="224" t="str">
        <f t="shared" si="22"/>
        <v/>
      </c>
      <c r="DD88" s="1">
        <f>IF($DC88="",0,IF(COUNTIF($DC$2:$DC87,$DC88)=0,1,0))</f>
        <v>0</v>
      </c>
    </row>
    <row r="89" spans="1:108" s="1" customFormat="1" ht="12" customHeight="1" x14ac:dyDescent="0.25">
      <c r="A89" s="64">
        <v>88</v>
      </c>
      <c r="B89" s="71"/>
      <c r="C89" s="72"/>
      <c r="D89" s="72"/>
      <c r="E89" s="72"/>
      <c r="F89" s="72"/>
      <c r="G89" s="66"/>
      <c r="H89" s="66"/>
      <c r="I89" s="66"/>
      <c r="J89" s="67"/>
      <c r="K89" s="68"/>
      <c r="L89" s="69"/>
      <c r="M89" s="66"/>
      <c r="N89" s="66"/>
      <c r="O89" s="136" t="str">
        <f t="shared" si="40"/>
        <v/>
      </c>
      <c r="P89" s="65" t="str">
        <f t="shared" si="23"/>
        <v/>
      </c>
      <c r="Q89" s="70"/>
      <c r="R89" s="66"/>
      <c r="S89" s="65"/>
      <c r="T89" s="65"/>
      <c r="U89" s="65"/>
      <c r="V89" s="65"/>
      <c r="W89" s="65"/>
      <c r="X89" s="240"/>
      <c r="Y89" s="65"/>
      <c r="Z89" s="281"/>
      <c r="AA89" s="66"/>
      <c r="AB89" s="66"/>
      <c r="AC89" s="247"/>
      <c r="AD89" s="240" t="str">
        <f t="shared" si="24"/>
        <v/>
      </c>
      <c r="AE89" s="240"/>
      <c r="AF89" s="241"/>
      <c r="AG89" s="247"/>
      <c r="AH89" s="241"/>
      <c r="AI89" s="247"/>
      <c r="AJ89" s="231"/>
      <c r="AK89" s="240"/>
      <c r="AL89" s="241"/>
      <c r="AM89" s="65"/>
      <c r="AN89" s="241"/>
      <c r="AO89" s="65"/>
      <c r="AP89" s="66"/>
      <c r="AQ89" s="66"/>
      <c r="AR89" s="66"/>
      <c r="AS89" s="221"/>
      <c r="AT89" s="222">
        <f t="shared" si="39"/>
        <v>0</v>
      </c>
      <c r="AU89" s="223"/>
      <c r="AV89" s="99"/>
      <c r="AW89" s="100"/>
      <c r="AX89" s="100"/>
      <c r="AY89" s="100"/>
      <c r="AZ89" s="100"/>
      <c r="BA89" s="100"/>
      <c r="BB89" s="100"/>
      <c r="BC89" s="101"/>
      <c r="BD89" s="96"/>
      <c r="BE89" s="97"/>
      <c r="BF89" s="97"/>
      <c r="BG89" s="97"/>
      <c r="BH89" s="98"/>
      <c r="BI89" s="157" t="e">
        <f t="shared" si="25"/>
        <v>#REF!</v>
      </c>
      <c r="BJ89" s="158" t="e">
        <f>#REF!</f>
        <v>#REF!</v>
      </c>
      <c r="BK89" s="159" t="e">
        <f>#REF!</f>
        <v>#REF!</v>
      </c>
      <c r="BL89" s="181" t="e">
        <f t="shared" si="26"/>
        <v>#REF!</v>
      </c>
      <c r="BM89" s="182" t="e">
        <f t="shared" si="27"/>
        <v>#REF!</v>
      </c>
      <c r="BN89" s="182" t="e">
        <f t="shared" si="28"/>
        <v>#REF!</v>
      </c>
      <c r="BO89" s="182" t="e">
        <f t="shared" si="29"/>
        <v>#REF!</v>
      </c>
      <c r="BP89" s="182" t="e">
        <f t="shared" si="30"/>
        <v>#REF!</v>
      </c>
      <c r="BQ89" s="182" t="e">
        <f t="shared" si="31"/>
        <v>#REF!</v>
      </c>
      <c r="BR89" s="182" t="e">
        <f t="shared" si="32"/>
        <v>#REF!</v>
      </c>
      <c r="BS89" s="183" t="e">
        <f t="shared" si="33"/>
        <v>#REF!</v>
      </c>
      <c r="BT89" s="184" t="e">
        <f t="shared" si="34"/>
        <v>#REF!</v>
      </c>
      <c r="BU89" s="185" t="e">
        <f t="shared" si="35"/>
        <v>#REF!</v>
      </c>
      <c r="BV89" s="185" t="e">
        <f t="shared" si="36"/>
        <v>#REF!</v>
      </c>
      <c r="BW89" s="185" t="e">
        <f t="shared" si="37"/>
        <v>#REF!</v>
      </c>
      <c r="BX89" s="186" t="e">
        <f t="shared" si="38"/>
        <v>#REF!</v>
      </c>
      <c r="BY8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8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8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8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8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8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8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8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8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8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8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8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8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8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8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8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8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8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8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8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8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8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8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8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8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8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8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89" s="66"/>
      <c r="DA89" s="66"/>
      <c r="DB89" s="66"/>
      <c r="DC89" s="224" t="str">
        <f t="shared" si="22"/>
        <v/>
      </c>
      <c r="DD89" s="1">
        <f>IF($DC89="",0,IF(COUNTIF($DC$2:$DC88,$DC89)=0,1,0))</f>
        <v>0</v>
      </c>
    </row>
    <row r="90" spans="1:108" s="1" customFormat="1" ht="12" customHeight="1" x14ac:dyDescent="0.25">
      <c r="A90" s="64">
        <v>89</v>
      </c>
      <c r="B90" s="71"/>
      <c r="C90" s="72"/>
      <c r="D90" s="72"/>
      <c r="E90" s="72"/>
      <c r="F90" s="72"/>
      <c r="G90" s="66"/>
      <c r="H90" s="66"/>
      <c r="I90" s="66"/>
      <c r="J90" s="67"/>
      <c r="K90" s="68"/>
      <c r="L90" s="69"/>
      <c r="M90" s="66"/>
      <c r="N90" s="66"/>
      <c r="O90" s="136" t="str">
        <f t="shared" si="40"/>
        <v/>
      </c>
      <c r="P90" s="65" t="str">
        <f t="shared" si="23"/>
        <v/>
      </c>
      <c r="Q90" s="70"/>
      <c r="R90" s="66"/>
      <c r="S90" s="65"/>
      <c r="T90" s="65"/>
      <c r="U90" s="65"/>
      <c r="V90" s="65"/>
      <c r="W90" s="65"/>
      <c r="X90" s="240"/>
      <c r="Y90" s="65"/>
      <c r="Z90" s="281"/>
      <c r="AA90" s="66"/>
      <c r="AB90" s="66"/>
      <c r="AC90" s="247"/>
      <c r="AD90" s="240" t="str">
        <f t="shared" si="24"/>
        <v/>
      </c>
      <c r="AE90" s="240"/>
      <c r="AF90" s="241"/>
      <c r="AG90" s="247"/>
      <c r="AH90" s="241"/>
      <c r="AI90" s="247"/>
      <c r="AJ90" s="231"/>
      <c r="AK90" s="240"/>
      <c r="AL90" s="241"/>
      <c r="AM90" s="65"/>
      <c r="AN90" s="241"/>
      <c r="AO90" s="65"/>
      <c r="AP90" s="66"/>
      <c r="AQ90" s="66"/>
      <c r="AR90" s="66"/>
      <c r="AS90" s="221"/>
      <c r="AT90" s="222">
        <f t="shared" si="39"/>
        <v>0</v>
      </c>
      <c r="AU90" s="223"/>
      <c r="AV90" s="99"/>
      <c r="AW90" s="100"/>
      <c r="AX90" s="100"/>
      <c r="AY90" s="100"/>
      <c r="AZ90" s="100"/>
      <c r="BA90" s="100"/>
      <c r="BB90" s="100"/>
      <c r="BC90" s="101"/>
      <c r="BD90" s="96"/>
      <c r="BE90" s="97"/>
      <c r="BF90" s="97"/>
      <c r="BG90" s="97"/>
      <c r="BH90" s="98"/>
      <c r="BI90" s="157" t="e">
        <f t="shared" si="25"/>
        <v>#REF!</v>
      </c>
      <c r="BJ90" s="158" t="e">
        <f>#REF!</f>
        <v>#REF!</v>
      </c>
      <c r="BK90" s="159" t="e">
        <f>#REF!</f>
        <v>#REF!</v>
      </c>
      <c r="BL90" s="181" t="e">
        <f t="shared" si="26"/>
        <v>#REF!</v>
      </c>
      <c r="BM90" s="182" t="e">
        <f t="shared" si="27"/>
        <v>#REF!</v>
      </c>
      <c r="BN90" s="182" t="e">
        <f t="shared" si="28"/>
        <v>#REF!</v>
      </c>
      <c r="BO90" s="182" t="e">
        <f t="shared" si="29"/>
        <v>#REF!</v>
      </c>
      <c r="BP90" s="182" t="e">
        <f t="shared" si="30"/>
        <v>#REF!</v>
      </c>
      <c r="BQ90" s="182" t="e">
        <f t="shared" si="31"/>
        <v>#REF!</v>
      </c>
      <c r="BR90" s="182" t="e">
        <f t="shared" si="32"/>
        <v>#REF!</v>
      </c>
      <c r="BS90" s="183" t="e">
        <f t="shared" si="33"/>
        <v>#REF!</v>
      </c>
      <c r="BT90" s="184" t="e">
        <f t="shared" si="34"/>
        <v>#REF!</v>
      </c>
      <c r="BU90" s="185" t="e">
        <f t="shared" si="35"/>
        <v>#REF!</v>
      </c>
      <c r="BV90" s="185" t="e">
        <f t="shared" si="36"/>
        <v>#REF!</v>
      </c>
      <c r="BW90" s="185" t="e">
        <f t="shared" si="37"/>
        <v>#REF!</v>
      </c>
      <c r="BX90" s="186" t="e">
        <f t="shared" si="38"/>
        <v>#REF!</v>
      </c>
      <c r="BY9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0" s="66"/>
      <c r="DA90" s="66"/>
      <c r="DB90" s="66"/>
      <c r="DC90" s="224" t="str">
        <f t="shared" si="22"/>
        <v/>
      </c>
      <c r="DD90" s="1">
        <f>IF($DC90="",0,IF(COUNTIF($DC$2:$DC89,$DC90)=0,1,0))</f>
        <v>0</v>
      </c>
    </row>
    <row r="91" spans="1:108" s="1" customFormat="1" ht="12" customHeight="1" x14ac:dyDescent="0.25">
      <c r="A91" s="64">
        <v>90</v>
      </c>
      <c r="B91" s="71"/>
      <c r="C91" s="72"/>
      <c r="D91" s="72"/>
      <c r="E91" s="72"/>
      <c r="F91" s="72"/>
      <c r="G91" s="66"/>
      <c r="H91" s="66"/>
      <c r="I91" s="66"/>
      <c r="J91" s="67"/>
      <c r="K91" s="68"/>
      <c r="L91" s="69"/>
      <c r="M91" s="66"/>
      <c r="N91" s="66"/>
      <c r="O91" s="136" t="str">
        <f t="shared" si="40"/>
        <v/>
      </c>
      <c r="P91" s="65" t="str">
        <f t="shared" si="23"/>
        <v/>
      </c>
      <c r="Q91" s="70"/>
      <c r="R91" s="66"/>
      <c r="S91" s="65"/>
      <c r="T91" s="65"/>
      <c r="U91" s="65"/>
      <c r="V91" s="65"/>
      <c r="W91" s="65"/>
      <c r="X91" s="240"/>
      <c r="Y91" s="65"/>
      <c r="Z91" s="281"/>
      <c r="AA91" s="66"/>
      <c r="AB91" s="66"/>
      <c r="AC91" s="247"/>
      <c r="AD91" s="240" t="str">
        <f t="shared" si="24"/>
        <v/>
      </c>
      <c r="AE91" s="240"/>
      <c r="AF91" s="241"/>
      <c r="AG91" s="247"/>
      <c r="AH91" s="241"/>
      <c r="AI91" s="247"/>
      <c r="AJ91" s="231"/>
      <c r="AK91" s="240"/>
      <c r="AL91" s="241"/>
      <c r="AM91" s="65"/>
      <c r="AN91" s="241"/>
      <c r="AO91" s="65"/>
      <c r="AP91" s="66"/>
      <c r="AQ91" s="66"/>
      <c r="AR91" s="66"/>
      <c r="AS91" s="221"/>
      <c r="AT91" s="222">
        <f t="shared" si="39"/>
        <v>0</v>
      </c>
      <c r="AU91" s="223"/>
      <c r="AV91" s="99"/>
      <c r="AW91" s="100"/>
      <c r="AX91" s="100"/>
      <c r="AY91" s="100"/>
      <c r="AZ91" s="100"/>
      <c r="BA91" s="100"/>
      <c r="BB91" s="100"/>
      <c r="BC91" s="101"/>
      <c r="BD91" s="96"/>
      <c r="BE91" s="97"/>
      <c r="BF91" s="97"/>
      <c r="BG91" s="97"/>
      <c r="BH91" s="98"/>
      <c r="BI91" s="157" t="e">
        <f t="shared" si="25"/>
        <v>#REF!</v>
      </c>
      <c r="BJ91" s="158" t="e">
        <f>#REF!</f>
        <v>#REF!</v>
      </c>
      <c r="BK91" s="159" t="e">
        <f>#REF!</f>
        <v>#REF!</v>
      </c>
      <c r="BL91" s="181" t="e">
        <f t="shared" si="26"/>
        <v>#REF!</v>
      </c>
      <c r="BM91" s="182" t="e">
        <f t="shared" si="27"/>
        <v>#REF!</v>
      </c>
      <c r="BN91" s="182" t="e">
        <f t="shared" si="28"/>
        <v>#REF!</v>
      </c>
      <c r="BO91" s="182" t="e">
        <f t="shared" si="29"/>
        <v>#REF!</v>
      </c>
      <c r="BP91" s="182" t="e">
        <f t="shared" si="30"/>
        <v>#REF!</v>
      </c>
      <c r="BQ91" s="182" t="e">
        <f t="shared" si="31"/>
        <v>#REF!</v>
      </c>
      <c r="BR91" s="182" t="e">
        <f t="shared" si="32"/>
        <v>#REF!</v>
      </c>
      <c r="BS91" s="183" t="e">
        <f t="shared" si="33"/>
        <v>#REF!</v>
      </c>
      <c r="BT91" s="184" t="e">
        <f t="shared" si="34"/>
        <v>#REF!</v>
      </c>
      <c r="BU91" s="185" t="e">
        <f t="shared" si="35"/>
        <v>#REF!</v>
      </c>
      <c r="BV91" s="185" t="e">
        <f t="shared" si="36"/>
        <v>#REF!</v>
      </c>
      <c r="BW91" s="185" t="e">
        <f t="shared" si="37"/>
        <v>#REF!</v>
      </c>
      <c r="BX91" s="186" t="e">
        <f t="shared" si="38"/>
        <v>#REF!</v>
      </c>
      <c r="BY9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1" s="66"/>
      <c r="DA91" s="66"/>
      <c r="DB91" s="66"/>
      <c r="DC91" s="224" t="str">
        <f t="shared" si="22"/>
        <v/>
      </c>
      <c r="DD91" s="1">
        <f>IF($DC91="",0,IF(COUNTIF($DC$2:$DC90,$DC91)=0,1,0))</f>
        <v>0</v>
      </c>
    </row>
    <row r="92" spans="1:108" s="1" customFormat="1" ht="12" customHeight="1" x14ac:dyDescent="0.25">
      <c r="A92" s="64">
        <v>91</v>
      </c>
      <c r="B92" s="71"/>
      <c r="C92" s="72"/>
      <c r="D92" s="72"/>
      <c r="E92" s="72"/>
      <c r="F92" s="72"/>
      <c r="G92" s="66"/>
      <c r="H92" s="66"/>
      <c r="I92" s="66"/>
      <c r="J92" s="67"/>
      <c r="K92" s="68"/>
      <c r="L92" s="69"/>
      <c r="M92" s="66"/>
      <c r="N92" s="66"/>
      <c r="O92" s="136" t="str">
        <f t="shared" si="40"/>
        <v/>
      </c>
      <c r="P92" s="65" t="str">
        <f t="shared" si="23"/>
        <v/>
      </c>
      <c r="Q92" s="70"/>
      <c r="R92" s="66"/>
      <c r="S92" s="65"/>
      <c r="T92" s="65"/>
      <c r="U92" s="65"/>
      <c r="V92" s="65"/>
      <c r="W92" s="65"/>
      <c r="X92" s="240"/>
      <c r="Y92" s="65"/>
      <c r="Z92" s="281"/>
      <c r="AA92" s="66"/>
      <c r="AB92" s="66"/>
      <c r="AC92" s="247"/>
      <c r="AD92" s="240" t="str">
        <f t="shared" si="24"/>
        <v/>
      </c>
      <c r="AE92" s="240"/>
      <c r="AF92" s="241"/>
      <c r="AG92" s="247"/>
      <c r="AH92" s="241"/>
      <c r="AI92" s="247"/>
      <c r="AJ92" s="231"/>
      <c r="AK92" s="240"/>
      <c r="AL92" s="241"/>
      <c r="AM92" s="65"/>
      <c r="AN92" s="241"/>
      <c r="AO92" s="65"/>
      <c r="AP92" s="66"/>
      <c r="AQ92" s="66"/>
      <c r="AR92" s="66"/>
      <c r="AS92" s="221"/>
      <c r="AT92" s="222">
        <f t="shared" si="39"/>
        <v>0</v>
      </c>
      <c r="AU92" s="223"/>
      <c r="AV92" s="99"/>
      <c r="AW92" s="100"/>
      <c r="AX92" s="100"/>
      <c r="AY92" s="100"/>
      <c r="AZ92" s="100"/>
      <c r="BA92" s="100"/>
      <c r="BB92" s="100"/>
      <c r="BC92" s="101"/>
      <c r="BD92" s="96"/>
      <c r="BE92" s="97"/>
      <c r="BF92" s="97"/>
      <c r="BG92" s="97"/>
      <c r="BH92" s="98"/>
      <c r="BI92" s="157" t="e">
        <f t="shared" si="25"/>
        <v>#REF!</v>
      </c>
      <c r="BJ92" s="158" t="e">
        <f>#REF!</f>
        <v>#REF!</v>
      </c>
      <c r="BK92" s="159" t="e">
        <f>#REF!</f>
        <v>#REF!</v>
      </c>
      <c r="BL92" s="181" t="e">
        <f t="shared" si="26"/>
        <v>#REF!</v>
      </c>
      <c r="BM92" s="182" t="e">
        <f t="shared" si="27"/>
        <v>#REF!</v>
      </c>
      <c r="BN92" s="182" t="e">
        <f t="shared" si="28"/>
        <v>#REF!</v>
      </c>
      <c r="BO92" s="182" t="e">
        <f t="shared" si="29"/>
        <v>#REF!</v>
      </c>
      <c r="BP92" s="182" t="e">
        <f t="shared" si="30"/>
        <v>#REF!</v>
      </c>
      <c r="BQ92" s="182" t="e">
        <f t="shared" si="31"/>
        <v>#REF!</v>
      </c>
      <c r="BR92" s="182" t="e">
        <f t="shared" si="32"/>
        <v>#REF!</v>
      </c>
      <c r="BS92" s="183" t="e">
        <f t="shared" si="33"/>
        <v>#REF!</v>
      </c>
      <c r="BT92" s="184" t="e">
        <f t="shared" si="34"/>
        <v>#REF!</v>
      </c>
      <c r="BU92" s="185" t="e">
        <f t="shared" si="35"/>
        <v>#REF!</v>
      </c>
      <c r="BV92" s="185" t="e">
        <f t="shared" si="36"/>
        <v>#REF!</v>
      </c>
      <c r="BW92" s="185" t="e">
        <f t="shared" si="37"/>
        <v>#REF!</v>
      </c>
      <c r="BX92" s="186" t="e">
        <f t="shared" si="38"/>
        <v>#REF!</v>
      </c>
      <c r="BY9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2" s="66"/>
      <c r="DA92" s="66"/>
      <c r="DB92" s="66"/>
      <c r="DC92" s="224" t="str">
        <f t="shared" si="22"/>
        <v/>
      </c>
      <c r="DD92" s="1">
        <f>IF($DC92="",0,IF(COUNTIF($DC$2:$DC91,$DC92)=0,1,0))</f>
        <v>0</v>
      </c>
    </row>
    <row r="93" spans="1:108" s="1" customFormat="1" ht="12" customHeight="1" x14ac:dyDescent="0.25">
      <c r="A93" s="64">
        <v>92</v>
      </c>
      <c r="B93" s="71"/>
      <c r="C93" s="72"/>
      <c r="D93" s="72"/>
      <c r="E93" s="72"/>
      <c r="F93" s="72"/>
      <c r="G93" s="66"/>
      <c r="H93" s="66"/>
      <c r="I93" s="66"/>
      <c r="J93" s="67"/>
      <c r="K93" s="68"/>
      <c r="L93" s="69"/>
      <c r="M93" s="66"/>
      <c r="N93" s="66"/>
      <c r="O93" s="136" t="str">
        <f t="shared" si="40"/>
        <v/>
      </c>
      <c r="P93" s="65" t="str">
        <f t="shared" si="23"/>
        <v/>
      </c>
      <c r="Q93" s="70"/>
      <c r="R93" s="66"/>
      <c r="S93" s="65"/>
      <c r="T93" s="65"/>
      <c r="U93" s="65"/>
      <c r="V93" s="65"/>
      <c r="W93" s="65"/>
      <c r="X93" s="240"/>
      <c r="Y93" s="65"/>
      <c r="Z93" s="281"/>
      <c r="AA93" s="66"/>
      <c r="AB93" s="66"/>
      <c r="AC93" s="247"/>
      <c r="AD93" s="240" t="str">
        <f t="shared" si="24"/>
        <v/>
      </c>
      <c r="AE93" s="240"/>
      <c r="AF93" s="241"/>
      <c r="AG93" s="247"/>
      <c r="AH93" s="241"/>
      <c r="AI93" s="247"/>
      <c r="AJ93" s="231"/>
      <c r="AK93" s="240"/>
      <c r="AL93" s="241"/>
      <c r="AM93" s="65"/>
      <c r="AN93" s="241"/>
      <c r="AO93" s="65"/>
      <c r="AP93" s="66"/>
      <c r="AQ93" s="66"/>
      <c r="AR93" s="66"/>
      <c r="AS93" s="221"/>
      <c r="AT93" s="222">
        <f t="shared" si="39"/>
        <v>0</v>
      </c>
      <c r="AU93" s="223"/>
      <c r="AV93" s="99"/>
      <c r="AW93" s="100"/>
      <c r="AX93" s="100"/>
      <c r="AY93" s="100"/>
      <c r="AZ93" s="100"/>
      <c r="BA93" s="100"/>
      <c r="BB93" s="100"/>
      <c r="BC93" s="101"/>
      <c r="BD93" s="96"/>
      <c r="BE93" s="97"/>
      <c r="BF93" s="97"/>
      <c r="BG93" s="97"/>
      <c r="BH93" s="98"/>
      <c r="BI93" s="157" t="e">
        <f t="shared" si="25"/>
        <v>#REF!</v>
      </c>
      <c r="BJ93" s="158" t="e">
        <f>#REF!</f>
        <v>#REF!</v>
      </c>
      <c r="BK93" s="159" t="e">
        <f>#REF!</f>
        <v>#REF!</v>
      </c>
      <c r="BL93" s="181" t="e">
        <f t="shared" si="26"/>
        <v>#REF!</v>
      </c>
      <c r="BM93" s="182" t="e">
        <f t="shared" si="27"/>
        <v>#REF!</v>
      </c>
      <c r="BN93" s="182" t="e">
        <f t="shared" si="28"/>
        <v>#REF!</v>
      </c>
      <c r="BO93" s="182" t="e">
        <f t="shared" si="29"/>
        <v>#REF!</v>
      </c>
      <c r="BP93" s="182" t="e">
        <f t="shared" si="30"/>
        <v>#REF!</v>
      </c>
      <c r="BQ93" s="182" t="e">
        <f t="shared" si="31"/>
        <v>#REF!</v>
      </c>
      <c r="BR93" s="182" t="e">
        <f t="shared" si="32"/>
        <v>#REF!</v>
      </c>
      <c r="BS93" s="183" t="e">
        <f t="shared" si="33"/>
        <v>#REF!</v>
      </c>
      <c r="BT93" s="184" t="e">
        <f t="shared" si="34"/>
        <v>#REF!</v>
      </c>
      <c r="BU93" s="185" t="e">
        <f t="shared" si="35"/>
        <v>#REF!</v>
      </c>
      <c r="BV93" s="185" t="e">
        <f t="shared" si="36"/>
        <v>#REF!</v>
      </c>
      <c r="BW93" s="185" t="e">
        <f t="shared" si="37"/>
        <v>#REF!</v>
      </c>
      <c r="BX93" s="186" t="e">
        <f t="shared" si="38"/>
        <v>#REF!</v>
      </c>
      <c r="BY9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3" s="66"/>
      <c r="DA93" s="66"/>
      <c r="DB93" s="66"/>
      <c r="DC93" s="224" t="str">
        <f t="shared" si="22"/>
        <v/>
      </c>
      <c r="DD93" s="1">
        <f>IF($DC93="",0,IF(COUNTIF($DC$2:$DC92,$DC93)=0,1,0))</f>
        <v>0</v>
      </c>
    </row>
    <row r="94" spans="1:108" s="1" customFormat="1" ht="12" customHeight="1" x14ac:dyDescent="0.25">
      <c r="A94" s="64">
        <v>93</v>
      </c>
      <c r="B94" s="71"/>
      <c r="C94" s="72"/>
      <c r="D94" s="72"/>
      <c r="E94" s="72"/>
      <c r="F94" s="72"/>
      <c r="G94" s="66"/>
      <c r="H94" s="66"/>
      <c r="I94" s="66"/>
      <c r="J94" s="67"/>
      <c r="K94" s="68"/>
      <c r="L94" s="69"/>
      <c r="M94" s="66"/>
      <c r="N94" s="66"/>
      <c r="O94" s="136" t="str">
        <f t="shared" si="40"/>
        <v/>
      </c>
      <c r="P94" s="65" t="str">
        <f t="shared" si="23"/>
        <v/>
      </c>
      <c r="Q94" s="70"/>
      <c r="R94" s="66"/>
      <c r="S94" s="65"/>
      <c r="T94" s="65"/>
      <c r="U94" s="65"/>
      <c r="V94" s="65"/>
      <c r="W94" s="65"/>
      <c r="X94" s="240"/>
      <c r="Y94" s="65"/>
      <c r="Z94" s="281"/>
      <c r="AA94" s="66"/>
      <c r="AB94" s="66"/>
      <c r="AC94" s="247"/>
      <c r="AD94" s="240" t="str">
        <f t="shared" si="24"/>
        <v/>
      </c>
      <c r="AE94" s="240"/>
      <c r="AF94" s="241"/>
      <c r="AG94" s="247"/>
      <c r="AH94" s="241"/>
      <c r="AI94" s="247"/>
      <c r="AJ94" s="231"/>
      <c r="AK94" s="240"/>
      <c r="AL94" s="241"/>
      <c r="AM94" s="65"/>
      <c r="AN94" s="241"/>
      <c r="AO94" s="65"/>
      <c r="AP94" s="66"/>
      <c r="AQ94" s="66"/>
      <c r="AR94" s="66"/>
      <c r="AS94" s="221"/>
      <c r="AT94" s="222">
        <f t="shared" si="39"/>
        <v>0</v>
      </c>
      <c r="AU94" s="223"/>
      <c r="AV94" s="99"/>
      <c r="AW94" s="100"/>
      <c r="AX94" s="100"/>
      <c r="AY94" s="100"/>
      <c r="AZ94" s="100"/>
      <c r="BA94" s="100"/>
      <c r="BB94" s="100"/>
      <c r="BC94" s="101"/>
      <c r="BD94" s="96"/>
      <c r="BE94" s="97"/>
      <c r="BF94" s="97"/>
      <c r="BG94" s="97"/>
      <c r="BH94" s="98"/>
      <c r="BI94" s="157" t="e">
        <f t="shared" si="25"/>
        <v>#REF!</v>
      </c>
      <c r="BJ94" s="158" t="e">
        <f>#REF!</f>
        <v>#REF!</v>
      </c>
      <c r="BK94" s="159" t="e">
        <f>#REF!</f>
        <v>#REF!</v>
      </c>
      <c r="BL94" s="181" t="e">
        <f t="shared" si="26"/>
        <v>#REF!</v>
      </c>
      <c r="BM94" s="182" t="e">
        <f t="shared" si="27"/>
        <v>#REF!</v>
      </c>
      <c r="BN94" s="182" t="e">
        <f t="shared" si="28"/>
        <v>#REF!</v>
      </c>
      <c r="BO94" s="182" t="e">
        <f t="shared" si="29"/>
        <v>#REF!</v>
      </c>
      <c r="BP94" s="182" t="e">
        <f t="shared" si="30"/>
        <v>#REF!</v>
      </c>
      <c r="BQ94" s="182" t="e">
        <f t="shared" si="31"/>
        <v>#REF!</v>
      </c>
      <c r="BR94" s="182" t="e">
        <f t="shared" si="32"/>
        <v>#REF!</v>
      </c>
      <c r="BS94" s="183" t="e">
        <f t="shared" si="33"/>
        <v>#REF!</v>
      </c>
      <c r="BT94" s="184" t="e">
        <f t="shared" si="34"/>
        <v>#REF!</v>
      </c>
      <c r="BU94" s="185" t="e">
        <f t="shared" si="35"/>
        <v>#REF!</v>
      </c>
      <c r="BV94" s="185" t="e">
        <f t="shared" si="36"/>
        <v>#REF!</v>
      </c>
      <c r="BW94" s="185" t="e">
        <f t="shared" si="37"/>
        <v>#REF!</v>
      </c>
      <c r="BX94" s="186" t="e">
        <f t="shared" si="38"/>
        <v>#REF!</v>
      </c>
      <c r="BY9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4" s="66"/>
      <c r="DA94" s="66"/>
      <c r="DB94" s="66"/>
      <c r="DC94" s="224" t="str">
        <f t="shared" si="22"/>
        <v/>
      </c>
      <c r="DD94" s="1">
        <f>IF($DC94="",0,IF(COUNTIF($DC$2:$DC93,$DC94)=0,1,0))</f>
        <v>0</v>
      </c>
    </row>
    <row r="95" spans="1:108" s="1" customFormat="1" ht="12" customHeight="1" x14ac:dyDescent="0.25">
      <c r="A95" s="64">
        <v>94</v>
      </c>
      <c r="B95" s="71"/>
      <c r="C95" s="72"/>
      <c r="D95" s="72"/>
      <c r="E95" s="72"/>
      <c r="F95" s="72"/>
      <c r="G95" s="66"/>
      <c r="H95" s="66"/>
      <c r="I95" s="66"/>
      <c r="J95" s="67"/>
      <c r="K95" s="68"/>
      <c r="L95" s="69"/>
      <c r="M95" s="66"/>
      <c r="N95" s="66"/>
      <c r="O95" s="136" t="str">
        <f t="shared" si="40"/>
        <v/>
      </c>
      <c r="P95" s="65" t="str">
        <f t="shared" si="23"/>
        <v/>
      </c>
      <c r="Q95" s="70"/>
      <c r="R95" s="66"/>
      <c r="S95" s="65"/>
      <c r="T95" s="65"/>
      <c r="U95" s="65"/>
      <c r="V95" s="65"/>
      <c r="W95" s="65"/>
      <c r="X95" s="240"/>
      <c r="Y95" s="65"/>
      <c r="Z95" s="281"/>
      <c r="AA95" s="66"/>
      <c r="AB95" s="66"/>
      <c r="AC95" s="247"/>
      <c r="AD95" s="240" t="str">
        <f t="shared" si="24"/>
        <v/>
      </c>
      <c r="AE95" s="240"/>
      <c r="AF95" s="241"/>
      <c r="AG95" s="247"/>
      <c r="AH95" s="241"/>
      <c r="AI95" s="247"/>
      <c r="AJ95" s="231"/>
      <c r="AK95" s="240"/>
      <c r="AL95" s="241"/>
      <c r="AM95" s="65"/>
      <c r="AN95" s="241"/>
      <c r="AO95" s="65"/>
      <c r="AP95" s="66"/>
      <c r="AQ95" s="66"/>
      <c r="AR95" s="66"/>
      <c r="AS95" s="221"/>
      <c r="AT95" s="222">
        <f t="shared" si="39"/>
        <v>0</v>
      </c>
      <c r="AU95" s="223"/>
      <c r="AV95" s="99"/>
      <c r="AW95" s="100"/>
      <c r="AX95" s="100"/>
      <c r="AY95" s="100"/>
      <c r="AZ95" s="100"/>
      <c r="BA95" s="100"/>
      <c r="BB95" s="100"/>
      <c r="BC95" s="101"/>
      <c r="BD95" s="96"/>
      <c r="BE95" s="97"/>
      <c r="BF95" s="97"/>
      <c r="BG95" s="97"/>
      <c r="BH95" s="98"/>
      <c r="BI95" s="157" t="e">
        <f t="shared" si="25"/>
        <v>#REF!</v>
      </c>
      <c r="BJ95" s="158" t="e">
        <f>#REF!</f>
        <v>#REF!</v>
      </c>
      <c r="BK95" s="159" t="e">
        <f>#REF!</f>
        <v>#REF!</v>
      </c>
      <c r="BL95" s="181" t="e">
        <f t="shared" si="26"/>
        <v>#REF!</v>
      </c>
      <c r="BM95" s="182" t="e">
        <f t="shared" si="27"/>
        <v>#REF!</v>
      </c>
      <c r="BN95" s="182" t="e">
        <f t="shared" si="28"/>
        <v>#REF!</v>
      </c>
      <c r="BO95" s="182" t="e">
        <f t="shared" si="29"/>
        <v>#REF!</v>
      </c>
      <c r="BP95" s="182" t="e">
        <f t="shared" si="30"/>
        <v>#REF!</v>
      </c>
      <c r="BQ95" s="182" t="e">
        <f t="shared" si="31"/>
        <v>#REF!</v>
      </c>
      <c r="BR95" s="182" t="e">
        <f t="shared" si="32"/>
        <v>#REF!</v>
      </c>
      <c r="BS95" s="183" t="e">
        <f t="shared" si="33"/>
        <v>#REF!</v>
      </c>
      <c r="BT95" s="184" t="e">
        <f t="shared" si="34"/>
        <v>#REF!</v>
      </c>
      <c r="BU95" s="185" t="e">
        <f t="shared" si="35"/>
        <v>#REF!</v>
      </c>
      <c r="BV95" s="185" t="e">
        <f t="shared" si="36"/>
        <v>#REF!</v>
      </c>
      <c r="BW95" s="185" t="e">
        <f t="shared" si="37"/>
        <v>#REF!</v>
      </c>
      <c r="BX95" s="186" t="e">
        <f t="shared" si="38"/>
        <v>#REF!</v>
      </c>
      <c r="BY9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5" s="66"/>
      <c r="DA95" s="66"/>
      <c r="DB95" s="66"/>
      <c r="DC95" s="224" t="str">
        <f t="shared" si="22"/>
        <v/>
      </c>
      <c r="DD95" s="1">
        <f>IF($DC95="",0,IF(COUNTIF($DC$2:$DC94,$DC95)=0,1,0))</f>
        <v>0</v>
      </c>
    </row>
    <row r="96" spans="1:108" s="1" customFormat="1" ht="12" customHeight="1" x14ac:dyDescent="0.25">
      <c r="A96" s="64">
        <v>95</v>
      </c>
      <c r="B96" s="71"/>
      <c r="C96" s="72"/>
      <c r="D96" s="72"/>
      <c r="E96" s="72"/>
      <c r="F96" s="72"/>
      <c r="G96" s="66"/>
      <c r="H96" s="66"/>
      <c r="I96" s="66"/>
      <c r="J96" s="67"/>
      <c r="K96" s="68"/>
      <c r="L96" s="69"/>
      <c r="M96" s="66"/>
      <c r="N96" s="66"/>
      <c r="O96" s="136" t="str">
        <f t="shared" si="40"/>
        <v/>
      </c>
      <c r="P96" s="65" t="str">
        <f t="shared" si="23"/>
        <v/>
      </c>
      <c r="Q96" s="70"/>
      <c r="R96" s="66"/>
      <c r="S96" s="65"/>
      <c r="T96" s="65"/>
      <c r="U96" s="65"/>
      <c r="V96" s="65"/>
      <c r="W96" s="65"/>
      <c r="X96" s="240"/>
      <c r="Y96" s="65"/>
      <c r="Z96" s="281"/>
      <c r="AA96" s="66"/>
      <c r="AB96" s="66"/>
      <c r="AC96" s="247"/>
      <c r="AD96" s="240" t="str">
        <f t="shared" si="24"/>
        <v/>
      </c>
      <c r="AE96" s="240"/>
      <c r="AF96" s="241"/>
      <c r="AG96" s="247"/>
      <c r="AH96" s="241"/>
      <c r="AI96" s="247"/>
      <c r="AJ96" s="231"/>
      <c r="AK96" s="240"/>
      <c r="AL96" s="241"/>
      <c r="AM96" s="65"/>
      <c r="AN96" s="241"/>
      <c r="AO96" s="65"/>
      <c r="AP96" s="66"/>
      <c r="AQ96" s="66"/>
      <c r="AR96" s="66"/>
      <c r="AS96" s="221"/>
      <c r="AT96" s="222">
        <f t="shared" si="39"/>
        <v>0</v>
      </c>
      <c r="AU96" s="223"/>
      <c r="AV96" s="99"/>
      <c r="AW96" s="100"/>
      <c r="AX96" s="100"/>
      <c r="AY96" s="100"/>
      <c r="AZ96" s="100"/>
      <c r="BA96" s="100"/>
      <c r="BB96" s="100"/>
      <c r="BC96" s="101"/>
      <c r="BD96" s="96"/>
      <c r="BE96" s="97"/>
      <c r="BF96" s="97"/>
      <c r="BG96" s="97"/>
      <c r="BH96" s="98"/>
      <c r="BI96" s="157" t="e">
        <f t="shared" si="25"/>
        <v>#REF!</v>
      </c>
      <c r="BJ96" s="158" t="e">
        <f>#REF!</f>
        <v>#REF!</v>
      </c>
      <c r="BK96" s="159" t="e">
        <f>#REF!</f>
        <v>#REF!</v>
      </c>
      <c r="BL96" s="181" t="e">
        <f t="shared" si="26"/>
        <v>#REF!</v>
      </c>
      <c r="BM96" s="182" t="e">
        <f t="shared" si="27"/>
        <v>#REF!</v>
      </c>
      <c r="BN96" s="182" t="e">
        <f t="shared" si="28"/>
        <v>#REF!</v>
      </c>
      <c r="BO96" s="182" t="e">
        <f t="shared" si="29"/>
        <v>#REF!</v>
      </c>
      <c r="BP96" s="182" t="e">
        <f t="shared" si="30"/>
        <v>#REF!</v>
      </c>
      <c r="BQ96" s="182" t="e">
        <f t="shared" si="31"/>
        <v>#REF!</v>
      </c>
      <c r="BR96" s="182" t="e">
        <f t="shared" si="32"/>
        <v>#REF!</v>
      </c>
      <c r="BS96" s="183" t="e">
        <f t="shared" si="33"/>
        <v>#REF!</v>
      </c>
      <c r="BT96" s="184" t="e">
        <f t="shared" si="34"/>
        <v>#REF!</v>
      </c>
      <c r="BU96" s="185" t="e">
        <f t="shared" si="35"/>
        <v>#REF!</v>
      </c>
      <c r="BV96" s="185" t="e">
        <f t="shared" si="36"/>
        <v>#REF!</v>
      </c>
      <c r="BW96" s="185" t="e">
        <f t="shared" si="37"/>
        <v>#REF!</v>
      </c>
      <c r="BX96" s="186" t="e">
        <f t="shared" si="38"/>
        <v>#REF!</v>
      </c>
      <c r="BY9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6" s="66"/>
      <c r="DA96" s="66"/>
      <c r="DB96" s="66"/>
      <c r="DC96" s="224" t="str">
        <f t="shared" si="22"/>
        <v/>
      </c>
      <c r="DD96" s="1">
        <f>IF($DC96="",0,IF(COUNTIF($DC$2:$DC95,$DC96)=0,1,0))</f>
        <v>0</v>
      </c>
    </row>
    <row r="97" spans="1:108" s="1" customFormat="1" ht="12" customHeight="1" x14ac:dyDescent="0.25">
      <c r="A97" s="64">
        <v>96</v>
      </c>
      <c r="B97" s="71"/>
      <c r="C97" s="72"/>
      <c r="D97" s="72"/>
      <c r="E97" s="72"/>
      <c r="F97" s="72"/>
      <c r="G97" s="66"/>
      <c r="H97" s="66"/>
      <c r="I97" s="66"/>
      <c r="J97" s="67"/>
      <c r="K97" s="68"/>
      <c r="L97" s="69"/>
      <c r="M97" s="66"/>
      <c r="N97" s="66"/>
      <c r="O97" s="136" t="str">
        <f t="shared" si="40"/>
        <v/>
      </c>
      <c r="P97" s="65" t="str">
        <f t="shared" si="23"/>
        <v/>
      </c>
      <c r="Q97" s="70"/>
      <c r="R97" s="66"/>
      <c r="S97" s="65"/>
      <c r="T97" s="65"/>
      <c r="U97" s="65"/>
      <c r="V97" s="65"/>
      <c r="W97" s="65"/>
      <c r="X97" s="240"/>
      <c r="Y97" s="65"/>
      <c r="Z97" s="281"/>
      <c r="AA97" s="66"/>
      <c r="AB97" s="66"/>
      <c r="AC97" s="247"/>
      <c r="AD97" s="240" t="str">
        <f t="shared" si="24"/>
        <v/>
      </c>
      <c r="AE97" s="240"/>
      <c r="AF97" s="241"/>
      <c r="AG97" s="247"/>
      <c r="AH97" s="241"/>
      <c r="AI97" s="247"/>
      <c r="AJ97" s="231"/>
      <c r="AK97" s="240"/>
      <c r="AL97" s="241"/>
      <c r="AM97" s="65"/>
      <c r="AN97" s="241"/>
      <c r="AO97" s="65"/>
      <c r="AP97" s="66"/>
      <c r="AQ97" s="66"/>
      <c r="AR97" s="66"/>
      <c r="AS97" s="221"/>
      <c r="AT97" s="222">
        <f t="shared" si="39"/>
        <v>0</v>
      </c>
      <c r="AU97" s="223"/>
      <c r="AV97" s="99"/>
      <c r="AW97" s="100"/>
      <c r="AX97" s="100"/>
      <c r="AY97" s="100"/>
      <c r="AZ97" s="100"/>
      <c r="BA97" s="100"/>
      <c r="BB97" s="100"/>
      <c r="BC97" s="101"/>
      <c r="BD97" s="96"/>
      <c r="BE97" s="97"/>
      <c r="BF97" s="97"/>
      <c r="BG97" s="97"/>
      <c r="BH97" s="98"/>
      <c r="BI97" s="157" t="e">
        <f t="shared" si="25"/>
        <v>#REF!</v>
      </c>
      <c r="BJ97" s="158" t="e">
        <f>#REF!</f>
        <v>#REF!</v>
      </c>
      <c r="BK97" s="159" t="e">
        <f>#REF!</f>
        <v>#REF!</v>
      </c>
      <c r="BL97" s="181" t="e">
        <f t="shared" si="26"/>
        <v>#REF!</v>
      </c>
      <c r="BM97" s="182" t="e">
        <f t="shared" si="27"/>
        <v>#REF!</v>
      </c>
      <c r="BN97" s="182" t="e">
        <f t="shared" si="28"/>
        <v>#REF!</v>
      </c>
      <c r="BO97" s="182" t="e">
        <f t="shared" si="29"/>
        <v>#REF!</v>
      </c>
      <c r="BP97" s="182" t="e">
        <f t="shared" si="30"/>
        <v>#REF!</v>
      </c>
      <c r="BQ97" s="182" t="e">
        <f t="shared" si="31"/>
        <v>#REF!</v>
      </c>
      <c r="BR97" s="182" t="e">
        <f t="shared" si="32"/>
        <v>#REF!</v>
      </c>
      <c r="BS97" s="183" t="e">
        <f t="shared" si="33"/>
        <v>#REF!</v>
      </c>
      <c r="BT97" s="184" t="e">
        <f t="shared" si="34"/>
        <v>#REF!</v>
      </c>
      <c r="BU97" s="185" t="e">
        <f t="shared" si="35"/>
        <v>#REF!</v>
      </c>
      <c r="BV97" s="185" t="e">
        <f t="shared" si="36"/>
        <v>#REF!</v>
      </c>
      <c r="BW97" s="185" t="e">
        <f t="shared" si="37"/>
        <v>#REF!</v>
      </c>
      <c r="BX97" s="186" t="e">
        <f t="shared" si="38"/>
        <v>#REF!</v>
      </c>
      <c r="BY9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7" s="66"/>
      <c r="DA97" s="66"/>
      <c r="DB97" s="66"/>
      <c r="DC97" s="224" t="str">
        <f t="shared" si="22"/>
        <v/>
      </c>
      <c r="DD97" s="1">
        <f>IF($DC97="",0,IF(COUNTIF($DC$2:$DC96,$DC97)=0,1,0))</f>
        <v>0</v>
      </c>
    </row>
    <row r="98" spans="1:108" s="1" customFormat="1" ht="12" customHeight="1" x14ac:dyDescent="0.25">
      <c r="A98" s="64">
        <v>97</v>
      </c>
      <c r="B98" s="71"/>
      <c r="C98" s="72"/>
      <c r="D98" s="72"/>
      <c r="E98" s="72"/>
      <c r="F98" s="72"/>
      <c r="G98" s="66"/>
      <c r="H98" s="66"/>
      <c r="I98" s="66"/>
      <c r="J98" s="67"/>
      <c r="K98" s="68"/>
      <c r="L98" s="69"/>
      <c r="M98" s="66"/>
      <c r="N98" s="66"/>
      <c r="O98" s="136" t="str">
        <f t="shared" si="40"/>
        <v/>
      </c>
      <c r="P98" s="65" t="str">
        <f t="shared" si="23"/>
        <v/>
      </c>
      <c r="Q98" s="70"/>
      <c r="R98" s="66"/>
      <c r="S98" s="65"/>
      <c r="T98" s="65"/>
      <c r="U98" s="65"/>
      <c r="V98" s="65"/>
      <c r="W98" s="65"/>
      <c r="X98" s="240"/>
      <c r="Y98" s="65"/>
      <c r="Z98" s="281"/>
      <c r="AA98" s="66"/>
      <c r="AB98" s="66"/>
      <c r="AC98" s="247"/>
      <c r="AD98" s="240" t="str">
        <f t="shared" si="24"/>
        <v/>
      </c>
      <c r="AE98" s="240"/>
      <c r="AF98" s="241"/>
      <c r="AG98" s="247"/>
      <c r="AH98" s="241"/>
      <c r="AI98" s="247"/>
      <c r="AJ98" s="231"/>
      <c r="AK98" s="240"/>
      <c r="AL98" s="241"/>
      <c r="AM98" s="65"/>
      <c r="AN98" s="241"/>
      <c r="AO98" s="65"/>
      <c r="AP98" s="66"/>
      <c r="AQ98" s="66"/>
      <c r="AR98" s="66"/>
      <c r="AS98" s="221"/>
      <c r="AT98" s="222">
        <f t="shared" si="39"/>
        <v>0</v>
      </c>
      <c r="AU98" s="223"/>
      <c r="AV98" s="99"/>
      <c r="AW98" s="100"/>
      <c r="AX98" s="100"/>
      <c r="AY98" s="100"/>
      <c r="AZ98" s="100"/>
      <c r="BA98" s="100"/>
      <c r="BB98" s="100"/>
      <c r="BC98" s="101"/>
      <c r="BD98" s="96"/>
      <c r="BE98" s="97"/>
      <c r="BF98" s="97"/>
      <c r="BG98" s="97"/>
      <c r="BH98" s="98"/>
      <c r="BI98" s="157" t="e">
        <f t="shared" si="25"/>
        <v>#REF!</v>
      </c>
      <c r="BJ98" s="158" t="e">
        <f>#REF!</f>
        <v>#REF!</v>
      </c>
      <c r="BK98" s="159" t="e">
        <f>#REF!</f>
        <v>#REF!</v>
      </c>
      <c r="BL98" s="181" t="e">
        <f t="shared" si="26"/>
        <v>#REF!</v>
      </c>
      <c r="BM98" s="182" t="e">
        <f t="shared" si="27"/>
        <v>#REF!</v>
      </c>
      <c r="BN98" s="182" t="e">
        <f t="shared" si="28"/>
        <v>#REF!</v>
      </c>
      <c r="BO98" s="182" t="e">
        <f t="shared" si="29"/>
        <v>#REF!</v>
      </c>
      <c r="BP98" s="182" t="e">
        <f t="shared" si="30"/>
        <v>#REF!</v>
      </c>
      <c r="BQ98" s="182" t="e">
        <f t="shared" si="31"/>
        <v>#REF!</v>
      </c>
      <c r="BR98" s="182" t="e">
        <f t="shared" si="32"/>
        <v>#REF!</v>
      </c>
      <c r="BS98" s="183" t="e">
        <f t="shared" si="33"/>
        <v>#REF!</v>
      </c>
      <c r="BT98" s="184" t="e">
        <f t="shared" si="34"/>
        <v>#REF!</v>
      </c>
      <c r="BU98" s="185" t="e">
        <f t="shared" si="35"/>
        <v>#REF!</v>
      </c>
      <c r="BV98" s="185" t="e">
        <f t="shared" si="36"/>
        <v>#REF!</v>
      </c>
      <c r="BW98" s="185" t="e">
        <f t="shared" si="37"/>
        <v>#REF!</v>
      </c>
      <c r="BX98" s="186" t="e">
        <f t="shared" si="38"/>
        <v>#REF!</v>
      </c>
      <c r="BY9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8" s="66"/>
      <c r="DA98" s="66"/>
      <c r="DB98" s="66"/>
      <c r="DC98" s="224" t="str">
        <f t="shared" ref="DC98:DC129" si="41">C98&amp;E98</f>
        <v/>
      </c>
      <c r="DD98" s="1">
        <f>IF($DC98="",0,IF(COUNTIF($DC$2:$DC97,$DC98)=0,1,0))</f>
        <v>0</v>
      </c>
    </row>
    <row r="99" spans="1:108" s="1" customFormat="1" ht="12" customHeight="1" x14ac:dyDescent="0.25">
      <c r="A99" s="64">
        <v>98</v>
      </c>
      <c r="B99" s="71"/>
      <c r="C99" s="72"/>
      <c r="D99" s="72"/>
      <c r="E99" s="72"/>
      <c r="F99" s="72"/>
      <c r="G99" s="66"/>
      <c r="H99" s="66"/>
      <c r="I99" s="66"/>
      <c r="J99" s="67"/>
      <c r="K99" s="68"/>
      <c r="L99" s="69"/>
      <c r="M99" s="66"/>
      <c r="N99" s="66"/>
      <c r="O99" s="136" t="str">
        <f t="shared" si="40"/>
        <v/>
      </c>
      <c r="P99" s="65" t="str">
        <f t="shared" si="23"/>
        <v/>
      </c>
      <c r="Q99" s="70"/>
      <c r="R99" s="66"/>
      <c r="S99" s="65"/>
      <c r="T99" s="65"/>
      <c r="U99" s="65"/>
      <c r="V99" s="65"/>
      <c r="W99" s="65"/>
      <c r="X99" s="240"/>
      <c r="Y99" s="65"/>
      <c r="Z99" s="281"/>
      <c r="AA99" s="66"/>
      <c r="AB99" s="66"/>
      <c r="AC99" s="247"/>
      <c r="AD99" s="240" t="str">
        <f t="shared" si="24"/>
        <v/>
      </c>
      <c r="AE99" s="240"/>
      <c r="AF99" s="241"/>
      <c r="AG99" s="247"/>
      <c r="AH99" s="241"/>
      <c r="AI99" s="247"/>
      <c r="AJ99" s="231"/>
      <c r="AK99" s="240"/>
      <c r="AL99" s="241"/>
      <c r="AM99" s="65"/>
      <c r="AN99" s="241"/>
      <c r="AO99" s="65"/>
      <c r="AP99" s="66"/>
      <c r="AQ99" s="66"/>
      <c r="AR99" s="66"/>
      <c r="AS99" s="221"/>
      <c r="AT99" s="222">
        <f t="shared" si="39"/>
        <v>0</v>
      </c>
      <c r="AU99" s="223"/>
      <c r="AV99" s="99"/>
      <c r="AW99" s="100"/>
      <c r="AX99" s="100"/>
      <c r="AY99" s="100"/>
      <c r="AZ99" s="100"/>
      <c r="BA99" s="100"/>
      <c r="BB99" s="100"/>
      <c r="BC99" s="101"/>
      <c r="BD99" s="96"/>
      <c r="BE99" s="97"/>
      <c r="BF99" s="97"/>
      <c r="BG99" s="97"/>
      <c r="BH99" s="98"/>
      <c r="BI99" s="157" t="e">
        <f t="shared" si="25"/>
        <v>#REF!</v>
      </c>
      <c r="BJ99" s="158" t="e">
        <f>#REF!</f>
        <v>#REF!</v>
      </c>
      <c r="BK99" s="159" t="e">
        <f>#REF!</f>
        <v>#REF!</v>
      </c>
      <c r="BL99" s="181" t="e">
        <f t="shared" si="26"/>
        <v>#REF!</v>
      </c>
      <c r="BM99" s="182" t="e">
        <f t="shared" si="27"/>
        <v>#REF!</v>
      </c>
      <c r="BN99" s="182" t="e">
        <f t="shared" si="28"/>
        <v>#REF!</v>
      </c>
      <c r="BO99" s="182" t="e">
        <f t="shared" si="29"/>
        <v>#REF!</v>
      </c>
      <c r="BP99" s="182" t="e">
        <f t="shared" si="30"/>
        <v>#REF!</v>
      </c>
      <c r="BQ99" s="182" t="e">
        <f t="shared" si="31"/>
        <v>#REF!</v>
      </c>
      <c r="BR99" s="182" t="e">
        <f t="shared" si="32"/>
        <v>#REF!</v>
      </c>
      <c r="BS99" s="183" t="e">
        <f t="shared" si="33"/>
        <v>#REF!</v>
      </c>
      <c r="BT99" s="184" t="e">
        <f t="shared" si="34"/>
        <v>#REF!</v>
      </c>
      <c r="BU99" s="185" t="e">
        <f t="shared" si="35"/>
        <v>#REF!</v>
      </c>
      <c r="BV99" s="185" t="e">
        <f t="shared" si="36"/>
        <v>#REF!</v>
      </c>
      <c r="BW99" s="185" t="e">
        <f t="shared" si="37"/>
        <v>#REF!</v>
      </c>
      <c r="BX99" s="186" t="e">
        <f t="shared" si="38"/>
        <v>#REF!</v>
      </c>
      <c r="BY9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9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9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9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9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9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9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9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9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9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9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9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9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9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9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9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9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9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9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9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9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9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9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9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9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9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9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99" s="66"/>
      <c r="DA99" s="66"/>
      <c r="DB99" s="66"/>
      <c r="DC99" s="224" t="str">
        <f t="shared" si="41"/>
        <v/>
      </c>
      <c r="DD99" s="1">
        <f>IF($DC99="",0,IF(COUNTIF($DC$2:$DC98,$DC99)=0,1,0))</f>
        <v>0</v>
      </c>
    </row>
    <row r="100" spans="1:108" s="1" customFormat="1" ht="12" customHeight="1" x14ac:dyDescent="0.25">
      <c r="A100" s="64">
        <v>99</v>
      </c>
      <c r="B100" s="71"/>
      <c r="C100" s="72"/>
      <c r="D100" s="72"/>
      <c r="E100" s="72"/>
      <c r="F100" s="72"/>
      <c r="G100" s="66"/>
      <c r="H100" s="66"/>
      <c r="I100" s="66"/>
      <c r="J100" s="67"/>
      <c r="K100" s="68"/>
      <c r="L100" s="69"/>
      <c r="M100" s="66"/>
      <c r="N100" s="66"/>
      <c r="O100" s="136" t="str">
        <f t="shared" si="40"/>
        <v/>
      </c>
      <c r="P100" s="65" t="str">
        <f t="shared" si="23"/>
        <v/>
      </c>
      <c r="Q100" s="70"/>
      <c r="R100" s="66"/>
      <c r="S100" s="65"/>
      <c r="T100" s="65"/>
      <c r="U100" s="65"/>
      <c r="V100" s="65"/>
      <c r="W100" s="65"/>
      <c r="X100" s="240"/>
      <c r="Y100" s="65"/>
      <c r="Z100" s="281"/>
      <c r="AA100" s="66"/>
      <c r="AB100" s="66"/>
      <c r="AC100" s="247"/>
      <c r="AD100" s="240" t="str">
        <f t="shared" si="24"/>
        <v/>
      </c>
      <c r="AE100" s="240"/>
      <c r="AF100" s="241"/>
      <c r="AG100" s="247"/>
      <c r="AH100" s="241"/>
      <c r="AI100" s="247"/>
      <c r="AJ100" s="231"/>
      <c r="AK100" s="240"/>
      <c r="AL100" s="241"/>
      <c r="AM100" s="65"/>
      <c r="AN100" s="241"/>
      <c r="AO100" s="65"/>
      <c r="AP100" s="66"/>
      <c r="AQ100" s="66"/>
      <c r="AR100" s="66"/>
      <c r="AS100" s="221"/>
      <c r="AT100" s="222">
        <f t="shared" si="39"/>
        <v>0</v>
      </c>
      <c r="AU100" s="223"/>
      <c r="AV100" s="99"/>
      <c r="AW100" s="100"/>
      <c r="AX100" s="100"/>
      <c r="AY100" s="100"/>
      <c r="AZ100" s="100"/>
      <c r="BA100" s="100"/>
      <c r="BB100" s="100"/>
      <c r="BC100" s="101"/>
      <c r="BD100" s="96"/>
      <c r="BE100" s="97"/>
      <c r="BF100" s="97"/>
      <c r="BG100" s="97"/>
      <c r="BH100" s="98"/>
      <c r="BI100" s="157" t="e">
        <f t="shared" si="25"/>
        <v>#REF!</v>
      </c>
      <c r="BJ100" s="158" t="e">
        <f>#REF!</f>
        <v>#REF!</v>
      </c>
      <c r="BK100" s="159" t="e">
        <f>#REF!</f>
        <v>#REF!</v>
      </c>
      <c r="BL100" s="181" t="e">
        <f t="shared" si="26"/>
        <v>#REF!</v>
      </c>
      <c r="BM100" s="182" t="e">
        <f t="shared" si="27"/>
        <v>#REF!</v>
      </c>
      <c r="BN100" s="182" t="e">
        <f t="shared" si="28"/>
        <v>#REF!</v>
      </c>
      <c r="BO100" s="182" t="e">
        <f t="shared" si="29"/>
        <v>#REF!</v>
      </c>
      <c r="BP100" s="182" t="e">
        <f t="shared" si="30"/>
        <v>#REF!</v>
      </c>
      <c r="BQ100" s="182" t="e">
        <f t="shared" si="31"/>
        <v>#REF!</v>
      </c>
      <c r="BR100" s="182" t="e">
        <f t="shared" si="32"/>
        <v>#REF!</v>
      </c>
      <c r="BS100" s="183" t="e">
        <f t="shared" si="33"/>
        <v>#REF!</v>
      </c>
      <c r="BT100" s="184" t="e">
        <f t="shared" si="34"/>
        <v>#REF!</v>
      </c>
      <c r="BU100" s="185" t="e">
        <f t="shared" si="35"/>
        <v>#REF!</v>
      </c>
      <c r="BV100" s="185" t="e">
        <f t="shared" si="36"/>
        <v>#REF!</v>
      </c>
      <c r="BW100" s="185" t="e">
        <f t="shared" si="37"/>
        <v>#REF!</v>
      </c>
      <c r="BX100" s="186" t="e">
        <f t="shared" si="38"/>
        <v>#REF!</v>
      </c>
      <c r="BY10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0" s="66"/>
      <c r="DA100" s="66"/>
      <c r="DB100" s="66"/>
      <c r="DC100" s="224" t="str">
        <f t="shared" si="41"/>
        <v/>
      </c>
      <c r="DD100" s="1">
        <f>IF($DC100="",0,IF(COUNTIF($DC$2:$DC99,$DC100)=0,1,0))</f>
        <v>0</v>
      </c>
    </row>
    <row r="101" spans="1:108" s="1" customFormat="1" ht="12" customHeight="1" x14ac:dyDescent="0.25">
      <c r="A101" s="64">
        <v>100</v>
      </c>
      <c r="B101" s="71"/>
      <c r="C101" s="72"/>
      <c r="D101" s="72"/>
      <c r="E101" s="72"/>
      <c r="F101" s="72"/>
      <c r="G101" s="66"/>
      <c r="H101" s="66"/>
      <c r="I101" s="66"/>
      <c r="J101" s="67"/>
      <c r="K101" s="68"/>
      <c r="L101" s="69"/>
      <c r="M101" s="66"/>
      <c r="N101" s="66"/>
      <c r="O101" s="136" t="str">
        <f t="shared" si="40"/>
        <v/>
      </c>
      <c r="P101" s="65" t="str">
        <f t="shared" si="23"/>
        <v/>
      </c>
      <c r="Q101" s="70"/>
      <c r="R101" s="66"/>
      <c r="S101" s="65"/>
      <c r="T101" s="65"/>
      <c r="U101" s="65"/>
      <c r="V101" s="65"/>
      <c r="W101" s="65"/>
      <c r="X101" s="240"/>
      <c r="Y101" s="65"/>
      <c r="Z101" s="281"/>
      <c r="AA101" s="66"/>
      <c r="AB101" s="66"/>
      <c r="AC101" s="247"/>
      <c r="AD101" s="240" t="str">
        <f t="shared" si="24"/>
        <v/>
      </c>
      <c r="AE101" s="240"/>
      <c r="AF101" s="241"/>
      <c r="AG101" s="247"/>
      <c r="AH101" s="241"/>
      <c r="AI101" s="247"/>
      <c r="AJ101" s="231"/>
      <c r="AK101" s="240"/>
      <c r="AL101" s="241"/>
      <c r="AM101" s="65"/>
      <c r="AN101" s="241"/>
      <c r="AO101" s="65"/>
      <c r="AP101" s="66"/>
      <c r="AQ101" s="66"/>
      <c r="AR101" s="66"/>
      <c r="AS101" s="221"/>
      <c r="AT101" s="222">
        <f t="shared" si="39"/>
        <v>0</v>
      </c>
      <c r="AU101" s="223"/>
      <c r="AV101" s="99"/>
      <c r="AW101" s="100"/>
      <c r="AX101" s="100"/>
      <c r="AY101" s="100"/>
      <c r="AZ101" s="100"/>
      <c r="BA101" s="100"/>
      <c r="BB101" s="100"/>
      <c r="BC101" s="101"/>
      <c r="BD101" s="96"/>
      <c r="BE101" s="97"/>
      <c r="BF101" s="97"/>
      <c r="BG101" s="97"/>
      <c r="BH101" s="98"/>
      <c r="BI101" s="157" t="e">
        <f t="shared" si="25"/>
        <v>#REF!</v>
      </c>
      <c r="BJ101" s="158" t="e">
        <f>#REF!</f>
        <v>#REF!</v>
      </c>
      <c r="BK101" s="159" t="e">
        <f>#REF!</f>
        <v>#REF!</v>
      </c>
      <c r="BL101" s="181" t="e">
        <f t="shared" si="26"/>
        <v>#REF!</v>
      </c>
      <c r="BM101" s="182" t="e">
        <f t="shared" si="27"/>
        <v>#REF!</v>
      </c>
      <c r="BN101" s="182" t="e">
        <f t="shared" si="28"/>
        <v>#REF!</v>
      </c>
      <c r="BO101" s="182" t="e">
        <f t="shared" si="29"/>
        <v>#REF!</v>
      </c>
      <c r="BP101" s="182" t="e">
        <f t="shared" si="30"/>
        <v>#REF!</v>
      </c>
      <c r="BQ101" s="182" t="e">
        <f t="shared" si="31"/>
        <v>#REF!</v>
      </c>
      <c r="BR101" s="182" t="e">
        <f t="shared" si="32"/>
        <v>#REF!</v>
      </c>
      <c r="BS101" s="183" t="e">
        <f t="shared" si="33"/>
        <v>#REF!</v>
      </c>
      <c r="BT101" s="184" t="e">
        <f t="shared" si="34"/>
        <v>#REF!</v>
      </c>
      <c r="BU101" s="185" t="e">
        <f t="shared" si="35"/>
        <v>#REF!</v>
      </c>
      <c r="BV101" s="185" t="e">
        <f t="shared" si="36"/>
        <v>#REF!</v>
      </c>
      <c r="BW101" s="185" t="e">
        <f t="shared" si="37"/>
        <v>#REF!</v>
      </c>
      <c r="BX101" s="186" t="e">
        <f t="shared" si="38"/>
        <v>#REF!</v>
      </c>
      <c r="BY10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1" s="66"/>
      <c r="DA101" s="66"/>
      <c r="DB101" s="66"/>
      <c r="DC101" s="224" t="str">
        <f t="shared" si="41"/>
        <v/>
      </c>
      <c r="DD101" s="1">
        <f>IF($DC101="",0,IF(COUNTIF($DC$2:$DC100,$DC101)=0,1,0))</f>
        <v>0</v>
      </c>
    </row>
    <row r="102" spans="1:108" s="1" customFormat="1" ht="12" customHeight="1" x14ac:dyDescent="0.25">
      <c r="A102" s="64">
        <v>101</v>
      </c>
      <c r="B102" s="71"/>
      <c r="C102" s="72"/>
      <c r="D102" s="72"/>
      <c r="E102" s="72"/>
      <c r="F102" s="72"/>
      <c r="G102" s="66"/>
      <c r="H102" s="66"/>
      <c r="I102" s="66"/>
      <c r="J102" s="67"/>
      <c r="K102" s="68"/>
      <c r="L102" s="69"/>
      <c r="M102" s="66"/>
      <c r="N102" s="66"/>
      <c r="O102" s="136" t="str">
        <f t="shared" si="40"/>
        <v/>
      </c>
      <c r="P102" s="65" t="str">
        <f t="shared" si="23"/>
        <v/>
      </c>
      <c r="Q102" s="70"/>
      <c r="R102" s="66"/>
      <c r="S102" s="65"/>
      <c r="T102" s="65"/>
      <c r="U102" s="65"/>
      <c r="V102" s="65"/>
      <c r="W102" s="65"/>
      <c r="X102" s="240"/>
      <c r="Y102" s="65"/>
      <c r="Z102" s="281"/>
      <c r="AA102" s="66"/>
      <c r="AB102" s="66"/>
      <c r="AC102" s="247"/>
      <c r="AD102" s="240" t="str">
        <f t="shared" si="24"/>
        <v/>
      </c>
      <c r="AE102" s="240"/>
      <c r="AF102" s="241"/>
      <c r="AG102" s="247"/>
      <c r="AH102" s="241"/>
      <c r="AI102" s="247"/>
      <c r="AJ102" s="231"/>
      <c r="AK102" s="240"/>
      <c r="AL102" s="241"/>
      <c r="AM102" s="65"/>
      <c r="AN102" s="241"/>
      <c r="AO102" s="65"/>
      <c r="AP102" s="66"/>
      <c r="AQ102" s="66"/>
      <c r="AR102" s="66"/>
      <c r="AS102" s="221"/>
      <c r="AT102" s="222">
        <f t="shared" si="39"/>
        <v>0</v>
      </c>
      <c r="AU102" s="223"/>
      <c r="AV102" s="99"/>
      <c r="AW102" s="100"/>
      <c r="AX102" s="100"/>
      <c r="AY102" s="100"/>
      <c r="AZ102" s="100"/>
      <c r="BA102" s="100"/>
      <c r="BB102" s="100"/>
      <c r="BC102" s="101"/>
      <c r="BD102" s="96"/>
      <c r="BE102" s="97"/>
      <c r="BF102" s="97"/>
      <c r="BG102" s="97"/>
      <c r="BH102" s="98"/>
      <c r="BI102" s="157" t="e">
        <f t="shared" si="25"/>
        <v>#REF!</v>
      </c>
      <c r="BJ102" s="158" t="e">
        <f>#REF!</f>
        <v>#REF!</v>
      </c>
      <c r="BK102" s="159" t="e">
        <f>#REF!</f>
        <v>#REF!</v>
      </c>
      <c r="BL102" s="181" t="e">
        <f t="shared" si="26"/>
        <v>#REF!</v>
      </c>
      <c r="BM102" s="182" t="e">
        <f t="shared" si="27"/>
        <v>#REF!</v>
      </c>
      <c r="BN102" s="182" t="e">
        <f t="shared" si="28"/>
        <v>#REF!</v>
      </c>
      <c r="BO102" s="182" t="e">
        <f t="shared" si="29"/>
        <v>#REF!</v>
      </c>
      <c r="BP102" s="182" t="e">
        <f t="shared" si="30"/>
        <v>#REF!</v>
      </c>
      <c r="BQ102" s="182" t="e">
        <f t="shared" si="31"/>
        <v>#REF!</v>
      </c>
      <c r="BR102" s="182" t="e">
        <f t="shared" si="32"/>
        <v>#REF!</v>
      </c>
      <c r="BS102" s="183" t="e">
        <f t="shared" si="33"/>
        <v>#REF!</v>
      </c>
      <c r="BT102" s="184" t="e">
        <f t="shared" si="34"/>
        <v>#REF!</v>
      </c>
      <c r="BU102" s="185" t="e">
        <f t="shared" si="35"/>
        <v>#REF!</v>
      </c>
      <c r="BV102" s="185" t="e">
        <f t="shared" si="36"/>
        <v>#REF!</v>
      </c>
      <c r="BW102" s="185" t="e">
        <f t="shared" si="37"/>
        <v>#REF!</v>
      </c>
      <c r="BX102" s="186" t="e">
        <f t="shared" si="38"/>
        <v>#REF!</v>
      </c>
      <c r="BY10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2" s="66"/>
      <c r="DA102" s="66"/>
      <c r="DB102" s="66"/>
      <c r="DC102" s="224" t="str">
        <f t="shared" si="41"/>
        <v/>
      </c>
      <c r="DD102" s="1">
        <f>IF($DC102="",0,IF(COUNTIF($DC$2:$DC101,$DC102)=0,1,0))</f>
        <v>0</v>
      </c>
    </row>
    <row r="103" spans="1:108" s="1" customFormat="1" ht="12" customHeight="1" x14ac:dyDescent="0.25">
      <c r="A103" s="64">
        <v>102</v>
      </c>
      <c r="B103" s="71"/>
      <c r="C103" s="72"/>
      <c r="D103" s="72"/>
      <c r="E103" s="72"/>
      <c r="F103" s="72"/>
      <c r="G103" s="66"/>
      <c r="H103" s="66"/>
      <c r="I103" s="66"/>
      <c r="J103" s="67"/>
      <c r="K103" s="68"/>
      <c r="L103" s="69"/>
      <c r="M103" s="66"/>
      <c r="N103" s="66"/>
      <c r="O103" s="136" t="str">
        <f t="shared" si="40"/>
        <v/>
      </c>
      <c r="P103" s="65" t="str">
        <f t="shared" si="23"/>
        <v/>
      </c>
      <c r="Q103" s="70"/>
      <c r="R103" s="66"/>
      <c r="S103" s="65"/>
      <c r="T103" s="65"/>
      <c r="U103" s="65"/>
      <c r="V103" s="65"/>
      <c r="W103" s="65"/>
      <c r="X103" s="240"/>
      <c r="Y103" s="65"/>
      <c r="Z103" s="281"/>
      <c r="AA103" s="66"/>
      <c r="AB103" s="66"/>
      <c r="AC103" s="247"/>
      <c r="AD103" s="240" t="str">
        <f t="shared" si="24"/>
        <v/>
      </c>
      <c r="AE103" s="240"/>
      <c r="AF103" s="241"/>
      <c r="AG103" s="247"/>
      <c r="AH103" s="241"/>
      <c r="AI103" s="247"/>
      <c r="AJ103" s="231"/>
      <c r="AK103" s="240"/>
      <c r="AL103" s="241"/>
      <c r="AM103" s="65"/>
      <c r="AN103" s="241"/>
      <c r="AO103" s="65"/>
      <c r="AP103" s="66"/>
      <c r="AQ103" s="66"/>
      <c r="AR103" s="66"/>
      <c r="AS103" s="221"/>
      <c r="AT103" s="222">
        <f t="shared" si="39"/>
        <v>0</v>
      </c>
      <c r="AU103" s="223"/>
      <c r="AV103" s="99"/>
      <c r="AW103" s="100"/>
      <c r="AX103" s="100"/>
      <c r="AY103" s="100"/>
      <c r="AZ103" s="100"/>
      <c r="BA103" s="100"/>
      <c r="BB103" s="100"/>
      <c r="BC103" s="101"/>
      <c r="BD103" s="96"/>
      <c r="BE103" s="97"/>
      <c r="BF103" s="97"/>
      <c r="BG103" s="97"/>
      <c r="BH103" s="98"/>
      <c r="BI103" s="157" t="e">
        <f t="shared" si="25"/>
        <v>#REF!</v>
      </c>
      <c r="BJ103" s="158" t="e">
        <f>#REF!</f>
        <v>#REF!</v>
      </c>
      <c r="BK103" s="159" t="e">
        <f>#REF!</f>
        <v>#REF!</v>
      </c>
      <c r="BL103" s="181" t="e">
        <f t="shared" si="26"/>
        <v>#REF!</v>
      </c>
      <c r="BM103" s="182" t="e">
        <f t="shared" si="27"/>
        <v>#REF!</v>
      </c>
      <c r="BN103" s="182" t="e">
        <f t="shared" si="28"/>
        <v>#REF!</v>
      </c>
      <c r="BO103" s="182" t="e">
        <f t="shared" si="29"/>
        <v>#REF!</v>
      </c>
      <c r="BP103" s="182" t="e">
        <f t="shared" si="30"/>
        <v>#REF!</v>
      </c>
      <c r="BQ103" s="182" t="e">
        <f t="shared" si="31"/>
        <v>#REF!</v>
      </c>
      <c r="BR103" s="182" t="e">
        <f t="shared" si="32"/>
        <v>#REF!</v>
      </c>
      <c r="BS103" s="183" t="e">
        <f t="shared" si="33"/>
        <v>#REF!</v>
      </c>
      <c r="BT103" s="184" t="e">
        <f t="shared" si="34"/>
        <v>#REF!</v>
      </c>
      <c r="BU103" s="185" t="e">
        <f t="shared" si="35"/>
        <v>#REF!</v>
      </c>
      <c r="BV103" s="185" t="e">
        <f t="shared" si="36"/>
        <v>#REF!</v>
      </c>
      <c r="BW103" s="185" t="e">
        <f t="shared" si="37"/>
        <v>#REF!</v>
      </c>
      <c r="BX103" s="186" t="e">
        <f t="shared" si="38"/>
        <v>#REF!</v>
      </c>
      <c r="BY10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3" s="66"/>
      <c r="DA103" s="66"/>
      <c r="DB103" s="66"/>
      <c r="DC103" s="224" t="str">
        <f t="shared" si="41"/>
        <v/>
      </c>
      <c r="DD103" s="1">
        <f>IF($DC103="",0,IF(COUNTIF($DC$2:$DC102,$DC103)=0,1,0))</f>
        <v>0</v>
      </c>
    </row>
    <row r="104" spans="1:108" s="1" customFormat="1" ht="12" customHeight="1" x14ac:dyDescent="0.25">
      <c r="A104" s="64">
        <v>103</v>
      </c>
      <c r="B104" s="71"/>
      <c r="C104" s="72"/>
      <c r="D104" s="72"/>
      <c r="E104" s="72"/>
      <c r="F104" s="72"/>
      <c r="G104" s="66"/>
      <c r="H104" s="66"/>
      <c r="I104" s="66"/>
      <c r="J104" s="67"/>
      <c r="K104" s="68"/>
      <c r="L104" s="69"/>
      <c r="M104" s="66"/>
      <c r="N104" s="66"/>
      <c r="O104" s="136" t="str">
        <f t="shared" si="40"/>
        <v/>
      </c>
      <c r="P104" s="65" t="str">
        <f t="shared" si="23"/>
        <v/>
      </c>
      <c r="Q104" s="70"/>
      <c r="R104" s="66"/>
      <c r="S104" s="65"/>
      <c r="T104" s="65"/>
      <c r="U104" s="65"/>
      <c r="V104" s="65"/>
      <c r="W104" s="65"/>
      <c r="X104" s="240"/>
      <c r="Y104" s="65"/>
      <c r="Z104" s="281"/>
      <c r="AA104" s="66"/>
      <c r="AB104" s="66"/>
      <c r="AC104" s="247"/>
      <c r="AD104" s="240" t="str">
        <f t="shared" si="24"/>
        <v/>
      </c>
      <c r="AE104" s="240"/>
      <c r="AF104" s="241"/>
      <c r="AG104" s="247"/>
      <c r="AH104" s="241"/>
      <c r="AI104" s="247"/>
      <c r="AJ104" s="231"/>
      <c r="AK104" s="240"/>
      <c r="AL104" s="241"/>
      <c r="AM104" s="65"/>
      <c r="AN104" s="241"/>
      <c r="AO104" s="65"/>
      <c r="AP104" s="66"/>
      <c r="AQ104" s="66"/>
      <c r="AR104" s="66"/>
      <c r="AS104" s="221"/>
      <c r="AT104" s="222">
        <f t="shared" si="39"/>
        <v>0</v>
      </c>
      <c r="AU104" s="223"/>
      <c r="AV104" s="99"/>
      <c r="AW104" s="100"/>
      <c r="AX104" s="100"/>
      <c r="AY104" s="100"/>
      <c r="AZ104" s="100"/>
      <c r="BA104" s="100"/>
      <c r="BB104" s="100"/>
      <c r="BC104" s="101"/>
      <c r="BD104" s="96"/>
      <c r="BE104" s="97"/>
      <c r="BF104" s="97"/>
      <c r="BG104" s="97"/>
      <c r="BH104" s="98"/>
      <c r="BI104" s="157" t="e">
        <f t="shared" si="25"/>
        <v>#REF!</v>
      </c>
      <c r="BJ104" s="158" t="e">
        <f>#REF!</f>
        <v>#REF!</v>
      </c>
      <c r="BK104" s="159" t="e">
        <f>#REF!</f>
        <v>#REF!</v>
      </c>
      <c r="BL104" s="181" t="e">
        <f t="shared" si="26"/>
        <v>#REF!</v>
      </c>
      <c r="BM104" s="182" t="e">
        <f t="shared" si="27"/>
        <v>#REF!</v>
      </c>
      <c r="BN104" s="182" t="e">
        <f t="shared" si="28"/>
        <v>#REF!</v>
      </c>
      <c r="BO104" s="182" t="e">
        <f t="shared" si="29"/>
        <v>#REF!</v>
      </c>
      <c r="BP104" s="182" t="e">
        <f t="shared" si="30"/>
        <v>#REF!</v>
      </c>
      <c r="BQ104" s="182" t="e">
        <f t="shared" si="31"/>
        <v>#REF!</v>
      </c>
      <c r="BR104" s="182" t="e">
        <f t="shared" si="32"/>
        <v>#REF!</v>
      </c>
      <c r="BS104" s="183" t="e">
        <f t="shared" si="33"/>
        <v>#REF!</v>
      </c>
      <c r="BT104" s="184" t="e">
        <f t="shared" si="34"/>
        <v>#REF!</v>
      </c>
      <c r="BU104" s="185" t="e">
        <f t="shared" si="35"/>
        <v>#REF!</v>
      </c>
      <c r="BV104" s="185" t="e">
        <f t="shared" si="36"/>
        <v>#REF!</v>
      </c>
      <c r="BW104" s="185" t="e">
        <f t="shared" si="37"/>
        <v>#REF!</v>
      </c>
      <c r="BX104" s="186" t="e">
        <f t="shared" si="38"/>
        <v>#REF!</v>
      </c>
      <c r="BY10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4" s="66"/>
      <c r="DA104" s="66"/>
      <c r="DB104" s="66"/>
      <c r="DC104" s="224" t="str">
        <f t="shared" si="41"/>
        <v/>
      </c>
      <c r="DD104" s="1">
        <f>IF($DC104="",0,IF(COUNTIF($DC$2:$DC103,$DC104)=0,1,0))</f>
        <v>0</v>
      </c>
    </row>
    <row r="105" spans="1:108" s="1" customFormat="1" ht="12" customHeight="1" x14ac:dyDescent="0.25">
      <c r="A105" s="64">
        <v>104</v>
      </c>
      <c r="B105" s="71"/>
      <c r="C105" s="72"/>
      <c r="D105" s="72"/>
      <c r="E105" s="72"/>
      <c r="F105" s="72"/>
      <c r="G105" s="66"/>
      <c r="H105" s="66"/>
      <c r="I105" s="66"/>
      <c r="J105" s="67"/>
      <c r="K105" s="68"/>
      <c r="L105" s="69"/>
      <c r="M105" s="66"/>
      <c r="N105" s="66"/>
      <c r="O105" s="136" t="str">
        <f t="shared" si="40"/>
        <v/>
      </c>
      <c r="P105" s="65" t="str">
        <f t="shared" si="23"/>
        <v/>
      </c>
      <c r="Q105" s="70"/>
      <c r="R105" s="66"/>
      <c r="S105" s="65"/>
      <c r="T105" s="65"/>
      <c r="U105" s="65"/>
      <c r="V105" s="65"/>
      <c r="W105" s="65"/>
      <c r="X105" s="240"/>
      <c r="Y105" s="65"/>
      <c r="Z105" s="281"/>
      <c r="AA105" s="66"/>
      <c r="AB105" s="66"/>
      <c r="AC105" s="247"/>
      <c r="AD105" s="240" t="str">
        <f t="shared" si="24"/>
        <v/>
      </c>
      <c r="AE105" s="240"/>
      <c r="AF105" s="241"/>
      <c r="AG105" s="247"/>
      <c r="AH105" s="241"/>
      <c r="AI105" s="247"/>
      <c r="AJ105" s="231"/>
      <c r="AK105" s="240"/>
      <c r="AL105" s="241"/>
      <c r="AM105" s="65"/>
      <c r="AN105" s="241"/>
      <c r="AO105" s="65"/>
      <c r="AP105" s="66"/>
      <c r="AQ105" s="66"/>
      <c r="AR105" s="66"/>
      <c r="AS105" s="221"/>
      <c r="AT105" s="222">
        <f t="shared" si="39"/>
        <v>0</v>
      </c>
      <c r="AU105" s="223"/>
      <c r="AV105" s="99"/>
      <c r="AW105" s="100"/>
      <c r="AX105" s="100"/>
      <c r="AY105" s="100"/>
      <c r="AZ105" s="100"/>
      <c r="BA105" s="100"/>
      <c r="BB105" s="100"/>
      <c r="BC105" s="101"/>
      <c r="BD105" s="96"/>
      <c r="BE105" s="97"/>
      <c r="BF105" s="97"/>
      <c r="BG105" s="97"/>
      <c r="BH105" s="98"/>
      <c r="BI105" s="157" t="e">
        <f t="shared" si="25"/>
        <v>#REF!</v>
      </c>
      <c r="BJ105" s="158" t="e">
        <f>#REF!</f>
        <v>#REF!</v>
      </c>
      <c r="BK105" s="159" t="e">
        <f>#REF!</f>
        <v>#REF!</v>
      </c>
      <c r="BL105" s="181" t="e">
        <f t="shared" si="26"/>
        <v>#REF!</v>
      </c>
      <c r="BM105" s="182" t="e">
        <f t="shared" si="27"/>
        <v>#REF!</v>
      </c>
      <c r="BN105" s="182" t="e">
        <f t="shared" si="28"/>
        <v>#REF!</v>
      </c>
      <c r="BO105" s="182" t="e">
        <f t="shared" si="29"/>
        <v>#REF!</v>
      </c>
      <c r="BP105" s="182" t="e">
        <f t="shared" si="30"/>
        <v>#REF!</v>
      </c>
      <c r="BQ105" s="182" t="e">
        <f t="shared" si="31"/>
        <v>#REF!</v>
      </c>
      <c r="BR105" s="182" t="e">
        <f t="shared" si="32"/>
        <v>#REF!</v>
      </c>
      <c r="BS105" s="183" t="e">
        <f t="shared" si="33"/>
        <v>#REF!</v>
      </c>
      <c r="BT105" s="184" t="e">
        <f t="shared" si="34"/>
        <v>#REF!</v>
      </c>
      <c r="BU105" s="185" t="e">
        <f t="shared" si="35"/>
        <v>#REF!</v>
      </c>
      <c r="BV105" s="185" t="e">
        <f t="shared" si="36"/>
        <v>#REF!</v>
      </c>
      <c r="BW105" s="185" t="e">
        <f t="shared" si="37"/>
        <v>#REF!</v>
      </c>
      <c r="BX105" s="186" t="e">
        <f t="shared" si="38"/>
        <v>#REF!</v>
      </c>
      <c r="BY10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5" s="66"/>
      <c r="DA105" s="66"/>
      <c r="DB105" s="66"/>
      <c r="DC105" s="224" t="str">
        <f t="shared" si="41"/>
        <v/>
      </c>
      <c r="DD105" s="1">
        <f>IF($DC105="",0,IF(COUNTIF($DC$2:$DC104,$DC105)=0,1,0))</f>
        <v>0</v>
      </c>
    </row>
    <row r="106" spans="1:108" s="1" customFormat="1" ht="12" customHeight="1" x14ac:dyDescent="0.25">
      <c r="A106" s="64">
        <v>105</v>
      </c>
      <c r="B106" s="71"/>
      <c r="C106" s="72"/>
      <c r="D106" s="72"/>
      <c r="E106" s="72"/>
      <c r="F106" s="72"/>
      <c r="G106" s="66"/>
      <c r="H106" s="66"/>
      <c r="I106" s="66"/>
      <c r="J106" s="67"/>
      <c r="K106" s="68"/>
      <c r="L106" s="69"/>
      <c r="M106" s="66"/>
      <c r="N106" s="66"/>
      <c r="O106" s="136" t="str">
        <f t="shared" si="40"/>
        <v/>
      </c>
      <c r="P106" s="65" t="str">
        <f t="shared" si="23"/>
        <v/>
      </c>
      <c r="Q106" s="70"/>
      <c r="R106" s="66"/>
      <c r="S106" s="65"/>
      <c r="T106" s="65"/>
      <c r="U106" s="65"/>
      <c r="V106" s="65"/>
      <c r="W106" s="65"/>
      <c r="X106" s="240"/>
      <c r="Y106" s="65"/>
      <c r="Z106" s="281"/>
      <c r="AA106" s="66"/>
      <c r="AB106" s="66"/>
      <c r="AC106" s="247"/>
      <c r="AD106" s="240" t="str">
        <f t="shared" si="24"/>
        <v/>
      </c>
      <c r="AE106" s="240"/>
      <c r="AF106" s="241"/>
      <c r="AG106" s="247"/>
      <c r="AH106" s="241"/>
      <c r="AI106" s="247"/>
      <c r="AJ106" s="231"/>
      <c r="AK106" s="240"/>
      <c r="AL106" s="241"/>
      <c r="AM106" s="65"/>
      <c r="AN106" s="241"/>
      <c r="AO106" s="65"/>
      <c r="AP106" s="66"/>
      <c r="AQ106" s="66"/>
      <c r="AR106" s="66"/>
      <c r="AS106" s="221"/>
      <c r="AT106" s="222">
        <f t="shared" si="39"/>
        <v>0</v>
      </c>
      <c r="AU106" s="223"/>
      <c r="AV106" s="99"/>
      <c r="AW106" s="100"/>
      <c r="AX106" s="100"/>
      <c r="AY106" s="100"/>
      <c r="AZ106" s="100"/>
      <c r="BA106" s="100"/>
      <c r="BB106" s="100"/>
      <c r="BC106" s="101"/>
      <c r="BD106" s="96"/>
      <c r="BE106" s="97"/>
      <c r="BF106" s="97"/>
      <c r="BG106" s="97"/>
      <c r="BH106" s="98"/>
      <c r="BI106" s="157" t="e">
        <f t="shared" si="25"/>
        <v>#REF!</v>
      </c>
      <c r="BJ106" s="158" t="e">
        <f>#REF!</f>
        <v>#REF!</v>
      </c>
      <c r="BK106" s="159" t="e">
        <f>#REF!</f>
        <v>#REF!</v>
      </c>
      <c r="BL106" s="181" t="e">
        <f t="shared" si="26"/>
        <v>#REF!</v>
      </c>
      <c r="BM106" s="182" t="e">
        <f t="shared" si="27"/>
        <v>#REF!</v>
      </c>
      <c r="BN106" s="182" t="e">
        <f t="shared" si="28"/>
        <v>#REF!</v>
      </c>
      <c r="BO106" s="182" t="e">
        <f t="shared" si="29"/>
        <v>#REF!</v>
      </c>
      <c r="BP106" s="182" t="e">
        <f t="shared" si="30"/>
        <v>#REF!</v>
      </c>
      <c r="BQ106" s="182" t="e">
        <f t="shared" si="31"/>
        <v>#REF!</v>
      </c>
      <c r="BR106" s="182" t="e">
        <f t="shared" si="32"/>
        <v>#REF!</v>
      </c>
      <c r="BS106" s="183" t="e">
        <f t="shared" si="33"/>
        <v>#REF!</v>
      </c>
      <c r="BT106" s="184" t="e">
        <f t="shared" si="34"/>
        <v>#REF!</v>
      </c>
      <c r="BU106" s="185" t="e">
        <f t="shared" si="35"/>
        <v>#REF!</v>
      </c>
      <c r="BV106" s="185" t="e">
        <f t="shared" si="36"/>
        <v>#REF!</v>
      </c>
      <c r="BW106" s="185" t="e">
        <f t="shared" si="37"/>
        <v>#REF!</v>
      </c>
      <c r="BX106" s="186" t="e">
        <f t="shared" si="38"/>
        <v>#REF!</v>
      </c>
      <c r="BY10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6" s="66"/>
      <c r="DA106" s="66"/>
      <c r="DB106" s="66"/>
      <c r="DC106" s="224" t="str">
        <f t="shared" si="41"/>
        <v/>
      </c>
      <c r="DD106" s="1">
        <f>IF($DC106="",0,IF(COUNTIF($DC$2:$DC105,$DC106)=0,1,0))</f>
        <v>0</v>
      </c>
    </row>
    <row r="107" spans="1:108" s="1" customFormat="1" ht="12" customHeight="1" x14ac:dyDescent="0.25">
      <c r="A107" s="64">
        <v>106</v>
      </c>
      <c r="B107" s="71"/>
      <c r="C107" s="72"/>
      <c r="D107" s="72"/>
      <c r="E107" s="72"/>
      <c r="F107" s="72"/>
      <c r="G107" s="66"/>
      <c r="H107" s="66"/>
      <c r="I107" s="66"/>
      <c r="J107" s="67"/>
      <c r="K107" s="68"/>
      <c r="L107" s="69"/>
      <c r="M107" s="66"/>
      <c r="N107" s="66"/>
      <c r="O107" s="136" t="str">
        <f t="shared" si="40"/>
        <v/>
      </c>
      <c r="P107" s="65" t="str">
        <f t="shared" si="23"/>
        <v/>
      </c>
      <c r="Q107" s="70"/>
      <c r="R107" s="66"/>
      <c r="S107" s="65"/>
      <c r="T107" s="65"/>
      <c r="U107" s="65"/>
      <c r="V107" s="65"/>
      <c r="W107" s="65"/>
      <c r="X107" s="240"/>
      <c r="Y107" s="65"/>
      <c r="Z107" s="281"/>
      <c r="AA107" s="66"/>
      <c r="AB107" s="66"/>
      <c r="AC107" s="247"/>
      <c r="AD107" s="240" t="str">
        <f t="shared" si="24"/>
        <v/>
      </c>
      <c r="AE107" s="240"/>
      <c r="AF107" s="241"/>
      <c r="AG107" s="247"/>
      <c r="AH107" s="241"/>
      <c r="AI107" s="247"/>
      <c r="AJ107" s="231"/>
      <c r="AK107" s="240"/>
      <c r="AL107" s="241"/>
      <c r="AM107" s="65"/>
      <c r="AN107" s="241"/>
      <c r="AO107" s="65"/>
      <c r="AP107" s="66"/>
      <c r="AQ107" s="66"/>
      <c r="AR107" s="66"/>
      <c r="AS107" s="221"/>
      <c r="AT107" s="222">
        <f t="shared" si="39"/>
        <v>0</v>
      </c>
      <c r="AU107" s="223"/>
      <c r="AV107" s="99"/>
      <c r="AW107" s="100"/>
      <c r="AX107" s="100"/>
      <c r="AY107" s="100"/>
      <c r="AZ107" s="100"/>
      <c r="BA107" s="100"/>
      <c r="BB107" s="100"/>
      <c r="BC107" s="101"/>
      <c r="BD107" s="96"/>
      <c r="BE107" s="97"/>
      <c r="BF107" s="97"/>
      <c r="BG107" s="97"/>
      <c r="BH107" s="98"/>
      <c r="BI107" s="157" t="e">
        <f t="shared" si="25"/>
        <v>#REF!</v>
      </c>
      <c r="BJ107" s="158" t="e">
        <f>#REF!</f>
        <v>#REF!</v>
      </c>
      <c r="BK107" s="159" t="e">
        <f>#REF!</f>
        <v>#REF!</v>
      </c>
      <c r="BL107" s="181" t="e">
        <f t="shared" si="26"/>
        <v>#REF!</v>
      </c>
      <c r="BM107" s="182" t="e">
        <f t="shared" si="27"/>
        <v>#REF!</v>
      </c>
      <c r="BN107" s="182" t="e">
        <f t="shared" si="28"/>
        <v>#REF!</v>
      </c>
      <c r="BO107" s="182" t="e">
        <f t="shared" si="29"/>
        <v>#REF!</v>
      </c>
      <c r="BP107" s="182" t="e">
        <f t="shared" si="30"/>
        <v>#REF!</v>
      </c>
      <c r="BQ107" s="182" t="e">
        <f t="shared" si="31"/>
        <v>#REF!</v>
      </c>
      <c r="BR107" s="182" t="e">
        <f t="shared" si="32"/>
        <v>#REF!</v>
      </c>
      <c r="BS107" s="183" t="e">
        <f t="shared" si="33"/>
        <v>#REF!</v>
      </c>
      <c r="BT107" s="184" t="e">
        <f t="shared" si="34"/>
        <v>#REF!</v>
      </c>
      <c r="BU107" s="185" t="e">
        <f t="shared" si="35"/>
        <v>#REF!</v>
      </c>
      <c r="BV107" s="185" t="e">
        <f t="shared" si="36"/>
        <v>#REF!</v>
      </c>
      <c r="BW107" s="185" t="e">
        <f t="shared" si="37"/>
        <v>#REF!</v>
      </c>
      <c r="BX107" s="186" t="e">
        <f t="shared" si="38"/>
        <v>#REF!</v>
      </c>
      <c r="BY10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7" s="66"/>
      <c r="DA107" s="66"/>
      <c r="DB107" s="66"/>
      <c r="DC107" s="224" t="str">
        <f t="shared" si="41"/>
        <v/>
      </c>
      <c r="DD107" s="1">
        <f>IF($DC107="",0,IF(COUNTIF($DC$2:$DC106,$DC107)=0,1,0))</f>
        <v>0</v>
      </c>
    </row>
    <row r="108" spans="1:108" s="1" customFormat="1" ht="12" customHeight="1" x14ac:dyDescent="0.25">
      <c r="A108" s="64">
        <v>107</v>
      </c>
      <c r="B108" s="71"/>
      <c r="C108" s="72"/>
      <c r="D108" s="72"/>
      <c r="E108" s="72"/>
      <c r="F108" s="72"/>
      <c r="G108" s="66"/>
      <c r="H108" s="66"/>
      <c r="I108" s="66"/>
      <c r="J108" s="67"/>
      <c r="K108" s="68"/>
      <c r="L108" s="69"/>
      <c r="M108" s="66"/>
      <c r="N108" s="66"/>
      <c r="O108" s="136" t="str">
        <f t="shared" si="40"/>
        <v/>
      </c>
      <c r="P108" s="65" t="str">
        <f t="shared" si="23"/>
        <v/>
      </c>
      <c r="Q108" s="70"/>
      <c r="R108" s="66"/>
      <c r="S108" s="65"/>
      <c r="T108" s="65"/>
      <c r="U108" s="65"/>
      <c r="V108" s="65"/>
      <c r="W108" s="65"/>
      <c r="X108" s="240"/>
      <c r="Y108" s="65"/>
      <c r="Z108" s="281"/>
      <c r="AA108" s="66"/>
      <c r="AB108" s="66"/>
      <c r="AC108" s="247"/>
      <c r="AD108" s="240" t="str">
        <f t="shared" si="24"/>
        <v/>
      </c>
      <c r="AE108" s="240"/>
      <c r="AF108" s="241"/>
      <c r="AG108" s="247"/>
      <c r="AH108" s="241"/>
      <c r="AI108" s="247"/>
      <c r="AJ108" s="231"/>
      <c r="AK108" s="240"/>
      <c r="AL108" s="241"/>
      <c r="AM108" s="65"/>
      <c r="AN108" s="241"/>
      <c r="AO108" s="65"/>
      <c r="AP108" s="66"/>
      <c r="AQ108" s="66"/>
      <c r="AR108" s="66"/>
      <c r="AS108" s="221"/>
      <c r="AT108" s="222">
        <f t="shared" si="39"/>
        <v>0</v>
      </c>
      <c r="AU108" s="223"/>
      <c r="AV108" s="99"/>
      <c r="AW108" s="100"/>
      <c r="AX108" s="100"/>
      <c r="AY108" s="100"/>
      <c r="AZ108" s="100"/>
      <c r="BA108" s="100"/>
      <c r="BB108" s="100"/>
      <c r="BC108" s="101"/>
      <c r="BD108" s="96"/>
      <c r="BE108" s="97"/>
      <c r="BF108" s="97"/>
      <c r="BG108" s="97"/>
      <c r="BH108" s="98"/>
      <c r="BI108" s="157" t="e">
        <f t="shared" si="25"/>
        <v>#REF!</v>
      </c>
      <c r="BJ108" s="158" t="e">
        <f>#REF!</f>
        <v>#REF!</v>
      </c>
      <c r="BK108" s="159" t="e">
        <f>#REF!</f>
        <v>#REF!</v>
      </c>
      <c r="BL108" s="181" t="e">
        <f t="shared" si="26"/>
        <v>#REF!</v>
      </c>
      <c r="BM108" s="182" t="e">
        <f t="shared" si="27"/>
        <v>#REF!</v>
      </c>
      <c r="BN108" s="182" t="e">
        <f t="shared" si="28"/>
        <v>#REF!</v>
      </c>
      <c r="BO108" s="182" t="e">
        <f t="shared" si="29"/>
        <v>#REF!</v>
      </c>
      <c r="BP108" s="182" t="e">
        <f t="shared" si="30"/>
        <v>#REF!</v>
      </c>
      <c r="BQ108" s="182" t="e">
        <f t="shared" si="31"/>
        <v>#REF!</v>
      </c>
      <c r="BR108" s="182" t="e">
        <f t="shared" si="32"/>
        <v>#REF!</v>
      </c>
      <c r="BS108" s="183" t="e">
        <f t="shared" si="33"/>
        <v>#REF!</v>
      </c>
      <c r="BT108" s="184" t="e">
        <f t="shared" si="34"/>
        <v>#REF!</v>
      </c>
      <c r="BU108" s="185" t="e">
        <f t="shared" si="35"/>
        <v>#REF!</v>
      </c>
      <c r="BV108" s="185" t="e">
        <f t="shared" si="36"/>
        <v>#REF!</v>
      </c>
      <c r="BW108" s="185" t="e">
        <f t="shared" si="37"/>
        <v>#REF!</v>
      </c>
      <c r="BX108" s="186" t="e">
        <f t="shared" si="38"/>
        <v>#REF!</v>
      </c>
      <c r="BY10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8" s="66"/>
      <c r="DA108" s="66"/>
      <c r="DB108" s="66"/>
      <c r="DC108" s="224" t="str">
        <f t="shared" si="41"/>
        <v/>
      </c>
      <c r="DD108" s="1">
        <f>IF($DC108="",0,IF(COUNTIF($DC$2:$DC107,$DC108)=0,1,0))</f>
        <v>0</v>
      </c>
    </row>
    <row r="109" spans="1:108" s="1" customFormat="1" ht="12" customHeight="1" x14ac:dyDescent="0.25">
      <c r="A109" s="64">
        <v>108</v>
      </c>
      <c r="B109" s="71"/>
      <c r="C109" s="72"/>
      <c r="D109" s="72"/>
      <c r="E109" s="72"/>
      <c r="F109" s="72"/>
      <c r="G109" s="66"/>
      <c r="H109" s="66"/>
      <c r="I109" s="66"/>
      <c r="J109" s="67"/>
      <c r="K109" s="68"/>
      <c r="L109" s="69"/>
      <c r="M109" s="66"/>
      <c r="N109" s="66"/>
      <c r="O109" s="136" t="str">
        <f t="shared" ref="O109:O140" si="42">IF($L109="","",($AP109-$L109)/365)</f>
        <v/>
      </c>
      <c r="P109" s="65" t="str">
        <f t="shared" si="23"/>
        <v/>
      </c>
      <c r="Q109" s="70"/>
      <c r="R109" s="66"/>
      <c r="S109" s="65"/>
      <c r="T109" s="65"/>
      <c r="U109" s="65"/>
      <c r="V109" s="65"/>
      <c r="W109" s="65"/>
      <c r="X109" s="240"/>
      <c r="Y109" s="65"/>
      <c r="Z109" s="281"/>
      <c r="AA109" s="66"/>
      <c r="AB109" s="66"/>
      <c r="AC109" s="247"/>
      <c r="AD109" s="240" t="str">
        <f t="shared" si="24"/>
        <v/>
      </c>
      <c r="AE109" s="240"/>
      <c r="AF109" s="241"/>
      <c r="AG109" s="247"/>
      <c r="AH109" s="241"/>
      <c r="AI109" s="247"/>
      <c r="AJ109" s="231"/>
      <c r="AK109" s="240"/>
      <c r="AL109" s="241"/>
      <c r="AM109" s="65"/>
      <c r="AN109" s="241"/>
      <c r="AO109" s="65"/>
      <c r="AP109" s="66"/>
      <c r="AQ109" s="66"/>
      <c r="AR109" s="66"/>
      <c r="AS109" s="221"/>
      <c r="AT109" s="222">
        <f t="shared" si="39"/>
        <v>0</v>
      </c>
      <c r="AU109" s="223"/>
      <c r="AV109" s="99"/>
      <c r="AW109" s="100"/>
      <c r="AX109" s="100"/>
      <c r="AY109" s="100"/>
      <c r="AZ109" s="100"/>
      <c r="BA109" s="100"/>
      <c r="BB109" s="100"/>
      <c r="BC109" s="101"/>
      <c r="BD109" s="96"/>
      <c r="BE109" s="97"/>
      <c r="BF109" s="97"/>
      <c r="BG109" s="97"/>
      <c r="BH109" s="98"/>
      <c r="BI109" s="157" t="e">
        <f t="shared" si="25"/>
        <v>#REF!</v>
      </c>
      <c r="BJ109" s="158" t="e">
        <f>#REF!</f>
        <v>#REF!</v>
      </c>
      <c r="BK109" s="159" t="e">
        <f>#REF!</f>
        <v>#REF!</v>
      </c>
      <c r="BL109" s="181" t="e">
        <f t="shared" si="26"/>
        <v>#REF!</v>
      </c>
      <c r="BM109" s="182" t="e">
        <f t="shared" si="27"/>
        <v>#REF!</v>
      </c>
      <c r="BN109" s="182" t="e">
        <f t="shared" si="28"/>
        <v>#REF!</v>
      </c>
      <c r="BO109" s="182" t="e">
        <f t="shared" si="29"/>
        <v>#REF!</v>
      </c>
      <c r="BP109" s="182" t="e">
        <f t="shared" si="30"/>
        <v>#REF!</v>
      </c>
      <c r="BQ109" s="182" t="e">
        <f t="shared" si="31"/>
        <v>#REF!</v>
      </c>
      <c r="BR109" s="182" t="e">
        <f t="shared" si="32"/>
        <v>#REF!</v>
      </c>
      <c r="BS109" s="183" t="e">
        <f t="shared" si="33"/>
        <v>#REF!</v>
      </c>
      <c r="BT109" s="184" t="e">
        <f t="shared" si="34"/>
        <v>#REF!</v>
      </c>
      <c r="BU109" s="185" t="e">
        <f t="shared" si="35"/>
        <v>#REF!</v>
      </c>
      <c r="BV109" s="185" t="e">
        <f t="shared" si="36"/>
        <v>#REF!</v>
      </c>
      <c r="BW109" s="185" t="e">
        <f t="shared" si="37"/>
        <v>#REF!</v>
      </c>
      <c r="BX109" s="186" t="e">
        <f t="shared" si="38"/>
        <v>#REF!</v>
      </c>
      <c r="BY10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0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0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0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0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0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0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0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0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0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0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0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0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0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0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0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0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0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0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0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0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0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0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0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0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0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0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09" s="66"/>
      <c r="DA109" s="66"/>
      <c r="DB109" s="66"/>
      <c r="DC109" s="224" t="str">
        <f t="shared" si="41"/>
        <v/>
      </c>
      <c r="DD109" s="1">
        <f>IF($DC109="",0,IF(COUNTIF($DC$2:$DC108,$DC109)=0,1,0))</f>
        <v>0</v>
      </c>
    </row>
    <row r="110" spans="1:108" s="1" customFormat="1" ht="12" customHeight="1" x14ac:dyDescent="0.25">
      <c r="A110" s="64">
        <v>109</v>
      </c>
      <c r="B110" s="71"/>
      <c r="C110" s="72"/>
      <c r="D110" s="72"/>
      <c r="E110" s="72"/>
      <c r="F110" s="72"/>
      <c r="G110" s="66"/>
      <c r="H110" s="66"/>
      <c r="I110" s="66"/>
      <c r="J110" s="67"/>
      <c r="K110" s="68"/>
      <c r="L110" s="69"/>
      <c r="M110" s="66"/>
      <c r="N110" s="66"/>
      <c r="O110" s="136" t="str">
        <f t="shared" si="42"/>
        <v/>
      </c>
      <c r="P110" s="65" t="str">
        <f t="shared" si="23"/>
        <v/>
      </c>
      <c r="Q110" s="70"/>
      <c r="R110" s="66"/>
      <c r="S110" s="65"/>
      <c r="T110" s="65"/>
      <c r="U110" s="65"/>
      <c r="V110" s="65"/>
      <c r="W110" s="65"/>
      <c r="X110" s="240"/>
      <c r="Y110" s="65"/>
      <c r="Z110" s="281"/>
      <c r="AA110" s="66"/>
      <c r="AB110" s="66"/>
      <c r="AC110" s="247"/>
      <c r="AD110" s="240" t="str">
        <f t="shared" si="24"/>
        <v/>
      </c>
      <c r="AE110" s="240"/>
      <c r="AF110" s="241"/>
      <c r="AG110" s="247"/>
      <c r="AH110" s="241"/>
      <c r="AI110" s="247"/>
      <c r="AJ110" s="231"/>
      <c r="AK110" s="240"/>
      <c r="AL110" s="241"/>
      <c r="AM110" s="65"/>
      <c r="AN110" s="241"/>
      <c r="AO110" s="65"/>
      <c r="AP110" s="66"/>
      <c r="AQ110" s="66"/>
      <c r="AR110" s="66"/>
      <c r="AS110" s="221"/>
      <c r="AT110" s="222">
        <f t="shared" si="39"/>
        <v>0</v>
      </c>
      <c r="AU110" s="223"/>
      <c r="AV110" s="99"/>
      <c r="AW110" s="100"/>
      <c r="AX110" s="100"/>
      <c r="AY110" s="100"/>
      <c r="AZ110" s="100"/>
      <c r="BA110" s="100"/>
      <c r="BB110" s="100"/>
      <c r="BC110" s="101"/>
      <c r="BD110" s="96"/>
      <c r="BE110" s="97"/>
      <c r="BF110" s="97"/>
      <c r="BG110" s="97"/>
      <c r="BH110" s="98"/>
      <c r="BI110" s="157" t="e">
        <f t="shared" si="25"/>
        <v>#REF!</v>
      </c>
      <c r="BJ110" s="158" t="e">
        <f>#REF!</f>
        <v>#REF!</v>
      </c>
      <c r="BK110" s="159" t="e">
        <f>#REF!</f>
        <v>#REF!</v>
      </c>
      <c r="BL110" s="181" t="e">
        <f t="shared" si="26"/>
        <v>#REF!</v>
      </c>
      <c r="BM110" s="182" t="e">
        <f t="shared" si="27"/>
        <v>#REF!</v>
      </c>
      <c r="BN110" s="182" t="e">
        <f t="shared" si="28"/>
        <v>#REF!</v>
      </c>
      <c r="BO110" s="182" t="e">
        <f t="shared" si="29"/>
        <v>#REF!</v>
      </c>
      <c r="BP110" s="182" t="e">
        <f t="shared" si="30"/>
        <v>#REF!</v>
      </c>
      <c r="BQ110" s="182" t="e">
        <f t="shared" si="31"/>
        <v>#REF!</v>
      </c>
      <c r="BR110" s="182" t="e">
        <f t="shared" si="32"/>
        <v>#REF!</v>
      </c>
      <c r="BS110" s="183" t="e">
        <f t="shared" si="33"/>
        <v>#REF!</v>
      </c>
      <c r="BT110" s="184" t="e">
        <f t="shared" si="34"/>
        <v>#REF!</v>
      </c>
      <c r="BU110" s="185" t="e">
        <f t="shared" si="35"/>
        <v>#REF!</v>
      </c>
      <c r="BV110" s="185" t="e">
        <f t="shared" si="36"/>
        <v>#REF!</v>
      </c>
      <c r="BW110" s="185" t="e">
        <f t="shared" si="37"/>
        <v>#REF!</v>
      </c>
      <c r="BX110" s="186" t="e">
        <f t="shared" si="38"/>
        <v>#REF!</v>
      </c>
      <c r="BY11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0" s="66"/>
      <c r="DA110" s="66"/>
      <c r="DB110" s="66"/>
      <c r="DC110" s="224" t="str">
        <f t="shared" si="41"/>
        <v/>
      </c>
      <c r="DD110" s="1">
        <f>IF($DC110="",0,IF(COUNTIF($DC$2:$DC109,$DC110)=0,1,0))</f>
        <v>0</v>
      </c>
    </row>
    <row r="111" spans="1:108" s="1" customFormat="1" ht="12" customHeight="1" x14ac:dyDescent="0.25">
      <c r="A111" s="64">
        <v>110</v>
      </c>
      <c r="B111" s="71"/>
      <c r="C111" s="72"/>
      <c r="D111" s="72"/>
      <c r="E111" s="72"/>
      <c r="F111" s="72"/>
      <c r="G111" s="66"/>
      <c r="H111" s="66"/>
      <c r="I111" s="66"/>
      <c r="J111" s="67"/>
      <c r="K111" s="68"/>
      <c r="L111" s="69"/>
      <c r="M111" s="66"/>
      <c r="N111" s="66"/>
      <c r="O111" s="136" t="str">
        <f t="shared" si="42"/>
        <v/>
      </c>
      <c r="P111" s="65" t="str">
        <f t="shared" si="23"/>
        <v/>
      </c>
      <c r="Q111" s="70"/>
      <c r="R111" s="66"/>
      <c r="S111" s="65"/>
      <c r="T111" s="65"/>
      <c r="U111" s="65"/>
      <c r="V111" s="65"/>
      <c r="W111" s="65"/>
      <c r="X111" s="240"/>
      <c r="Y111" s="65"/>
      <c r="Z111" s="281"/>
      <c r="AA111" s="66"/>
      <c r="AB111" s="66"/>
      <c r="AC111" s="247"/>
      <c r="AD111" s="240" t="str">
        <f t="shared" si="24"/>
        <v/>
      </c>
      <c r="AE111" s="240"/>
      <c r="AF111" s="241"/>
      <c r="AG111" s="247"/>
      <c r="AH111" s="241"/>
      <c r="AI111" s="247"/>
      <c r="AJ111" s="231"/>
      <c r="AK111" s="240"/>
      <c r="AL111" s="241"/>
      <c r="AM111" s="65"/>
      <c r="AN111" s="241"/>
      <c r="AO111" s="65"/>
      <c r="AP111" s="66"/>
      <c r="AQ111" s="66"/>
      <c r="AR111" s="66"/>
      <c r="AS111" s="221"/>
      <c r="AT111" s="222">
        <f t="shared" si="39"/>
        <v>0</v>
      </c>
      <c r="AU111" s="223"/>
      <c r="AV111" s="99"/>
      <c r="AW111" s="100"/>
      <c r="AX111" s="100"/>
      <c r="AY111" s="100"/>
      <c r="AZ111" s="100"/>
      <c r="BA111" s="100"/>
      <c r="BB111" s="100"/>
      <c r="BC111" s="101"/>
      <c r="BD111" s="96"/>
      <c r="BE111" s="97"/>
      <c r="BF111" s="97"/>
      <c r="BG111" s="97"/>
      <c r="BH111" s="98"/>
      <c r="BI111" s="157" t="e">
        <f t="shared" si="25"/>
        <v>#REF!</v>
      </c>
      <c r="BJ111" s="158" t="e">
        <f>#REF!</f>
        <v>#REF!</v>
      </c>
      <c r="BK111" s="159" t="e">
        <f>#REF!</f>
        <v>#REF!</v>
      </c>
      <c r="BL111" s="181" t="e">
        <f t="shared" si="26"/>
        <v>#REF!</v>
      </c>
      <c r="BM111" s="182" t="e">
        <f t="shared" si="27"/>
        <v>#REF!</v>
      </c>
      <c r="BN111" s="182" t="e">
        <f t="shared" si="28"/>
        <v>#REF!</v>
      </c>
      <c r="BO111" s="182" t="e">
        <f t="shared" si="29"/>
        <v>#REF!</v>
      </c>
      <c r="BP111" s="182" t="e">
        <f t="shared" si="30"/>
        <v>#REF!</v>
      </c>
      <c r="BQ111" s="182" t="e">
        <f t="shared" si="31"/>
        <v>#REF!</v>
      </c>
      <c r="BR111" s="182" t="e">
        <f t="shared" si="32"/>
        <v>#REF!</v>
      </c>
      <c r="BS111" s="183" t="e">
        <f t="shared" si="33"/>
        <v>#REF!</v>
      </c>
      <c r="BT111" s="184" t="e">
        <f t="shared" si="34"/>
        <v>#REF!</v>
      </c>
      <c r="BU111" s="185" t="e">
        <f t="shared" si="35"/>
        <v>#REF!</v>
      </c>
      <c r="BV111" s="185" t="e">
        <f t="shared" si="36"/>
        <v>#REF!</v>
      </c>
      <c r="BW111" s="185" t="e">
        <f t="shared" si="37"/>
        <v>#REF!</v>
      </c>
      <c r="BX111" s="186" t="e">
        <f t="shared" si="38"/>
        <v>#REF!</v>
      </c>
      <c r="BY11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1" s="66"/>
      <c r="DA111" s="66"/>
      <c r="DB111" s="66"/>
      <c r="DC111" s="224" t="str">
        <f t="shared" si="41"/>
        <v/>
      </c>
      <c r="DD111" s="1">
        <f>IF($DC111="",0,IF(COUNTIF($DC$2:$DC110,$DC111)=0,1,0))</f>
        <v>0</v>
      </c>
    </row>
    <row r="112" spans="1:108" s="1" customFormat="1" ht="12" customHeight="1" x14ac:dyDescent="0.25">
      <c r="A112" s="64">
        <v>111</v>
      </c>
      <c r="B112" s="71"/>
      <c r="C112" s="72"/>
      <c r="D112" s="72"/>
      <c r="E112" s="72"/>
      <c r="F112" s="72"/>
      <c r="G112" s="66"/>
      <c r="H112" s="66"/>
      <c r="I112" s="66"/>
      <c r="J112" s="67"/>
      <c r="K112" s="68"/>
      <c r="L112" s="69"/>
      <c r="M112" s="66"/>
      <c r="N112" s="66"/>
      <c r="O112" s="136" t="str">
        <f t="shared" si="42"/>
        <v/>
      </c>
      <c r="P112" s="65" t="str">
        <f t="shared" si="23"/>
        <v/>
      </c>
      <c r="Q112" s="70"/>
      <c r="R112" s="66"/>
      <c r="S112" s="65"/>
      <c r="T112" s="65"/>
      <c r="U112" s="65"/>
      <c r="V112" s="65"/>
      <c r="W112" s="65"/>
      <c r="X112" s="240"/>
      <c r="Y112" s="65"/>
      <c r="Z112" s="281"/>
      <c r="AA112" s="66"/>
      <c r="AB112" s="66"/>
      <c r="AC112" s="247"/>
      <c r="AD112" s="240" t="str">
        <f t="shared" si="24"/>
        <v/>
      </c>
      <c r="AE112" s="240"/>
      <c r="AF112" s="241"/>
      <c r="AG112" s="247"/>
      <c r="AH112" s="241"/>
      <c r="AI112" s="247"/>
      <c r="AJ112" s="231"/>
      <c r="AK112" s="240"/>
      <c r="AL112" s="241"/>
      <c r="AM112" s="65"/>
      <c r="AN112" s="241"/>
      <c r="AO112" s="65"/>
      <c r="AP112" s="66"/>
      <c r="AQ112" s="66"/>
      <c r="AR112" s="66"/>
      <c r="AS112" s="221"/>
      <c r="AT112" s="222">
        <f t="shared" si="39"/>
        <v>0</v>
      </c>
      <c r="AU112" s="223"/>
      <c r="AV112" s="99"/>
      <c r="AW112" s="100"/>
      <c r="AX112" s="100"/>
      <c r="AY112" s="100"/>
      <c r="AZ112" s="100"/>
      <c r="BA112" s="100"/>
      <c r="BB112" s="100"/>
      <c r="BC112" s="101"/>
      <c r="BD112" s="96"/>
      <c r="BE112" s="97"/>
      <c r="BF112" s="97"/>
      <c r="BG112" s="97"/>
      <c r="BH112" s="98"/>
      <c r="BI112" s="157" t="e">
        <f t="shared" si="25"/>
        <v>#REF!</v>
      </c>
      <c r="BJ112" s="158" t="e">
        <f>#REF!</f>
        <v>#REF!</v>
      </c>
      <c r="BK112" s="159" t="e">
        <f>#REF!</f>
        <v>#REF!</v>
      </c>
      <c r="BL112" s="181" t="e">
        <f t="shared" si="26"/>
        <v>#REF!</v>
      </c>
      <c r="BM112" s="182" t="e">
        <f t="shared" si="27"/>
        <v>#REF!</v>
      </c>
      <c r="BN112" s="182" t="e">
        <f t="shared" si="28"/>
        <v>#REF!</v>
      </c>
      <c r="BO112" s="182" t="e">
        <f t="shared" si="29"/>
        <v>#REF!</v>
      </c>
      <c r="BP112" s="182" t="e">
        <f t="shared" si="30"/>
        <v>#REF!</v>
      </c>
      <c r="BQ112" s="182" t="e">
        <f t="shared" si="31"/>
        <v>#REF!</v>
      </c>
      <c r="BR112" s="182" t="e">
        <f t="shared" si="32"/>
        <v>#REF!</v>
      </c>
      <c r="BS112" s="183" t="e">
        <f t="shared" si="33"/>
        <v>#REF!</v>
      </c>
      <c r="BT112" s="184" t="e">
        <f t="shared" si="34"/>
        <v>#REF!</v>
      </c>
      <c r="BU112" s="185" t="e">
        <f t="shared" si="35"/>
        <v>#REF!</v>
      </c>
      <c r="BV112" s="185" t="e">
        <f t="shared" si="36"/>
        <v>#REF!</v>
      </c>
      <c r="BW112" s="185" t="e">
        <f t="shared" si="37"/>
        <v>#REF!</v>
      </c>
      <c r="BX112" s="186" t="e">
        <f t="shared" si="38"/>
        <v>#REF!</v>
      </c>
      <c r="BY11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2" s="66"/>
      <c r="DA112" s="66"/>
      <c r="DB112" s="66"/>
      <c r="DC112" s="224" t="str">
        <f t="shared" si="41"/>
        <v/>
      </c>
      <c r="DD112" s="1">
        <f>IF($DC112="",0,IF(COUNTIF($DC$2:$DC111,$DC112)=0,1,0))</f>
        <v>0</v>
      </c>
    </row>
    <row r="113" spans="1:108" s="1" customFormat="1" ht="12" customHeight="1" x14ac:dyDescent="0.25">
      <c r="A113" s="64">
        <v>112</v>
      </c>
      <c r="B113" s="71"/>
      <c r="C113" s="72"/>
      <c r="D113" s="72"/>
      <c r="E113" s="72"/>
      <c r="F113" s="72"/>
      <c r="G113" s="66"/>
      <c r="H113" s="66"/>
      <c r="I113" s="66"/>
      <c r="J113" s="67"/>
      <c r="K113" s="68"/>
      <c r="L113" s="69"/>
      <c r="M113" s="66"/>
      <c r="N113" s="66"/>
      <c r="O113" s="136" t="str">
        <f t="shared" si="42"/>
        <v/>
      </c>
      <c r="P113" s="65" t="str">
        <f t="shared" si="23"/>
        <v/>
      </c>
      <c r="Q113" s="70"/>
      <c r="R113" s="66"/>
      <c r="S113" s="65"/>
      <c r="T113" s="65"/>
      <c r="U113" s="65"/>
      <c r="V113" s="65"/>
      <c r="W113" s="65"/>
      <c r="X113" s="240"/>
      <c r="Y113" s="65"/>
      <c r="Z113" s="281"/>
      <c r="AA113" s="66"/>
      <c r="AB113" s="66"/>
      <c r="AC113" s="247"/>
      <c r="AD113" s="240" t="str">
        <f t="shared" si="24"/>
        <v/>
      </c>
      <c r="AE113" s="240"/>
      <c r="AF113" s="241"/>
      <c r="AG113" s="247"/>
      <c r="AH113" s="241"/>
      <c r="AI113" s="247"/>
      <c r="AJ113" s="231"/>
      <c r="AK113" s="240"/>
      <c r="AL113" s="241"/>
      <c r="AM113" s="65"/>
      <c r="AN113" s="241"/>
      <c r="AO113" s="65"/>
      <c r="AP113" s="66"/>
      <c r="AQ113" s="66"/>
      <c r="AR113" s="66"/>
      <c r="AS113" s="221"/>
      <c r="AT113" s="222">
        <f t="shared" si="39"/>
        <v>0</v>
      </c>
      <c r="AU113" s="223"/>
      <c r="AV113" s="99"/>
      <c r="AW113" s="100"/>
      <c r="AX113" s="100"/>
      <c r="AY113" s="100"/>
      <c r="AZ113" s="100"/>
      <c r="BA113" s="100"/>
      <c r="BB113" s="100"/>
      <c r="BC113" s="101"/>
      <c r="BD113" s="96"/>
      <c r="BE113" s="97"/>
      <c r="BF113" s="97"/>
      <c r="BG113" s="97"/>
      <c r="BH113" s="98"/>
      <c r="BI113" s="157" t="e">
        <f t="shared" si="25"/>
        <v>#REF!</v>
      </c>
      <c r="BJ113" s="158" t="e">
        <f>#REF!</f>
        <v>#REF!</v>
      </c>
      <c r="BK113" s="159" t="e">
        <f>#REF!</f>
        <v>#REF!</v>
      </c>
      <c r="BL113" s="181" t="e">
        <f t="shared" si="26"/>
        <v>#REF!</v>
      </c>
      <c r="BM113" s="182" t="e">
        <f t="shared" si="27"/>
        <v>#REF!</v>
      </c>
      <c r="BN113" s="182" t="e">
        <f t="shared" si="28"/>
        <v>#REF!</v>
      </c>
      <c r="BO113" s="182" t="e">
        <f t="shared" si="29"/>
        <v>#REF!</v>
      </c>
      <c r="BP113" s="182" t="e">
        <f t="shared" si="30"/>
        <v>#REF!</v>
      </c>
      <c r="BQ113" s="182" t="e">
        <f t="shared" si="31"/>
        <v>#REF!</v>
      </c>
      <c r="BR113" s="182" t="e">
        <f t="shared" si="32"/>
        <v>#REF!</v>
      </c>
      <c r="BS113" s="183" t="e">
        <f t="shared" si="33"/>
        <v>#REF!</v>
      </c>
      <c r="BT113" s="184" t="e">
        <f t="shared" si="34"/>
        <v>#REF!</v>
      </c>
      <c r="BU113" s="185" t="e">
        <f t="shared" si="35"/>
        <v>#REF!</v>
      </c>
      <c r="BV113" s="185" t="e">
        <f t="shared" si="36"/>
        <v>#REF!</v>
      </c>
      <c r="BW113" s="185" t="e">
        <f t="shared" si="37"/>
        <v>#REF!</v>
      </c>
      <c r="BX113" s="186" t="e">
        <f t="shared" si="38"/>
        <v>#REF!</v>
      </c>
      <c r="BY11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3" s="66"/>
      <c r="DA113" s="66"/>
      <c r="DB113" s="66"/>
      <c r="DC113" s="224" t="str">
        <f t="shared" si="41"/>
        <v/>
      </c>
      <c r="DD113" s="1">
        <f>IF($DC113="",0,IF(COUNTIF($DC$2:$DC112,$DC113)=0,1,0))</f>
        <v>0</v>
      </c>
    </row>
    <row r="114" spans="1:108" s="1" customFormat="1" ht="12" customHeight="1" x14ac:dyDescent="0.25">
      <c r="A114" s="64">
        <v>113</v>
      </c>
      <c r="B114" s="71"/>
      <c r="C114" s="72"/>
      <c r="D114" s="72"/>
      <c r="E114" s="72"/>
      <c r="F114" s="72"/>
      <c r="G114" s="66"/>
      <c r="H114" s="66"/>
      <c r="I114" s="66"/>
      <c r="J114" s="67"/>
      <c r="K114" s="68"/>
      <c r="L114" s="69"/>
      <c r="M114" s="66"/>
      <c r="N114" s="66"/>
      <c r="O114" s="136" t="str">
        <f t="shared" si="42"/>
        <v/>
      </c>
      <c r="P114" s="65" t="str">
        <f t="shared" si="23"/>
        <v/>
      </c>
      <c r="Q114" s="70"/>
      <c r="R114" s="66"/>
      <c r="S114" s="65"/>
      <c r="T114" s="65"/>
      <c r="U114" s="65"/>
      <c r="V114" s="65"/>
      <c r="W114" s="65"/>
      <c r="X114" s="240"/>
      <c r="Y114" s="65"/>
      <c r="Z114" s="281"/>
      <c r="AA114" s="66"/>
      <c r="AB114" s="66"/>
      <c r="AC114" s="247"/>
      <c r="AD114" s="240" t="str">
        <f t="shared" si="24"/>
        <v/>
      </c>
      <c r="AE114" s="240"/>
      <c r="AF114" s="241"/>
      <c r="AG114" s="247"/>
      <c r="AH114" s="241"/>
      <c r="AI114" s="247"/>
      <c r="AJ114" s="231"/>
      <c r="AK114" s="240"/>
      <c r="AL114" s="241"/>
      <c r="AM114" s="65"/>
      <c r="AN114" s="241"/>
      <c r="AO114" s="65"/>
      <c r="AP114" s="66"/>
      <c r="AQ114" s="66"/>
      <c r="AR114" s="66"/>
      <c r="AS114" s="221"/>
      <c r="AT114" s="222">
        <f t="shared" si="39"/>
        <v>0</v>
      </c>
      <c r="AU114" s="223"/>
      <c r="AV114" s="99"/>
      <c r="AW114" s="100"/>
      <c r="AX114" s="100"/>
      <c r="AY114" s="100"/>
      <c r="AZ114" s="100"/>
      <c r="BA114" s="100"/>
      <c r="BB114" s="100"/>
      <c r="BC114" s="101"/>
      <c r="BD114" s="96"/>
      <c r="BE114" s="97"/>
      <c r="BF114" s="97"/>
      <c r="BG114" s="97"/>
      <c r="BH114" s="98"/>
      <c r="BI114" s="157" t="e">
        <f t="shared" si="25"/>
        <v>#REF!</v>
      </c>
      <c r="BJ114" s="158" t="e">
        <f>#REF!</f>
        <v>#REF!</v>
      </c>
      <c r="BK114" s="159" t="e">
        <f>#REF!</f>
        <v>#REF!</v>
      </c>
      <c r="BL114" s="181" t="e">
        <f t="shared" si="26"/>
        <v>#REF!</v>
      </c>
      <c r="BM114" s="182" t="e">
        <f t="shared" si="27"/>
        <v>#REF!</v>
      </c>
      <c r="BN114" s="182" t="e">
        <f t="shared" si="28"/>
        <v>#REF!</v>
      </c>
      <c r="BO114" s="182" t="e">
        <f t="shared" si="29"/>
        <v>#REF!</v>
      </c>
      <c r="BP114" s="182" t="e">
        <f t="shared" si="30"/>
        <v>#REF!</v>
      </c>
      <c r="BQ114" s="182" t="e">
        <f t="shared" si="31"/>
        <v>#REF!</v>
      </c>
      <c r="BR114" s="182" t="e">
        <f t="shared" si="32"/>
        <v>#REF!</v>
      </c>
      <c r="BS114" s="183" t="e">
        <f t="shared" si="33"/>
        <v>#REF!</v>
      </c>
      <c r="BT114" s="184" t="e">
        <f t="shared" si="34"/>
        <v>#REF!</v>
      </c>
      <c r="BU114" s="185" t="e">
        <f t="shared" si="35"/>
        <v>#REF!</v>
      </c>
      <c r="BV114" s="185" t="e">
        <f t="shared" si="36"/>
        <v>#REF!</v>
      </c>
      <c r="BW114" s="185" t="e">
        <f t="shared" si="37"/>
        <v>#REF!</v>
      </c>
      <c r="BX114" s="186" t="e">
        <f t="shared" si="38"/>
        <v>#REF!</v>
      </c>
      <c r="BY11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4" s="66"/>
      <c r="DA114" s="66"/>
      <c r="DB114" s="66"/>
      <c r="DC114" s="224" t="str">
        <f t="shared" si="41"/>
        <v/>
      </c>
      <c r="DD114" s="1">
        <f>IF($DC114="",0,IF(COUNTIF($DC$2:$DC113,$DC114)=0,1,0))</f>
        <v>0</v>
      </c>
    </row>
    <row r="115" spans="1:108" s="1" customFormat="1" ht="12" customHeight="1" x14ac:dyDescent="0.25">
      <c r="A115" s="64">
        <v>114</v>
      </c>
      <c r="B115" s="71"/>
      <c r="C115" s="72"/>
      <c r="D115" s="72"/>
      <c r="E115" s="72"/>
      <c r="F115" s="72"/>
      <c r="G115" s="66"/>
      <c r="H115" s="66"/>
      <c r="I115" s="66"/>
      <c r="J115" s="67"/>
      <c r="K115" s="68"/>
      <c r="L115" s="69"/>
      <c r="M115" s="66"/>
      <c r="N115" s="66"/>
      <c r="O115" s="136" t="str">
        <f t="shared" si="42"/>
        <v/>
      </c>
      <c r="P115" s="65" t="str">
        <f t="shared" si="23"/>
        <v/>
      </c>
      <c r="Q115" s="70"/>
      <c r="R115" s="66"/>
      <c r="S115" s="65"/>
      <c r="T115" s="65"/>
      <c r="U115" s="65"/>
      <c r="V115" s="65"/>
      <c r="W115" s="65"/>
      <c r="X115" s="240"/>
      <c r="Y115" s="65"/>
      <c r="Z115" s="281"/>
      <c r="AA115" s="66"/>
      <c r="AB115" s="66"/>
      <c r="AC115" s="247"/>
      <c r="AD115" s="240" t="str">
        <f t="shared" si="24"/>
        <v/>
      </c>
      <c r="AE115" s="240"/>
      <c r="AF115" s="241"/>
      <c r="AG115" s="247"/>
      <c r="AH115" s="241"/>
      <c r="AI115" s="247"/>
      <c r="AJ115" s="231"/>
      <c r="AK115" s="240"/>
      <c r="AL115" s="241"/>
      <c r="AM115" s="65"/>
      <c r="AN115" s="241"/>
      <c r="AO115" s="65"/>
      <c r="AP115" s="66"/>
      <c r="AQ115" s="66"/>
      <c r="AR115" s="66"/>
      <c r="AS115" s="221"/>
      <c r="AT115" s="222">
        <f t="shared" si="39"/>
        <v>0</v>
      </c>
      <c r="AU115" s="223"/>
      <c r="AV115" s="99"/>
      <c r="AW115" s="100"/>
      <c r="AX115" s="100"/>
      <c r="AY115" s="100"/>
      <c r="AZ115" s="100"/>
      <c r="BA115" s="100"/>
      <c r="BB115" s="100"/>
      <c r="BC115" s="101"/>
      <c r="BD115" s="96"/>
      <c r="BE115" s="97"/>
      <c r="BF115" s="97"/>
      <c r="BG115" s="97"/>
      <c r="BH115" s="98"/>
      <c r="BI115" s="157" t="e">
        <f t="shared" si="25"/>
        <v>#REF!</v>
      </c>
      <c r="BJ115" s="158" t="e">
        <f>#REF!</f>
        <v>#REF!</v>
      </c>
      <c r="BK115" s="159" t="e">
        <f>#REF!</f>
        <v>#REF!</v>
      </c>
      <c r="BL115" s="181" t="e">
        <f t="shared" si="26"/>
        <v>#REF!</v>
      </c>
      <c r="BM115" s="182" t="e">
        <f t="shared" si="27"/>
        <v>#REF!</v>
      </c>
      <c r="BN115" s="182" t="e">
        <f t="shared" si="28"/>
        <v>#REF!</v>
      </c>
      <c r="BO115" s="182" t="e">
        <f t="shared" si="29"/>
        <v>#REF!</v>
      </c>
      <c r="BP115" s="182" t="e">
        <f t="shared" si="30"/>
        <v>#REF!</v>
      </c>
      <c r="BQ115" s="182" t="e">
        <f t="shared" si="31"/>
        <v>#REF!</v>
      </c>
      <c r="BR115" s="182" t="e">
        <f t="shared" si="32"/>
        <v>#REF!</v>
      </c>
      <c r="BS115" s="183" t="e">
        <f t="shared" si="33"/>
        <v>#REF!</v>
      </c>
      <c r="BT115" s="184" t="e">
        <f t="shared" si="34"/>
        <v>#REF!</v>
      </c>
      <c r="BU115" s="185" t="e">
        <f t="shared" si="35"/>
        <v>#REF!</v>
      </c>
      <c r="BV115" s="185" t="e">
        <f t="shared" si="36"/>
        <v>#REF!</v>
      </c>
      <c r="BW115" s="185" t="e">
        <f t="shared" si="37"/>
        <v>#REF!</v>
      </c>
      <c r="BX115" s="186" t="e">
        <f t="shared" si="38"/>
        <v>#REF!</v>
      </c>
      <c r="BY11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5" s="66"/>
      <c r="DA115" s="66"/>
      <c r="DB115" s="66"/>
      <c r="DC115" s="224" t="str">
        <f t="shared" si="41"/>
        <v/>
      </c>
      <c r="DD115" s="1">
        <f>IF($DC115="",0,IF(COUNTIF($DC$2:$DC114,$DC115)=0,1,0))</f>
        <v>0</v>
      </c>
    </row>
    <row r="116" spans="1:108" s="1" customFormat="1" ht="12" customHeight="1" x14ac:dyDescent="0.25">
      <c r="A116" s="64">
        <v>115</v>
      </c>
      <c r="B116" s="71"/>
      <c r="C116" s="72"/>
      <c r="D116" s="72"/>
      <c r="E116" s="72"/>
      <c r="F116" s="72"/>
      <c r="G116" s="66"/>
      <c r="H116" s="66"/>
      <c r="I116" s="66"/>
      <c r="J116" s="67"/>
      <c r="K116" s="68"/>
      <c r="L116" s="69"/>
      <c r="M116" s="66"/>
      <c r="N116" s="66"/>
      <c r="O116" s="136" t="str">
        <f t="shared" si="42"/>
        <v/>
      </c>
      <c r="P116" s="65" t="str">
        <f t="shared" si="23"/>
        <v/>
      </c>
      <c r="Q116" s="70"/>
      <c r="R116" s="66"/>
      <c r="S116" s="65"/>
      <c r="T116" s="65"/>
      <c r="U116" s="65"/>
      <c r="V116" s="65"/>
      <c r="W116" s="65"/>
      <c r="X116" s="240"/>
      <c r="Y116" s="65"/>
      <c r="Z116" s="281"/>
      <c r="AA116" s="66"/>
      <c r="AB116" s="66"/>
      <c r="AC116" s="247"/>
      <c r="AD116" s="240" t="str">
        <f t="shared" si="24"/>
        <v/>
      </c>
      <c r="AE116" s="240"/>
      <c r="AF116" s="241"/>
      <c r="AG116" s="247"/>
      <c r="AH116" s="241"/>
      <c r="AI116" s="247"/>
      <c r="AJ116" s="231"/>
      <c r="AK116" s="240"/>
      <c r="AL116" s="241"/>
      <c r="AM116" s="65"/>
      <c r="AN116" s="241"/>
      <c r="AO116" s="65"/>
      <c r="AP116" s="66"/>
      <c r="AQ116" s="66"/>
      <c r="AR116" s="66"/>
      <c r="AS116" s="221"/>
      <c r="AT116" s="222">
        <f t="shared" si="39"/>
        <v>0</v>
      </c>
      <c r="AU116" s="223"/>
      <c r="AV116" s="99"/>
      <c r="AW116" s="100"/>
      <c r="AX116" s="100"/>
      <c r="AY116" s="100"/>
      <c r="AZ116" s="100"/>
      <c r="BA116" s="100"/>
      <c r="BB116" s="100"/>
      <c r="BC116" s="101"/>
      <c r="BD116" s="96"/>
      <c r="BE116" s="97"/>
      <c r="BF116" s="97"/>
      <c r="BG116" s="97"/>
      <c r="BH116" s="98"/>
      <c r="BI116" s="157" t="e">
        <f t="shared" si="25"/>
        <v>#REF!</v>
      </c>
      <c r="BJ116" s="158" t="e">
        <f>#REF!</f>
        <v>#REF!</v>
      </c>
      <c r="BK116" s="159" t="e">
        <f>#REF!</f>
        <v>#REF!</v>
      </c>
      <c r="BL116" s="181" t="e">
        <f t="shared" si="26"/>
        <v>#REF!</v>
      </c>
      <c r="BM116" s="182" t="e">
        <f t="shared" si="27"/>
        <v>#REF!</v>
      </c>
      <c r="BN116" s="182" t="e">
        <f t="shared" si="28"/>
        <v>#REF!</v>
      </c>
      <c r="BO116" s="182" t="e">
        <f t="shared" si="29"/>
        <v>#REF!</v>
      </c>
      <c r="BP116" s="182" t="e">
        <f t="shared" si="30"/>
        <v>#REF!</v>
      </c>
      <c r="BQ116" s="182" t="e">
        <f t="shared" si="31"/>
        <v>#REF!</v>
      </c>
      <c r="BR116" s="182" t="e">
        <f t="shared" si="32"/>
        <v>#REF!</v>
      </c>
      <c r="BS116" s="183" t="e">
        <f t="shared" si="33"/>
        <v>#REF!</v>
      </c>
      <c r="BT116" s="184" t="e">
        <f t="shared" si="34"/>
        <v>#REF!</v>
      </c>
      <c r="BU116" s="185" t="e">
        <f t="shared" si="35"/>
        <v>#REF!</v>
      </c>
      <c r="BV116" s="185" t="e">
        <f t="shared" si="36"/>
        <v>#REF!</v>
      </c>
      <c r="BW116" s="185" t="e">
        <f t="shared" si="37"/>
        <v>#REF!</v>
      </c>
      <c r="BX116" s="186" t="e">
        <f t="shared" si="38"/>
        <v>#REF!</v>
      </c>
      <c r="BY11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6" s="66"/>
      <c r="DA116" s="66"/>
      <c r="DB116" s="66"/>
      <c r="DC116" s="224" t="str">
        <f t="shared" si="41"/>
        <v/>
      </c>
      <c r="DD116" s="1">
        <f>IF($DC116="",0,IF(COUNTIF($DC$2:$DC115,$DC116)=0,1,0))</f>
        <v>0</v>
      </c>
    </row>
    <row r="117" spans="1:108" s="1" customFormat="1" ht="12" customHeight="1" x14ac:dyDescent="0.25">
      <c r="A117" s="64">
        <v>116</v>
      </c>
      <c r="B117" s="71"/>
      <c r="C117" s="72"/>
      <c r="D117" s="72"/>
      <c r="E117" s="72"/>
      <c r="F117" s="72"/>
      <c r="G117" s="66"/>
      <c r="H117" s="66"/>
      <c r="I117" s="66"/>
      <c r="J117" s="67"/>
      <c r="K117" s="68"/>
      <c r="L117" s="69"/>
      <c r="M117" s="66"/>
      <c r="N117" s="66"/>
      <c r="O117" s="136" t="str">
        <f t="shared" si="42"/>
        <v/>
      </c>
      <c r="P117" s="65" t="str">
        <f t="shared" si="23"/>
        <v/>
      </c>
      <c r="Q117" s="70"/>
      <c r="R117" s="66"/>
      <c r="S117" s="65"/>
      <c r="T117" s="65"/>
      <c r="U117" s="65"/>
      <c r="V117" s="65"/>
      <c r="W117" s="65"/>
      <c r="X117" s="240"/>
      <c r="Y117" s="65"/>
      <c r="Z117" s="281"/>
      <c r="AA117" s="66"/>
      <c r="AB117" s="66"/>
      <c r="AC117" s="247"/>
      <c r="AD117" s="240" t="str">
        <f t="shared" si="24"/>
        <v/>
      </c>
      <c r="AE117" s="240"/>
      <c r="AF117" s="241"/>
      <c r="AG117" s="247"/>
      <c r="AH117" s="241"/>
      <c r="AI117" s="247"/>
      <c r="AJ117" s="231"/>
      <c r="AK117" s="240"/>
      <c r="AL117" s="241"/>
      <c r="AM117" s="65"/>
      <c r="AN117" s="241"/>
      <c r="AO117" s="65"/>
      <c r="AP117" s="66"/>
      <c r="AQ117" s="66"/>
      <c r="AR117" s="66"/>
      <c r="AS117" s="221"/>
      <c r="AT117" s="222">
        <f t="shared" si="39"/>
        <v>0</v>
      </c>
      <c r="AU117" s="223"/>
      <c r="AV117" s="99"/>
      <c r="AW117" s="100"/>
      <c r="AX117" s="100"/>
      <c r="AY117" s="100"/>
      <c r="AZ117" s="100"/>
      <c r="BA117" s="100"/>
      <c r="BB117" s="100"/>
      <c r="BC117" s="101"/>
      <c r="BD117" s="96"/>
      <c r="BE117" s="97"/>
      <c r="BF117" s="97"/>
      <c r="BG117" s="97"/>
      <c r="BH117" s="98"/>
      <c r="BI117" s="157" t="e">
        <f t="shared" si="25"/>
        <v>#REF!</v>
      </c>
      <c r="BJ117" s="158" t="e">
        <f>#REF!</f>
        <v>#REF!</v>
      </c>
      <c r="BK117" s="159" t="e">
        <f>#REF!</f>
        <v>#REF!</v>
      </c>
      <c r="BL117" s="181" t="e">
        <f t="shared" si="26"/>
        <v>#REF!</v>
      </c>
      <c r="BM117" s="182" t="e">
        <f t="shared" si="27"/>
        <v>#REF!</v>
      </c>
      <c r="BN117" s="182" t="e">
        <f t="shared" si="28"/>
        <v>#REF!</v>
      </c>
      <c r="BO117" s="182" t="e">
        <f t="shared" si="29"/>
        <v>#REF!</v>
      </c>
      <c r="BP117" s="182" t="e">
        <f t="shared" si="30"/>
        <v>#REF!</v>
      </c>
      <c r="BQ117" s="182" t="e">
        <f t="shared" si="31"/>
        <v>#REF!</v>
      </c>
      <c r="BR117" s="182" t="e">
        <f t="shared" si="32"/>
        <v>#REF!</v>
      </c>
      <c r="BS117" s="183" t="e">
        <f t="shared" si="33"/>
        <v>#REF!</v>
      </c>
      <c r="BT117" s="184" t="e">
        <f t="shared" si="34"/>
        <v>#REF!</v>
      </c>
      <c r="BU117" s="185" t="e">
        <f t="shared" si="35"/>
        <v>#REF!</v>
      </c>
      <c r="BV117" s="185" t="e">
        <f t="shared" si="36"/>
        <v>#REF!</v>
      </c>
      <c r="BW117" s="185" t="e">
        <f t="shared" si="37"/>
        <v>#REF!</v>
      </c>
      <c r="BX117" s="186" t="e">
        <f t="shared" si="38"/>
        <v>#REF!</v>
      </c>
      <c r="BY11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7" s="66"/>
      <c r="DA117" s="66"/>
      <c r="DB117" s="66"/>
      <c r="DC117" s="224" t="str">
        <f t="shared" si="41"/>
        <v/>
      </c>
      <c r="DD117" s="1">
        <f>IF($DC117="",0,IF(COUNTIF($DC$2:$DC116,$DC117)=0,1,0))</f>
        <v>0</v>
      </c>
    </row>
    <row r="118" spans="1:108" s="1" customFormat="1" ht="12" customHeight="1" x14ac:dyDescent="0.25">
      <c r="A118" s="64">
        <v>117</v>
      </c>
      <c r="B118" s="71"/>
      <c r="C118" s="72"/>
      <c r="D118" s="72"/>
      <c r="E118" s="72"/>
      <c r="F118" s="72"/>
      <c r="G118" s="66"/>
      <c r="H118" s="66"/>
      <c r="I118" s="66"/>
      <c r="J118" s="67"/>
      <c r="K118" s="68"/>
      <c r="L118" s="69"/>
      <c r="M118" s="66"/>
      <c r="N118" s="66"/>
      <c r="O118" s="136" t="str">
        <f t="shared" si="42"/>
        <v/>
      </c>
      <c r="P118" s="65" t="str">
        <f t="shared" si="23"/>
        <v/>
      </c>
      <c r="Q118" s="70"/>
      <c r="R118" s="66"/>
      <c r="S118" s="65"/>
      <c r="T118" s="65"/>
      <c r="U118" s="65"/>
      <c r="V118" s="65"/>
      <c r="W118" s="65"/>
      <c r="X118" s="240"/>
      <c r="Y118" s="65"/>
      <c r="Z118" s="281"/>
      <c r="AA118" s="66"/>
      <c r="AB118" s="66"/>
      <c r="AC118" s="247"/>
      <c r="AD118" s="240" t="str">
        <f t="shared" si="24"/>
        <v/>
      </c>
      <c r="AE118" s="240"/>
      <c r="AF118" s="241"/>
      <c r="AG118" s="247"/>
      <c r="AH118" s="241"/>
      <c r="AI118" s="247"/>
      <c r="AJ118" s="231"/>
      <c r="AK118" s="240"/>
      <c r="AL118" s="241"/>
      <c r="AM118" s="65"/>
      <c r="AN118" s="241"/>
      <c r="AO118" s="65"/>
      <c r="AP118" s="66"/>
      <c r="AQ118" s="66"/>
      <c r="AR118" s="66"/>
      <c r="AS118" s="221"/>
      <c r="AT118" s="222">
        <f t="shared" si="39"/>
        <v>0</v>
      </c>
      <c r="AU118" s="223"/>
      <c r="AV118" s="99"/>
      <c r="AW118" s="100"/>
      <c r="AX118" s="100"/>
      <c r="AY118" s="100"/>
      <c r="AZ118" s="100"/>
      <c r="BA118" s="100"/>
      <c r="BB118" s="100"/>
      <c r="BC118" s="101"/>
      <c r="BD118" s="96"/>
      <c r="BE118" s="97"/>
      <c r="BF118" s="97"/>
      <c r="BG118" s="97"/>
      <c r="BH118" s="98"/>
      <c r="BI118" s="157" t="e">
        <f t="shared" si="25"/>
        <v>#REF!</v>
      </c>
      <c r="BJ118" s="158" t="e">
        <f>#REF!</f>
        <v>#REF!</v>
      </c>
      <c r="BK118" s="159" t="e">
        <f>#REF!</f>
        <v>#REF!</v>
      </c>
      <c r="BL118" s="181" t="e">
        <f t="shared" si="26"/>
        <v>#REF!</v>
      </c>
      <c r="BM118" s="182" t="e">
        <f t="shared" si="27"/>
        <v>#REF!</v>
      </c>
      <c r="BN118" s="182" t="e">
        <f t="shared" si="28"/>
        <v>#REF!</v>
      </c>
      <c r="BO118" s="182" t="e">
        <f t="shared" si="29"/>
        <v>#REF!</v>
      </c>
      <c r="BP118" s="182" t="e">
        <f t="shared" si="30"/>
        <v>#REF!</v>
      </c>
      <c r="BQ118" s="182" t="e">
        <f t="shared" si="31"/>
        <v>#REF!</v>
      </c>
      <c r="BR118" s="182" t="e">
        <f t="shared" si="32"/>
        <v>#REF!</v>
      </c>
      <c r="BS118" s="183" t="e">
        <f t="shared" si="33"/>
        <v>#REF!</v>
      </c>
      <c r="BT118" s="184" t="e">
        <f t="shared" si="34"/>
        <v>#REF!</v>
      </c>
      <c r="BU118" s="185" t="e">
        <f t="shared" si="35"/>
        <v>#REF!</v>
      </c>
      <c r="BV118" s="185" t="e">
        <f t="shared" si="36"/>
        <v>#REF!</v>
      </c>
      <c r="BW118" s="185" t="e">
        <f t="shared" si="37"/>
        <v>#REF!</v>
      </c>
      <c r="BX118" s="186" t="e">
        <f t="shared" si="38"/>
        <v>#REF!</v>
      </c>
      <c r="BY11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8" s="66"/>
      <c r="DA118" s="66"/>
      <c r="DB118" s="66"/>
      <c r="DC118" s="224" t="str">
        <f t="shared" si="41"/>
        <v/>
      </c>
      <c r="DD118" s="1">
        <f>IF($DC118="",0,IF(COUNTIF($DC$2:$DC117,$DC118)=0,1,0))</f>
        <v>0</v>
      </c>
    </row>
    <row r="119" spans="1:108" s="1" customFormat="1" ht="12" customHeight="1" x14ac:dyDescent="0.25">
      <c r="A119" s="64">
        <v>118</v>
      </c>
      <c r="B119" s="71"/>
      <c r="C119" s="72"/>
      <c r="D119" s="72"/>
      <c r="E119" s="72"/>
      <c r="F119" s="72"/>
      <c r="G119" s="66"/>
      <c r="H119" s="66"/>
      <c r="I119" s="66"/>
      <c r="J119" s="67"/>
      <c r="K119" s="68"/>
      <c r="L119" s="69"/>
      <c r="M119" s="66"/>
      <c r="N119" s="66"/>
      <c r="O119" s="136" t="str">
        <f t="shared" si="42"/>
        <v/>
      </c>
      <c r="P119" s="65" t="str">
        <f t="shared" si="23"/>
        <v/>
      </c>
      <c r="Q119" s="70"/>
      <c r="R119" s="66"/>
      <c r="S119" s="65"/>
      <c r="T119" s="65"/>
      <c r="U119" s="65"/>
      <c r="V119" s="65"/>
      <c r="W119" s="65"/>
      <c r="X119" s="240"/>
      <c r="Y119" s="65"/>
      <c r="Z119" s="281"/>
      <c r="AA119" s="66"/>
      <c r="AB119" s="66"/>
      <c r="AC119" s="247"/>
      <c r="AD119" s="240" t="str">
        <f t="shared" si="24"/>
        <v/>
      </c>
      <c r="AE119" s="240"/>
      <c r="AF119" s="241"/>
      <c r="AG119" s="247"/>
      <c r="AH119" s="241"/>
      <c r="AI119" s="247"/>
      <c r="AJ119" s="231"/>
      <c r="AK119" s="240"/>
      <c r="AL119" s="241"/>
      <c r="AM119" s="65"/>
      <c r="AN119" s="241"/>
      <c r="AO119" s="65"/>
      <c r="AP119" s="66"/>
      <c r="AQ119" s="66"/>
      <c r="AR119" s="66"/>
      <c r="AS119" s="221"/>
      <c r="AT119" s="222">
        <f t="shared" si="39"/>
        <v>0</v>
      </c>
      <c r="AU119" s="223"/>
      <c r="AV119" s="99"/>
      <c r="AW119" s="100"/>
      <c r="AX119" s="100"/>
      <c r="AY119" s="100"/>
      <c r="AZ119" s="100"/>
      <c r="BA119" s="100"/>
      <c r="BB119" s="100"/>
      <c r="BC119" s="101"/>
      <c r="BD119" s="96"/>
      <c r="BE119" s="97"/>
      <c r="BF119" s="97"/>
      <c r="BG119" s="97"/>
      <c r="BH119" s="98"/>
      <c r="BI119" s="157" t="e">
        <f t="shared" si="25"/>
        <v>#REF!</v>
      </c>
      <c r="BJ119" s="158" t="e">
        <f>#REF!</f>
        <v>#REF!</v>
      </c>
      <c r="BK119" s="159" t="e">
        <f>#REF!</f>
        <v>#REF!</v>
      </c>
      <c r="BL119" s="181" t="e">
        <f t="shared" si="26"/>
        <v>#REF!</v>
      </c>
      <c r="BM119" s="182" t="e">
        <f t="shared" si="27"/>
        <v>#REF!</v>
      </c>
      <c r="BN119" s="182" t="e">
        <f t="shared" si="28"/>
        <v>#REF!</v>
      </c>
      <c r="BO119" s="182" t="e">
        <f t="shared" si="29"/>
        <v>#REF!</v>
      </c>
      <c r="BP119" s="182" t="e">
        <f t="shared" si="30"/>
        <v>#REF!</v>
      </c>
      <c r="BQ119" s="182" t="e">
        <f t="shared" si="31"/>
        <v>#REF!</v>
      </c>
      <c r="BR119" s="182" t="e">
        <f t="shared" si="32"/>
        <v>#REF!</v>
      </c>
      <c r="BS119" s="183" t="e">
        <f t="shared" si="33"/>
        <v>#REF!</v>
      </c>
      <c r="BT119" s="184" t="e">
        <f t="shared" si="34"/>
        <v>#REF!</v>
      </c>
      <c r="BU119" s="185" t="e">
        <f t="shared" si="35"/>
        <v>#REF!</v>
      </c>
      <c r="BV119" s="185" t="e">
        <f t="shared" si="36"/>
        <v>#REF!</v>
      </c>
      <c r="BW119" s="185" t="e">
        <f t="shared" si="37"/>
        <v>#REF!</v>
      </c>
      <c r="BX119" s="186" t="e">
        <f t="shared" si="38"/>
        <v>#REF!</v>
      </c>
      <c r="BY11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1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1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1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1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1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1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1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1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1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1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1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1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1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1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1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1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1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1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1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1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1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1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1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1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1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1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19" s="66"/>
      <c r="DA119" s="66"/>
      <c r="DB119" s="66"/>
      <c r="DC119" s="224" t="str">
        <f t="shared" si="41"/>
        <v/>
      </c>
      <c r="DD119" s="1">
        <f>IF($DC119="",0,IF(COUNTIF($DC$2:$DC118,$DC119)=0,1,0))</f>
        <v>0</v>
      </c>
    </row>
    <row r="120" spans="1:108" s="1" customFormat="1" ht="12" customHeight="1" x14ac:dyDescent="0.25">
      <c r="A120" s="64">
        <v>119</v>
      </c>
      <c r="B120" s="71"/>
      <c r="C120" s="72"/>
      <c r="D120" s="72"/>
      <c r="E120" s="72"/>
      <c r="F120" s="72"/>
      <c r="G120" s="66"/>
      <c r="H120" s="66"/>
      <c r="I120" s="66"/>
      <c r="J120" s="67"/>
      <c r="K120" s="68"/>
      <c r="L120" s="69"/>
      <c r="M120" s="66"/>
      <c r="N120" s="66"/>
      <c r="O120" s="136" t="str">
        <f t="shared" si="42"/>
        <v/>
      </c>
      <c r="P120" s="65" t="str">
        <f t="shared" si="23"/>
        <v/>
      </c>
      <c r="Q120" s="70"/>
      <c r="R120" s="66"/>
      <c r="S120" s="65"/>
      <c r="T120" s="65"/>
      <c r="U120" s="65"/>
      <c r="V120" s="65"/>
      <c r="W120" s="65"/>
      <c r="X120" s="240"/>
      <c r="Y120" s="65"/>
      <c r="Z120" s="281"/>
      <c r="AA120" s="66"/>
      <c r="AB120" s="66"/>
      <c r="AC120" s="247"/>
      <c r="AD120" s="240" t="str">
        <f t="shared" si="24"/>
        <v/>
      </c>
      <c r="AE120" s="240"/>
      <c r="AF120" s="241"/>
      <c r="AG120" s="247"/>
      <c r="AH120" s="241"/>
      <c r="AI120" s="247"/>
      <c r="AJ120" s="231"/>
      <c r="AK120" s="240"/>
      <c r="AL120" s="241"/>
      <c r="AM120" s="65"/>
      <c r="AN120" s="241"/>
      <c r="AO120" s="65"/>
      <c r="AP120" s="66"/>
      <c r="AQ120" s="66"/>
      <c r="AR120" s="66"/>
      <c r="AS120" s="221"/>
      <c r="AT120" s="222">
        <f t="shared" si="39"/>
        <v>0</v>
      </c>
      <c r="AU120" s="223"/>
      <c r="AV120" s="99"/>
      <c r="AW120" s="100"/>
      <c r="AX120" s="100"/>
      <c r="AY120" s="100"/>
      <c r="AZ120" s="100"/>
      <c r="BA120" s="100"/>
      <c r="BB120" s="100"/>
      <c r="BC120" s="101"/>
      <c r="BD120" s="96"/>
      <c r="BE120" s="97"/>
      <c r="BF120" s="97"/>
      <c r="BG120" s="97"/>
      <c r="BH120" s="98"/>
      <c r="BI120" s="157" t="e">
        <f t="shared" si="25"/>
        <v>#REF!</v>
      </c>
      <c r="BJ120" s="158" t="e">
        <f>#REF!</f>
        <v>#REF!</v>
      </c>
      <c r="BK120" s="159" t="e">
        <f>#REF!</f>
        <v>#REF!</v>
      </c>
      <c r="BL120" s="181" t="e">
        <f t="shared" si="26"/>
        <v>#REF!</v>
      </c>
      <c r="BM120" s="182" t="e">
        <f t="shared" si="27"/>
        <v>#REF!</v>
      </c>
      <c r="BN120" s="182" t="e">
        <f t="shared" si="28"/>
        <v>#REF!</v>
      </c>
      <c r="BO120" s="182" t="e">
        <f t="shared" si="29"/>
        <v>#REF!</v>
      </c>
      <c r="BP120" s="182" t="e">
        <f t="shared" si="30"/>
        <v>#REF!</v>
      </c>
      <c r="BQ120" s="182" t="e">
        <f t="shared" si="31"/>
        <v>#REF!</v>
      </c>
      <c r="BR120" s="182" t="e">
        <f t="shared" si="32"/>
        <v>#REF!</v>
      </c>
      <c r="BS120" s="183" t="e">
        <f t="shared" si="33"/>
        <v>#REF!</v>
      </c>
      <c r="BT120" s="184" t="e">
        <f t="shared" si="34"/>
        <v>#REF!</v>
      </c>
      <c r="BU120" s="185" t="e">
        <f t="shared" si="35"/>
        <v>#REF!</v>
      </c>
      <c r="BV120" s="185" t="e">
        <f t="shared" si="36"/>
        <v>#REF!</v>
      </c>
      <c r="BW120" s="185" t="e">
        <f t="shared" si="37"/>
        <v>#REF!</v>
      </c>
      <c r="BX120" s="186" t="e">
        <f t="shared" si="38"/>
        <v>#REF!</v>
      </c>
      <c r="BY12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0" s="66"/>
      <c r="DA120" s="66"/>
      <c r="DB120" s="66"/>
      <c r="DC120" s="224" t="str">
        <f t="shared" si="41"/>
        <v/>
      </c>
      <c r="DD120" s="1">
        <f>IF($DC120="",0,IF(COUNTIF($DC$2:$DC119,$DC120)=0,1,0))</f>
        <v>0</v>
      </c>
    </row>
    <row r="121" spans="1:108" s="1" customFormat="1" ht="12" customHeight="1" x14ac:dyDescent="0.25">
      <c r="A121" s="64">
        <v>120</v>
      </c>
      <c r="B121" s="71"/>
      <c r="C121" s="72"/>
      <c r="D121" s="72"/>
      <c r="E121" s="72"/>
      <c r="F121" s="72"/>
      <c r="G121" s="66"/>
      <c r="H121" s="66"/>
      <c r="I121" s="66"/>
      <c r="J121" s="67"/>
      <c r="K121" s="68"/>
      <c r="L121" s="69"/>
      <c r="M121" s="66"/>
      <c r="N121" s="66"/>
      <c r="O121" s="136" t="str">
        <f t="shared" si="42"/>
        <v/>
      </c>
      <c r="P121" s="65" t="str">
        <f t="shared" si="23"/>
        <v/>
      </c>
      <c r="Q121" s="70"/>
      <c r="R121" s="66"/>
      <c r="S121" s="65"/>
      <c r="T121" s="65"/>
      <c r="U121" s="65"/>
      <c r="V121" s="65"/>
      <c r="W121" s="65"/>
      <c r="X121" s="240"/>
      <c r="Y121" s="65"/>
      <c r="Z121" s="281"/>
      <c r="AA121" s="66"/>
      <c r="AB121" s="66"/>
      <c r="AC121" s="247"/>
      <c r="AD121" s="240" t="str">
        <f t="shared" si="24"/>
        <v/>
      </c>
      <c r="AE121" s="240"/>
      <c r="AF121" s="241"/>
      <c r="AG121" s="247"/>
      <c r="AH121" s="241"/>
      <c r="AI121" s="247"/>
      <c r="AJ121" s="231"/>
      <c r="AK121" s="240"/>
      <c r="AL121" s="241"/>
      <c r="AM121" s="65"/>
      <c r="AN121" s="241"/>
      <c r="AO121" s="65"/>
      <c r="AP121" s="66"/>
      <c r="AQ121" s="66"/>
      <c r="AR121" s="66"/>
      <c r="AS121" s="221"/>
      <c r="AT121" s="222">
        <f t="shared" si="39"/>
        <v>0</v>
      </c>
      <c r="AU121" s="223"/>
      <c r="AV121" s="99"/>
      <c r="AW121" s="100"/>
      <c r="AX121" s="100"/>
      <c r="AY121" s="100"/>
      <c r="AZ121" s="100"/>
      <c r="BA121" s="100"/>
      <c r="BB121" s="100"/>
      <c r="BC121" s="101"/>
      <c r="BD121" s="96"/>
      <c r="BE121" s="97"/>
      <c r="BF121" s="97"/>
      <c r="BG121" s="97"/>
      <c r="BH121" s="98"/>
      <c r="BI121" s="157" t="e">
        <f t="shared" si="25"/>
        <v>#REF!</v>
      </c>
      <c r="BJ121" s="158" t="e">
        <f>#REF!</f>
        <v>#REF!</v>
      </c>
      <c r="BK121" s="159" t="e">
        <f>#REF!</f>
        <v>#REF!</v>
      </c>
      <c r="BL121" s="181" t="e">
        <f t="shared" si="26"/>
        <v>#REF!</v>
      </c>
      <c r="BM121" s="182" t="e">
        <f t="shared" si="27"/>
        <v>#REF!</v>
      </c>
      <c r="BN121" s="182" t="e">
        <f t="shared" si="28"/>
        <v>#REF!</v>
      </c>
      <c r="BO121" s="182" t="e">
        <f t="shared" si="29"/>
        <v>#REF!</v>
      </c>
      <c r="BP121" s="182" t="e">
        <f t="shared" si="30"/>
        <v>#REF!</v>
      </c>
      <c r="BQ121" s="182" t="e">
        <f t="shared" si="31"/>
        <v>#REF!</v>
      </c>
      <c r="BR121" s="182" t="e">
        <f t="shared" si="32"/>
        <v>#REF!</v>
      </c>
      <c r="BS121" s="183" t="e">
        <f t="shared" si="33"/>
        <v>#REF!</v>
      </c>
      <c r="BT121" s="184" t="e">
        <f t="shared" si="34"/>
        <v>#REF!</v>
      </c>
      <c r="BU121" s="185" t="e">
        <f t="shared" si="35"/>
        <v>#REF!</v>
      </c>
      <c r="BV121" s="185" t="e">
        <f t="shared" si="36"/>
        <v>#REF!</v>
      </c>
      <c r="BW121" s="185" t="e">
        <f t="shared" si="37"/>
        <v>#REF!</v>
      </c>
      <c r="BX121" s="186" t="e">
        <f t="shared" si="38"/>
        <v>#REF!</v>
      </c>
      <c r="BY12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1" s="66"/>
      <c r="DA121" s="66"/>
      <c r="DB121" s="66"/>
      <c r="DC121" s="224" t="str">
        <f t="shared" si="41"/>
        <v/>
      </c>
      <c r="DD121" s="1">
        <f>IF($DC121="",0,IF(COUNTIF($DC$2:$DC120,$DC121)=0,1,0))</f>
        <v>0</v>
      </c>
    </row>
    <row r="122" spans="1:108" s="1" customFormat="1" ht="12" customHeight="1" x14ac:dyDescent="0.25">
      <c r="A122" s="64">
        <v>121</v>
      </c>
      <c r="B122" s="71"/>
      <c r="C122" s="72"/>
      <c r="D122" s="72"/>
      <c r="E122" s="72"/>
      <c r="F122" s="72"/>
      <c r="G122" s="66"/>
      <c r="H122" s="66"/>
      <c r="I122" s="66"/>
      <c r="J122" s="67"/>
      <c r="K122" s="68"/>
      <c r="L122" s="69"/>
      <c r="M122" s="66"/>
      <c r="N122" s="66"/>
      <c r="O122" s="136" t="str">
        <f t="shared" si="42"/>
        <v/>
      </c>
      <c r="P122" s="65" t="str">
        <f t="shared" si="23"/>
        <v/>
      </c>
      <c r="Q122" s="70"/>
      <c r="R122" s="66"/>
      <c r="S122" s="65"/>
      <c r="T122" s="65"/>
      <c r="U122" s="65"/>
      <c r="V122" s="65"/>
      <c r="W122" s="65"/>
      <c r="X122" s="240"/>
      <c r="Y122" s="65"/>
      <c r="Z122" s="281"/>
      <c r="AA122" s="66"/>
      <c r="AB122" s="66"/>
      <c r="AC122" s="247"/>
      <c r="AD122" s="240" t="str">
        <f t="shared" si="24"/>
        <v/>
      </c>
      <c r="AE122" s="240"/>
      <c r="AF122" s="241"/>
      <c r="AG122" s="247"/>
      <c r="AH122" s="241"/>
      <c r="AI122" s="247"/>
      <c r="AJ122" s="231"/>
      <c r="AK122" s="240"/>
      <c r="AL122" s="241"/>
      <c r="AM122" s="65"/>
      <c r="AN122" s="241"/>
      <c r="AO122" s="65"/>
      <c r="AP122" s="66"/>
      <c r="AQ122" s="66"/>
      <c r="AR122" s="66"/>
      <c r="AS122" s="221"/>
      <c r="AT122" s="222">
        <f t="shared" si="39"/>
        <v>0</v>
      </c>
      <c r="AU122" s="223"/>
      <c r="AV122" s="99"/>
      <c r="AW122" s="100"/>
      <c r="AX122" s="100"/>
      <c r="AY122" s="100"/>
      <c r="AZ122" s="100"/>
      <c r="BA122" s="100"/>
      <c r="BB122" s="100"/>
      <c r="BC122" s="101"/>
      <c r="BD122" s="96"/>
      <c r="BE122" s="97"/>
      <c r="BF122" s="97"/>
      <c r="BG122" s="97"/>
      <c r="BH122" s="98"/>
      <c r="BI122" s="157" t="e">
        <f t="shared" si="25"/>
        <v>#REF!</v>
      </c>
      <c r="BJ122" s="158" t="e">
        <f>#REF!</f>
        <v>#REF!</v>
      </c>
      <c r="BK122" s="159" t="e">
        <f>#REF!</f>
        <v>#REF!</v>
      </c>
      <c r="BL122" s="181" t="e">
        <f t="shared" si="26"/>
        <v>#REF!</v>
      </c>
      <c r="BM122" s="182" t="e">
        <f t="shared" si="27"/>
        <v>#REF!</v>
      </c>
      <c r="BN122" s="182" t="e">
        <f t="shared" si="28"/>
        <v>#REF!</v>
      </c>
      <c r="BO122" s="182" t="e">
        <f t="shared" si="29"/>
        <v>#REF!</v>
      </c>
      <c r="BP122" s="182" t="e">
        <f t="shared" si="30"/>
        <v>#REF!</v>
      </c>
      <c r="BQ122" s="182" t="e">
        <f t="shared" si="31"/>
        <v>#REF!</v>
      </c>
      <c r="BR122" s="182" t="e">
        <f t="shared" si="32"/>
        <v>#REF!</v>
      </c>
      <c r="BS122" s="183" t="e">
        <f t="shared" si="33"/>
        <v>#REF!</v>
      </c>
      <c r="BT122" s="184" t="e">
        <f t="shared" si="34"/>
        <v>#REF!</v>
      </c>
      <c r="BU122" s="185" t="e">
        <f t="shared" si="35"/>
        <v>#REF!</v>
      </c>
      <c r="BV122" s="185" t="e">
        <f t="shared" si="36"/>
        <v>#REF!</v>
      </c>
      <c r="BW122" s="185" t="e">
        <f t="shared" si="37"/>
        <v>#REF!</v>
      </c>
      <c r="BX122" s="186" t="e">
        <f t="shared" si="38"/>
        <v>#REF!</v>
      </c>
      <c r="BY12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2" s="66"/>
      <c r="DA122" s="66"/>
      <c r="DB122" s="66"/>
      <c r="DC122" s="224" t="str">
        <f t="shared" si="41"/>
        <v/>
      </c>
      <c r="DD122" s="1">
        <f>IF($DC122="",0,IF(COUNTIF($DC$2:$DC121,$DC122)=0,1,0))</f>
        <v>0</v>
      </c>
    </row>
    <row r="123" spans="1:108" s="1" customFormat="1" ht="12" customHeight="1" x14ac:dyDescent="0.25">
      <c r="A123" s="64">
        <v>122</v>
      </c>
      <c r="B123" s="71"/>
      <c r="C123" s="72"/>
      <c r="D123" s="72"/>
      <c r="E123" s="72"/>
      <c r="F123" s="72"/>
      <c r="G123" s="66"/>
      <c r="H123" s="66"/>
      <c r="I123" s="66"/>
      <c r="J123" s="67"/>
      <c r="K123" s="68"/>
      <c r="L123" s="69"/>
      <c r="M123" s="66"/>
      <c r="N123" s="66"/>
      <c r="O123" s="136" t="str">
        <f t="shared" si="42"/>
        <v/>
      </c>
      <c r="P123" s="65" t="str">
        <f t="shared" si="23"/>
        <v/>
      </c>
      <c r="Q123" s="70"/>
      <c r="R123" s="66"/>
      <c r="S123" s="65"/>
      <c r="T123" s="65"/>
      <c r="U123" s="65"/>
      <c r="V123" s="65"/>
      <c r="W123" s="65"/>
      <c r="X123" s="240"/>
      <c r="Y123" s="65"/>
      <c r="Z123" s="281"/>
      <c r="AA123" s="66"/>
      <c r="AB123" s="66"/>
      <c r="AC123" s="247"/>
      <c r="AD123" s="240" t="str">
        <f t="shared" si="24"/>
        <v/>
      </c>
      <c r="AE123" s="240"/>
      <c r="AF123" s="241"/>
      <c r="AG123" s="247"/>
      <c r="AH123" s="241"/>
      <c r="AI123" s="247"/>
      <c r="AJ123" s="231"/>
      <c r="AK123" s="240"/>
      <c r="AL123" s="241"/>
      <c r="AM123" s="65"/>
      <c r="AN123" s="241"/>
      <c r="AO123" s="65"/>
      <c r="AP123" s="66"/>
      <c r="AQ123" s="66"/>
      <c r="AR123" s="66"/>
      <c r="AS123" s="221"/>
      <c r="AT123" s="222">
        <f t="shared" si="39"/>
        <v>0</v>
      </c>
      <c r="AU123" s="223"/>
      <c r="AV123" s="99"/>
      <c r="AW123" s="100"/>
      <c r="AX123" s="100"/>
      <c r="AY123" s="100"/>
      <c r="AZ123" s="100"/>
      <c r="BA123" s="100"/>
      <c r="BB123" s="100"/>
      <c r="BC123" s="101"/>
      <c r="BD123" s="96"/>
      <c r="BE123" s="97"/>
      <c r="BF123" s="97"/>
      <c r="BG123" s="97"/>
      <c r="BH123" s="98"/>
      <c r="BI123" s="157" t="e">
        <f t="shared" si="25"/>
        <v>#REF!</v>
      </c>
      <c r="BJ123" s="158" t="e">
        <f>#REF!</f>
        <v>#REF!</v>
      </c>
      <c r="BK123" s="159" t="e">
        <f>#REF!</f>
        <v>#REF!</v>
      </c>
      <c r="BL123" s="181" t="e">
        <f t="shared" si="26"/>
        <v>#REF!</v>
      </c>
      <c r="BM123" s="182" t="e">
        <f t="shared" si="27"/>
        <v>#REF!</v>
      </c>
      <c r="BN123" s="182" t="e">
        <f t="shared" si="28"/>
        <v>#REF!</v>
      </c>
      <c r="BO123" s="182" t="e">
        <f t="shared" si="29"/>
        <v>#REF!</v>
      </c>
      <c r="BP123" s="182" t="e">
        <f t="shared" si="30"/>
        <v>#REF!</v>
      </c>
      <c r="BQ123" s="182" t="e">
        <f t="shared" si="31"/>
        <v>#REF!</v>
      </c>
      <c r="BR123" s="182" t="e">
        <f t="shared" si="32"/>
        <v>#REF!</v>
      </c>
      <c r="BS123" s="183" t="e">
        <f t="shared" si="33"/>
        <v>#REF!</v>
      </c>
      <c r="BT123" s="184" t="e">
        <f t="shared" si="34"/>
        <v>#REF!</v>
      </c>
      <c r="BU123" s="185" t="e">
        <f t="shared" si="35"/>
        <v>#REF!</v>
      </c>
      <c r="BV123" s="185" t="e">
        <f t="shared" si="36"/>
        <v>#REF!</v>
      </c>
      <c r="BW123" s="185" t="e">
        <f t="shared" si="37"/>
        <v>#REF!</v>
      </c>
      <c r="BX123" s="186" t="e">
        <f t="shared" si="38"/>
        <v>#REF!</v>
      </c>
      <c r="BY12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3" s="66"/>
      <c r="DA123" s="66"/>
      <c r="DB123" s="66"/>
      <c r="DC123" s="224" t="str">
        <f t="shared" si="41"/>
        <v/>
      </c>
      <c r="DD123" s="1">
        <f>IF($DC123="",0,IF(COUNTIF($DC$2:$DC122,$DC123)=0,1,0))</f>
        <v>0</v>
      </c>
    </row>
    <row r="124" spans="1:108" s="1" customFormat="1" ht="12" customHeight="1" x14ac:dyDescent="0.25">
      <c r="A124" s="64">
        <v>123</v>
      </c>
      <c r="B124" s="71"/>
      <c r="C124" s="72"/>
      <c r="D124" s="72"/>
      <c r="E124" s="72"/>
      <c r="F124" s="72"/>
      <c r="G124" s="66"/>
      <c r="H124" s="66"/>
      <c r="I124" s="66"/>
      <c r="J124" s="67"/>
      <c r="K124" s="68"/>
      <c r="L124" s="69"/>
      <c r="M124" s="66"/>
      <c r="N124" s="66"/>
      <c r="O124" s="136" t="str">
        <f t="shared" si="42"/>
        <v/>
      </c>
      <c r="P124" s="65" t="str">
        <f t="shared" si="23"/>
        <v/>
      </c>
      <c r="Q124" s="70"/>
      <c r="R124" s="66"/>
      <c r="S124" s="65"/>
      <c r="T124" s="65"/>
      <c r="U124" s="65"/>
      <c r="V124" s="65"/>
      <c r="W124" s="65"/>
      <c r="X124" s="240"/>
      <c r="Y124" s="65"/>
      <c r="Z124" s="281"/>
      <c r="AA124" s="66"/>
      <c r="AB124" s="66"/>
      <c r="AC124" s="247"/>
      <c r="AD124" s="240" t="str">
        <f t="shared" si="24"/>
        <v/>
      </c>
      <c r="AE124" s="240"/>
      <c r="AF124" s="241"/>
      <c r="AG124" s="247"/>
      <c r="AH124" s="241"/>
      <c r="AI124" s="247"/>
      <c r="AJ124" s="231"/>
      <c r="AK124" s="240"/>
      <c r="AL124" s="241"/>
      <c r="AM124" s="65"/>
      <c r="AN124" s="241"/>
      <c r="AO124" s="65"/>
      <c r="AP124" s="66"/>
      <c r="AQ124" s="66"/>
      <c r="AR124" s="66"/>
      <c r="AS124" s="221"/>
      <c r="AT124" s="222">
        <f t="shared" si="39"/>
        <v>0</v>
      </c>
      <c r="AU124" s="223"/>
      <c r="AV124" s="99"/>
      <c r="AW124" s="100"/>
      <c r="AX124" s="100"/>
      <c r="AY124" s="100"/>
      <c r="AZ124" s="100"/>
      <c r="BA124" s="100"/>
      <c r="BB124" s="100"/>
      <c r="BC124" s="101"/>
      <c r="BD124" s="96"/>
      <c r="BE124" s="97"/>
      <c r="BF124" s="97"/>
      <c r="BG124" s="97"/>
      <c r="BH124" s="98"/>
      <c r="BI124" s="157" t="e">
        <f t="shared" si="25"/>
        <v>#REF!</v>
      </c>
      <c r="BJ124" s="158" t="e">
        <f>#REF!</f>
        <v>#REF!</v>
      </c>
      <c r="BK124" s="159" t="e">
        <f>#REF!</f>
        <v>#REF!</v>
      </c>
      <c r="BL124" s="181" t="e">
        <f t="shared" si="26"/>
        <v>#REF!</v>
      </c>
      <c r="BM124" s="182" t="e">
        <f t="shared" si="27"/>
        <v>#REF!</v>
      </c>
      <c r="BN124" s="182" t="e">
        <f t="shared" si="28"/>
        <v>#REF!</v>
      </c>
      <c r="BO124" s="182" t="e">
        <f t="shared" si="29"/>
        <v>#REF!</v>
      </c>
      <c r="BP124" s="182" t="e">
        <f t="shared" si="30"/>
        <v>#REF!</v>
      </c>
      <c r="BQ124" s="182" t="e">
        <f t="shared" si="31"/>
        <v>#REF!</v>
      </c>
      <c r="BR124" s="182" t="e">
        <f t="shared" si="32"/>
        <v>#REF!</v>
      </c>
      <c r="BS124" s="183" t="e">
        <f t="shared" si="33"/>
        <v>#REF!</v>
      </c>
      <c r="BT124" s="184" t="e">
        <f t="shared" si="34"/>
        <v>#REF!</v>
      </c>
      <c r="BU124" s="185" t="e">
        <f t="shared" si="35"/>
        <v>#REF!</v>
      </c>
      <c r="BV124" s="185" t="e">
        <f t="shared" si="36"/>
        <v>#REF!</v>
      </c>
      <c r="BW124" s="185" t="e">
        <f t="shared" si="37"/>
        <v>#REF!</v>
      </c>
      <c r="BX124" s="186" t="e">
        <f t="shared" si="38"/>
        <v>#REF!</v>
      </c>
      <c r="BY12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4" s="66"/>
      <c r="DA124" s="66"/>
      <c r="DB124" s="66"/>
      <c r="DC124" s="224" t="str">
        <f t="shared" si="41"/>
        <v/>
      </c>
      <c r="DD124" s="1">
        <f>IF($DC124="",0,IF(COUNTIF($DC$2:$DC123,$DC124)=0,1,0))</f>
        <v>0</v>
      </c>
    </row>
    <row r="125" spans="1:108" s="1" customFormat="1" ht="12" customHeight="1" x14ac:dyDescent="0.25">
      <c r="A125" s="64">
        <v>124</v>
      </c>
      <c r="B125" s="71"/>
      <c r="C125" s="72"/>
      <c r="D125" s="72"/>
      <c r="E125" s="72"/>
      <c r="F125" s="72"/>
      <c r="G125" s="66"/>
      <c r="H125" s="66"/>
      <c r="I125" s="66"/>
      <c r="J125" s="67"/>
      <c r="K125" s="68"/>
      <c r="L125" s="69"/>
      <c r="M125" s="66"/>
      <c r="N125" s="66"/>
      <c r="O125" s="136" t="str">
        <f t="shared" si="42"/>
        <v/>
      </c>
      <c r="P125" s="65" t="str">
        <f t="shared" si="23"/>
        <v/>
      </c>
      <c r="Q125" s="70"/>
      <c r="R125" s="66"/>
      <c r="S125" s="65"/>
      <c r="T125" s="65"/>
      <c r="U125" s="65"/>
      <c r="V125" s="65"/>
      <c r="W125" s="65"/>
      <c r="X125" s="240"/>
      <c r="Y125" s="65"/>
      <c r="Z125" s="281"/>
      <c r="AA125" s="66"/>
      <c r="AB125" s="66"/>
      <c r="AC125" s="247"/>
      <c r="AD125" s="240" t="str">
        <f t="shared" si="24"/>
        <v/>
      </c>
      <c r="AE125" s="240"/>
      <c r="AF125" s="241"/>
      <c r="AG125" s="247"/>
      <c r="AH125" s="241"/>
      <c r="AI125" s="247"/>
      <c r="AJ125" s="231"/>
      <c r="AK125" s="240"/>
      <c r="AL125" s="241"/>
      <c r="AM125" s="65"/>
      <c r="AN125" s="241"/>
      <c r="AO125" s="65"/>
      <c r="AP125" s="66"/>
      <c r="AQ125" s="66"/>
      <c r="AR125" s="66"/>
      <c r="AS125" s="221"/>
      <c r="AT125" s="222">
        <f t="shared" si="39"/>
        <v>0</v>
      </c>
      <c r="AU125" s="223"/>
      <c r="AV125" s="99"/>
      <c r="AW125" s="100"/>
      <c r="AX125" s="100"/>
      <c r="AY125" s="100"/>
      <c r="AZ125" s="100"/>
      <c r="BA125" s="100"/>
      <c r="BB125" s="100"/>
      <c r="BC125" s="101"/>
      <c r="BD125" s="96"/>
      <c r="BE125" s="97"/>
      <c r="BF125" s="97"/>
      <c r="BG125" s="97"/>
      <c r="BH125" s="98"/>
      <c r="BI125" s="157" t="e">
        <f t="shared" si="25"/>
        <v>#REF!</v>
      </c>
      <c r="BJ125" s="158" t="e">
        <f>#REF!</f>
        <v>#REF!</v>
      </c>
      <c r="BK125" s="159" t="e">
        <f>#REF!</f>
        <v>#REF!</v>
      </c>
      <c r="BL125" s="181" t="e">
        <f t="shared" si="26"/>
        <v>#REF!</v>
      </c>
      <c r="BM125" s="182" t="e">
        <f t="shared" si="27"/>
        <v>#REF!</v>
      </c>
      <c r="BN125" s="182" t="e">
        <f t="shared" si="28"/>
        <v>#REF!</v>
      </c>
      <c r="BO125" s="182" t="e">
        <f t="shared" si="29"/>
        <v>#REF!</v>
      </c>
      <c r="BP125" s="182" t="e">
        <f t="shared" si="30"/>
        <v>#REF!</v>
      </c>
      <c r="BQ125" s="182" t="e">
        <f t="shared" si="31"/>
        <v>#REF!</v>
      </c>
      <c r="BR125" s="182" t="e">
        <f t="shared" si="32"/>
        <v>#REF!</v>
      </c>
      <c r="BS125" s="183" t="e">
        <f t="shared" si="33"/>
        <v>#REF!</v>
      </c>
      <c r="BT125" s="184" t="e">
        <f t="shared" si="34"/>
        <v>#REF!</v>
      </c>
      <c r="BU125" s="185" t="e">
        <f t="shared" si="35"/>
        <v>#REF!</v>
      </c>
      <c r="BV125" s="185" t="e">
        <f t="shared" si="36"/>
        <v>#REF!</v>
      </c>
      <c r="BW125" s="185" t="e">
        <f t="shared" si="37"/>
        <v>#REF!</v>
      </c>
      <c r="BX125" s="186" t="e">
        <f t="shared" si="38"/>
        <v>#REF!</v>
      </c>
      <c r="BY12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5" s="66"/>
      <c r="DA125" s="66"/>
      <c r="DB125" s="66"/>
      <c r="DC125" s="224" t="str">
        <f t="shared" si="41"/>
        <v/>
      </c>
      <c r="DD125" s="1">
        <f>IF($DC125="",0,IF(COUNTIF($DC$2:$DC124,$DC125)=0,1,0))</f>
        <v>0</v>
      </c>
    </row>
    <row r="126" spans="1:108" s="1" customFormat="1" ht="12" customHeight="1" x14ac:dyDescent="0.25">
      <c r="A126" s="64">
        <v>125</v>
      </c>
      <c r="B126" s="71"/>
      <c r="C126" s="72"/>
      <c r="D126" s="72"/>
      <c r="E126" s="72"/>
      <c r="F126" s="72"/>
      <c r="G126" s="66"/>
      <c r="H126" s="66"/>
      <c r="I126" s="66"/>
      <c r="J126" s="67"/>
      <c r="K126" s="68"/>
      <c r="L126" s="69"/>
      <c r="M126" s="66"/>
      <c r="N126" s="66"/>
      <c r="O126" s="136" t="str">
        <f t="shared" si="42"/>
        <v/>
      </c>
      <c r="P126" s="65" t="str">
        <f t="shared" si="23"/>
        <v/>
      </c>
      <c r="Q126" s="70"/>
      <c r="R126" s="66"/>
      <c r="S126" s="65"/>
      <c r="T126" s="65"/>
      <c r="U126" s="65"/>
      <c r="V126" s="65"/>
      <c r="W126" s="65"/>
      <c r="X126" s="240"/>
      <c r="Y126" s="65"/>
      <c r="Z126" s="281"/>
      <c r="AA126" s="66"/>
      <c r="AB126" s="66"/>
      <c r="AC126" s="247"/>
      <c r="AD126" s="240" t="str">
        <f t="shared" si="24"/>
        <v/>
      </c>
      <c r="AE126" s="240"/>
      <c r="AF126" s="241"/>
      <c r="AG126" s="247"/>
      <c r="AH126" s="241"/>
      <c r="AI126" s="247"/>
      <c r="AJ126" s="231"/>
      <c r="AK126" s="240"/>
      <c r="AL126" s="241"/>
      <c r="AM126" s="65"/>
      <c r="AN126" s="241"/>
      <c r="AO126" s="65"/>
      <c r="AP126" s="66"/>
      <c r="AQ126" s="66"/>
      <c r="AR126" s="66"/>
      <c r="AS126" s="221"/>
      <c r="AT126" s="222">
        <f t="shared" si="39"/>
        <v>0</v>
      </c>
      <c r="AU126" s="223"/>
      <c r="AV126" s="99"/>
      <c r="AW126" s="100"/>
      <c r="AX126" s="100"/>
      <c r="AY126" s="100"/>
      <c r="AZ126" s="100"/>
      <c r="BA126" s="100"/>
      <c r="BB126" s="100"/>
      <c r="BC126" s="101"/>
      <c r="BD126" s="96"/>
      <c r="BE126" s="97"/>
      <c r="BF126" s="97"/>
      <c r="BG126" s="97"/>
      <c r="BH126" s="98"/>
      <c r="BI126" s="157" t="e">
        <f t="shared" si="25"/>
        <v>#REF!</v>
      </c>
      <c r="BJ126" s="158" t="e">
        <f>#REF!</f>
        <v>#REF!</v>
      </c>
      <c r="BK126" s="159" t="e">
        <f>#REF!</f>
        <v>#REF!</v>
      </c>
      <c r="BL126" s="181" t="e">
        <f t="shared" si="26"/>
        <v>#REF!</v>
      </c>
      <c r="BM126" s="182" t="e">
        <f t="shared" si="27"/>
        <v>#REF!</v>
      </c>
      <c r="BN126" s="182" t="e">
        <f t="shared" si="28"/>
        <v>#REF!</v>
      </c>
      <c r="BO126" s="182" t="e">
        <f t="shared" si="29"/>
        <v>#REF!</v>
      </c>
      <c r="BP126" s="182" t="e">
        <f t="shared" si="30"/>
        <v>#REF!</v>
      </c>
      <c r="BQ126" s="182" t="e">
        <f t="shared" si="31"/>
        <v>#REF!</v>
      </c>
      <c r="BR126" s="182" t="e">
        <f t="shared" si="32"/>
        <v>#REF!</v>
      </c>
      <c r="BS126" s="183" t="e">
        <f t="shared" si="33"/>
        <v>#REF!</v>
      </c>
      <c r="BT126" s="184" t="e">
        <f t="shared" si="34"/>
        <v>#REF!</v>
      </c>
      <c r="BU126" s="185" t="e">
        <f t="shared" si="35"/>
        <v>#REF!</v>
      </c>
      <c r="BV126" s="185" t="e">
        <f t="shared" si="36"/>
        <v>#REF!</v>
      </c>
      <c r="BW126" s="185" t="e">
        <f t="shared" si="37"/>
        <v>#REF!</v>
      </c>
      <c r="BX126" s="186" t="e">
        <f t="shared" si="38"/>
        <v>#REF!</v>
      </c>
      <c r="BY12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6" s="66"/>
      <c r="DA126" s="66"/>
      <c r="DB126" s="66"/>
      <c r="DC126" s="224" t="str">
        <f t="shared" si="41"/>
        <v/>
      </c>
      <c r="DD126" s="1">
        <f>IF($DC126="",0,IF(COUNTIF($DC$2:$DC125,$DC126)=0,1,0))</f>
        <v>0</v>
      </c>
    </row>
    <row r="127" spans="1:108" s="1" customFormat="1" ht="12" customHeight="1" x14ac:dyDescent="0.25">
      <c r="A127" s="64">
        <v>126</v>
      </c>
      <c r="B127" s="71"/>
      <c r="C127" s="72"/>
      <c r="D127" s="72"/>
      <c r="E127" s="72"/>
      <c r="F127" s="72"/>
      <c r="G127" s="66"/>
      <c r="H127" s="66"/>
      <c r="I127" s="66"/>
      <c r="J127" s="67"/>
      <c r="K127" s="68"/>
      <c r="L127" s="69"/>
      <c r="M127" s="66"/>
      <c r="N127" s="66"/>
      <c r="O127" s="136" t="str">
        <f t="shared" si="42"/>
        <v/>
      </c>
      <c r="P127" s="65" t="str">
        <f t="shared" si="23"/>
        <v/>
      </c>
      <c r="Q127" s="70"/>
      <c r="R127" s="66"/>
      <c r="S127" s="65"/>
      <c r="T127" s="65"/>
      <c r="U127" s="65"/>
      <c r="V127" s="65"/>
      <c r="W127" s="65"/>
      <c r="X127" s="240"/>
      <c r="Y127" s="65"/>
      <c r="Z127" s="281"/>
      <c r="AA127" s="66"/>
      <c r="AB127" s="66"/>
      <c r="AC127" s="247"/>
      <c r="AD127" s="240" t="str">
        <f t="shared" si="24"/>
        <v/>
      </c>
      <c r="AE127" s="240"/>
      <c r="AF127" s="241"/>
      <c r="AG127" s="247"/>
      <c r="AH127" s="241"/>
      <c r="AI127" s="247"/>
      <c r="AJ127" s="231"/>
      <c r="AK127" s="240"/>
      <c r="AL127" s="241"/>
      <c r="AM127" s="65"/>
      <c r="AN127" s="241"/>
      <c r="AO127" s="65"/>
      <c r="AP127" s="66"/>
      <c r="AQ127" s="66"/>
      <c r="AR127" s="66"/>
      <c r="AS127" s="221"/>
      <c r="AT127" s="222">
        <f t="shared" si="39"/>
        <v>0</v>
      </c>
      <c r="AU127" s="223"/>
      <c r="AV127" s="99"/>
      <c r="AW127" s="100"/>
      <c r="AX127" s="100"/>
      <c r="AY127" s="100"/>
      <c r="AZ127" s="100"/>
      <c r="BA127" s="100"/>
      <c r="BB127" s="100"/>
      <c r="BC127" s="101"/>
      <c r="BD127" s="96"/>
      <c r="BE127" s="97"/>
      <c r="BF127" s="97"/>
      <c r="BG127" s="97"/>
      <c r="BH127" s="98"/>
      <c r="BI127" s="157" t="e">
        <f t="shared" si="25"/>
        <v>#REF!</v>
      </c>
      <c r="BJ127" s="158" t="e">
        <f>#REF!</f>
        <v>#REF!</v>
      </c>
      <c r="BK127" s="159" t="e">
        <f>#REF!</f>
        <v>#REF!</v>
      </c>
      <c r="BL127" s="181" t="e">
        <f t="shared" si="26"/>
        <v>#REF!</v>
      </c>
      <c r="BM127" s="182" t="e">
        <f t="shared" si="27"/>
        <v>#REF!</v>
      </c>
      <c r="BN127" s="182" t="e">
        <f t="shared" si="28"/>
        <v>#REF!</v>
      </c>
      <c r="BO127" s="182" t="e">
        <f t="shared" si="29"/>
        <v>#REF!</v>
      </c>
      <c r="BP127" s="182" t="e">
        <f t="shared" si="30"/>
        <v>#REF!</v>
      </c>
      <c r="BQ127" s="182" t="e">
        <f t="shared" si="31"/>
        <v>#REF!</v>
      </c>
      <c r="BR127" s="182" t="e">
        <f t="shared" si="32"/>
        <v>#REF!</v>
      </c>
      <c r="BS127" s="183" t="e">
        <f t="shared" si="33"/>
        <v>#REF!</v>
      </c>
      <c r="BT127" s="184" t="e">
        <f t="shared" si="34"/>
        <v>#REF!</v>
      </c>
      <c r="BU127" s="185" t="e">
        <f t="shared" si="35"/>
        <v>#REF!</v>
      </c>
      <c r="BV127" s="185" t="e">
        <f t="shared" si="36"/>
        <v>#REF!</v>
      </c>
      <c r="BW127" s="185" t="e">
        <f t="shared" si="37"/>
        <v>#REF!</v>
      </c>
      <c r="BX127" s="186" t="e">
        <f t="shared" si="38"/>
        <v>#REF!</v>
      </c>
      <c r="BY12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7" s="66"/>
      <c r="DA127" s="66"/>
      <c r="DB127" s="66"/>
      <c r="DC127" s="224" t="str">
        <f t="shared" si="41"/>
        <v/>
      </c>
      <c r="DD127" s="1">
        <f>IF($DC127="",0,IF(COUNTIF($DC$2:$DC126,$DC127)=0,1,0))</f>
        <v>0</v>
      </c>
    </row>
    <row r="128" spans="1:108" s="1" customFormat="1" ht="12" customHeight="1" x14ac:dyDescent="0.25">
      <c r="A128" s="64">
        <v>127</v>
      </c>
      <c r="B128" s="71"/>
      <c r="C128" s="72"/>
      <c r="D128" s="72"/>
      <c r="E128" s="72"/>
      <c r="F128" s="72"/>
      <c r="G128" s="66"/>
      <c r="H128" s="66"/>
      <c r="I128" s="66"/>
      <c r="J128" s="67"/>
      <c r="K128" s="68"/>
      <c r="L128" s="69"/>
      <c r="M128" s="66"/>
      <c r="N128" s="66"/>
      <c r="O128" s="136" t="str">
        <f t="shared" si="42"/>
        <v/>
      </c>
      <c r="P128" s="65" t="str">
        <f t="shared" si="23"/>
        <v/>
      </c>
      <c r="Q128" s="70"/>
      <c r="R128" s="66"/>
      <c r="S128" s="65"/>
      <c r="T128" s="65"/>
      <c r="U128" s="65"/>
      <c r="V128" s="65"/>
      <c r="W128" s="65"/>
      <c r="X128" s="240"/>
      <c r="Y128" s="65"/>
      <c r="Z128" s="281"/>
      <c r="AA128" s="66"/>
      <c r="AB128" s="66"/>
      <c r="AC128" s="247"/>
      <c r="AD128" s="240" t="str">
        <f t="shared" si="24"/>
        <v/>
      </c>
      <c r="AE128" s="240"/>
      <c r="AF128" s="241"/>
      <c r="AG128" s="247"/>
      <c r="AH128" s="241"/>
      <c r="AI128" s="247"/>
      <c r="AJ128" s="231"/>
      <c r="AK128" s="240"/>
      <c r="AL128" s="241"/>
      <c r="AM128" s="65"/>
      <c r="AN128" s="241"/>
      <c r="AO128" s="65"/>
      <c r="AP128" s="66"/>
      <c r="AQ128" s="66"/>
      <c r="AR128" s="66"/>
      <c r="AS128" s="221"/>
      <c r="AT128" s="222">
        <f t="shared" si="39"/>
        <v>0</v>
      </c>
      <c r="AU128" s="223"/>
      <c r="AV128" s="99"/>
      <c r="AW128" s="100"/>
      <c r="AX128" s="100"/>
      <c r="AY128" s="100"/>
      <c r="AZ128" s="100"/>
      <c r="BA128" s="100"/>
      <c r="BB128" s="100"/>
      <c r="BC128" s="101"/>
      <c r="BD128" s="96"/>
      <c r="BE128" s="97"/>
      <c r="BF128" s="97"/>
      <c r="BG128" s="97"/>
      <c r="BH128" s="98"/>
      <c r="BI128" s="157" t="e">
        <f t="shared" si="25"/>
        <v>#REF!</v>
      </c>
      <c r="BJ128" s="158" t="e">
        <f>#REF!</f>
        <v>#REF!</v>
      </c>
      <c r="BK128" s="159" t="e">
        <f>#REF!</f>
        <v>#REF!</v>
      </c>
      <c r="BL128" s="181" t="e">
        <f t="shared" si="26"/>
        <v>#REF!</v>
      </c>
      <c r="BM128" s="182" t="e">
        <f t="shared" si="27"/>
        <v>#REF!</v>
      </c>
      <c r="BN128" s="182" t="e">
        <f t="shared" si="28"/>
        <v>#REF!</v>
      </c>
      <c r="BO128" s="182" t="e">
        <f t="shared" si="29"/>
        <v>#REF!</v>
      </c>
      <c r="BP128" s="182" t="e">
        <f t="shared" si="30"/>
        <v>#REF!</v>
      </c>
      <c r="BQ128" s="182" t="e">
        <f t="shared" si="31"/>
        <v>#REF!</v>
      </c>
      <c r="BR128" s="182" t="e">
        <f t="shared" si="32"/>
        <v>#REF!</v>
      </c>
      <c r="BS128" s="183" t="e">
        <f t="shared" si="33"/>
        <v>#REF!</v>
      </c>
      <c r="BT128" s="184" t="e">
        <f t="shared" si="34"/>
        <v>#REF!</v>
      </c>
      <c r="BU128" s="185" t="e">
        <f t="shared" si="35"/>
        <v>#REF!</v>
      </c>
      <c r="BV128" s="185" t="e">
        <f t="shared" si="36"/>
        <v>#REF!</v>
      </c>
      <c r="BW128" s="185" t="e">
        <f t="shared" si="37"/>
        <v>#REF!</v>
      </c>
      <c r="BX128" s="186" t="e">
        <f t="shared" si="38"/>
        <v>#REF!</v>
      </c>
      <c r="BY12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8" s="66"/>
      <c r="DA128" s="66"/>
      <c r="DB128" s="66"/>
      <c r="DC128" s="224" t="str">
        <f t="shared" si="41"/>
        <v/>
      </c>
      <c r="DD128" s="1">
        <f>IF($DC128="",0,IF(COUNTIF($DC$2:$DC127,$DC128)=0,1,0))</f>
        <v>0</v>
      </c>
    </row>
    <row r="129" spans="1:108" s="1" customFormat="1" x14ac:dyDescent="0.25">
      <c r="A129" s="64">
        <v>128</v>
      </c>
      <c r="B129" s="71"/>
      <c r="C129" s="72"/>
      <c r="D129" s="72"/>
      <c r="E129" s="72"/>
      <c r="F129" s="72"/>
      <c r="G129" s="66"/>
      <c r="H129" s="66"/>
      <c r="I129" s="66"/>
      <c r="J129" s="67"/>
      <c r="K129" s="68"/>
      <c r="L129" s="69"/>
      <c r="M129" s="66"/>
      <c r="N129" s="66"/>
      <c r="O129" s="136" t="str">
        <f t="shared" si="42"/>
        <v/>
      </c>
      <c r="P129" s="65" t="str">
        <f t="shared" si="23"/>
        <v/>
      </c>
      <c r="Q129" s="70"/>
      <c r="R129" s="66"/>
      <c r="S129" s="65"/>
      <c r="T129" s="65"/>
      <c r="U129" s="65"/>
      <c r="V129" s="65"/>
      <c r="W129" s="65"/>
      <c r="X129" s="240"/>
      <c r="Y129" s="65"/>
      <c r="Z129" s="281"/>
      <c r="AA129" s="66"/>
      <c r="AB129" s="66"/>
      <c r="AC129" s="247"/>
      <c r="AD129" s="240" t="str">
        <f t="shared" si="24"/>
        <v/>
      </c>
      <c r="AE129" s="240"/>
      <c r="AF129" s="241"/>
      <c r="AG129" s="247"/>
      <c r="AH129" s="241"/>
      <c r="AI129" s="247"/>
      <c r="AJ129" s="231"/>
      <c r="AK129" s="240"/>
      <c r="AL129" s="241"/>
      <c r="AM129" s="65"/>
      <c r="AN129" s="241"/>
      <c r="AO129" s="65"/>
      <c r="AP129" s="66"/>
      <c r="AQ129" s="66"/>
      <c r="AR129" s="66"/>
      <c r="AS129" s="221"/>
      <c r="AT129" s="222">
        <f t="shared" si="39"/>
        <v>0</v>
      </c>
      <c r="AU129" s="223"/>
      <c r="AV129" s="99"/>
      <c r="AW129" s="100"/>
      <c r="AX129" s="100"/>
      <c r="AY129" s="100"/>
      <c r="AZ129" s="100"/>
      <c r="BA129" s="100"/>
      <c r="BB129" s="100"/>
      <c r="BC129" s="101"/>
      <c r="BD129" s="96"/>
      <c r="BE129" s="97"/>
      <c r="BF129" s="97"/>
      <c r="BG129" s="97"/>
      <c r="BH129" s="98"/>
      <c r="BI129" s="157" t="e">
        <f t="shared" si="25"/>
        <v>#REF!</v>
      </c>
      <c r="BJ129" s="158" t="e">
        <f>#REF!</f>
        <v>#REF!</v>
      </c>
      <c r="BK129" s="159" t="e">
        <f>#REF!</f>
        <v>#REF!</v>
      </c>
      <c r="BL129" s="181" t="e">
        <f t="shared" si="26"/>
        <v>#REF!</v>
      </c>
      <c r="BM129" s="182" t="e">
        <f t="shared" si="27"/>
        <v>#REF!</v>
      </c>
      <c r="BN129" s="182" t="e">
        <f t="shared" si="28"/>
        <v>#REF!</v>
      </c>
      <c r="BO129" s="182" t="e">
        <f t="shared" si="29"/>
        <v>#REF!</v>
      </c>
      <c r="BP129" s="182" t="e">
        <f t="shared" si="30"/>
        <v>#REF!</v>
      </c>
      <c r="BQ129" s="182" t="e">
        <f t="shared" si="31"/>
        <v>#REF!</v>
      </c>
      <c r="BR129" s="182" t="e">
        <f t="shared" si="32"/>
        <v>#REF!</v>
      </c>
      <c r="BS129" s="183" t="e">
        <f t="shared" si="33"/>
        <v>#REF!</v>
      </c>
      <c r="BT129" s="184" t="e">
        <f t="shared" si="34"/>
        <v>#REF!</v>
      </c>
      <c r="BU129" s="185" t="e">
        <f t="shared" si="35"/>
        <v>#REF!</v>
      </c>
      <c r="BV129" s="185" t="e">
        <f t="shared" si="36"/>
        <v>#REF!</v>
      </c>
      <c r="BW129" s="185" t="e">
        <f t="shared" si="37"/>
        <v>#REF!</v>
      </c>
      <c r="BX129" s="186" t="e">
        <f t="shared" si="38"/>
        <v>#REF!</v>
      </c>
      <c r="BY12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2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2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2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2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2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2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2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2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2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2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2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2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2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2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2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2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2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2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2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2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2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2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2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2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2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2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29" s="66"/>
      <c r="DA129" s="66"/>
      <c r="DB129" s="66"/>
      <c r="DC129" s="224" t="str">
        <f t="shared" si="41"/>
        <v/>
      </c>
      <c r="DD129" s="1">
        <f>IF($DC129="",0,IF(COUNTIF($DC$2:$DC128,$DC129)=0,1,0))</f>
        <v>0</v>
      </c>
    </row>
    <row r="130" spans="1:108" s="1" customFormat="1" x14ac:dyDescent="0.25">
      <c r="A130" s="64">
        <v>129</v>
      </c>
      <c r="B130" s="71"/>
      <c r="C130" s="72"/>
      <c r="D130" s="72"/>
      <c r="E130" s="72"/>
      <c r="F130" s="72"/>
      <c r="G130" s="66"/>
      <c r="H130" s="66"/>
      <c r="I130" s="66"/>
      <c r="J130" s="67"/>
      <c r="K130" s="68"/>
      <c r="L130" s="69"/>
      <c r="M130" s="66"/>
      <c r="N130" s="66"/>
      <c r="O130" s="136" t="str">
        <f t="shared" si="42"/>
        <v/>
      </c>
      <c r="P130" s="65" t="str">
        <f t="shared" si="23"/>
        <v/>
      </c>
      <c r="Q130" s="70"/>
      <c r="R130" s="66"/>
      <c r="S130" s="65"/>
      <c r="T130" s="65"/>
      <c r="U130" s="65"/>
      <c r="V130" s="65"/>
      <c r="W130" s="65"/>
      <c r="X130" s="240"/>
      <c r="Y130" s="65"/>
      <c r="Z130" s="281"/>
      <c r="AA130" s="66"/>
      <c r="AB130" s="66"/>
      <c r="AC130" s="247"/>
      <c r="AD130" s="240" t="str">
        <f t="shared" si="24"/>
        <v/>
      </c>
      <c r="AE130" s="240"/>
      <c r="AF130" s="241"/>
      <c r="AG130" s="247"/>
      <c r="AH130" s="241"/>
      <c r="AI130" s="247"/>
      <c r="AJ130" s="231"/>
      <c r="AK130" s="240"/>
      <c r="AL130" s="241"/>
      <c r="AM130" s="65"/>
      <c r="AN130" s="241"/>
      <c r="AO130" s="65"/>
      <c r="AP130" s="66"/>
      <c r="AQ130" s="66"/>
      <c r="AR130" s="66"/>
      <c r="AS130" s="221"/>
      <c r="AT130" s="222">
        <f t="shared" si="39"/>
        <v>0</v>
      </c>
      <c r="AU130" s="223"/>
      <c r="AV130" s="99"/>
      <c r="AW130" s="100"/>
      <c r="AX130" s="100"/>
      <c r="AY130" s="100"/>
      <c r="AZ130" s="100"/>
      <c r="BA130" s="100"/>
      <c r="BB130" s="100"/>
      <c r="BC130" s="101"/>
      <c r="BD130" s="96"/>
      <c r="BE130" s="97"/>
      <c r="BF130" s="97"/>
      <c r="BG130" s="97"/>
      <c r="BH130" s="98"/>
      <c r="BI130" s="157" t="e">
        <f t="shared" si="25"/>
        <v>#REF!</v>
      </c>
      <c r="BJ130" s="158" t="e">
        <f>#REF!</f>
        <v>#REF!</v>
      </c>
      <c r="BK130" s="159" t="e">
        <f>#REF!</f>
        <v>#REF!</v>
      </c>
      <c r="BL130" s="181" t="e">
        <f t="shared" si="26"/>
        <v>#REF!</v>
      </c>
      <c r="BM130" s="182" t="e">
        <f t="shared" si="27"/>
        <v>#REF!</v>
      </c>
      <c r="BN130" s="182" t="e">
        <f t="shared" si="28"/>
        <v>#REF!</v>
      </c>
      <c r="BO130" s="182" t="e">
        <f t="shared" si="29"/>
        <v>#REF!</v>
      </c>
      <c r="BP130" s="182" t="e">
        <f t="shared" si="30"/>
        <v>#REF!</v>
      </c>
      <c r="BQ130" s="182" t="e">
        <f t="shared" si="31"/>
        <v>#REF!</v>
      </c>
      <c r="BR130" s="182" t="e">
        <f t="shared" si="32"/>
        <v>#REF!</v>
      </c>
      <c r="BS130" s="183" t="e">
        <f t="shared" si="33"/>
        <v>#REF!</v>
      </c>
      <c r="BT130" s="184" t="e">
        <f t="shared" si="34"/>
        <v>#REF!</v>
      </c>
      <c r="BU130" s="185" t="e">
        <f t="shared" si="35"/>
        <v>#REF!</v>
      </c>
      <c r="BV130" s="185" t="e">
        <f t="shared" si="36"/>
        <v>#REF!</v>
      </c>
      <c r="BW130" s="185" t="e">
        <f t="shared" si="37"/>
        <v>#REF!</v>
      </c>
      <c r="BX130" s="186" t="e">
        <f t="shared" si="38"/>
        <v>#REF!</v>
      </c>
      <c r="BY13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0" s="66"/>
      <c r="DA130" s="66"/>
      <c r="DB130" s="66"/>
      <c r="DC130" s="224" t="str">
        <f t="shared" ref="DC130:DC161" si="43">C130&amp;E130</f>
        <v/>
      </c>
      <c r="DD130" s="1">
        <f>IF($DC130="",0,IF(COUNTIF($DC$2:$DC129,$DC130)=0,1,0))</f>
        <v>0</v>
      </c>
    </row>
    <row r="131" spans="1:108" s="1" customFormat="1" x14ac:dyDescent="0.25">
      <c r="A131" s="64">
        <v>130</v>
      </c>
      <c r="B131" s="71"/>
      <c r="C131" s="72"/>
      <c r="D131" s="72"/>
      <c r="E131" s="72"/>
      <c r="F131" s="72"/>
      <c r="G131" s="66"/>
      <c r="H131" s="66"/>
      <c r="I131" s="66"/>
      <c r="J131" s="67"/>
      <c r="K131" s="68"/>
      <c r="L131" s="69"/>
      <c r="M131" s="66"/>
      <c r="N131" s="66"/>
      <c r="O131" s="136" t="str">
        <f t="shared" si="42"/>
        <v/>
      </c>
      <c r="P131" s="65" t="str">
        <f t="shared" ref="P131:P194" si="44">IF(B131="","",IF($B131="MR","H","F"))</f>
        <v/>
      </c>
      <c r="Q131" s="70"/>
      <c r="R131" s="66"/>
      <c r="S131" s="65"/>
      <c r="T131" s="65"/>
      <c r="U131" s="65"/>
      <c r="V131" s="65"/>
      <c r="W131" s="65"/>
      <c r="X131" s="240"/>
      <c r="Y131" s="65"/>
      <c r="Z131" s="281"/>
      <c r="AA131" s="66"/>
      <c r="AB131" s="66"/>
      <c r="AC131" s="247"/>
      <c r="AD131" s="240" t="str">
        <f t="shared" ref="AD131:AD194" si="45">IF($AC131="","",IF($AC131="À l'étranger","À l'étranger",IF($AC131="N. VI et Vbis (sans diplôme validé)",2,IF($AC131="N. V (CAP / BEP)",3,IF($AC131="N. IV (bac)",4,IF($AC131="N. III (bac + 2)",5,IF($AC131="N. II (bac + 4 et bac +3)",6,"7/8")))))))</f>
        <v/>
      </c>
      <c r="AE131" s="240"/>
      <c r="AF131" s="241"/>
      <c r="AG131" s="247"/>
      <c r="AH131" s="241"/>
      <c r="AI131" s="247"/>
      <c r="AJ131" s="231"/>
      <c r="AK131" s="240"/>
      <c r="AL131" s="241"/>
      <c r="AM131" s="65"/>
      <c r="AN131" s="241"/>
      <c r="AO131" s="65"/>
      <c r="AP131" s="66"/>
      <c r="AQ131" s="66"/>
      <c r="AR131" s="66"/>
      <c r="AS131" s="221"/>
      <c r="AT131" s="222">
        <f t="shared" si="39"/>
        <v>0</v>
      </c>
      <c r="AU131" s="223"/>
      <c r="AV131" s="99"/>
      <c r="AW131" s="100"/>
      <c r="AX131" s="100"/>
      <c r="AY131" s="100"/>
      <c r="AZ131" s="100"/>
      <c r="BA131" s="100"/>
      <c r="BB131" s="100"/>
      <c r="BC131" s="101"/>
      <c r="BD131" s="96"/>
      <c r="BE131" s="97"/>
      <c r="BF131" s="97"/>
      <c r="BG131" s="97"/>
      <c r="BH131" s="98"/>
      <c r="BI131" s="157" t="e">
        <f t="shared" ref="BI131:BI194" si="46">SUM(BL131:BX131)+CY131</f>
        <v>#REF!</v>
      </c>
      <c r="BJ131" s="158" t="e">
        <f>#REF!</f>
        <v>#REF!</v>
      </c>
      <c r="BK131" s="159" t="e">
        <f>#REF!</f>
        <v>#REF!</v>
      </c>
      <c r="BL131" s="181" t="e">
        <f t="shared" ref="BL131:BL194" si="47">BY131+CL131</f>
        <v>#REF!</v>
      </c>
      <c r="BM131" s="182" t="e">
        <f t="shared" ref="BM131:BM194" si="48">BZ131+CM131</f>
        <v>#REF!</v>
      </c>
      <c r="BN131" s="182" t="e">
        <f t="shared" ref="BN131:BN194" si="49">CA131+CN131</f>
        <v>#REF!</v>
      </c>
      <c r="BO131" s="182" t="e">
        <f t="shared" ref="BO131:BO194" si="50">CB131+CO131</f>
        <v>#REF!</v>
      </c>
      <c r="BP131" s="182" t="e">
        <f t="shared" ref="BP131:BP194" si="51">CC131+CP131</f>
        <v>#REF!</v>
      </c>
      <c r="BQ131" s="182" t="e">
        <f t="shared" ref="BQ131:BQ194" si="52">CD131+CQ131</f>
        <v>#REF!</v>
      </c>
      <c r="BR131" s="182" t="e">
        <f t="shared" ref="BR131:BR194" si="53">CE131+CR131</f>
        <v>#REF!</v>
      </c>
      <c r="BS131" s="183" t="e">
        <f t="shared" ref="BS131:BS194" si="54">CF131+CS131</f>
        <v>#REF!</v>
      </c>
      <c r="BT131" s="184" t="e">
        <f t="shared" ref="BT131:BT194" si="55">CG131+CT131</f>
        <v>#REF!</v>
      </c>
      <c r="BU131" s="185" t="e">
        <f t="shared" ref="BU131:BU194" si="56">CH131+CU131</f>
        <v>#REF!</v>
      </c>
      <c r="BV131" s="185" t="e">
        <f t="shared" ref="BV131:BV194" si="57">CI131+CV131</f>
        <v>#REF!</v>
      </c>
      <c r="BW131" s="185" t="e">
        <f t="shared" ref="BW131:BW194" si="58">CJ131+CW131</f>
        <v>#REF!</v>
      </c>
      <c r="BX131" s="186" t="e">
        <f t="shared" ref="BX131:BX194" si="59">CK131+CX131</f>
        <v>#REF!</v>
      </c>
      <c r="BY13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1" s="66"/>
      <c r="DA131" s="66"/>
      <c r="DB131" s="66"/>
      <c r="DC131" s="224" t="str">
        <f t="shared" si="43"/>
        <v/>
      </c>
      <c r="DD131" s="1">
        <f>IF($DC131="",0,IF(COUNTIF($DC$2:$DC130,$DC131)=0,1,0))</f>
        <v>0</v>
      </c>
    </row>
    <row r="132" spans="1:108" s="1" customFormat="1" x14ac:dyDescent="0.25">
      <c r="A132" s="64">
        <v>131</v>
      </c>
      <c r="B132" s="71"/>
      <c r="C132" s="72"/>
      <c r="D132" s="72"/>
      <c r="E132" s="72"/>
      <c r="F132" s="72"/>
      <c r="G132" s="66"/>
      <c r="H132" s="66"/>
      <c r="I132" s="66"/>
      <c r="J132" s="67"/>
      <c r="K132" s="68"/>
      <c r="L132" s="69"/>
      <c r="M132" s="66"/>
      <c r="N132" s="66"/>
      <c r="O132" s="136" t="str">
        <f t="shared" si="42"/>
        <v/>
      </c>
      <c r="P132" s="65" t="str">
        <f t="shared" si="44"/>
        <v/>
      </c>
      <c r="Q132" s="70"/>
      <c r="R132" s="66"/>
      <c r="S132" s="65"/>
      <c r="T132" s="65"/>
      <c r="U132" s="65"/>
      <c r="V132" s="65"/>
      <c r="W132" s="65"/>
      <c r="X132" s="240"/>
      <c r="Y132" s="65"/>
      <c r="Z132" s="281"/>
      <c r="AA132" s="66"/>
      <c r="AB132" s="66"/>
      <c r="AC132" s="247"/>
      <c r="AD132" s="240" t="str">
        <f t="shared" si="45"/>
        <v/>
      </c>
      <c r="AE132" s="240"/>
      <c r="AF132" s="241"/>
      <c r="AG132" s="247"/>
      <c r="AH132" s="241"/>
      <c r="AI132" s="247"/>
      <c r="AJ132" s="231"/>
      <c r="AK132" s="240"/>
      <c r="AL132" s="241"/>
      <c r="AM132" s="65"/>
      <c r="AN132" s="241"/>
      <c r="AO132" s="65"/>
      <c r="AP132" s="66"/>
      <c r="AQ132" s="66"/>
      <c r="AR132" s="66"/>
      <c r="AS132" s="221"/>
      <c r="AT132" s="222">
        <f t="shared" si="39"/>
        <v>0</v>
      </c>
      <c r="AU132" s="223"/>
      <c r="AV132" s="99"/>
      <c r="AW132" s="100"/>
      <c r="AX132" s="100"/>
      <c r="AY132" s="100"/>
      <c r="AZ132" s="100"/>
      <c r="BA132" s="100"/>
      <c r="BB132" s="100"/>
      <c r="BC132" s="101"/>
      <c r="BD132" s="96"/>
      <c r="BE132" s="97"/>
      <c r="BF132" s="97"/>
      <c r="BG132" s="97"/>
      <c r="BH132" s="98"/>
      <c r="BI132" s="157" t="e">
        <f t="shared" si="46"/>
        <v>#REF!</v>
      </c>
      <c r="BJ132" s="158" t="e">
        <f>#REF!</f>
        <v>#REF!</v>
      </c>
      <c r="BK132" s="159" t="e">
        <f>#REF!</f>
        <v>#REF!</v>
      </c>
      <c r="BL132" s="181" t="e">
        <f t="shared" si="47"/>
        <v>#REF!</v>
      </c>
      <c r="BM132" s="182" t="e">
        <f t="shared" si="48"/>
        <v>#REF!</v>
      </c>
      <c r="BN132" s="182" t="e">
        <f t="shared" si="49"/>
        <v>#REF!</v>
      </c>
      <c r="BO132" s="182" t="e">
        <f t="shared" si="50"/>
        <v>#REF!</v>
      </c>
      <c r="BP132" s="182" t="e">
        <f t="shared" si="51"/>
        <v>#REF!</v>
      </c>
      <c r="BQ132" s="182" t="e">
        <f t="shared" si="52"/>
        <v>#REF!</v>
      </c>
      <c r="BR132" s="182" t="e">
        <f t="shared" si="53"/>
        <v>#REF!</v>
      </c>
      <c r="BS132" s="183" t="e">
        <f t="shared" si="54"/>
        <v>#REF!</v>
      </c>
      <c r="BT132" s="184" t="e">
        <f t="shared" si="55"/>
        <v>#REF!</v>
      </c>
      <c r="BU132" s="185" t="e">
        <f t="shared" si="56"/>
        <v>#REF!</v>
      </c>
      <c r="BV132" s="185" t="e">
        <f t="shared" si="57"/>
        <v>#REF!</v>
      </c>
      <c r="BW132" s="185" t="e">
        <f t="shared" si="58"/>
        <v>#REF!</v>
      </c>
      <c r="BX132" s="186" t="e">
        <f t="shared" si="59"/>
        <v>#REF!</v>
      </c>
      <c r="BY13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2" s="66"/>
      <c r="DA132" s="66"/>
      <c r="DB132" s="66"/>
      <c r="DC132" s="224" t="str">
        <f t="shared" si="43"/>
        <v/>
      </c>
      <c r="DD132" s="1">
        <f>IF($DC132="",0,IF(COUNTIF($DC$2:$DC131,$DC132)=0,1,0))</f>
        <v>0</v>
      </c>
    </row>
    <row r="133" spans="1:108" s="1" customFormat="1" x14ac:dyDescent="0.25">
      <c r="A133" s="64">
        <v>132</v>
      </c>
      <c r="B133" s="71"/>
      <c r="C133" s="72"/>
      <c r="D133" s="72"/>
      <c r="E133" s="72"/>
      <c r="F133" s="72"/>
      <c r="G133" s="66"/>
      <c r="H133" s="66"/>
      <c r="I133" s="66"/>
      <c r="J133" s="67"/>
      <c r="K133" s="68"/>
      <c r="L133" s="69"/>
      <c r="M133" s="66"/>
      <c r="N133" s="66"/>
      <c r="O133" s="136" t="str">
        <f t="shared" si="42"/>
        <v/>
      </c>
      <c r="P133" s="65" t="str">
        <f t="shared" si="44"/>
        <v/>
      </c>
      <c r="Q133" s="70"/>
      <c r="R133" s="66"/>
      <c r="S133" s="65"/>
      <c r="T133" s="65"/>
      <c r="U133" s="65"/>
      <c r="V133" s="65"/>
      <c r="W133" s="65"/>
      <c r="X133" s="240"/>
      <c r="Y133" s="65"/>
      <c r="Z133" s="281"/>
      <c r="AA133" s="66"/>
      <c r="AB133" s="66"/>
      <c r="AC133" s="247"/>
      <c r="AD133" s="240" t="str">
        <f t="shared" si="45"/>
        <v/>
      </c>
      <c r="AE133" s="240"/>
      <c r="AF133" s="241"/>
      <c r="AG133" s="247"/>
      <c r="AH133" s="241"/>
      <c r="AI133" s="247"/>
      <c r="AJ133" s="231"/>
      <c r="AK133" s="240"/>
      <c r="AL133" s="241"/>
      <c r="AM133" s="65"/>
      <c r="AN133" s="241"/>
      <c r="AO133" s="65"/>
      <c r="AP133" s="66"/>
      <c r="AQ133" s="66"/>
      <c r="AR133" s="66"/>
      <c r="AS133" s="221"/>
      <c r="AT133" s="222">
        <f t="shared" si="39"/>
        <v>0</v>
      </c>
      <c r="AU133" s="223"/>
      <c r="AV133" s="99"/>
      <c r="AW133" s="100"/>
      <c r="AX133" s="100"/>
      <c r="AY133" s="100"/>
      <c r="AZ133" s="100"/>
      <c r="BA133" s="100"/>
      <c r="BB133" s="100"/>
      <c r="BC133" s="101"/>
      <c r="BD133" s="96"/>
      <c r="BE133" s="97"/>
      <c r="BF133" s="97"/>
      <c r="BG133" s="97"/>
      <c r="BH133" s="98"/>
      <c r="BI133" s="157" t="e">
        <f t="shared" si="46"/>
        <v>#REF!</v>
      </c>
      <c r="BJ133" s="158" t="e">
        <f>#REF!</f>
        <v>#REF!</v>
      </c>
      <c r="BK133" s="159" t="e">
        <f>#REF!</f>
        <v>#REF!</v>
      </c>
      <c r="BL133" s="181" t="e">
        <f t="shared" si="47"/>
        <v>#REF!</v>
      </c>
      <c r="BM133" s="182" t="e">
        <f t="shared" si="48"/>
        <v>#REF!</v>
      </c>
      <c r="BN133" s="182" t="e">
        <f t="shared" si="49"/>
        <v>#REF!</v>
      </c>
      <c r="BO133" s="182" t="e">
        <f t="shared" si="50"/>
        <v>#REF!</v>
      </c>
      <c r="BP133" s="182" t="e">
        <f t="shared" si="51"/>
        <v>#REF!</v>
      </c>
      <c r="BQ133" s="182" t="e">
        <f t="shared" si="52"/>
        <v>#REF!</v>
      </c>
      <c r="BR133" s="182" t="e">
        <f t="shared" si="53"/>
        <v>#REF!</v>
      </c>
      <c r="BS133" s="183" t="e">
        <f t="shared" si="54"/>
        <v>#REF!</v>
      </c>
      <c r="BT133" s="184" t="e">
        <f t="shared" si="55"/>
        <v>#REF!</v>
      </c>
      <c r="BU133" s="185" t="e">
        <f t="shared" si="56"/>
        <v>#REF!</v>
      </c>
      <c r="BV133" s="185" t="e">
        <f t="shared" si="57"/>
        <v>#REF!</v>
      </c>
      <c r="BW133" s="185" t="e">
        <f t="shared" si="58"/>
        <v>#REF!</v>
      </c>
      <c r="BX133" s="186" t="e">
        <f t="shared" si="59"/>
        <v>#REF!</v>
      </c>
      <c r="BY13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3" s="66"/>
      <c r="DA133" s="66"/>
      <c r="DB133" s="66"/>
      <c r="DC133" s="224" t="str">
        <f t="shared" si="43"/>
        <v/>
      </c>
      <c r="DD133" s="1">
        <f>IF($DC133="",0,IF(COUNTIF($DC$2:$DC132,$DC133)=0,1,0))</f>
        <v>0</v>
      </c>
    </row>
    <row r="134" spans="1:108" s="1" customFormat="1" x14ac:dyDescent="0.25">
      <c r="A134" s="64">
        <v>133</v>
      </c>
      <c r="B134" s="71"/>
      <c r="C134" s="72"/>
      <c r="D134" s="72"/>
      <c r="E134" s="72"/>
      <c r="F134" s="72"/>
      <c r="G134" s="66"/>
      <c r="H134" s="66"/>
      <c r="I134" s="66"/>
      <c r="J134" s="67"/>
      <c r="K134" s="68"/>
      <c r="L134" s="69"/>
      <c r="M134" s="66"/>
      <c r="N134" s="66"/>
      <c r="O134" s="136" t="str">
        <f t="shared" si="42"/>
        <v/>
      </c>
      <c r="P134" s="65" t="str">
        <f t="shared" si="44"/>
        <v/>
      </c>
      <c r="Q134" s="70"/>
      <c r="R134" s="66"/>
      <c r="S134" s="65"/>
      <c r="T134" s="65"/>
      <c r="U134" s="65"/>
      <c r="V134" s="65"/>
      <c r="W134" s="65"/>
      <c r="X134" s="240"/>
      <c r="Y134" s="65"/>
      <c r="Z134" s="281"/>
      <c r="AA134" s="66"/>
      <c r="AB134" s="66"/>
      <c r="AC134" s="247"/>
      <c r="AD134" s="240" t="str">
        <f t="shared" si="45"/>
        <v/>
      </c>
      <c r="AE134" s="240"/>
      <c r="AF134" s="241"/>
      <c r="AG134" s="247"/>
      <c r="AH134" s="241"/>
      <c r="AI134" s="247"/>
      <c r="AJ134" s="231"/>
      <c r="AK134" s="240"/>
      <c r="AL134" s="241"/>
      <c r="AM134" s="65"/>
      <c r="AN134" s="241"/>
      <c r="AO134" s="65"/>
      <c r="AP134" s="66"/>
      <c r="AQ134" s="66"/>
      <c r="AR134" s="66"/>
      <c r="AS134" s="221"/>
      <c r="AT134" s="222">
        <f t="shared" ref="AT134:AT197" si="60">SUM(AV134:BH134)</f>
        <v>0</v>
      </c>
      <c r="AU134" s="223"/>
      <c r="AV134" s="99"/>
      <c r="AW134" s="100"/>
      <c r="AX134" s="100"/>
      <c r="AY134" s="100"/>
      <c r="AZ134" s="100"/>
      <c r="BA134" s="100"/>
      <c r="BB134" s="100"/>
      <c r="BC134" s="101"/>
      <c r="BD134" s="96"/>
      <c r="BE134" s="97"/>
      <c r="BF134" s="97"/>
      <c r="BG134" s="97"/>
      <c r="BH134" s="98"/>
      <c r="BI134" s="157" t="e">
        <f t="shared" si="46"/>
        <v>#REF!</v>
      </c>
      <c r="BJ134" s="158" t="e">
        <f>#REF!</f>
        <v>#REF!</v>
      </c>
      <c r="BK134" s="159" t="e">
        <f>#REF!</f>
        <v>#REF!</v>
      </c>
      <c r="BL134" s="181" t="e">
        <f t="shared" si="47"/>
        <v>#REF!</v>
      </c>
      <c r="BM134" s="182" t="e">
        <f t="shared" si="48"/>
        <v>#REF!</v>
      </c>
      <c r="BN134" s="182" t="e">
        <f t="shared" si="49"/>
        <v>#REF!</v>
      </c>
      <c r="BO134" s="182" t="e">
        <f t="shared" si="50"/>
        <v>#REF!</v>
      </c>
      <c r="BP134" s="182" t="e">
        <f t="shared" si="51"/>
        <v>#REF!</v>
      </c>
      <c r="BQ134" s="182" t="e">
        <f t="shared" si="52"/>
        <v>#REF!</v>
      </c>
      <c r="BR134" s="182" t="e">
        <f t="shared" si="53"/>
        <v>#REF!</v>
      </c>
      <c r="BS134" s="183" t="e">
        <f t="shared" si="54"/>
        <v>#REF!</v>
      </c>
      <c r="BT134" s="184" t="e">
        <f t="shared" si="55"/>
        <v>#REF!</v>
      </c>
      <c r="BU134" s="185" t="e">
        <f t="shared" si="56"/>
        <v>#REF!</v>
      </c>
      <c r="BV134" s="185" t="e">
        <f t="shared" si="57"/>
        <v>#REF!</v>
      </c>
      <c r="BW134" s="185" t="e">
        <f t="shared" si="58"/>
        <v>#REF!</v>
      </c>
      <c r="BX134" s="186" t="e">
        <f t="shared" si="59"/>
        <v>#REF!</v>
      </c>
      <c r="BY13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4" s="66"/>
      <c r="DA134" s="66"/>
      <c r="DB134" s="66"/>
      <c r="DC134" s="224" t="str">
        <f t="shared" si="43"/>
        <v/>
      </c>
      <c r="DD134" s="1">
        <f>IF($DC134="",0,IF(COUNTIF($DC$2:$DC133,$DC134)=0,1,0))</f>
        <v>0</v>
      </c>
    </row>
    <row r="135" spans="1:108" s="1" customFormat="1" x14ac:dyDescent="0.25">
      <c r="A135" s="64">
        <v>134</v>
      </c>
      <c r="B135" s="71"/>
      <c r="C135" s="72"/>
      <c r="D135" s="72"/>
      <c r="E135" s="72"/>
      <c r="F135" s="72"/>
      <c r="G135" s="66"/>
      <c r="H135" s="66"/>
      <c r="I135" s="66"/>
      <c r="J135" s="67"/>
      <c r="K135" s="68"/>
      <c r="L135" s="69"/>
      <c r="M135" s="66"/>
      <c r="N135" s="66"/>
      <c r="O135" s="136" t="str">
        <f t="shared" si="42"/>
        <v/>
      </c>
      <c r="P135" s="65" t="str">
        <f t="shared" si="44"/>
        <v/>
      </c>
      <c r="Q135" s="70"/>
      <c r="R135" s="66"/>
      <c r="S135" s="65"/>
      <c r="T135" s="65"/>
      <c r="U135" s="65"/>
      <c r="V135" s="65"/>
      <c r="W135" s="65"/>
      <c r="X135" s="240"/>
      <c r="Y135" s="65"/>
      <c r="Z135" s="281"/>
      <c r="AA135" s="66"/>
      <c r="AB135" s="66"/>
      <c r="AC135" s="247"/>
      <c r="AD135" s="240" t="str">
        <f t="shared" si="45"/>
        <v/>
      </c>
      <c r="AE135" s="240"/>
      <c r="AF135" s="241"/>
      <c r="AG135" s="247"/>
      <c r="AH135" s="241"/>
      <c r="AI135" s="247"/>
      <c r="AJ135" s="231"/>
      <c r="AK135" s="240"/>
      <c r="AL135" s="241"/>
      <c r="AM135" s="65"/>
      <c r="AN135" s="241"/>
      <c r="AO135" s="65"/>
      <c r="AP135" s="66"/>
      <c r="AQ135" s="66"/>
      <c r="AR135" s="66"/>
      <c r="AS135" s="221"/>
      <c r="AT135" s="222">
        <f t="shared" si="60"/>
        <v>0</v>
      </c>
      <c r="AU135" s="223"/>
      <c r="AV135" s="99"/>
      <c r="AW135" s="100"/>
      <c r="AX135" s="100"/>
      <c r="AY135" s="100"/>
      <c r="AZ135" s="100"/>
      <c r="BA135" s="100"/>
      <c r="BB135" s="100"/>
      <c r="BC135" s="101"/>
      <c r="BD135" s="96"/>
      <c r="BE135" s="97"/>
      <c r="BF135" s="97"/>
      <c r="BG135" s="97"/>
      <c r="BH135" s="98"/>
      <c r="BI135" s="157" t="e">
        <f t="shared" si="46"/>
        <v>#REF!</v>
      </c>
      <c r="BJ135" s="158" t="e">
        <f>#REF!</f>
        <v>#REF!</v>
      </c>
      <c r="BK135" s="159" t="e">
        <f>#REF!</f>
        <v>#REF!</v>
      </c>
      <c r="BL135" s="181" t="e">
        <f t="shared" si="47"/>
        <v>#REF!</v>
      </c>
      <c r="BM135" s="182" t="e">
        <f t="shared" si="48"/>
        <v>#REF!</v>
      </c>
      <c r="BN135" s="182" t="e">
        <f t="shared" si="49"/>
        <v>#REF!</v>
      </c>
      <c r="BO135" s="182" t="e">
        <f t="shared" si="50"/>
        <v>#REF!</v>
      </c>
      <c r="BP135" s="182" t="e">
        <f t="shared" si="51"/>
        <v>#REF!</v>
      </c>
      <c r="BQ135" s="182" t="e">
        <f t="shared" si="52"/>
        <v>#REF!</v>
      </c>
      <c r="BR135" s="182" t="e">
        <f t="shared" si="53"/>
        <v>#REF!</v>
      </c>
      <c r="BS135" s="183" t="e">
        <f t="shared" si="54"/>
        <v>#REF!</v>
      </c>
      <c r="BT135" s="184" t="e">
        <f t="shared" si="55"/>
        <v>#REF!</v>
      </c>
      <c r="BU135" s="185" t="e">
        <f t="shared" si="56"/>
        <v>#REF!</v>
      </c>
      <c r="BV135" s="185" t="e">
        <f t="shared" si="57"/>
        <v>#REF!</v>
      </c>
      <c r="BW135" s="185" t="e">
        <f t="shared" si="58"/>
        <v>#REF!</v>
      </c>
      <c r="BX135" s="186" t="e">
        <f t="shared" si="59"/>
        <v>#REF!</v>
      </c>
      <c r="BY13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5" s="66"/>
      <c r="DA135" s="66"/>
      <c r="DB135" s="66"/>
      <c r="DC135" s="224" t="str">
        <f t="shared" si="43"/>
        <v/>
      </c>
      <c r="DD135" s="1">
        <f>IF($DC135="",0,IF(COUNTIF($DC$2:$DC134,$DC135)=0,1,0))</f>
        <v>0</v>
      </c>
    </row>
    <row r="136" spans="1:108" s="1" customFormat="1" x14ac:dyDescent="0.25">
      <c r="A136" s="64">
        <v>135</v>
      </c>
      <c r="B136" s="71"/>
      <c r="C136" s="72"/>
      <c r="D136" s="72"/>
      <c r="E136" s="72"/>
      <c r="F136" s="72"/>
      <c r="G136" s="66"/>
      <c r="H136" s="66"/>
      <c r="I136" s="66"/>
      <c r="J136" s="67"/>
      <c r="K136" s="68"/>
      <c r="L136" s="69"/>
      <c r="M136" s="66"/>
      <c r="N136" s="66"/>
      <c r="O136" s="136" t="str">
        <f t="shared" si="42"/>
        <v/>
      </c>
      <c r="P136" s="65" t="str">
        <f t="shared" si="44"/>
        <v/>
      </c>
      <c r="Q136" s="70"/>
      <c r="R136" s="66"/>
      <c r="S136" s="65"/>
      <c r="T136" s="65"/>
      <c r="U136" s="65"/>
      <c r="V136" s="65"/>
      <c r="W136" s="65"/>
      <c r="X136" s="240"/>
      <c r="Y136" s="65"/>
      <c r="Z136" s="281"/>
      <c r="AA136" s="66"/>
      <c r="AB136" s="66"/>
      <c r="AC136" s="247"/>
      <c r="AD136" s="240" t="str">
        <f t="shared" si="45"/>
        <v/>
      </c>
      <c r="AE136" s="240"/>
      <c r="AF136" s="241"/>
      <c r="AG136" s="247"/>
      <c r="AH136" s="241"/>
      <c r="AI136" s="247"/>
      <c r="AJ136" s="231"/>
      <c r="AK136" s="240"/>
      <c r="AL136" s="241"/>
      <c r="AM136" s="65"/>
      <c r="AN136" s="241"/>
      <c r="AO136" s="65"/>
      <c r="AP136" s="66"/>
      <c r="AQ136" s="66"/>
      <c r="AR136" s="66"/>
      <c r="AS136" s="221"/>
      <c r="AT136" s="222">
        <f t="shared" si="60"/>
        <v>0</v>
      </c>
      <c r="AU136" s="223"/>
      <c r="AV136" s="99"/>
      <c r="AW136" s="100"/>
      <c r="AX136" s="100"/>
      <c r="AY136" s="100"/>
      <c r="AZ136" s="100"/>
      <c r="BA136" s="100"/>
      <c r="BB136" s="100"/>
      <c r="BC136" s="101"/>
      <c r="BD136" s="96"/>
      <c r="BE136" s="97"/>
      <c r="BF136" s="97"/>
      <c r="BG136" s="97"/>
      <c r="BH136" s="98"/>
      <c r="BI136" s="157" t="e">
        <f t="shared" si="46"/>
        <v>#REF!</v>
      </c>
      <c r="BJ136" s="158" t="e">
        <f>#REF!</f>
        <v>#REF!</v>
      </c>
      <c r="BK136" s="159" t="e">
        <f>#REF!</f>
        <v>#REF!</v>
      </c>
      <c r="BL136" s="181" t="e">
        <f t="shared" si="47"/>
        <v>#REF!</v>
      </c>
      <c r="BM136" s="182" t="e">
        <f t="shared" si="48"/>
        <v>#REF!</v>
      </c>
      <c r="BN136" s="182" t="e">
        <f t="shared" si="49"/>
        <v>#REF!</v>
      </c>
      <c r="BO136" s="182" t="e">
        <f t="shared" si="50"/>
        <v>#REF!</v>
      </c>
      <c r="BP136" s="182" t="e">
        <f t="shared" si="51"/>
        <v>#REF!</v>
      </c>
      <c r="BQ136" s="182" t="e">
        <f t="shared" si="52"/>
        <v>#REF!</v>
      </c>
      <c r="BR136" s="182" t="e">
        <f t="shared" si="53"/>
        <v>#REF!</v>
      </c>
      <c r="BS136" s="183" t="e">
        <f t="shared" si="54"/>
        <v>#REF!</v>
      </c>
      <c r="BT136" s="184" t="e">
        <f t="shared" si="55"/>
        <v>#REF!</v>
      </c>
      <c r="BU136" s="185" t="e">
        <f t="shared" si="56"/>
        <v>#REF!</v>
      </c>
      <c r="BV136" s="185" t="e">
        <f t="shared" si="57"/>
        <v>#REF!</v>
      </c>
      <c r="BW136" s="185" t="e">
        <f t="shared" si="58"/>
        <v>#REF!</v>
      </c>
      <c r="BX136" s="186" t="e">
        <f t="shared" si="59"/>
        <v>#REF!</v>
      </c>
      <c r="BY13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6" s="66"/>
      <c r="DA136" s="66"/>
      <c r="DB136" s="66"/>
      <c r="DC136" s="224" t="str">
        <f t="shared" si="43"/>
        <v/>
      </c>
      <c r="DD136" s="1">
        <f>IF($DC136="",0,IF(COUNTIF($DC$2:$DC135,$DC136)=0,1,0))</f>
        <v>0</v>
      </c>
    </row>
    <row r="137" spans="1:108" s="1" customFormat="1" x14ac:dyDescent="0.25">
      <c r="A137" s="64">
        <v>136</v>
      </c>
      <c r="B137" s="71"/>
      <c r="C137" s="72"/>
      <c r="D137" s="72"/>
      <c r="E137" s="72"/>
      <c r="F137" s="72"/>
      <c r="G137" s="66"/>
      <c r="H137" s="66"/>
      <c r="I137" s="66"/>
      <c r="J137" s="67"/>
      <c r="K137" s="68"/>
      <c r="L137" s="69"/>
      <c r="M137" s="66"/>
      <c r="N137" s="66"/>
      <c r="O137" s="136" t="str">
        <f t="shared" si="42"/>
        <v/>
      </c>
      <c r="P137" s="65" t="str">
        <f t="shared" si="44"/>
        <v/>
      </c>
      <c r="Q137" s="70"/>
      <c r="R137" s="66"/>
      <c r="S137" s="65"/>
      <c r="T137" s="65"/>
      <c r="U137" s="65"/>
      <c r="V137" s="65"/>
      <c r="W137" s="65"/>
      <c r="X137" s="240"/>
      <c r="Y137" s="65"/>
      <c r="Z137" s="281"/>
      <c r="AA137" s="66"/>
      <c r="AB137" s="66"/>
      <c r="AC137" s="247"/>
      <c r="AD137" s="240" t="str">
        <f t="shared" si="45"/>
        <v/>
      </c>
      <c r="AE137" s="240"/>
      <c r="AF137" s="241"/>
      <c r="AG137" s="247"/>
      <c r="AH137" s="241"/>
      <c r="AI137" s="247"/>
      <c r="AJ137" s="231"/>
      <c r="AK137" s="240"/>
      <c r="AL137" s="241"/>
      <c r="AM137" s="65"/>
      <c r="AN137" s="241"/>
      <c r="AO137" s="65"/>
      <c r="AP137" s="66"/>
      <c r="AQ137" s="66"/>
      <c r="AR137" s="66"/>
      <c r="AS137" s="221"/>
      <c r="AT137" s="222">
        <f t="shared" si="60"/>
        <v>0</v>
      </c>
      <c r="AU137" s="223"/>
      <c r="AV137" s="99"/>
      <c r="AW137" s="100"/>
      <c r="AX137" s="100"/>
      <c r="AY137" s="100"/>
      <c r="AZ137" s="100"/>
      <c r="BA137" s="100"/>
      <c r="BB137" s="100"/>
      <c r="BC137" s="101"/>
      <c r="BD137" s="96"/>
      <c r="BE137" s="97"/>
      <c r="BF137" s="97"/>
      <c r="BG137" s="97"/>
      <c r="BH137" s="98"/>
      <c r="BI137" s="157" t="e">
        <f t="shared" si="46"/>
        <v>#REF!</v>
      </c>
      <c r="BJ137" s="158" t="e">
        <f>#REF!</f>
        <v>#REF!</v>
      </c>
      <c r="BK137" s="159" t="e">
        <f>#REF!</f>
        <v>#REF!</v>
      </c>
      <c r="BL137" s="181" t="e">
        <f t="shared" si="47"/>
        <v>#REF!</v>
      </c>
      <c r="BM137" s="182" t="e">
        <f t="shared" si="48"/>
        <v>#REF!</v>
      </c>
      <c r="BN137" s="182" t="e">
        <f t="shared" si="49"/>
        <v>#REF!</v>
      </c>
      <c r="BO137" s="182" t="e">
        <f t="shared" si="50"/>
        <v>#REF!</v>
      </c>
      <c r="BP137" s="182" t="e">
        <f t="shared" si="51"/>
        <v>#REF!</v>
      </c>
      <c r="BQ137" s="182" t="e">
        <f t="shared" si="52"/>
        <v>#REF!</v>
      </c>
      <c r="BR137" s="182" t="e">
        <f t="shared" si="53"/>
        <v>#REF!</v>
      </c>
      <c r="BS137" s="183" t="e">
        <f t="shared" si="54"/>
        <v>#REF!</v>
      </c>
      <c r="BT137" s="184" t="e">
        <f t="shared" si="55"/>
        <v>#REF!</v>
      </c>
      <c r="BU137" s="185" t="e">
        <f t="shared" si="56"/>
        <v>#REF!</v>
      </c>
      <c r="BV137" s="185" t="e">
        <f t="shared" si="57"/>
        <v>#REF!</v>
      </c>
      <c r="BW137" s="185" t="e">
        <f t="shared" si="58"/>
        <v>#REF!</v>
      </c>
      <c r="BX137" s="186" t="e">
        <f t="shared" si="59"/>
        <v>#REF!</v>
      </c>
      <c r="BY13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7" s="66"/>
      <c r="DA137" s="66"/>
      <c r="DB137" s="66"/>
      <c r="DC137" s="224" t="str">
        <f t="shared" si="43"/>
        <v/>
      </c>
      <c r="DD137" s="1">
        <f>IF($DC137="",0,IF(COUNTIF($DC$2:$DC136,$DC137)=0,1,0))</f>
        <v>0</v>
      </c>
    </row>
    <row r="138" spans="1:108" s="1" customFormat="1" x14ac:dyDescent="0.25">
      <c r="A138" s="64">
        <v>137</v>
      </c>
      <c r="B138" s="71"/>
      <c r="C138" s="72"/>
      <c r="D138" s="72"/>
      <c r="E138" s="72"/>
      <c r="F138" s="72"/>
      <c r="G138" s="66"/>
      <c r="H138" s="66"/>
      <c r="I138" s="66"/>
      <c r="J138" s="67"/>
      <c r="K138" s="68"/>
      <c r="L138" s="69"/>
      <c r="M138" s="66"/>
      <c r="N138" s="66"/>
      <c r="O138" s="136" t="str">
        <f t="shared" si="42"/>
        <v/>
      </c>
      <c r="P138" s="65" t="str">
        <f t="shared" si="44"/>
        <v/>
      </c>
      <c r="Q138" s="70"/>
      <c r="R138" s="66"/>
      <c r="S138" s="65"/>
      <c r="T138" s="65"/>
      <c r="U138" s="65"/>
      <c r="V138" s="65"/>
      <c r="W138" s="65"/>
      <c r="X138" s="240"/>
      <c r="Y138" s="65"/>
      <c r="Z138" s="281"/>
      <c r="AA138" s="66"/>
      <c r="AB138" s="66"/>
      <c r="AC138" s="247"/>
      <c r="AD138" s="240" t="str">
        <f t="shared" si="45"/>
        <v/>
      </c>
      <c r="AE138" s="240"/>
      <c r="AF138" s="241"/>
      <c r="AG138" s="247"/>
      <c r="AH138" s="241"/>
      <c r="AI138" s="247"/>
      <c r="AJ138" s="231"/>
      <c r="AK138" s="240"/>
      <c r="AL138" s="241"/>
      <c r="AM138" s="65"/>
      <c r="AN138" s="241"/>
      <c r="AO138" s="65"/>
      <c r="AP138" s="66"/>
      <c r="AQ138" s="66"/>
      <c r="AR138" s="66"/>
      <c r="AS138" s="221"/>
      <c r="AT138" s="222">
        <f t="shared" si="60"/>
        <v>0</v>
      </c>
      <c r="AU138" s="223"/>
      <c r="AV138" s="99"/>
      <c r="AW138" s="100"/>
      <c r="AX138" s="100"/>
      <c r="AY138" s="100"/>
      <c r="AZ138" s="100"/>
      <c r="BA138" s="100"/>
      <c r="BB138" s="100"/>
      <c r="BC138" s="101"/>
      <c r="BD138" s="96"/>
      <c r="BE138" s="97"/>
      <c r="BF138" s="97"/>
      <c r="BG138" s="97"/>
      <c r="BH138" s="98"/>
      <c r="BI138" s="157" t="e">
        <f t="shared" si="46"/>
        <v>#REF!</v>
      </c>
      <c r="BJ138" s="158" t="e">
        <f>#REF!</f>
        <v>#REF!</v>
      </c>
      <c r="BK138" s="159" t="e">
        <f>#REF!</f>
        <v>#REF!</v>
      </c>
      <c r="BL138" s="181" t="e">
        <f t="shared" si="47"/>
        <v>#REF!</v>
      </c>
      <c r="BM138" s="182" t="e">
        <f t="shared" si="48"/>
        <v>#REF!</v>
      </c>
      <c r="BN138" s="182" t="e">
        <f t="shared" si="49"/>
        <v>#REF!</v>
      </c>
      <c r="BO138" s="182" t="e">
        <f t="shared" si="50"/>
        <v>#REF!</v>
      </c>
      <c r="BP138" s="182" t="e">
        <f t="shared" si="51"/>
        <v>#REF!</v>
      </c>
      <c r="BQ138" s="182" t="e">
        <f t="shared" si="52"/>
        <v>#REF!</v>
      </c>
      <c r="BR138" s="182" t="e">
        <f t="shared" si="53"/>
        <v>#REF!</v>
      </c>
      <c r="BS138" s="183" t="e">
        <f t="shared" si="54"/>
        <v>#REF!</v>
      </c>
      <c r="BT138" s="184" t="e">
        <f t="shared" si="55"/>
        <v>#REF!</v>
      </c>
      <c r="BU138" s="185" t="e">
        <f t="shared" si="56"/>
        <v>#REF!</v>
      </c>
      <c r="BV138" s="185" t="e">
        <f t="shared" si="57"/>
        <v>#REF!</v>
      </c>
      <c r="BW138" s="185" t="e">
        <f t="shared" si="58"/>
        <v>#REF!</v>
      </c>
      <c r="BX138" s="186" t="e">
        <f t="shared" si="59"/>
        <v>#REF!</v>
      </c>
      <c r="BY13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8" s="66"/>
      <c r="DA138" s="66"/>
      <c r="DB138" s="66"/>
      <c r="DC138" s="224" t="str">
        <f t="shared" si="43"/>
        <v/>
      </c>
      <c r="DD138" s="1">
        <f>IF($DC138="",0,IF(COUNTIF($DC$2:$DC137,$DC138)=0,1,0))</f>
        <v>0</v>
      </c>
    </row>
    <row r="139" spans="1:108" s="1" customFormat="1" x14ac:dyDescent="0.25">
      <c r="A139" s="64">
        <v>138</v>
      </c>
      <c r="B139" s="71"/>
      <c r="C139" s="72"/>
      <c r="D139" s="72"/>
      <c r="E139" s="72"/>
      <c r="F139" s="72"/>
      <c r="G139" s="66"/>
      <c r="H139" s="66"/>
      <c r="I139" s="66"/>
      <c r="J139" s="67"/>
      <c r="K139" s="68"/>
      <c r="L139" s="69"/>
      <c r="M139" s="66"/>
      <c r="N139" s="66"/>
      <c r="O139" s="136" t="str">
        <f t="shared" si="42"/>
        <v/>
      </c>
      <c r="P139" s="65" t="str">
        <f t="shared" si="44"/>
        <v/>
      </c>
      <c r="Q139" s="70"/>
      <c r="R139" s="66"/>
      <c r="S139" s="65"/>
      <c r="T139" s="65"/>
      <c r="U139" s="65"/>
      <c r="V139" s="65"/>
      <c r="W139" s="65"/>
      <c r="X139" s="240"/>
      <c r="Y139" s="65"/>
      <c r="Z139" s="281"/>
      <c r="AA139" s="66"/>
      <c r="AB139" s="66"/>
      <c r="AC139" s="247"/>
      <c r="AD139" s="240" t="str">
        <f t="shared" si="45"/>
        <v/>
      </c>
      <c r="AE139" s="240"/>
      <c r="AF139" s="241"/>
      <c r="AG139" s="247"/>
      <c r="AH139" s="241"/>
      <c r="AI139" s="247"/>
      <c r="AJ139" s="231"/>
      <c r="AK139" s="240"/>
      <c r="AL139" s="241"/>
      <c r="AM139" s="65"/>
      <c r="AN139" s="241"/>
      <c r="AO139" s="65"/>
      <c r="AP139" s="66"/>
      <c r="AQ139" s="66"/>
      <c r="AR139" s="66"/>
      <c r="AS139" s="221"/>
      <c r="AT139" s="222">
        <f t="shared" si="60"/>
        <v>0</v>
      </c>
      <c r="AU139" s="223"/>
      <c r="AV139" s="99"/>
      <c r="AW139" s="100"/>
      <c r="AX139" s="100"/>
      <c r="AY139" s="100"/>
      <c r="AZ139" s="100"/>
      <c r="BA139" s="100"/>
      <c r="BB139" s="100"/>
      <c r="BC139" s="101"/>
      <c r="BD139" s="96"/>
      <c r="BE139" s="97"/>
      <c r="BF139" s="97"/>
      <c r="BG139" s="97"/>
      <c r="BH139" s="98"/>
      <c r="BI139" s="157" t="e">
        <f t="shared" si="46"/>
        <v>#REF!</v>
      </c>
      <c r="BJ139" s="158" t="e">
        <f>#REF!</f>
        <v>#REF!</v>
      </c>
      <c r="BK139" s="159" t="e">
        <f>#REF!</f>
        <v>#REF!</v>
      </c>
      <c r="BL139" s="181" t="e">
        <f t="shared" si="47"/>
        <v>#REF!</v>
      </c>
      <c r="BM139" s="182" t="e">
        <f t="shared" si="48"/>
        <v>#REF!</v>
      </c>
      <c r="BN139" s="182" t="e">
        <f t="shared" si="49"/>
        <v>#REF!</v>
      </c>
      <c r="BO139" s="182" t="e">
        <f t="shared" si="50"/>
        <v>#REF!</v>
      </c>
      <c r="BP139" s="182" t="e">
        <f t="shared" si="51"/>
        <v>#REF!</v>
      </c>
      <c r="BQ139" s="182" t="e">
        <f t="shared" si="52"/>
        <v>#REF!</v>
      </c>
      <c r="BR139" s="182" t="e">
        <f t="shared" si="53"/>
        <v>#REF!</v>
      </c>
      <c r="BS139" s="183" t="e">
        <f t="shared" si="54"/>
        <v>#REF!</v>
      </c>
      <c r="BT139" s="184" t="e">
        <f t="shared" si="55"/>
        <v>#REF!</v>
      </c>
      <c r="BU139" s="185" t="e">
        <f t="shared" si="56"/>
        <v>#REF!</v>
      </c>
      <c r="BV139" s="185" t="e">
        <f t="shared" si="57"/>
        <v>#REF!</v>
      </c>
      <c r="BW139" s="185" t="e">
        <f t="shared" si="58"/>
        <v>#REF!</v>
      </c>
      <c r="BX139" s="186" t="e">
        <f t="shared" si="59"/>
        <v>#REF!</v>
      </c>
      <c r="BY13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3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3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3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3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3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3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3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3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3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3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3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3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3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3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3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3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3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3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3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3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3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3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3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3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3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3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39" s="66"/>
      <c r="DA139" s="66"/>
      <c r="DB139" s="66"/>
      <c r="DC139" s="224" t="str">
        <f t="shared" si="43"/>
        <v/>
      </c>
      <c r="DD139" s="1">
        <f>IF($DC139="",0,IF(COUNTIF($DC$2:$DC138,$DC139)=0,1,0))</f>
        <v>0</v>
      </c>
    </row>
    <row r="140" spans="1:108" s="1" customFormat="1" x14ac:dyDescent="0.25">
      <c r="A140" s="64">
        <v>139</v>
      </c>
      <c r="B140" s="71"/>
      <c r="C140" s="72"/>
      <c r="D140" s="72"/>
      <c r="E140" s="72"/>
      <c r="F140" s="72"/>
      <c r="G140" s="66"/>
      <c r="H140" s="66"/>
      <c r="I140" s="66"/>
      <c r="J140" s="67"/>
      <c r="K140" s="68"/>
      <c r="L140" s="69"/>
      <c r="M140" s="66"/>
      <c r="N140" s="66"/>
      <c r="O140" s="136" t="str">
        <f t="shared" si="42"/>
        <v/>
      </c>
      <c r="P140" s="65" t="str">
        <f t="shared" si="44"/>
        <v/>
      </c>
      <c r="Q140" s="70"/>
      <c r="R140" s="66"/>
      <c r="S140" s="65"/>
      <c r="T140" s="65"/>
      <c r="U140" s="65"/>
      <c r="V140" s="65"/>
      <c r="W140" s="65"/>
      <c r="X140" s="240"/>
      <c r="Y140" s="65"/>
      <c r="Z140" s="281"/>
      <c r="AA140" s="66"/>
      <c r="AB140" s="66"/>
      <c r="AC140" s="247"/>
      <c r="AD140" s="240" t="str">
        <f t="shared" si="45"/>
        <v/>
      </c>
      <c r="AE140" s="240"/>
      <c r="AF140" s="241"/>
      <c r="AG140" s="247"/>
      <c r="AH140" s="241"/>
      <c r="AI140" s="247"/>
      <c r="AJ140" s="231"/>
      <c r="AK140" s="240"/>
      <c r="AL140" s="241"/>
      <c r="AM140" s="65"/>
      <c r="AN140" s="241"/>
      <c r="AO140" s="65"/>
      <c r="AP140" s="66"/>
      <c r="AQ140" s="66"/>
      <c r="AR140" s="66"/>
      <c r="AS140" s="221"/>
      <c r="AT140" s="222">
        <f t="shared" si="60"/>
        <v>0</v>
      </c>
      <c r="AU140" s="223"/>
      <c r="AV140" s="99"/>
      <c r="AW140" s="100"/>
      <c r="AX140" s="100"/>
      <c r="AY140" s="100"/>
      <c r="AZ140" s="100"/>
      <c r="BA140" s="100"/>
      <c r="BB140" s="100"/>
      <c r="BC140" s="101"/>
      <c r="BD140" s="96"/>
      <c r="BE140" s="97"/>
      <c r="BF140" s="97"/>
      <c r="BG140" s="97"/>
      <c r="BH140" s="98"/>
      <c r="BI140" s="157" t="e">
        <f t="shared" si="46"/>
        <v>#REF!</v>
      </c>
      <c r="BJ140" s="158" t="e">
        <f>#REF!</f>
        <v>#REF!</v>
      </c>
      <c r="BK140" s="159" t="e">
        <f>#REF!</f>
        <v>#REF!</v>
      </c>
      <c r="BL140" s="181" t="e">
        <f t="shared" si="47"/>
        <v>#REF!</v>
      </c>
      <c r="BM140" s="182" t="e">
        <f t="shared" si="48"/>
        <v>#REF!</v>
      </c>
      <c r="BN140" s="182" t="e">
        <f t="shared" si="49"/>
        <v>#REF!</v>
      </c>
      <c r="BO140" s="182" t="e">
        <f t="shared" si="50"/>
        <v>#REF!</v>
      </c>
      <c r="BP140" s="182" t="e">
        <f t="shared" si="51"/>
        <v>#REF!</v>
      </c>
      <c r="BQ140" s="182" t="e">
        <f t="shared" si="52"/>
        <v>#REF!</v>
      </c>
      <c r="BR140" s="182" t="e">
        <f t="shared" si="53"/>
        <v>#REF!</v>
      </c>
      <c r="BS140" s="183" t="e">
        <f t="shared" si="54"/>
        <v>#REF!</v>
      </c>
      <c r="BT140" s="184" t="e">
        <f t="shared" si="55"/>
        <v>#REF!</v>
      </c>
      <c r="BU140" s="185" t="e">
        <f t="shared" si="56"/>
        <v>#REF!</v>
      </c>
      <c r="BV140" s="185" t="e">
        <f t="shared" si="57"/>
        <v>#REF!</v>
      </c>
      <c r="BW140" s="185" t="e">
        <f t="shared" si="58"/>
        <v>#REF!</v>
      </c>
      <c r="BX140" s="186" t="e">
        <f t="shared" si="59"/>
        <v>#REF!</v>
      </c>
      <c r="BY14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0" s="66"/>
      <c r="DA140" s="66"/>
      <c r="DB140" s="66"/>
      <c r="DC140" s="224" t="str">
        <f t="shared" si="43"/>
        <v/>
      </c>
      <c r="DD140" s="1">
        <f>IF($DC140="",0,IF(COUNTIF($DC$2:$DC139,$DC140)=0,1,0))</f>
        <v>0</v>
      </c>
    </row>
    <row r="141" spans="1:108" s="1" customFormat="1" x14ac:dyDescent="0.25">
      <c r="A141" s="64">
        <v>140</v>
      </c>
      <c r="B141" s="71"/>
      <c r="C141" s="72"/>
      <c r="D141" s="72"/>
      <c r="E141" s="72"/>
      <c r="F141" s="72"/>
      <c r="G141" s="66"/>
      <c r="H141" s="66"/>
      <c r="I141" s="66"/>
      <c r="J141" s="67"/>
      <c r="K141" s="68"/>
      <c r="L141" s="69"/>
      <c r="M141" s="66"/>
      <c r="N141" s="66"/>
      <c r="O141" s="136" t="str">
        <f t="shared" ref="O141:O172" si="61">IF($L141="","",($AP141-$L141)/365)</f>
        <v/>
      </c>
      <c r="P141" s="65" t="str">
        <f t="shared" si="44"/>
        <v/>
      </c>
      <c r="Q141" s="70"/>
      <c r="R141" s="66"/>
      <c r="S141" s="65"/>
      <c r="T141" s="65"/>
      <c r="U141" s="65"/>
      <c r="V141" s="65"/>
      <c r="W141" s="65"/>
      <c r="X141" s="240"/>
      <c r="Y141" s="65"/>
      <c r="Z141" s="281"/>
      <c r="AA141" s="66"/>
      <c r="AB141" s="66"/>
      <c r="AC141" s="247"/>
      <c r="AD141" s="240" t="str">
        <f t="shared" si="45"/>
        <v/>
      </c>
      <c r="AE141" s="240"/>
      <c r="AF141" s="241"/>
      <c r="AG141" s="247"/>
      <c r="AH141" s="241"/>
      <c r="AI141" s="247"/>
      <c r="AJ141" s="231"/>
      <c r="AK141" s="240"/>
      <c r="AL141" s="241"/>
      <c r="AM141" s="65"/>
      <c r="AN141" s="241"/>
      <c r="AO141" s="65"/>
      <c r="AP141" s="66"/>
      <c r="AQ141" s="66"/>
      <c r="AR141" s="66"/>
      <c r="AS141" s="221"/>
      <c r="AT141" s="222">
        <f t="shared" si="60"/>
        <v>0</v>
      </c>
      <c r="AU141" s="223"/>
      <c r="AV141" s="99"/>
      <c r="AW141" s="100"/>
      <c r="AX141" s="100"/>
      <c r="AY141" s="100"/>
      <c r="AZ141" s="100"/>
      <c r="BA141" s="100"/>
      <c r="BB141" s="100"/>
      <c r="BC141" s="101"/>
      <c r="BD141" s="96"/>
      <c r="BE141" s="97"/>
      <c r="BF141" s="97"/>
      <c r="BG141" s="97"/>
      <c r="BH141" s="98"/>
      <c r="BI141" s="157" t="e">
        <f t="shared" si="46"/>
        <v>#REF!</v>
      </c>
      <c r="BJ141" s="158" t="e">
        <f>#REF!</f>
        <v>#REF!</v>
      </c>
      <c r="BK141" s="159" t="e">
        <f>#REF!</f>
        <v>#REF!</v>
      </c>
      <c r="BL141" s="181" t="e">
        <f t="shared" si="47"/>
        <v>#REF!</v>
      </c>
      <c r="BM141" s="182" t="e">
        <f t="shared" si="48"/>
        <v>#REF!</v>
      </c>
      <c r="BN141" s="182" t="e">
        <f t="shared" si="49"/>
        <v>#REF!</v>
      </c>
      <c r="BO141" s="182" t="e">
        <f t="shared" si="50"/>
        <v>#REF!</v>
      </c>
      <c r="BP141" s="182" t="e">
        <f t="shared" si="51"/>
        <v>#REF!</v>
      </c>
      <c r="BQ141" s="182" t="e">
        <f t="shared" si="52"/>
        <v>#REF!</v>
      </c>
      <c r="BR141" s="182" t="e">
        <f t="shared" si="53"/>
        <v>#REF!</v>
      </c>
      <c r="BS141" s="183" t="e">
        <f t="shared" si="54"/>
        <v>#REF!</v>
      </c>
      <c r="BT141" s="184" t="e">
        <f t="shared" si="55"/>
        <v>#REF!</v>
      </c>
      <c r="BU141" s="185" t="e">
        <f t="shared" si="56"/>
        <v>#REF!</v>
      </c>
      <c r="BV141" s="185" t="e">
        <f t="shared" si="57"/>
        <v>#REF!</v>
      </c>
      <c r="BW141" s="185" t="e">
        <f t="shared" si="58"/>
        <v>#REF!</v>
      </c>
      <c r="BX141" s="186" t="e">
        <f t="shared" si="59"/>
        <v>#REF!</v>
      </c>
      <c r="BY14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1" s="66"/>
      <c r="DA141" s="66"/>
      <c r="DB141" s="66"/>
      <c r="DC141" s="224" t="str">
        <f t="shared" si="43"/>
        <v/>
      </c>
      <c r="DD141" s="1">
        <f>IF($DC141="",0,IF(COUNTIF($DC$2:$DC140,$DC141)=0,1,0))</f>
        <v>0</v>
      </c>
    </row>
    <row r="142" spans="1:108" s="1" customFormat="1" x14ac:dyDescent="0.25">
      <c r="A142" s="64">
        <v>141</v>
      </c>
      <c r="B142" s="71"/>
      <c r="C142" s="72"/>
      <c r="D142" s="72"/>
      <c r="E142" s="72"/>
      <c r="F142" s="72"/>
      <c r="G142" s="66"/>
      <c r="H142" s="66"/>
      <c r="I142" s="66"/>
      <c r="J142" s="67"/>
      <c r="K142" s="68"/>
      <c r="L142" s="69"/>
      <c r="M142" s="66"/>
      <c r="N142" s="66"/>
      <c r="O142" s="136" t="str">
        <f t="shared" si="61"/>
        <v/>
      </c>
      <c r="P142" s="65" t="str">
        <f t="shared" si="44"/>
        <v/>
      </c>
      <c r="Q142" s="70"/>
      <c r="R142" s="66"/>
      <c r="S142" s="65"/>
      <c r="T142" s="65"/>
      <c r="U142" s="65"/>
      <c r="V142" s="65"/>
      <c r="W142" s="65"/>
      <c r="X142" s="240"/>
      <c r="Y142" s="65"/>
      <c r="Z142" s="281"/>
      <c r="AA142" s="66"/>
      <c r="AB142" s="66"/>
      <c r="AC142" s="247"/>
      <c r="AD142" s="240" t="str">
        <f t="shared" si="45"/>
        <v/>
      </c>
      <c r="AE142" s="240"/>
      <c r="AF142" s="241"/>
      <c r="AG142" s="247"/>
      <c r="AH142" s="241"/>
      <c r="AI142" s="247"/>
      <c r="AJ142" s="231"/>
      <c r="AK142" s="240"/>
      <c r="AL142" s="241"/>
      <c r="AM142" s="65"/>
      <c r="AN142" s="241"/>
      <c r="AO142" s="65"/>
      <c r="AP142" s="66"/>
      <c r="AQ142" s="66"/>
      <c r="AR142" s="66"/>
      <c r="AS142" s="221"/>
      <c r="AT142" s="222">
        <f t="shared" si="60"/>
        <v>0</v>
      </c>
      <c r="AU142" s="223"/>
      <c r="AV142" s="99"/>
      <c r="AW142" s="100"/>
      <c r="AX142" s="100"/>
      <c r="AY142" s="100"/>
      <c r="AZ142" s="100"/>
      <c r="BA142" s="100"/>
      <c r="BB142" s="100"/>
      <c r="BC142" s="101"/>
      <c r="BD142" s="96"/>
      <c r="BE142" s="97"/>
      <c r="BF142" s="97"/>
      <c r="BG142" s="97"/>
      <c r="BH142" s="98"/>
      <c r="BI142" s="157" t="e">
        <f t="shared" si="46"/>
        <v>#REF!</v>
      </c>
      <c r="BJ142" s="158" t="e">
        <f>#REF!</f>
        <v>#REF!</v>
      </c>
      <c r="BK142" s="159" t="e">
        <f>#REF!</f>
        <v>#REF!</v>
      </c>
      <c r="BL142" s="181" t="e">
        <f t="shared" si="47"/>
        <v>#REF!</v>
      </c>
      <c r="BM142" s="182" t="e">
        <f t="shared" si="48"/>
        <v>#REF!</v>
      </c>
      <c r="BN142" s="182" t="e">
        <f t="shared" si="49"/>
        <v>#REF!</v>
      </c>
      <c r="BO142" s="182" t="e">
        <f t="shared" si="50"/>
        <v>#REF!</v>
      </c>
      <c r="BP142" s="182" t="e">
        <f t="shared" si="51"/>
        <v>#REF!</v>
      </c>
      <c r="BQ142" s="182" t="e">
        <f t="shared" si="52"/>
        <v>#REF!</v>
      </c>
      <c r="BR142" s="182" t="e">
        <f t="shared" si="53"/>
        <v>#REF!</v>
      </c>
      <c r="BS142" s="183" t="e">
        <f t="shared" si="54"/>
        <v>#REF!</v>
      </c>
      <c r="BT142" s="184" t="e">
        <f t="shared" si="55"/>
        <v>#REF!</v>
      </c>
      <c r="BU142" s="185" t="e">
        <f t="shared" si="56"/>
        <v>#REF!</v>
      </c>
      <c r="BV142" s="185" t="e">
        <f t="shared" si="57"/>
        <v>#REF!</v>
      </c>
      <c r="BW142" s="185" t="e">
        <f t="shared" si="58"/>
        <v>#REF!</v>
      </c>
      <c r="BX142" s="186" t="e">
        <f t="shared" si="59"/>
        <v>#REF!</v>
      </c>
      <c r="BY14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2" s="66"/>
      <c r="DA142" s="66"/>
      <c r="DB142" s="66"/>
      <c r="DC142" s="224" t="str">
        <f t="shared" si="43"/>
        <v/>
      </c>
      <c r="DD142" s="1">
        <f>IF($DC142="",0,IF(COUNTIF($DC$2:$DC141,$DC142)=0,1,0))</f>
        <v>0</v>
      </c>
    </row>
    <row r="143" spans="1:108" s="1" customFormat="1" x14ac:dyDescent="0.25">
      <c r="A143" s="64">
        <v>142</v>
      </c>
      <c r="B143" s="71"/>
      <c r="C143" s="72"/>
      <c r="D143" s="72"/>
      <c r="E143" s="72"/>
      <c r="F143" s="72"/>
      <c r="G143" s="66"/>
      <c r="H143" s="66"/>
      <c r="I143" s="66"/>
      <c r="J143" s="67"/>
      <c r="K143" s="68"/>
      <c r="L143" s="69"/>
      <c r="M143" s="66"/>
      <c r="N143" s="66"/>
      <c r="O143" s="136" t="str">
        <f t="shared" si="61"/>
        <v/>
      </c>
      <c r="P143" s="65" t="str">
        <f t="shared" si="44"/>
        <v/>
      </c>
      <c r="Q143" s="70"/>
      <c r="R143" s="66"/>
      <c r="S143" s="65"/>
      <c r="T143" s="65"/>
      <c r="U143" s="65"/>
      <c r="V143" s="65"/>
      <c r="W143" s="65"/>
      <c r="X143" s="240"/>
      <c r="Y143" s="65"/>
      <c r="Z143" s="281"/>
      <c r="AA143" s="66"/>
      <c r="AB143" s="66"/>
      <c r="AC143" s="247"/>
      <c r="AD143" s="240" t="str">
        <f t="shared" si="45"/>
        <v/>
      </c>
      <c r="AE143" s="240"/>
      <c r="AF143" s="241"/>
      <c r="AG143" s="247"/>
      <c r="AH143" s="241"/>
      <c r="AI143" s="247"/>
      <c r="AJ143" s="231"/>
      <c r="AK143" s="240"/>
      <c r="AL143" s="241"/>
      <c r="AM143" s="65"/>
      <c r="AN143" s="241"/>
      <c r="AO143" s="65"/>
      <c r="AP143" s="66"/>
      <c r="AQ143" s="66"/>
      <c r="AR143" s="66"/>
      <c r="AS143" s="221"/>
      <c r="AT143" s="222">
        <f t="shared" si="60"/>
        <v>0</v>
      </c>
      <c r="AU143" s="223"/>
      <c r="AV143" s="99"/>
      <c r="AW143" s="100"/>
      <c r="AX143" s="100"/>
      <c r="AY143" s="100"/>
      <c r="AZ143" s="100"/>
      <c r="BA143" s="100"/>
      <c r="BB143" s="100"/>
      <c r="BC143" s="101"/>
      <c r="BD143" s="96"/>
      <c r="BE143" s="97"/>
      <c r="BF143" s="97"/>
      <c r="BG143" s="97"/>
      <c r="BH143" s="98"/>
      <c r="BI143" s="157" t="e">
        <f t="shared" si="46"/>
        <v>#REF!</v>
      </c>
      <c r="BJ143" s="158" t="e">
        <f>#REF!</f>
        <v>#REF!</v>
      </c>
      <c r="BK143" s="159" t="e">
        <f>#REF!</f>
        <v>#REF!</v>
      </c>
      <c r="BL143" s="181" t="e">
        <f t="shared" si="47"/>
        <v>#REF!</v>
      </c>
      <c r="BM143" s="182" t="e">
        <f t="shared" si="48"/>
        <v>#REF!</v>
      </c>
      <c r="BN143" s="182" t="e">
        <f t="shared" si="49"/>
        <v>#REF!</v>
      </c>
      <c r="BO143" s="182" t="e">
        <f t="shared" si="50"/>
        <v>#REF!</v>
      </c>
      <c r="BP143" s="182" t="e">
        <f t="shared" si="51"/>
        <v>#REF!</v>
      </c>
      <c r="BQ143" s="182" t="e">
        <f t="shared" si="52"/>
        <v>#REF!</v>
      </c>
      <c r="BR143" s="182" t="e">
        <f t="shared" si="53"/>
        <v>#REF!</v>
      </c>
      <c r="BS143" s="183" t="e">
        <f t="shared" si="54"/>
        <v>#REF!</v>
      </c>
      <c r="BT143" s="184" t="e">
        <f t="shared" si="55"/>
        <v>#REF!</v>
      </c>
      <c r="BU143" s="185" t="e">
        <f t="shared" si="56"/>
        <v>#REF!</v>
      </c>
      <c r="BV143" s="185" t="e">
        <f t="shared" si="57"/>
        <v>#REF!</v>
      </c>
      <c r="BW143" s="185" t="e">
        <f t="shared" si="58"/>
        <v>#REF!</v>
      </c>
      <c r="BX143" s="186" t="e">
        <f t="shared" si="59"/>
        <v>#REF!</v>
      </c>
      <c r="BY14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3" s="66"/>
      <c r="DA143" s="66"/>
      <c r="DB143" s="66"/>
      <c r="DC143" s="224" t="str">
        <f t="shared" si="43"/>
        <v/>
      </c>
      <c r="DD143" s="1">
        <f>IF($DC143="",0,IF(COUNTIF($DC$2:$DC142,$DC143)=0,1,0))</f>
        <v>0</v>
      </c>
    </row>
    <row r="144" spans="1:108" s="1" customFormat="1" x14ac:dyDescent="0.25">
      <c r="A144" s="64">
        <v>143</v>
      </c>
      <c r="B144" s="71"/>
      <c r="C144" s="72"/>
      <c r="D144" s="72"/>
      <c r="E144" s="72"/>
      <c r="F144" s="72"/>
      <c r="G144" s="66"/>
      <c r="H144" s="66"/>
      <c r="I144" s="66"/>
      <c r="J144" s="67"/>
      <c r="K144" s="68"/>
      <c r="L144" s="69"/>
      <c r="M144" s="66"/>
      <c r="N144" s="66"/>
      <c r="O144" s="136" t="str">
        <f t="shared" si="61"/>
        <v/>
      </c>
      <c r="P144" s="65" t="str">
        <f t="shared" si="44"/>
        <v/>
      </c>
      <c r="Q144" s="70"/>
      <c r="R144" s="66"/>
      <c r="S144" s="65"/>
      <c r="T144" s="65"/>
      <c r="U144" s="65"/>
      <c r="V144" s="65"/>
      <c r="W144" s="65"/>
      <c r="X144" s="240"/>
      <c r="Y144" s="65"/>
      <c r="Z144" s="281"/>
      <c r="AA144" s="66"/>
      <c r="AB144" s="66"/>
      <c r="AC144" s="247"/>
      <c r="AD144" s="240" t="str">
        <f t="shared" si="45"/>
        <v/>
      </c>
      <c r="AE144" s="240"/>
      <c r="AF144" s="241"/>
      <c r="AG144" s="247"/>
      <c r="AH144" s="241"/>
      <c r="AI144" s="247"/>
      <c r="AJ144" s="231"/>
      <c r="AK144" s="240"/>
      <c r="AL144" s="241"/>
      <c r="AM144" s="65"/>
      <c r="AN144" s="241"/>
      <c r="AO144" s="65"/>
      <c r="AP144" s="66"/>
      <c r="AQ144" s="66"/>
      <c r="AR144" s="66"/>
      <c r="AS144" s="221"/>
      <c r="AT144" s="222">
        <f t="shared" si="60"/>
        <v>0</v>
      </c>
      <c r="AU144" s="223"/>
      <c r="AV144" s="99"/>
      <c r="AW144" s="100"/>
      <c r="AX144" s="100"/>
      <c r="AY144" s="100"/>
      <c r="AZ144" s="100"/>
      <c r="BA144" s="100"/>
      <c r="BB144" s="100"/>
      <c r="BC144" s="101"/>
      <c r="BD144" s="96"/>
      <c r="BE144" s="97"/>
      <c r="BF144" s="97"/>
      <c r="BG144" s="97"/>
      <c r="BH144" s="98"/>
      <c r="BI144" s="157" t="e">
        <f t="shared" si="46"/>
        <v>#REF!</v>
      </c>
      <c r="BJ144" s="158" t="e">
        <f>#REF!</f>
        <v>#REF!</v>
      </c>
      <c r="BK144" s="159" t="e">
        <f>#REF!</f>
        <v>#REF!</v>
      </c>
      <c r="BL144" s="181" t="e">
        <f t="shared" si="47"/>
        <v>#REF!</v>
      </c>
      <c r="BM144" s="182" t="e">
        <f t="shared" si="48"/>
        <v>#REF!</v>
      </c>
      <c r="BN144" s="182" t="e">
        <f t="shared" si="49"/>
        <v>#REF!</v>
      </c>
      <c r="BO144" s="182" t="e">
        <f t="shared" si="50"/>
        <v>#REF!</v>
      </c>
      <c r="BP144" s="182" t="e">
        <f t="shared" si="51"/>
        <v>#REF!</v>
      </c>
      <c r="BQ144" s="182" t="e">
        <f t="shared" si="52"/>
        <v>#REF!</v>
      </c>
      <c r="BR144" s="182" t="e">
        <f t="shared" si="53"/>
        <v>#REF!</v>
      </c>
      <c r="BS144" s="183" t="e">
        <f t="shared" si="54"/>
        <v>#REF!</v>
      </c>
      <c r="BT144" s="184" t="e">
        <f t="shared" si="55"/>
        <v>#REF!</v>
      </c>
      <c r="BU144" s="185" t="e">
        <f t="shared" si="56"/>
        <v>#REF!</v>
      </c>
      <c r="BV144" s="185" t="e">
        <f t="shared" si="57"/>
        <v>#REF!</v>
      </c>
      <c r="BW144" s="185" t="e">
        <f t="shared" si="58"/>
        <v>#REF!</v>
      </c>
      <c r="BX144" s="186" t="e">
        <f t="shared" si="59"/>
        <v>#REF!</v>
      </c>
      <c r="BY14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4" s="66"/>
      <c r="DA144" s="66"/>
      <c r="DB144" s="66"/>
      <c r="DC144" s="224" t="str">
        <f t="shared" si="43"/>
        <v/>
      </c>
      <c r="DD144" s="1">
        <f>IF($DC144="",0,IF(COUNTIF($DC$2:$DC143,$DC144)=0,1,0))</f>
        <v>0</v>
      </c>
    </row>
    <row r="145" spans="1:108" s="1" customFormat="1" x14ac:dyDescent="0.25">
      <c r="A145" s="64">
        <v>144</v>
      </c>
      <c r="B145" s="71"/>
      <c r="C145" s="72"/>
      <c r="D145" s="72"/>
      <c r="E145" s="72"/>
      <c r="F145" s="72"/>
      <c r="G145" s="66"/>
      <c r="H145" s="66"/>
      <c r="I145" s="66"/>
      <c r="J145" s="67"/>
      <c r="K145" s="68"/>
      <c r="L145" s="69"/>
      <c r="M145" s="66"/>
      <c r="N145" s="66"/>
      <c r="O145" s="136" t="str">
        <f t="shared" si="61"/>
        <v/>
      </c>
      <c r="P145" s="65" t="str">
        <f t="shared" si="44"/>
        <v/>
      </c>
      <c r="Q145" s="70"/>
      <c r="R145" s="66"/>
      <c r="S145" s="65"/>
      <c r="T145" s="65"/>
      <c r="U145" s="65"/>
      <c r="V145" s="65"/>
      <c r="W145" s="65"/>
      <c r="X145" s="240"/>
      <c r="Y145" s="65"/>
      <c r="Z145" s="281"/>
      <c r="AA145" s="66"/>
      <c r="AB145" s="66"/>
      <c r="AC145" s="247"/>
      <c r="AD145" s="240" t="str">
        <f t="shared" si="45"/>
        <v/>
      </c>
      <c r="AE145" s="240"/>
      <c r="AF145" s="241"/>
      <c r="AG145" s="247"/>
      <c r="AH145" s="241"/>
      <c r="AI145" s="247"/>
      <c r="AJ145" s="231"/>
      <c r="AK145" s="240"/>
      <c r="AL145" s="241"/>
      <c r="AM145" s="65"/>
      <c r="AN145" s="241"/>
      <c r="AO145" s="65"/>
      <c r="AP145" s="66"/>
      <c r="AQ145" s="66"/>
      <c r="AR145" s="66"/>
      <c r="AS145" s="221"/>
      <c r="AT145" s="222">
        <f t="shared" si="60"/>
        <v>0</v>
      </c>
      <c r="AU145" s="223"/>
      <c r="AV145" s="99"/>
      <c r="AW145" s="100"/>
      <c r="AX145" s="100"/>
      <c r="AY145" s="100"/>
      <c r="AZ145" s="100"/>
      <c r="BA145" s="100"/>
      <c r="BB145" s="100"/>
      <c r="BC145" s="101"/>
      <c r="BD145" s="96"/>
      <c r="BE145" s="97"/>
      <c r="BF145" s="97"/>
      <c r="BG145" s="97"/>
      <c r="BH145" s="98"/>
      <c r="BI145" s="157" t="e">
        <f t="shared" si="46"/>
        <v>#REF!</v>
      </c>
      <c r="BJ145" s="158" t="e">
        <f>#REF!</f>
        <v>#REF!</v>
      </c>
      <c r="BK145" s="159" t="e">
        <f>#REF!</f>
        <v>#REF!</v>
      </c>
      <c r="BL145" s="181" t="e">
        <f t="shared" si="47"/>
        <v>#REF!</v>
      </c>
      <c r="BM145" s="182" t="e">
        <f t="shared" si="48"/>
        <v>#REF!</v>
      </c>
      <c r="BN145" s="182" t="e">
        <f t="shared" si="49"/>
        <v>#REF!</v>
      </c>
      <c r="BO145" s="182" t="e">
        <f t="shared" si="50"/>
        <v>#REF!</v>
      </c>
      <c r="BP145" s="182" t="e">
        <f t="shared" si="51"/>
        <v>#REF!</v>
      </c>
      <c r="BQ145" s="182" t="e">
        <f t="shared" si="52"/>
        <v>#REF!</v>
      </c>
      <c r="BR145" s="182" t="e">
        <f t="shared" si="53"/>
        <v>#REF!</v>
      </c>
      <c r="BS145" s="183" t="e">
        <f t="shared" si="54"/>
        <v>#REF!</v>
      </c>
      <c r="BT145" s="184" t="e">
        <f t="shared" si="55"/>
        <v>#REF!</v>
      </c>
      <c r="BU145" s="185" t="e">
        <f t="shared" si="56"/>
        <v>#REF!</v>
      </c>
      <c r="BV145" s="185" t="e">
        <f t="shared" si="57"/>
        <v>#REF!</v>
      </c>
      <c r="BW145" s="185" t="e">
        <f t="shared" si="58"/>
        <v>#REF!</v>
      </c>
      <c r="BX145" s="186" t="e">
        <f t="shared" si="59"/>
        <v>#REF!</v>
      </c>
      <c r="BY14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5" s="66"/>
      <c r="DA145" s="66"/>
      <c r="DB145" s="66"/>
      <c r="DC145" s="224" t="str">
        <f t="shared" si="43"/>
        <v/>
      </c>
      <c r="DD145" s="1">
        <f>IF($DC145="",0,IF(COUNTIF($DC$2:$DC144,$DC145)=0,1,0))</f>
        <v>0</v>
      </c>
    </row>
    <row r="146" spans="1:108" s="1" customFormat="1" x14ac:dyDescent="0.25">
      <c r="A146" s="64">
        <v>145</v>
      </c>
      <c r="B146" s="71"/>
      <c r="C146" s="72"/>
      <c r="D146" s="72"/>
      <c r="E146" s="72"/>
      <c r="F146" s="72"/>
      <c r="G146" s="66"/>
      <c r="H146" s="66"/>
      <c r="I146" s="66"/>
      <c r="J146" s="67"/>
      <c r="K146" s="68"/>
      <c r="L146" s="69"/>
      <c r="M146" s="66"/>
      <c r="N146" s="66"/>
      <c r="O146" s="136" t="str">
        <f t="shared" si="61"/>
        <v/>
      </c>
      <c r="P146" s="65" t="str">
        <f t="shared" si="44"/>
        <v/>
      </c>
      <c r="Q146" s="70"/>
      <c r="R146" s="66"/>
      <c r="S146" s="65"/>
      <c r="T146" s="65"/>
      <c r="U146" s="65"/>
      <c r="V146" s="65"/>
      <c r="W146" s="65"/>
      <c r="X146" s="240"/>
      <c r="Y146" s="65"/>
      <c r="Z146" s="281"/>
      <c r="AA146" s="66"/>
      <c r="AB146" s="66"/>
      <c r="AC146" s="247"/>
      <c r="AD146" s="240" t="str">
        <f t="shared" si="45"/>
        <v/>
      </c>
      <c r="AE146" s="240"/>
      <c r="AF146" s="241"/>
      <c r="AG146" s="247"/>
      <c r="AH146" s="241"/>
      <c r="AI146" s="247"/>
      <c r="AJ146" s="231"/>
      <c r="AK146" s="240"/>
      <c r="AL146" s="241"/>
      <c r="AM146" s="65"/>
      <c r="AN146" s="241"/>
      <c r="AO146" s="65"/>
      <c r="AP146" s="66"/>
      <c r="AQ146" s="66"/>
      <c r="AR146" s="66"/>
      <c r="AS146" s="221"/>
      <c r="AT146" s="222">
        <f t="shared" si="60"/>
        <v>0</v>
      </c>
      <c r="AU146" s="223"/>
      <c r="AV146" s="99"/>
      <c r="AW146" s="100"/>
      <c r="AX146" s="100"/>
      <c r="AY146" s="100"/>
      <c r="AZ146" s="100"/>
      <c r="BA146" s="100"/>
      <c r="BB146" s="100"/>
      <c r="BC146" s="101"/>
      <c r="BD146" s="96"/>
      <c r="BE146" s="97"/>
      <c r="BF146" s="97"/>
      <c r="BG146" s="97"/>
      <c r="BH146" s="98"/>
      <c r="BI146" s="157" t="e">
        <f t="shared" si="46"/>
        <v>#REF!</v>
      </c>
      <c r="BJ146" s="158" t="e">
        <f>#REF!</f>
        <v>#REF!</v>
      </c>
      <c r="BK146" s="159" t="e">
        <f>#REF!</f>
        <v>#REF!</v>
      </c>
      <c r="BL146" s="181" t="e">
        <f t="shared" si="47"/>
        <v>#REF!</v>
      </c>
      <c r="BM146" s="182" t="e">
        <f t="shared" si="48"/>
        <v>#REF!</v>
      </c>
      <c r="BN146" s="182" t="e">
        <f t="shared" si="49"/>
        <v>#REF!</v>
      </c>
      <c r="BO146" s="182" t="e">
        <f t="shared" si="50"/>
        <v>#REF!</v>
      </c>
      <c r="BP146" s="182" t="e">
        <f t="shared" si="51"/>
        <v>#REF!</v>
      </c>
      <c r="BQ146" s="182" t="e">
        <f t="shared" si="52"/>
        <v>#REF!</v>
      </c>
      <c r="BR146" s="182" t="e">
        <f t="shared" si="53"/>
        <v>#REF!</v>
      </c>
      <c r="BS146" s="183" t="e">
        <f t="shared" si="54"/>
        <v>#REF!</v>
      </c>
      <c r="BT146" s="184" t="e">
        <f t="shared" si="55"/>
        <v>#REF!</v>
      </c>
      <c r="BU146" s="185" t="e">
        <f t="shared" si="56"/>
        <v>#REF!</v>
      </c>
      <c r="BV146" s="185" t="e">
        <f t="shared" si="57"/>
        <v>#REF!</v>
      </c>
      <c r="BW146" s="185" t="e">
        <f t="shared" si="58"/>
        <v>#REF!</v>
      </c>
      <c r="BX146" s="186" t="e">
        <f t="shared" si="59"/>
        <v>#REF!</v>
      </c>
      <c r="BY14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6" s="66"/>
      <c r="DA146" s="66"/>
      <c r="DB146" s="66"/>
      <c r="DC146" s="224" t="str">
        <f t="shared" si="43"/>
        <v/>
      </c>
      <c r="DD146" s="1">
        <f>IF($DC146="",0,IF(COUNTIF($DC$2:$DC145,$DC146)=0,1,0))</f>
        <v>0</v>
      </c>
    </row>
    <row r="147" spans="1:108" s="1" customFormat="1" x14ac:dyDescent="0.25">
      <c r="A147" s="64">
        <v>146</v>
      </c>
      <c r="B147" s="71"/>
      <c r="C147" s="72"/>
      <c r="D147" s="72"/>
      <c r="E147" s="72"/>
      <c r="F147" s="72"/>
      <c r="G147" s="66"/>
      <c r="H147" s="66"/>
      <c r="I147" s="66"/>
      <c r="J147" s="67"/>
      <c r="K147" s="68"/>
      <c r="L147" s="69"/>
      <c r="M147" s="66"/>
      <c r="N147" s="66"/>
      <c r="O147" s="136" t="str">
        <f t="shared" si="61"/>
        <v/>
      </c>
      <c r="P147" s="65" t="str">
        <f t="shared" si="44"/>
        <v/>
      </c>
      <c r="Q147" s="70"/>
      <c r="R147" s="66"/>
      <c r="S147" s="65"/>
      <c r="T147" s="65"/>
      <c r="U147" s="65"/>
      <c r="V147" s="65"/>
      <c r="W147" s="65"/>
      <c r="X147" s="240"/>
      <c r="Y147" s="65"/>
      <c r="Z147" s="281"/>
      <c r="AA147" s="66"/>
      <c r="AB147" s="66"/>
      <c r="AC147" s="247"/>
      <c r="AD147" s="240" t="str">
        <f t="shared" si="45"/>
        <v/>
      </c>
      <c r="AE147" s="240"/>
      <c r="AF147" s="241"/>
      <c r="AG147" s="247"/>
      <c r="AH147" s="241"/>
      <c r="AI147" s="247"/>
      <c r="AJ147" s="231"/>
      <c r="AK147" s="240"/>
      <c r="AL147" s="241"/>
      <c r="AM147" s="65"/>
      <c r="AN147" s="241"/>
      <c r="AO147" s="65"/>
      <c r="AP147" s="66"/>
      <c r="AQ147" s="66"/>
      <c r="AR147" s="66"/>
      <c r="AS147" s="221"/>
      <c r="AT147" s="222">
        <f t="shared" si="60"/>
        <v>0</v>
      </c>
      <c r="AU147" s="223"/>
      <c r="AV147" s="99"/>
      <c r="AW147" s="100"/>
      <c r="AX147" s="100"/>
      <c r="AY147" s="100"/>
      <c r="AZ147" s="100"/>
      <c r="BA147" s="100"/>
      <c r="BB147" s="100"/>
      <c r="BC147" s="101"/>
      <c r="BD147" s="96"/>
      <c r="BE147" s="97"/>
      <c r="BF147" s="97"/>
      <c r="BG147" s="97"/>
      <c r="BH147" s="98"/>
      <c r="BI147" s="157" t="e">
        <f t="shared" si="46"/>
        <v>#REF!</v>
      </c>
      <c r="BJ147" s="158" t="e">
        <f>#REF!</f>
        <v>#REF!</v>
      </c>
      <c r="BK147" s="159" t="e">
        <f>#REF!</f>
        <v>#REF!</v>
      </c>
      <c r="BL147" s="181" t="e">
        <f t="shared" si="47"/>
        <v>#REF!</v>
      </c>
      <c r="BM147" s="182" t="e">
        <f t="shared" si="48"/>
        <v>#REF!</v>
      </c>
      <c r="BN147" s="182" t="e">
        <f t="shared" si="49"/>
        <v>#REF!</v>
      </c>
      <c r="BO147" s="182" t="e">
        <f t="shared" si="50"/>
        <v>#REF!</v>
      </c>
      <c r="BP147" s="182" t="e">
        <f t="shared" si="51"/>
        <v>#REF!</v>
      </c>
      <c r="BQ147" s="182" t="e">
        <f t="shared" si="52"/>
        <v>#REF!</v>
      </c>
      <c r="BR147" s="182" t="e">
        <f t="shared" si="53"/>
        <v>#REF!</v>
      </c>
      <c r="BS147" s="183" t="e">
        <f t="shared" si="54"/>
        <v>#REF!</v>
      </c>
      <c r="BT147" s="184" t="e">
        <f t="shared" si="55"/>
        <v>#REF!</v>
      </c>
      <c r="BU147" s="185" t="e">
        <f t="shared" si="56"/>
        <v>#REF!</v>
      </c>
      <c r="BV147" s="185" t="e">
        <f t="shared" si="57"/>
        <v>#REF!</v>
      </c>
      <c r="BW147" s="185" t="e">
        <f t="shared" si="58"/>
        <v>#REF!</v>
      </c>
      <c r="BX147" s="186" t="e">
        <f t="shared" si="59"/>
        <v>#REF!</v>
      </c>
      <c r="BY14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7" s="66"/>
      <c r="DA147" s="66"/>
      <c r="DB147" s="66"/>
      <c r="DC147" s="224" t="str">
        <f t="shared" si="43"/>
        <v/>
      </c>
      <c r="DD147" s="1">
        <f>IF($DC147="",0,IF(COUNTIF($DC$2:$DC146,$DC147)=0,1,0))</f>
        <v>0</v>
      </c>
    </row>
    <row r="148" spans="1:108" s="1" customFormat="1" x14ac:dyDescent="0.25">
      <c r="A148" s="64">
        <v>147</v>
      </c>
      <c r="B148" s="71"/>
      <c r="C148" s="72"/>
      <c r="D148" s="72"/>
      <c r="E148" s="72"/>
      <c r="F148" s="72"/>
      <c r="G148" s="66"/>
      <c r="H148" s="66"/>
      <c r="I148" s="66"/>
      <c r="J148" s="67"/>
      <c r="K148" s="68"/>
      <c r="L148" s="69"/>
      <c r="M148" s="66"/>
      <c r="N148" s="66"/>
      <c r="O148" s="136" t="str">
        <f t="shared" si="61"/>
        <v/>
      </c>
      <c r="P148" s="65" t="str">
        <f t="shared" si="44"/>
        <v/>
      </c>
      <c r="Q148" s="70"/>
      <c r="R148" s="66"/>
      <c r="S148" s="65"/>
      <c r="T148" s="65"/>
      <c r="U148" s="65"/>
      <c r="V148" s="65"/>
      <c r="W148" s="65"/>
      <c r="X148" s="240"/>
      <c r="Y148" s="65"/>
      <c r="Z148" s="281"/>
      <c r="AA148" s="66"/>
      <c r="AB148" s="66"/>
      <c r="AC148" s="247"/>
      <c r="AD148" s="240" t="str">
        <f t="shared" si="45"/>
        <v/>
      </c>
      <c r="AE148" s="240"/>
      <c r="AF148" s="241"/>
      <c r="AG148" s="247"/>
      <c r="AH148" s="241"/>
      <c r="AI148" s="247"/>
      <c r="AJ148" s="231"/>
      <c r="AK148" s="240"/>
      <c r="AL148" s="241"/>
      <c r="AM148" s="65"/>
      <c r="AN148" s="241"/>
      <c r="AO148" s="65"/>
      <c r="AP148" s="66"/>
      <c r="AQ148" s="66"/>
      <c r="AR148" s="66"/>
      <c r="AS148" s="221"/>
      <c r="AT148" s="222">
        <f t="shared" si="60"/>
        <v>0</v>
      </c>
      <c r="AU148" s="223"/>
      <c r="AV148" s="99"/>
      <c r="AW148" s="100"/>
      <c r="AX148" s="100"/>
      <c r="AY148" s="100"/>
      <c r="AZ148" s="100"/>
      <c r="BA148" s="100"/>
      <c r="BB148" s="100"/>
      <c r="BC148" s="101"/>
      <c r="BD148" s="96"/>
      <c r="BE148" s="97"/>
      <c r="BF148" s="97"/>
      <c r="BG148" s="97"/>
      <c r="BH148" s="98"/>
      <c r="BI148" s="157" t="e">
        <f t="shared" si="46"/>
        <v>#REF!</v>
      </c>
      <c r="BJ148" s="158" t="e">
        <f>#REF!</f>
        <v>#REF!</v>
      </c>
      <c r="BK148" s="159" t="e">
        <f>#REF!</f>
        <v>#REF!</v>
      </c>
      <c r="BL148" s="181" t="e">
        <f t="shared" si="47"/>
        <v>#REF!</v>
      </c>
      <c r="BM148" s="182" t="e">
        <f t="shared" si="48"/>
        <v>#REF!</v>
      </c>
      <c r="BN148" s="182" t="e">
        <f t="shared" si="49"/>
        <v>#REF!</v>
      </c>
      <c r="BO148" s="182" t="e">
        <f t="shared" si="50"/>
        <v>#REF!</v>
      </c>
      <c r="BP148" s="182" t="e">
        <f t="shared" si="51"/>
        <v>#REF!</v>
      </c>
      <c r="BQ148" s="182" t="e">
        <f t="shared" si="52"/>
        <v>#REF!</v>
      </c>
      <c r="BR148" s="182" t="e">
        <f t="shared" si="53"/>
        <v>#REF!</v>
      </c>
      <c r="BS148" s="183" t="e">
        <f t="shared" si="54"/>
        <v>#REF!</v>
      </c>
      <c r="BT148" s="184" t="e">
        <f t="shared" si="55"/>
        <v>#REF!</v>
      </c>
      <c r="BU148" s="185" t="e">
        <f t="shared" si="56"/>
        <v>#REF!</v>
      </c>
      <c r="BV148" s="185" t="e">
        <f t="shared" si="57"/>
        <v>#REF!</v>
      </c>
      <c r="BW148" s="185" t="e">
        <f t="shared" si="58"/>
        <v>#REF!</v>
      </c>
      <c r="BX148" s="186" t="e">
        <f t="shared" si="59"/>
        <v>#REF!</v>
      </c>
      <c r="BY14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8" s="66"/>
      <c r="DA148" s="66"/>
      <c r="DB148" s="66"/>
      <c r="DC148" s="224" t="str">
        <f t="shared" si="43"/>
        <v/>
      </c>
      <c r="DD148" s="1">
        <f>IF($DC148="",0,IF(COUNTIF($DC$2:$DC147,$DC148)=0,1,0))</f>
        <v>0</v>
      </c>
    </row>
    <row r="149" spans="1:108" s="1" customFormat="1" x14ac:dyDescent="0.25">
      <c r="A149" s="64">
        <v>148</v>
      </c>
      <c r="B149" s="71"/>
      <c r="C149" s="72"/>
      <c r="D149" s="72"/>
      <c r="E149" s="72"/>
      <c r="F149" s="72"/>
      <c r="G149" s="66"/>
      <c r="H149" s="66"/>
      <c r="I149" s="66"/>
      <c r="J149" s="67"/>
      <c r="K149" s="68"/>
      <c r="L149" s="69"/>
      <c r="M149" s="66"/>
      <c r="N149" s="66"/>
      <c r="O149" s="136" t="str">
        <f t="shared" si="61"/>
        <v/>
      </c>
      <c r="P149" s="65" t="str">
        <f t="shared" si="44"/>
        <v/>
      </c>
      <c r="Q149" s="70"/>
      <c r="R149" s="66"/>
      <c r="S149" s="65"/>
      <c r="T149" s="65"/>
      <c r="U149" s="65"/>
      <c r="V149" s="65"/>
      <c r="W149" s="65"/>
      <c r="X149" s="240"/>
      <c r="Y149" s="65"/>
      <c r="Z149" s="281"/>
      <c r="AA149" s="66"/>
      <c r="AB149" s="66"/>
      <c r="AC149" s="247"/>
      <c r="AD149" s="240" t="str">
        <f t="shared" si="45"/>
        <v/>
      </c>
      <c r="AE149" s="240"/>
      <c r="AF149" s="241"/>
      <c r="AG149" s="247"/>
      <c r="AH149" s="241"/>
      <c r="AI149" s="247"/>
      <c r="AJ149" s="231"/>
      <c r="AK149" s="240"/>
      <c r="AL149" s="241"/>
      <c r="AM149" s="65"/>
      <c r="AN149" s="241"/>
      <c r="AO149" s="65"/>
      <c r="AP149" s="66"/>
      <c r="AQ149" s="66"/>
      <c r="AR149" s="66"/>
      <c r="AS149" s="221"/>
      <c r="AT149" s="222">
        <f t="shared" si="60"/>
        <v>0</v>
      </c>
      <c r="AU149" s="223"/>
      <c r="AV149" s="99"/>
      <c r="AW149" s="100"/>
      <c r="AX149" s="100"/>
      <c r="AY149" s="100"/>
      <c r="AZ149" s="100"/>
      <c r="BA149" s="100"/>
      <c r="BB149" s="100"/>
      <c r="BC149" s="101"/>
      <c r="BD149" s="96"/>
      <c r="BE149" s="97"/>
      <c r="BF149" s="97"/>
      <c r="BG149" s="97"/>
      <c r="BH149" s="98"/>
      <c r="BI149" s="157" t="e">
        <f t="shared" si="46"/>
        <v>#REF!</v>
      </c>
      <c r="BJ149" s="158" t="e">
        <f>#REF!</f>
        <v>#REF!</v>
      </c>
      <c r="BK149" s="159" t="e">
        <f>#REF!</f>
        <v>#REF!</v>
      </c>
      <c r="BL149" s="181" t="e">
        <f t="shared" si="47"/>
        <v>#REF!</v>
      </c>
      <c r="BM149" s="182" t="e">
        <f t="shared" si="48"/>
        <v>#REF!</v>
      </c>
      <c r="BN149" s="182" t="e">
        <f t="shared" si="49"/>
        <v>#REF!</v>
      </c>
      <c r="BO149" s="182" t="e">
        <f t="shared" si="50"/>
        <v>#REF!</v>
      </c>
      <c r="BP149" s="182" t="e">
        <f t="shared" si="51"/>
        <v>#REF!</v>
      </c>
      <c r="BQ149" s="182" t="e">
        <f t="shared" si="52"/>
        <v>#REF!</v>
      </c>
      <c r="BR149" s="182" t="e">
        <f t="shared" si="53"/>
        <v>#REF!</v>
      </c>
      <c r="BS149" s="183" t="e">
        <f t="shared" si="54"/>
        <v>#REF!</v>
      </c>
      <c r="BT149" s="184" t="e">
        <f t="shared" si="55"/>
        <v>#REF!</v>
      </c>
      <c r="BU149" s="185" t="e">
        <f t="shared" si="56"/>
        <v>#REF!</v>
      </c>
      <c r="BV149" s="185" t="e">
        <f t="shared" si="57"/>
        <v>#REF!</v>
      </c>
      <c r="BW149" s="185" t="e">
        <f t="shared" si="58"/>
        <v>#REF!</v>
      </c>
      <c r="BX149" s="186" t="e">
        <f t="shared" si="59"/>
        <v>#REF!</v>
      </c>
      <c r="BY14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4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4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4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4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4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4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4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4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4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4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4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4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4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4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4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4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4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4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4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4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4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4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4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4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4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4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49" s="66"/>
      <c r="DA149" s="66"/>
      <c r="DB149" s="66"/>
      <c r="DC149" s="224" t="str">
        <f t="shared" si="43"/>
        <v/>
      </c>
      <c r="DD149" s="1">
        <f>IF($DC149="",0,IF(COUNTIF($DC$2:$DC148,$DC149)=0,1,0))</f>
        <v>0</v>
      </c>
    </row>
    <row r="150" spans="1:108" s="1" customFormat="1" x14ac:dyDescent="0.25">
      <c r="A150" s="64">
        <v>149</v>
      </c>
      <c r="B150" s="71"/>
      <c r="C150" s="72"/>
      <c r="D150" s="72"/>
      <c r="E150" s="72"/>
      <c r="F150" s="72"/>
      <c r="G150" s="66"/>
      <c r="H150" s="66"/>
      <c r="I150" s="66"/>
      <c r="J150" s="67"/>
      <c r="K150" s="68"/>
      <c r="L150" s="69"/>
      <c r="M150" s="66"/>
      <c r="N150" s="66"/>
      <c r="O150" s="136" t="str">
        <f t="shared" si="61"/>
        <v/>
      </c>
      <c r="P150" s="65" t="str">
        <f t="shared" si="44"/>
        <v/>
      </c>
      <c r="Q150" s="70"/>
      <c r="R150" s="66"/>
      <c r="S150" s="65"/>
      <c r="T150" s="65"/>
      <c r="U150" s="65"/>
      <c r="V150" s="65"/>
      <c r="W150" s="65"/>
      <c r="X150" s="240"/>
      <c r="Y150" s="65"/>
      <c r="Z150" s="281"/>
      <c r="AA150" s="66"/>
      <c r="AB150" s="66"/>
      <c r="AC150" s="247"/>
      <c r="AD150" s="240" t="str">
        <f t="shared" si="45"/>
        <v/>
      </c>
      <c r="AE150" s="240"/>
      <c r="AF150" s="241"/>
      <c r="AG150" s="247"/>
      <c r="AH150" s="241"/>
      <c r="AI150" s="247"/>
      <c r="AJ150" s="231"/>
      <c r="AK150" s="240"/>
      <c r="AL150" s="241"/>
      <c r="AM150" s="65"/>
      <c r="AN150" s="241"/>
      <c r="AO150" s="65"/>
      <c r="AP150" s="66"/>
      <c r="AQ150" s="66"/>
      <c r="AR150" s="66"/>
      <c r="AS150" s="221"/>
      <c r="AT150" s="222">
        <f t="shared" si="60"/>
        <v>0</v>
      </c>
      <c r="AU150" s="223"/>
      <c r="AV150" s="99"/>
      <c r="AW150" s="100"/>
      <c r="AX150" s="100"/>
      <c r="AY150" s="100"/>
      <c r="AZ150" s="100"/>
      <c r="BA150" s="100"/>
      <c r="BB150" s="100"/>
      <c r="BC150" s="101"/>
      <c r="BD150" s="96"/>
      <c r="BE150" s="97"/>
      <c r="BF150" s="97"/>
      <c r="BG150" s="97"/>
      <c r="BH150" s="98"/>
      <c r="BI150" s="157" t="e">
        <f t="shared" si="46"/>
        <v>#REF!</v>
      </c>
      <c r="BJ150" s="158" t="e">
        <f>#REF!</f>
        <v>#REF!</v>
      </c>
      <c r="BK150" s="159" t="e">
        <f>#REF!</f>
        <v>#REF!</v>
      </c>
      <c r="BL150" s="181" t="e">
        <f t="shared" si="47"/>
        <v>#REF!</v>
      </c>
      <c r="BM150" s="182" t="e">
        <f t="shared" si="48"/>
        <v>#REF!</v>
      </c>
      <c r="BN150" s="182" t="e">
        <f t="shared" si="49"/>
        <v>#REF!</v>
      </c>
      <c r="BO150" s="182" t="e">
        <f t="shared" si="50"/>
        <v>#REF!</v>
      </c>
      <c r="BP150" s="182" t="e">
        <f t="shared" si="51"/>
        <v>#REF!</v>
      </c>
      <c r="BQ150" s="182" t="e">
        <f t="shared" si="52"/>
        <v>#REF!</v>
      </c>
      <c r="BR150" s="182" t="e">
        <f t="shared" si="53"/>
        <v>#REF!</v>
      </c>
      <c r="BS150" s="183" t="e">
        <f t="shared" si="54"/>
        <v>#REF!</v>
      </c>
      <c r="BT150" s="184" t="e">
        <f t="shared" si="55"/>
        <v>#REF!</v>
      </c>
      <c r="BU150" s="185" t="e">
        <f t="shared" si="56"/>
        <v>#REF!</v>
      </c>
      <c r="BV150" s="185" t="e">
        <f t="shared" si="57"/>
        <v>#REF!</v>
      </c>
      <c r="BW150" s="185" t="e">
        <f t="shared" si="58"/>
        <v>#REF!</v>
      </c>
      <c r="BX150" s="186" t="e">
        <f t="shared" si="59"/>
        <v>#REF!</v>
      </c>
      <c r="BY15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0" s="66"/>
      <c r="DA150" s="66"/>
      <c r="DB150" s="66"/>
      <c r="DC150" s="224" t="str">
        <f t="shared" si="43"/>
        <v/>
      </c>
      <c r="DD150" s="1">
        <f>IF($DC150="",0,IF(COUNTIF($DC$2:$DC149,$DC150)=0,1,0))</f>
        <v>0</v>
      </c>
    </row>
    <row r="151" spans="1:108" s="1" customFormat="1" x14ac:dyDescent="0.25">
      <c r="A151" s="64">
        <v>150</v>
      </c>
      <c r="B151" s="71"/>
      <c r="C151" s="72"/>
      <c r="D151" s="72"/>
      <c r="E151" s="72"/>
      <c r="F151" s="72"/>
      <c r="G151" s="66"/>
      <c r="H151" s="66"/>
      <c r="I151" s="66"/>
      <c r="J151" s="67"/>
      <c r="K151" s="68"/>
      <c r="L151" s="69"/>
      <c r="M151" s="66"/>
      <c r="N151" s="66"/>
      <c r="O151" s="136" t="str">
        <f t="shared" si="61"/>
        <v/>
      </c>
      <c r="P151" s="65" t="str">
        <f t="shared" si="44"/>
        <v/>
      </c>
      <c r="Q151" s="70"/>
      <c r="R151" s="66"/>
      <c r="S151" s="65"/>
      <c r="T151" s="65"/>
      <c r="U151" s="65"/>
      <c r="V151" s="65"/>
      <c r="W151" s="65"/>
      <c r="X151" s="240"/>
      <c r="Y151" s="65"/>
      <c r="Z151" s="281"/>
      <c r="AA151" s="66"/>
      <c r="AB151" s="66"/>
      <c r="AC151" s="247"/>
      <c r="AD151" s="240" t="str">
        <f t="shared" si="45"/>
        <v/>
      </c>
      <c r="AE151" s="240"/>
      <c r="AF151" s="241"/>
      <c r="AG151" s="247"/>
      <c r="AH151" s="241"/>
      <c r="AI151" s="247"/>
      <c r="AJ151" s="231"/>
      <c r="AK151" s="240"/>
      <c r="AL151" s="241"/>
      <c r="AM151" s="65"/>
      <c r="AN151" s="241"/>
      <c r="AO151" s="65"/>
      <c r="AP151" s="66"/>
      <c r="AQ151" s="66"/>
      <c r="AR151" s="66"/>
      <c r="AS151" s="221"/>
      <c r="AT151" s="222">
        <f t="shared" si="60"/>
        <v>0</v>
      </c>
      <c r="AU151" s="223"/>
      <c r="AV151" s="99"/>
      <c r="AW151" s="100"/>
      <c r="AX151" s="100"/>
      <c r="AY151" s="100"/>
      <c r="AZ151" s="100"/>
      <c r="BA151" s="100"/>
      <c r="BB151" s="100"/>
      <c r="BC151" s="101"/>
      <c r="BD151" s="96"/>
      <c r="BE151" s="97"/>
      <c r="BF151" s="97"/>
      <c r="BG151" s="97"/>
      <c r="BH151" s="98"/>
      <c r="BI151" s="157" t="e">
        <f t="shared" si="46"/>
        <v>#REF!</v>
      </c>
      <c r="BJ151" s="158" t="e">
        <f>#REF!</f>
        <v>#REF!</v>
      </c>
      <c r="BK151" s="159" t="e">
        <f>#REF!</f>
        <v>#REF!</v>
      </c>
      <c r="BL151" s="181" t="e">
        <f t="shared" si="47"/>
        <v>#REF!</v>
      </c>
      <c r="BM151" s="182" t="e">
        <f t="shared" si="48"/>
        <v>#REF!</v>
      </c>
      <c r="BN151" s="182" t="e">
        <f t="shared" si="49"/>
        <v>#REF!</v>
      </c>
      <c r="BO151" s="182" t="e">
        <f t="shared" si="50"/>
        <v>#REF!</v>
      </c>
      <c r="BP151" s="182" t="e">
        <f t="shared" si="51"/>
        <v>#REF!</v>
      </c>
      <c r="BQ151" s="182" t="e">
        <f t="shared" si="52"/>
        <v>#REF!</v>
      </c>
      <c r="BR151" s="182" t="e">
        <f t="shared" si="53"/>
        <v>#REF!</v>
      </c>
      <c r="BS151" s="183" t="e">
        <f t="shared" si="54"/>
        <v>#REF!</v>
      </c>
      <c r="BT151" s="184" t="e">
        <f t="shared" si="55"/>
        <v>#REF!</v>
      </c>
      <c r="BU151" s="185" t="e">
        <f t="shared" si="56"/>
        <v>#REF!</v>
      </c>
      <c r="BV151" s="185" t="e">
        <f t="shared" si="57"/>
        <v>#REF!</v>
      </c>
      <c r="BW151" s="185" t="e">
        <f t="shared" si="58"/>
        <v>#REF!</v>
      </c>
      <c r="BX151" s="186" t="e">
        <f t="shared" si="59"/>
        <v>#REF!</v>
      </c>
      <c r="BY15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1" s="66"/>
      <c r="DA151" s="66"/>
      <c r="DB151" s="66"/>
      <c r="DC151" s="224" t="str">
        <f t="shared" si="43"/>
        <v/>
      </c>
      <c r="DD151" s="1">
        <f>IF($DC151="",0,IF(COUNTIF($DC$2:$DC150,$DC151)=0,1,0))</f>
        <v>0</v>
      </c>
    </row>
    <row r="152" spans="1:108" s="1" customFormat="1" x14ac:dyDescent="0.25">
      <c r="A152" s="64">
        <v>151</v>
      </c>
      <c r="B152" s="71"/>
      <c r="C152" s="72"/>
      <c r="D152" s="72"/>
      <c r="E152" s="72"/>
      <c r="F152" s="72"/>
      <c r="G152" s="66"/>
      <c r="H152" s="66"/>
      <c r="I152" s="66"/>
      <c r="J152" s="67"/>
      <c r="K152" s="68"/>
      <c r="L152" s="69"/>
      <c r="M152" s="66"/>
      <c r="N152" s="66"/>
      <c r="O152" s="136" t="str">
        <f t="shared" si="61"/>
        <v/>
      </c>
      <c r="P152" s="65" t="str">
        <f t="shared" si="44"/>
        <v/>
      </c>
      <c r="Q152" s="70"/>
      <c r="R152" s="66"/>
      <c r="S152" s="65"/>
      <c r="T152" s="65"/>
      <c r="U152" s="65"/>
      <c r="V152" s="65"/>
      <c r="W152" s="65"/>
      <c r="X152" s="240"/>
      <c r="Y152" s="65"/>
      <c r="Z152" s="281"/>
      <c r="AA152" s="66"/>
      <c r="AB152" s="66"/>
      <c r="AC152" s="247"/>
      <c r="AD152" s="240" t="str">
        <f t="shared" si="45"/>
        <v/>
      </c>
      <c r="AE152" s="240"/>
      <c r="AF152" s="241"/>
      <c r="AG152" s="247"/>
      <c r="AH152" s="241"/>
      <c r="AI152" s="247"/>
      <c r="AJ152" s="231"/>
      <c r="AK152" s="240"/>
      <c r="AL152" s="241"/>
      <c r="AM152" s="65"/>
      <c r="AN152" s="241"/>
      <c r="AO152" s="65"/>
      <c r="AP152" s="66"/>
      <c r="AQ152" s="66"/>
      <c r="AR152" s="66"/>
      <c r="AS152" s="221"/>
      <c r="AT152" s="222">
        <f t="shared" si="60"/>
        <v>0</v>
      </c>
      <c r="AU152" s="223"/>
      <c r="AV152" s="99"/>
      <c r="AW152" s="100"/>
      <c r="AX152" s="100"/>
      <c r="AY152" s="100"/>
      <c r="AZ152" s="100"/>
      <c r="BA152" s="100"/>
      <c r="BB152" s="100"/>
      <c r="BC152" s="101"/>
      <c r="BD152" s="96"/>
      <c r="BE152" s="97"/>
      <c r="BF152" s="97"/>
      <c r="BG152" s="97"/>
      <c r="BH152" s="98"/>
      <c r="BI152" s="157" t="e">
        <f t="shared" si="46"/>
        <v>#REF!</v>
      </c>
      <c r="BJ152" s="158" t="e">
        <f>#REF!</f>
        <v>#REF!</v>
      </c>
      <c r="BK152" s="159" t="e">
        <f>#REF!</f>
        <v>#REF!</v>
      </c>
      <c r="BL152" s="181" t="e">
        <f t="shared" si="47"/>
        <v>#REF!</v>
      </c>
      <c r="BM152" s="182" t="e">
        <f t="shared" si="48"/>
        <v>#REF!</v>
      </c>
      <c r="BN152" s="182" t="e">
        <f t="shared" si="49"/>
        <v>#REF!</v>
      </c>
      <c r="BO152" s="182" t="e">
        <f t="shared" si="50"/>
        <v>#REF!</v>
      </c>
      <c r="BP152" s="182" t="e">
        <f t="shared" si="51"/>
        <v>#REF!</v>
      </c>
      <c r="BQ152" s="182" t="e">
        <f t="shared" si="52"/>
        <v>#REF!</v>
      </c>
      <c r="BR152" s="182" t="e">
        <f t="shared" si="53"/>
        <v>#REF!</v>
      </c>
      <c r="BS152" s="183" t="e">
        <f t="shared" si="54"/>
        <v>#REF!</v>
      </c>
      <c r="BT152" s="184" t="e">
        <f t="shared" si="55"/>
        <v>#REF!</v>
      </c>
      <c r="BU152" s="185" t="e">
        <f t="shared" si="56"/>
        <v>#REF!</v>
      </c>
      <c r="BV152" s="185" t="e">
        <f t="shared" si="57"/>
        <v>#REF!</v>
      </c>
      <c r="BW152" s="185" t="e">
        <f t="shared" si="58"/>
        <v>#REF!</v>
      </c>
      <c r="BX152" s="186" t="e">
        <f t="shared" si="59"/>
        <v>#REF!</v>
      </c>
      <c r="BY15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2" s="66"/>
      <c r="DA152" s="66"/>
      <c r="DB152" s="66"/>
      <c r="DC152" s="224" t="str">
        <f t="shared" si="43"/>
        <v/>
      </c>
      <c r="DD152" s="1">
        <f>IF($DC152="",0,IF(COUNTIF($DC$2:$DC151,$DC152)=0,1,0))</f>
        <v>0</v>
      </c>
    </row>
    <row r="153" spans="1:108" s="1" customFormat="1" x14ac:dyDescent="0.25">
      <c r="A153" s="64">
        <v>152</v>
      </c>
      <c r="B153" s="71"/>
      <c r="C153" s="72"/>
      <c r="D153" s="72"/>
      <c r="E153" s="72"/>
      <c r="F153" s="72"/>
      <c r="G153" s="66"/>
      <c r="H153" s="66"/>
      <c r="I153" s="66"/>
      <c r="J153" s="67"/>
      <c r="K153" s="68"/>
      <c r="L153" s="69"/>
      <c r="M153" s="66"/>
      <c r="N153" s="66"/>
      <c r="O153" s="136" t="str">
        <f t="shared" si="61"/>
        <v/>
      </c>
      <c r="P153" s="65" t="str">
        <f t="shared" si="44"/>
        <v/>
      </c>
      <c r="Q153" s="70"/>
      <c r="R153" s="66"/>
      <c r="S153" s="65"/>
      <c r="T153" s="65"/>
      <c r="U153" s="65"/>
      <c r="V153" s="65"/>
      <c r="W153" s="65"/>
      <c r="X153" s="240"/>
      <c r="Y153" s="65"/>
      <c r="Z153" s="281"/>
      <c r="AA153" s="66"/>
      <c r="AB153" s="66"/>
      <c r="AC153" s="247"/>
      <c r="AD153" s="240" t="str">
        <f t="shared" si="45"/>
        <v/>
      </c>
      <c r="AE153" s="240"/>
      <c r="AF153" s="241"/>
      <c r="AG153" s="247"/>
      <c r="AH153" s="241"/>
      <c r="AI153" s="247"/>
      <c r="AJ153" s="231"/>
      <c r="AK153" s="240"/>
      <c r="AL153" s="241"/>
      <c r="AM153" s="65"/>
      <c r="AN153" s="241"/>
      <c r="AO153" s="65"/>
      <c r="AP153" s="66"/>
      <c r="AQ153" s="66"/>
      <c r="AR153" s="66"/>
      <c r="AS153" s="221"/>
      <c r="AT153" s="222">
        <f t="shared" si="60"/>
        <v>0</v>
      </c>
      <c r="AU153" s="223"/>
      <c r="AV153" s="99"/>
      <c r="AW153" s="100"/>
      <c r="AX153" s="100"/>
      <c r="AY153" s="100"/>
      <c r="AZ153" s="100"/>
      <c r="BA153" s="100"/>
      <c r="BB153" s="100"/>
      <c r="BC153" s="101"/>
      <c r="BD153" s="96"/>
      <c r="BE153" s="97"/>
      <c r="BF153" s="97"/>
      <c r="BG153" s="97"/>
      <c r="BH153" s="98"/>
      <c r="BI153" s="157" t="e">
        <f t="shared" si="46"/>
        <v>#REF!</v>
      </c>
      <c r="BJ153" s="158" t="e">
        <f>#REF!</f>
        <v>#REF!</v>
      </c>
      <c r="BK153" s="159" t="e">
        <f>#REF!</f>
        <v>#REF!</v>
      </c>
      <c r="BL153" s="181" t="e">
        <f t="shared" si="47"/>
        <v>#REF!</v>
      </c>
      <c r="BM153" s="182" t="e">
        <f t="shared" si="48"/>
        <v>#REF!</v>
      </c>
      <c r="BN153" s="182" t="e">
        <f t="shared" si="49"/>
        <v>#REF!</v>
      </c>
      <c r="BO153" s="182" t="e">
        <f t="shared" si="50"/>
        <v>#REF!</v>
      </c>
      <c r="BP153" s="182" t="e">
        <f t="shared" si="51"/>
        <v>#REF!</v>
      </c>
      <c r="BQ153" s="182" t="e">
        <f t="shared" si="52"/>
        <v>#REF!</v>
      </c>
      <c r="BR153" s="182" t="e">
        <f t="shared" si="53"/>
        <v>#REF!</v>
      </c>
      <c r="BS153" s="183" t="e">
        <f t="shared" si="54"/>
        <v>#REF!</v>
      </c>
      <c r="BT153" s="184" t="e">
        <f t="shared" si="55"/>
        <v>#REF!</v>
      </c>
      <c r="BU153" s="185" t="e">
        <f t="shared" si="56"/>
        <v>#REF!</v>
      </c>
      <c r="BV153" s="185" t="e">
        <f t="shared" si="57"/>
        <v>#REF!</v>
      </c>
      <c r="BW153" s="185" t="e">
        <f t="shared" si="58"/>
        <v>#REF!</v>
      </c>
      <c r="BX153" s="186" t="e">
        <f t="shared" si="59"/>
        <v>#REF!</v>
      </c>
      <c r="BY15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3" s="66"/>
      <c r="DA153" s="66"/>
      <c r="DB153" s="66"/>
      <c r="DC153" s="224" t="str">
        <f t="shared" si="43"/>
        <v/>
      </c>
      <c r="DD153" s="1">
        <f>IF($DC153="",0,IF(COUNTIF($DC$2:$DC152,$DC153)=0,1,0))</f>
        <v>0</v>
      </c>
    </row>
    <row r="154" spans="1:108" s="1" customFormat="1" x14ac:dyDescent="0.25">
      <c r="A154" s="64">
        <v>153</v>
      </c>
      <c r="B154" s="71"/>
      <c r="C154" s="72"/>
      <c r="D154" s="72"/>
      <c r="E154" s="72"/>
      <c r="F154" s="72"/>
      <c r="G154" s="66"/>
      <c r="H154" s="66"/>
      <c r="I154" s="66"/>
      <c r="J154" s="67"/>
      <c r="K154" s="68"/>
      <c r="L154" s="69"/>
      <c r="M154" s="66"/>
      <c r="N154" s="66"/>
      <c r="O154" s="136" t="str">
        <f t="shared" si="61"/>
        <v/>
      </c>
      <c r="P154" s="65" t="str">
        <f t="shared" si="44"/>
        <v/>
      </c>
      <c r="Q154" s="70"/>
      <c r="R154" s="66"/>
      <c r="S154" s="65"/>
      <c r="T154" s="65"/>
      <c r="U154" s="65"/>
      <c r="V154" s="65"/>
      <c r="W154" s="65"/>
      <c r="X154" s="240"/>
      <c r="Y154" s="65"/>
      <c r="Z154" s="281"/>
      <c r="AA154" s="66"/>
      <c r="AB154" s="66"/>
      <c r="AC154" s="247"/>
      <c r="AD154" s="240" t="str">
        <f t="shared" si="45"/>
        <v/>
      </c>
      <c r="AE154" s="240"/>
      <c r="AF154" s="241"/>
      <c r="AG154" s="247"/>
      <c r="AH154" s="241"/>
      <c r="AI154" s="247"/>
      <c r="AJ154" s="231"/>
      <c r="AK154" s="240"/>
      <c r="AL154" s="241"/>
      <c r="AM154" s="65"/>
      <c r="AN154" s="241"/>
      <c r="AO154" s="65"/>
      <c r="AP154" s="66"/>
      <c r="AQ154" s="66"/>
      <c r="AR154" s="66"/>
      <c r="AS154" s="221"/>
      <c r="AT154" s="222">
        <f t="shared" si="60"/>
        <v>0</v>
      </c>
      <c r="AU154" s="223"/>
      <c r="AV154" s="99"/>
      <c r="AW154" s="100"/>
      <c r="AX154" s="100"/>
      <c r="AY154" s="100"/>
      <c r="AZ154" s="100"/>
      <c r="BA154" s="100"/>
      <c r="BB154" s="100"/>
      <c r="BC154" s="101"/>
      <c r="BD154" s="96"/>
      <c r="BE154" s="97"/>
      <c r="BF154" s="97"/>
      <c r="BG154" s="97"/>
      <c r="BH154" s="98"/>
      <c r="BI154" s="157" t="e">
        <f t="shared" si="46"/>
        <v>#REF!</v>
      </c>
      <c r="BJ154" s="158" t="e">
        <f>#REF!</f>
        <v>#REF!</v>
      </c>
      <c r="BK154" s="159" t="e">
        <f>#REF!</f>
        <v>#REF!</v>
      </c>
      <c r="BL154" s="181" t="e">
        <f t="shared" si="47"/>
        <v>#REF!</v>
      </c>
      <c r="BM154" s="182" t="e">
        <f t="shared" si="48"/>
        <v>#REF!</v>
      </c>
      <c r="BN154" s="182" t="e">
        <f t="shared" si="49"/>
        <v>#REF!</v>
      </c>
      <c r="BO154" s="182" t="e">
        <f t="shared" si="50"/>
        <v>#REF!</v>
      </c>
      <c r="BP154" s="182" t="e">
        <f t="shared" si="51"/>
        <v>#REF!</v>
      </c>
      <c r="BQ154" s="182" t="e">
        <f t="shared" si="52"/>
        <v>#REF!</v>
      </c>
      <c r="BR154" s="182" t="e">
        <f t="shared" si="53"/>
        <v>#REF!</v>
      </c>
      <c r="BS154" s="183" t="e">
        <f t="shared" si="54"/>
        <v>#REF!</v>
      </c>
      <c r="BT154" s="184" t="e">
        <f t="shared" si="55"/>
        <v>#REF!</v>
      </c>
      <c r="BU154" s="185" t="e">
        <f t="shared" si="56"/>
        <v>#REF!</v>
      </c>
      <c r="BV154" s="185" t="e">
        <f t="shared" si="57"/>
        <v>#REF!</v>
      </c>
      <c r="BW154" s="185" t="e">
        <f t="shared" si="58"/>
        <v>#REF!</v>
      </c>
      <c r="BX154" s="186" t="e">
        <f t="shared" si="59"/>
        <v>#REF!</v>
      </c>
      <c r="BY15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4" s="66"/>
      <c r="DA154" s="66"/>
      <c r="DB154" s="66"/>
      <c r="DC154" s="224" t="str">
        <f t="shared" si="43"/>
        <v/>
      </c>
      <c r="DD154" s="1">
        <f>IF($DC154="",0,IF(COUNTIF($DC$2:$DC153,$DC154)=0,1,0))</f>
        <v>0</v>
      </c>
    </row>
    <row r="155" spans="1:108" s="1" customFormat="1" x14ac:dyDescent="0.25">
      <c r="A155" s="64">
        <v>154</v>
      </c>
      <c r="B155" s="71"/>
      <c r="C155" s="72"/>
      <c r="D155" s="72"/>
      <c r="E155" s="72"/>
      <c r="F155" s="72"/>
      <c r="G155" s="66"/>
      <c r="H155" s="66"/>
      <c r="I155" s="66"/>
      <c r="J155" s="67"/>
      <c r="K155" s="68"/>
      <c r="L155" s="69"/>
      <c r="M155" s="66"/>
      <c r="N155" s="66"/>
      <c r="O155" s="136" t="str">
        <f t="shared" si="61"/>
        <v/>
      </c>
      <c r="P155" s="65" t="str">
        <f t="shared" si="44"/>
        <v/>
      </c>
      <c r="Q155" s="70"/>
      <c r="R155" s="66"/>
      <c r="S155" s="65"/>
      <c r="T155" s="65"/>
      <c r="U155" s="65"/>
      <c r="V155" s="65"/>
      <c r="W155" s="65"/>
      <c r="X155" s="240"/>
      <c r="Y155" s="65"/>
      <c r="Z155" s="281"/>
      <c r="AA155" s="66"/>
      <c r="AB155" s="66"/>
      <c r="AC155" s="247"/>
      <c r="AD155" s="240" t="str">
        <f t="shared" si="45"/>
        <v/>
      </c>
      <c r="AE155" s="240"/>
      <c r="AF155" s="241"/>
      <c r="AG155" s="247"/>
      <c r="AH155" s="241"/>
      <c r="AI155" s="247"/>
      <c r="AJ155" s="231"/>
      <c r="AK155" s="240"/>
      <c r="AL155" s="241"/>
      <c r="AM155" s="65"/>
      <c r="AN155" s="241"/>
      <c r="AO155" s="65"/>
      <c r="AP155" s="66"/>
      <c r="AQ155" s="66"/>
      <c r="AR155" s="66"/>
      <c r="AS155" s="221"/>
      <c r="AT155" s="222">
        <f t="shared" si="60"/>
        <v>0</v>
      </c>
      <c r="AU155" s="223"/>
      <c r="AV155" s="99"/>
      <c r="AW155" s="100"/>
      <c r="AX155" s="100"/>
      <c r="AY155" s="100"/>
      <c r="AZ155" s="100"/>
      <c r="BA155" s="100"/>
      <c r="BB155" s="100"/>
      <c r="BC155" s="101"/>
      <c r="BD155" s="96"/>
      <c r="BE155" s="97"/>
      <c r="BF155" s="97"/>
      <c r="BG155" s="97"/>
      <c r="BH155" s="98"/>
      <c r="BI155" s="157" t="e">
        <f t="shared" si="46"/>
        <v>#REF!</v>
      </c>
      <c r="BJ155" s="158" t="e">
        <f>#REF!</f>
        <v>#REF!</v>
      </c>
      <c r="BK155" s="159" t="e">
        <f>#REF!</f>
        <v>#REF!</v>
      </c>
      <c r="BL155" s="181" t="e">
        <f t="shared" si="47"/>
        <v>#REF!</v>
      </c>
      <c r="BM155" s="182" t="e">
        <f t="shared" si="48"/>
        <v>#REF!</v>
      </c>
      <c r="BN155" s="182" t="e">
        <f t="shared" si="49"/>
        <v>#REF!</v>
      </c>
      <c r="BO155" s="182" t="e">
        <f t="shared" si="50"/>
        <v>#REF!</v>
      </c>
      <c r="BP155" s="182" t="e">
        <f t="shared" si="51"/>
        <v>#REF!</v>
      </c>
      <c r="BQ155" s="182" t="e">
        <f t="shared" si="52"/>
        <v>#REF!</v>
      </c>
      <c r="BR155" s="182" t="e">
        <f t="shared" si="53"/>
        <v>#REF!</v>
      </c>
      <c r="BS155" s="183" t="e">
        <f t="shared" si="54"/>
        <v>#REF!</v>
      </c>
      <c r="BT155" s="184" t="e">
        <f t="shared" si="55"/>
        <v>#REF!</v>
      </c>
      <c r="BU155" s="185" t="e">
        <f t="shared" si="56"/>
        <v>#REF!</v>
      </c>
      <c r="BV155" s="185" t="e">
        <f t="shared" si="57"/>
        <v>#REF!</v>
      </c>
      <c r="BW155" s="185" t="e">
        <f t="shared" si="58"/>
        <v>#REF!</v>
      </c>
      <c r="BX155" s="186" t="e">
        <f t="shared" si="59"/>
        <v>#REF!</v>
      </c>
      <c r="BY15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5" s="66"/>
      <c r="DA155" s="66"/>
      <c r="DB155" s="66"/>
      <c r="DC155" s="224" t="str">
        <f t="shared" si="43"/>
        <v/>
      </c>
      <c r="DD155" s="1">
        <f>IF($DC155="",0,IF(COUNTIF($DC$2:$DC154,$DC155)=0,1,0))</f>
        <v>0</v>
      </c>
    </row>
    <row r="156" spans="1:108" s="1" customFormat="1" x14ac:dyDescent="0.25">
      <c r="A156" s="64">
        <v>155</v>
      </c>
      <c r="B156" s="71"/>
      <c r="C156" s="72"/>
      <c r="D156" s="72"/>
      <c r="E156" s="72"/>
      <c r="F156" s="72"/>
      <c r="G156" s="66"/>
      <c r="H156" s="66"/>
      <c r="I156" s="66"/>
      <c r="J156" s="67"/>
      <c r="K156" s="68"/>
      <c r="L156" s="69"/>
      <c r="M156" s="66"/>
      <c r="N156" s="66"/>
      <c r="O156" s="136" t="str">
        <f t="shared" si="61"/>
        <v/>
      </c>
      <c r="P156" s="65" t="str">
        <f t="shared" si="44"/>
        <v/>
      </c>
      <c r="Q156" s="70"/>
      <c r="R156" s="66"/>
      <c r="S156" s="65"/>
      <c r="T156" s="65"/>
      <c r="U156" s="65"/>
      <c r="V156" s="65"/>
      <c r="W156" s="65"/>
      <c r="X156" s="240"/>
      <c r="Y156" s="65"/>
      <c r="Z156" s="281"/>
      <c r="AA156" s="66"/>
      <c r="AB156" s="66"/>
      <c r="AC156" s="247"/>
      <c r="AD156" s="240" t="str">
        <f t="shared" si="45"/>
        <v/>
      </c>
      <c r="AE156" s="240"/>
      <c r="AF156" s="241"/>
      <c r="AG156" s="247"/>
      <c r="AH156" s="241"/>
      <c r="AI156" s="247"/>
      <c r="AJ156" s="231"/>
      <c r="AK156" s="240"/>
      <c r="AL156" s="241"/>
      <c r="AM156" s="65"/>
      <c r="AN156" s="241"/>
      <c r="AO156" s="65"/>
      <c r="AP156" s="66"/>
      <c r="AQ156" s="66"/>
      <c r="AR156" s="66"/>
      <c r="AS156" s="221"/>
      <c r="AT156" s="222">
        <f t="shared" si="60"/>
        <v>0</v>
      </c>
      <c r="AU156" s="223"/>
      <c r="AV156" s="99"/>
      <c r="AW156" s="100"/>
      <c r="AX156" s="100"/>
      <c r="AY156" s="100"/>
      <c r="AZ156" s="100"/>
      <c r="BA156" s="100"/>
      <c r="BB156" s="100"/>
      <c r="BC156" s="101"/>
      <c r="BD156" s="96"/>
      <c r="BE156" s="97"/>
      <c r="BF156" s="97"/>
      <c r="BG156" s="97"/>
      <c r="BH156" s="98"/>
      <c r="BI156" s="157" t="e">
        <f t="shared" si="46"/>
        <v>#REF!</v>
      </c>
      <c r="BJ156" s="158" t="e">
        <f>#REF!</f>
        <v>#REF!</v>
      </c>
      <c r="BK156" s="159" t="e">
        <f>#REF!</f>
        <v>#REF!</v>
      </c>
      <c r="BL156" s="181" t="e">
        <f t="shared" si="47"/>
        <v>#REF!</v>
      </c>
      <c r="BM156" s="182" t="e">
        <f t="shared" si="48"/>
        <v>#REF!</v>
      </c>
      <c r="BN156" s="182" t="e">
        <f t="shared" si="49"/>
        <v>#REF!</v>
      </c>
      <c r="BO156" s="182" t="e">
        <f t="shared" si="50"/>
        <v>#REF!</v>
      </c>
      <c r="BP156" s="182" t="e">
        <f t="shared" si="51"/>
        <v>#REF!</v>
      </c>
      <c r="BQ156" s="182" t="e">
        <f t="shared" si="52"/>
        <v>#REF!</v>
      </c>
      <c r="BR156" s="182" t="e">
        <f t="shared" si="53"/>
        <v>#REF!</v>
      </c>
      <c r="BS156" s="183" t="e">
        <f t="shared" si="54"/>
        <v>#REF!</v>
      </c>
      <c r="BT156" s="184" t="e">
        <f t="shared" si="55"/>
        <v>#REF!</v>
      </c>
      <c r="BU156" s="185" t="e">
        <f t="shared" si="56"/>
        <v>#REF!</v>
      </c>
      <c r="BV156" s="185" t="e">
        <f t="shared" si="57"/>
        <v>#REF!</v>
      </c>
      <c r="BW156" s="185" t="e">
        <f t="shared" si="58"/>
        <v>#REF!</v>
      </c>
      <c r="BX156" s="186" t="e">
        <f t="shared" si="59"/>
        <v>#REF!</v>
      </c>
      <c r="BY15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6" s="66"/>
      <c r="DA156" s="66"/>
      <c r="DB156" s="66"/>
      <c r="DC156" s="224" t="str">
        <f t="shared" si="43"/>
        <v/>
      </c>
      <c r="DD156" s="1">
        <f>IF($DC156="",0,IF(COUNTIF($DC$2:$DC155,$DC156)=0,1,0))</f>
        <v>0</v>
      </c>
    </row>
    <row r="157" spans="1:108" s="1" customFormat="1" x14ac:dyDescent="0.25">
      <c r="A157" s="64">
        <v>156</v>
      </c>
      <c r="B157" s="71"/>
      <c r="C157" s="72"/>
      <c r="D157" s="72"/>
      <c r="E157" s="72"/>
      <c r="F157" s="72"/>
      <c r="G157" s="66"/>
      <c r="H157" s="66"/>
      <c r="I157" s="66"/>
      <c r="J157" s="67"/>
      <c r="K157" s="68"/>
      <c r="L157" s="69"/>
      <c r="M157" s="66"/>
      <c r="N157" s="66"/>
      <c r="O157" s="136" t="str">
        <f t="shared" si="61"/>
        <v/>
      </c>
      <c r="P157" s="65" t="str">
        <f t="shared" si="44"/>
        <v/>
      </c>
      <c r="Q157" s="70"/>
      <c r="R157" s="66"/>
      <c r="S157" s="65"/>
      <c r="T157" s="65"/>
      <c r="U157" s="65"/>
      <c r="V157" s="65"/>
      <c r="W157" s="65"/>
      <c r="X157" s="240"/>
      <c r="Y157" s="65"/>
      <c r="Z157" s="281"/>
      <c r="AA157" s="66"/>
      <c r="AB157" s="66"/>
      <c r="AC157" s="247"/>
      <c r="AD157" s="240" t="str">
        <f t="shared" si="45"/>
        <v/>
      </c>
      <c r="AE157" s="240"/>
      <c r="AF157" s="241"/>
      <c r="AG157" s="247"/>
      <c r="AH157" s="241"/>
      <c r="AI157" s="247"/>
      <c r="AJ157" s="231"/>
      <c r="AK157" s="240"/>
      <c r="AL157" s="241"/>
      <c r="AM157" s="65"/>
      <c r="AN157" s="241"/>
      <c r="AO157" s="65"/>
      <c r="AP157" s="66"/>
      <c r="AQ157" s="66"/>
      <c r="AR157" s="66"/>
      <c r="AS157" s="221"/>
      <c r="AT157" s="222">
        <f t="shared" si="60"/>
        <v>0</v>
      </c>
      <c r="AU157" s="223"/>
      <c r="AV157" s="99"/>
      <c r="AW157" s="100"/>
      <c r="AX157" s="100"/>
      <c r="AY157" s="100"/>
      <c r="AZ157" s="100"/>
      <c r="BA157" s="100"/>
      <c r="BB157" s="100"/>
      <c r="BC157" s="101"/>
      <c r="BD157" s="96"/>
      <c r="BE157" s="97"/>
      <c r="BF157" s="97"/>
      <c r="BG157" s="97"/>
      <c r="BH157" s="98"/>
      <c r="BI157" s="157" t="e">
        <f t="shared" si="46"/>
        <v>#REF!</v>
      </c>
      <c r="BJ157" s="158" t="e">
        <f>#REF!</f>
        <v>#REF!</v>
      </c>
      <c r="BK157" s="159" t="e">
        <f>#REF!</f>
        <v>#REF!</v>
      </c>
      <c r="BL157" s="181" t="e">
        <f t="shared" si="47"/>
        <v>#REF!</v>
      </c>
      <c r="BM157" s="182" t="e">
        <f t="shared" si="48"/>
        <v>#REF!</v>
      </c>
      <c r="BN157" s="182" t="e">
        <f t="shared" si="49"/>
        <v>#REF!</v>
      </c>
      <c r="BO157" s="182" t="e">
        <f t="shared" si="50"/>
        <v>#REF!</v>
      </c>
      <c r="BP157" s="182" t="e">
        <f t="shared" si="51"/>
        <v>#REF!</v>
      </c>
      <c r="BQ157" s="182" t="e">
        <f t="shared" si="52"/>
        <v>#REF!</v>
      </c>
      <c r="BR157" s="182" t="e">
        <f t="shared" si="53"/>
        <v>#REF!</v>
      </c>
      <c r="BS157" s="183" t="e">
        <f t="shared" si="54"/>
        <v>#REF!</v>
      </c>
      <c r="BT157" s="184" t="e">
        <f t="shared" si="55"/>
        <v>#REF!</v>
      </c>
      <c r="BU157" s="185" t="e">
        <f t="shared" si="56"/>
        <v>#REF!</v>
      </c>
      <c r="BV157" s="185" t="e">
        <f t="shared" si="57"/>
        <v>#REF!</v>
      </c>
      <c r="BW157" s="185" t="e">
        <f t="shared" si="58"/>
        <v>#REF!</v>
      </c>
      <c r="BX157" s="186" t="e">
        <f t="shared" si="59"/>
        <v>#REF!</v>
      </c>
      <c r="BY15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7" s="66"/>
      <c r="DA157" s="66"/>
      <c r="DB157" s="66"/>
      <c r="DC157" s="224" t="str">
        <f t="shared" si="43"/>
        <v/>
      </c>
      <c r="DD157" s="1">
        <f>IF($DC157="",0,IF(COUNTIF($DC$2:$DC156,$DC157)=0,1,0))</f>
        <v>0</v>
      </c>
    </row>
    <row r="158" spans="1:108" s="1" customFormat="1" x14ac:dyDescent="0.25">
      <c r="A158" s="64">
        <v>157</v>
      </c>
      <c r="B158" s="71"/>
      <c r="C158" s="72"/>
      <c r="D158" s="72"/>
      <c r="E158" s="72"/>
      <c r="F158" s="72"/>
      <c r="G158" s="66"/>
      <c r="H158" s="66"/>
      <c r="I158" s="66"/>
      <c r="J158" s="67"/>
      <c r="K158" s="68"/>
      <c r="L158" s="69"/>
      <c r="M158" s="66"/>
      <c r="N158" s="66"/>
      <c r="O158" s="136" t="str">
        <f t="shared" si="61"/>
        <v/>
      </c>
      <c r="P158" s="65" t="str">
        <f t="shared" si="44"/>
        <v/>
      </c>
      <c r="Q158" s="70"/>
      <c r="R158" s="66"/>
      <c r="S158" s="65"/>
      <c r="T158" s="65"/>
      <c r="U158" s="65"/>
      <c r="V158" s="65"/>
      <c r="W158" s="65"/>
      <c r="X158" s="240"/>
      <c r="Y158" s="65"/>
      <c r="Z158" s="281"/>
      <c r="AA158" s="66"/>
      <c r="AB158" s="66"/>
      <c r="AC158" s="247"/>
      <c r="AD158" s="240" t="str">
        <f t="shared" si="45"/>
        <v/>
      </c>
      <c r="AE158" s="240"/>
      <c r="AF158" s="241"/>
      <c r="AG158" s="247"/>
      <c r="AH158" s="241"/>
      <c r="AI158" s="247"/>
      <c r="AJ158" s="231"/>
      <c r="AK158" s="240"/>
      <c r="AL158" s="241"/>
      <c r="AM158" s="65"/>
      <c r="AN158" s="241"/>
      <c r="AO158" s="65"/>
      <c r="AP158" s="66"/>
      <c r="AQ158" s="66"/>
      <c r="AR158" s="66"/>
      <c r="AS158" s="221"/>
      <c r="AT158" s="222">
        <f t="shared" si="60"/>
        <v>0</v>
      </c>
      <c r="AU158" s="223"/>
      <c r="AV158" s="99"/>
      <c r="AW158" s="100"/>
      <c r="AX158" s="100"/>
      <c r="AY158" s="100"/>
      <c r="AZ158" s="100"/>
      <c r="BA158" s="100"/>
      <c r="BB158" s="100"/>
      <c r="BC158" s="101"/>
      <c r="BD158" s="96"/>
      <c r="BE158" s="97"/>
      <c r="BF158" s="97"/>
      <c r="BG158" s="97"/>
      <c r="BH158" s="98"/>
      <c r="BI158" s="157" t="e">
        <f t="shared" si="46"/>
        <v>#REF!</v>
      </c>
      <c r="BJ158" s="158" t="e">
        <f>#REF!</f>
        <v>#REF!</v>
      </c>
      <c r="BK158" s="159" t="e">
        <f>#REF!</f>
        <v>#REF!</v>
      </c>
      <c r="BL158" s="181" t="e">
        <f t="shared" si="47"/>
        <v>#REF!</v>
      </c>
      <c r="BM158" s="182" t="e">
        <f t="shared" si="48"/>
        <v>#REF!</v>
      </c>
      <c r="BN158" s="182" t="e">
        <f t="shared" si="49"/>
        <v>#REF!</v>
      </c>
      <c r="BO158" s="182" t="e">
        <f t="shared" si="50"/>
        <v>#REF!</v>
      </c>
      <c r="BP158" s="182" t="e">
        <f t="shared" si="51"/>
        <v>#REF!</v>
      </c>
      <c r="BQ158" s="182" t="e">
        <f t="shared" si="52"/>
        <v>#REF!</v>
      </c>
      <c r="BR158" s="182" t="e">
        <f t="shared" si="53"/>
        <v>#REF!</v>
      </c>
      <c r="BS158" s="183" t="e">
        <f t="shared" si="54"/>
        <v>#REF!</v>
      </c>
      <c r="BT158" s="184" t="e">
        <f t="shared" si="55"/>
        <v>#REF!</v>
      </c>
      <c r="BU158" s="185" t="e">
        <f t="shared" si="56"/>
        <v>#REF!</v>
      </c>
      <c r="BV158" s="185" t="e">
        <f t="shared" si="57"/>
        <v>#REF!</v>
      </c>
      <c r="BW158" s="185" t="e">
        <f t="shared" si="58"/>
        <v>#REF!</v>
      </c>
      <c r="BX158" s="186" t="e">
        <f t="shared" si="59"/>
        <v>#REF!</v>
      </c>
      <c r="BY15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8" s="66"/>
      <c r="DA158" s="66"/>
      <c r="DB158" s="66"/>
      <c r="DC158" s="224" t="str">
        <f t="shared" si="43"/>
        <v/>
      </c>
      <c r="DD158" s="1">
        <f>IF($DC158="",0,IF(COUNTIF($DC$2:$DC157,$DC158)=0,1,0))</f>
        <v>0</v>
      </c>
    </row>
    <row r="159" spans="1:108" s="1" customFormat="1" x14ac:dyDescent="0.25">
      <c r="A159" s="64">
        <v>158</v>
      </c>
      <c r="B159" s="71"/>
      <c r="C159" s="72"/>
      <c r="D159" s="72"/>
      <c r="E159" s="72"/>
      <c r="F159" s="72"/>
      <c r="G159" s="66"/>
      <c r="H159" s="66"/>
      <c r="I159" s="66"/>
      <c r="J159" s="67"/>
      <c r="K159" s="68"/>
      <c r="L159" s="69"/>
      <c r="M159" s="66"/>
      <c r="N159" s="66"/>
      <c r="O159" s="136" t="str">
        <f t="shared" si="61"/>
        <v/>
      </c>
      <c r="P159" s="65" t="str">
        <f t="shared" si="44"/>
        <v/>
      </c>
      <c r="Q159" s="70"/>
      <c r="R159" s="66"/>
      <c r="S159" s="65"/>
      <c r="T159" s="65"/>
      <c r="U159" s="65"/>
      <c r="V159" s="65"/>
      <c r="W159" s="65"/>
      <c r="X159" s="240"/>
      <c r="Y159" s="65"/>
      <c r="Z159" s="281"/>
      <c r="AA159" s="66"/>
      <c r="AB159" s="66"/>
      <c r="AC159" s="247"/>
      <c r="AD159" s="240" t="str">
        <f t="shared" si="45"/>
        <v/>
      </c>
      <c r="AE159" s="240"/>
      <c r="AF159" s="241"/>
      <c r="AG159" s="247"/>
      <c r="AH159" s="241"/>
      <c r="AI159" s="247"/>
      <c r="AJ159" s="231"/>
      <c r="AK159" s="240"/>
      <c r="AL159" s="241"/>
      <c r="AM159" s="65"/>
      <c r="AN159" s="241"/>
      <c r="AO159" s="65"/>
      <c r="AP159" s="66"/>
      <c r="AQ159" s="66"/>
      <c r="AR159" s="66"/>
      <c r="AS159" s="221"/>
      <c r="AT159" s="222">
        <f t="shared" si="60"/>
        <v>0</v>
      </c>
      <c r="AU159" s="223"/>
      <c r="AV159" s="99"/>
      <c r="AW159" s="100"/>
      <c r="AX159" s="100"/>
      <c r="AY159" s="100"/>
      <c r="AZ159" s="100"/>
      <c r="BA159" s="100"/>
      <c r="BB159" s="100"/>
      <c r="BC159" s="101"/>
      <c r="BD159" s="96"/>
      <c r="BE159" s="97"/>
      <c r="BF159" s="97"/>
      <c r="BG159" s="97"/>
      <c r="BH159" s="98"/>
      <c r="BI159" s="157" t="e">
        <f t="shared" si="46"/>
        <v>#REF!</v>
      </c>
      <c r="BJ159" s="158" t="e">
        <f>#REF!</f>
        <v>#REF!</v>
      </c>
      <c r="BK159" s="159" t="e">
        <f>#REF!</f>
        <v>#REF!</v>
      </c>
      <c r="BL159" s="181" t="e">
        <f t="shared" si="47"/>
        <v>#REF!</v>
      </c>
      <c r="BM159" s="182" t="e">
        <f t="shared" si="48"/>
        <v>#REF!</v>
      </c>
      <c r="BN159" s="182" t="e">
        <f t="shared" si="49"/>
        <v>#REF!</v>
      </c>
      <c r="BO159" s="182" t="e">
        <f t="shared" si="50"/>
        <v>#REF!</v>
      </c>
      <c r="BP159" s="182" t="e">
        <f t="shared" si="51"/>
        <v>#REF!</v>
      </c>
      <c r="BQ159" s="182" t="e">
        <f t="shared" si="52"/>
        <v>#REF!</v>
      </c>
      <c r="BR159" s="182" t="e">
        <f t="shared" si="53"/>
        <v>#REF!</v>
      </c>
      <c r="BS159" s="183" t="e">
        <f t="shared" si="54"/>
        <v>#REF!</v>
      </c>
      <c r="BT159" s="184" t="e">
        <f t="shared" si="55"/>
        <v>#REF!</v>
      </c>
      <c r="BU159" s="185" t="e">
        <f t="shared" si="56"/>
        <v>#REF!</v>
      </c>
      <c r="BV159" s="185" t="e">
        <f t="shared" si="57"/>
        <v>#REF!</v>
      </c>
      <c r="BW159" s="185" t="e">
        <f t="shared" si="58"/>
        <v>#REF!</v>
      </c>
      <c r="BX159" s="186" t="e">
        <f t="shared" si="59"/>
        <v>#REF!</v>
      </c>
      <c r="BY15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5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5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5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5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5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5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5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5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5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5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5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5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5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5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5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5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5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5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5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5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5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5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5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5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5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5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59" s="66"/>
      <c r="DA159" s="66"/>
      <c r="DB159" s="66"/>
      <c r="DC159" s="224" t="str">
        <f t="shared" si="43"/>
        <v/>
      </c>
      <c r="DD159" s="1">
        <f>IF($DC159="",0,IF(COUNTIF($DC$2:$DC158,$DC159)=0,1,0))</f>
        <v>0</v>
      </c>
    </row>
    <row r="160" spans="1:108" s="1" customFormat="1" x14ac:dyDescent="0.25">
      <c r="A160" s="64">
        <v>159</v>
      </c>
      <c r="B160" s="71"/>
      <c r="C160" s="72"/>
      <c r="D160" s="72"/>
      <c r="E160" s="72"/>
      <c r="F160" s="72"/>
      <c r="G160" s="66"/>
      <c r="H160" s="66"/>
      <c r="I160" s="66"/>
      <c r="J160" s="67"/>
      <c r="K160" s="68"/>
      <c r="L160" s="69"/>
      <c r="M160" s="66"/>
      <c r="N160" s="66"/>
      <c r="O160" s="136" t="str">
        <f t="shared" si="61"/>
        <v/>
      </c>
      <c r="P160" s="65" t="str">
        <f t="shared" si="44"/>
        <v/>
      </c>
      <c r="Q160" s="70"/>
      <c r="R160" s="66"/>
      <c r="S160" s="65"/>
      <c r="T160" s="65"/>
      <c r="U160" s="65"/>
      <c r="V160" s="65"/>
      <c r="W160" s="65"/>
      <c r="X160" s="240"/>
      <c r="Y160" s="65"/>
      <c r="Z160" s="281"/>
      <c r="AA160" s="66"/>
      <c r="AB160" s="66"/>
      <c r="AC160" s="247"/>
      <c r="AD160" s="240" t="str">
        <f t="shared" si="45"/>
        <v/>
      </c>
      <c r="AE160" s="240"/>
      <c r="AF160" s="241"/>
      <c r="AG160" s="247"/>
      <c r="AH160" s="241"/>
      <c r="AI160" s="247"/>
      <c r="AJ160" s="231"/>
      <c r="AK160" s="240"/>
      <c r="AL160" s="241"/>
      <c r="AM160" s="65"/>
      <c r="AN160" s="241"/>
      <c r="AO160" s="65"/>
      <c r="AP160" s="66"/>
      <c r="AQ160" s="66"/>
      <c r="AR160" s="66"/>
      <c r="AS160" s="221"/>
      <c r="AT160" s="222">
        <f t="shared" si="60"/>
        <v>0</v>
      </c>
      <c r="AU160" s="223"/>
      <c r="AV160" s="99"/>
      <c r="AW160" s="100"/>
      <c r="AX160" s="100"/>
      <c r="AY160" s="100"/>
      <c r="AZ160" s="100"/>
      <c r="BA160" s="100"/>
      <c r="BB160" s="100"/>
      <c r="BC160" s="101"/>
      <c r="BD160" s="96"/>
      <c r="BE160" s="97"/>
      <c r="BF160" s="97"/>
      <c r="BG160" s="97"/>
      <c r="BH160" s="98"/>
      <c r="BI160" s="157" t="e">
        <f t="shared" si="46"/>
        <v>#REF!</v>
      </c>
      <c r="BJ160" s="158" t="e">
        <f>#REF!</f>
        <v>#REF!</v>
      </c>
      <c r="BK160" s="159" t="e">
        <f>#REF!</f>
        <v>#REF!</v>
      </c>
      <c r="BL160" s="181" t="e">
        <f t="shared" si="47"/>
        <v>#REF!</v>
      </c>
      <c r="BM160" s="182" t="e">
        <f t="shared" si="48"/>
        <v>#REF!</v>
      </c>
      <c r="BN160" s="182" t="e">
        <f t="shared" si="49"/>
        <v>#REF!</v>
      </c>
      <c r="BO160" s="182" t="e">
        <f t="shared" si="50"/>
        <v>#REF!</v>
      </c>
      <c r="BP160" s="182" t="e">
        <f t="shared" si="51"/>
        <v>#REF!</v>
      </c>
      <c r="BQ160" s="182" t="e">
        <f t="shared" si="52"/>
        <v>#REF!</v>
      </c>
      <c r="BR160" s="182" t="e">
        <f t="shared" si="53"/>
        <v>#REF!</v>
      </c>
      <c r="BS160" s="183" t="e">
        <f t="shared" si="54"/>
        <v>#REF!</v>
      </c>
      <c r="BT160" s="184" t="e">
        <f t="shared" si="55"/>
        <v>#REF!</v>
      </c>
      <c r="BU160" s="185" t="e">
        <f t="shared" si="56"/>
        <v>#REF!</v>
      </c>
      <c r="BV160" s="185" t="e">
        <f t="shared" si="57"/>
        <v>#REF!</v>
      </c>
      <c r="BW160" s="185" t="e">
        <f t="shared" si="58"/>
        <v>#REF!</v>
      </c>
      <c r="BX160" s="186" t="e">
        <f t="shared" si="59"/>
        <v>#REF!</v>
      </c>
      <c r="BY16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0" s="66"/>
      <c r="DA160" s="66"/>
      <c r="DB160" s="66"/>
      <c r="DC160" s="224" t="str">
        <f t="shared" si="43"/>
        <v/>
      </c>
      <c r="DD160" s="1">
        <f>IF($DC160="",0,IF(COUNTIF($DC$2:$DC159,$DC160)=0,1,0))</f>
        <v>0</v>
      </c>
    </row>
    <row r="161" spans="1:108" s="1" customFormat="1" x14ac:dyDescent="0.25">
      <c r="A161" s="64">
        <v>160</v>
      </c>
      <c r="B161" s="71"/>
      <c r="C161" s="72"/>
      <c r="D161" s="72"/>
      <c r="E161" s="72"/>
      <c r="F161" s="72"/>
      <c r="G161" s="66"/>
      <c r="H161" s="66"/>
      <c r="I161" s="66"/>
      <c r="J161" s="67"/>
      <c r="K161" s="68"/>
      <c r="L161" s="69"/>
      <c r="M161" s="66"/>
      <c r="N161" s="66"/>
      <c r="O161" s="136" t="str">
        <f t="shared" si="61"/>
        <v/>
      </c>
      <c r="P161" s="65" t="str">
        <f t="shared" si="44"/>
        <v/>
      </c>
      <c r="Q161" s="70"/>
      <c r="R161" s="66"/>
      <c r="S161" s="65"/>
      <c r="T161" s="65"/>
      <c r="U161" s="65"/>
      <c r="V161" s="65"/>
      <c r="W161" s="65"/>
      <c r="X161" s="240"/>
      <c r="Y161" s="65"/>
      <c r="Z161" s="281"/>
      <c r="AA161" s="66"/>
      <c r="AB161" s="66"/>
      <c r="AC161" s="247"/>
      <c r="AD161" s="240" t="str">
        <f t="shared" si="45"/>
        <v/>
      </c>
      <c r="AE161" s="240"/>
      <c r="AF161" s="241"/>
      <c r="AG161" s="247"/>
      <c r="AH161" s="241"/>
      <c r="AI161" s="247"/>
      <c r="AJ161" s="231"/>
      <c r="AK161" s="240"/>
      <c r="AL161" s="241"/>
      <c r="AM161" s="65"/>
      <c r="AN161" s="241"/>
      <c r="AO161" s="65"/>
      <c r="AP161" s="66"/>
      <c r="AQ161" s="66"/>
      <c r="AR161" s="66"/>
      <c r="AS161" s="221"/>
      <c r="AT161" s="222">
        <f t="shared" si="60"/>
        <v>0</v>
      </c>
      <c r="AU161" s="223"/>
      <c r="AV161" s="99"/>
      <c r="AW161" s="100"/>
      <c r="AX161" s="100"/>
      <c r="AY161" s="100"/>
      <c r="AZ161" s="100"/>
      <c r="BA161" s="100"/>
      <c r="BB161" s="100"/>
      <c r="BC161" s="101"/>
      <c r="BD161" s="96"/>
      <c r="BE161" s="97"/>
      <c r="BF161" s="97"/>
      <c r="BG161" s="97"/>
      <c r="BH161" s="98"/>
      <c r="BI161" s="157" t="e">
        <f t="shared" si="46"/>
        <v>#REF!</v>
      </c>
      <c r="BJ161" s="158" t="e">
        <f>#REF!</f>
        <v>#REF!</v>
      </c>
      <c r="BK161" s="159" t="e">
        <f>#REF!</f>
        <v>#REF!</v>
      </c>
      <c r="BL161" s="181" t="e">
        <f t="shared" si="47"/>
        <v>#REF!</v>
      </c>
      <c r="BM161" s="182" t="e">
        <f t="shared" si="48"/>
        <v>#REF!</v>
      </c>
      <c r="BN161" s="182" t="e">
        <f t="shared" si="49"/>
        <v>#REF!</v>
      </c>
      <c r="BO161" s="182" t="e">
        <f t="shared" si="50"/>
        <v>#REF!</v>
      </c>
      <c r="BP161" s="182" t="e">
        <f t="shared" si="51"/>
        <v>#REF!</v>
      </c>
      <c r="BQ161" s="182" t="e">
        <f t="shared" si="52"/>
        <v>#REF!</v>
      </c>
      <c r="BR161" s="182" t="e">
        <f t="shared" si="53"/>
        <v>#REF!</v>
      </c>
      <c r="BS161" s="183" t="e">
        <f t="shared" si="54"/>
        <v>#REF!</v>
      </c>
      <c r="BT161" s="184" t="e">
        <f t="shared" si="55"/>
        <v>#REF!</v>
      </c>
      <c r="BU161" s="185" t="e">
        <f t="shared" si="56"/>
        <v>#REF!</v>
      </c>
      <c r="BV161" s="185" t="e">
        <f t="shared" si="57"/>
        <v>#REF!</v>
      </c>
      <c r="BW161" s="185" t="e">
        <f t="shared" si="58"/>
        <v>#REF!</v>
      </c>
      <c r="BX161" s="186" t="e">
        <f t="shared" si="59"/>
        <v>#REF!</v>
      </c>
      <c r="BY16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1" s="66"/>
      <c r="DA161" s="66"/>
      <c r="DB161" s="66"/>
      <c r="DC161" s="224" t="str">
        <f t="shared" si="43"/>
        <v/>
      </c>
      <c r="DD161" s="1">
        <f>IF($DC161="",0,IF(COUNTIF($DC$2:$DC160,$DC161)=0,1,0))</f>
        <v>0</v>
      </c>
    </row>
    <row r="162" spans="1:108" s="1" customFormat="1" x14ac:dyDescent="0.25">
      <c r="A162" s="64">
        <v>161</v>
      </c>
      <c r="B162" s="71"/>
      <c r="C162" s="72"/>
      <c r="D162" s="72"/>
      <c r="E162" s="72"/>
      <c r="F162" s="72"/>
      <c r="G162" s="66"/>
      <c r="H162" s="66"/>
      <c r="I162" s="66"/>
      <c r="J162" s="67"/>
      <c r="K162" s="68"/>
      <c r="L162" s="69"/>
      <c r="M162" s="66"/>
      <c r="N162" s="66"/>
      <c r="O162" s="136" t="str">
        <f t="shared" si="61"/>
        <v/>
      </c>
      <c r="P162" s="65" t="str">
        <f t="shared" si="44"/>
        <v/>
      </c>
      <c r="Q162" s="70"/>
      <c r="R162" s="66"/>
      <c r="S162" s="65"/>
      <c r="T162" s="65"/>
      <c r="U162" s="65"/>
      <c r="V162" s="65"/>
      <c r="W162" s="65"/>
      <c r="X162" s="240"/>
      <c r="Y162" s="65"/>
      <c r="Z162" s="281"/>
      <c r="AA162" s="66"/>
      <c r="AB162" s="66"/>
      <c r="AC162" s="247"/>
      <c r="AD162" s="240" t="str">
        <f t="shared" si="45"/>
        <v/>
      </c>
      <c r="AE162" s="240"/>
      <c r="AF162" s="241"/>
      <c r="AG162" s="247"/>
      <c r="AH162" s="241"/>
      <c r="AI162" s="247"/>
      <c r="AJ162" s="231"/>
      <c r="AK162" s="240"/>
      <c r="AL162" s="241"/>
      <c r="AM162" s="65"/>
      <c r="AN162" s="241"/>
      <c r="AO162" s="65"/>
      <c r="AP162" s="66"/>
      <c r="AQ162" s="66"/>
      <c r="AR162" s="66"/>
      <c r="AS162" s="221"/>
      <c r="AT162" s="222">
        <f t="shared" si="60"/>
        <v>0</v>
      </c>
      <c r="AU162" s="223"/>
      <c r="AV162" s="99"/>
      <c r="AW162" s="100"/>
      <c r="AX162" s="100"/>
      <c r="AY162" s="100"/>
      <c r="AZ162" s="100"/>
      <c r="BA162" s="100"/>
      <c r="BB162" s="100"/>
      <c r="BC162" s="101"/>
      <c r="BD162" s="96"/>
      <c r="BE162" s="97"/>
      <c r="BF162" s="97"/>
      <c r="BG162" s="97"/>
      <c r="BH162" s="98"/>
      <c r="BI162" s="157" t="e">
        <f t="shared" si="46"/>
        <v>#REF!</v>
      </c>
      <c r="BJ162" s="158" t="e">
        <f>#REF!</f>
        <v>#REF!</v>
      </c>
      <c r="BK162" s="159" t="e">
        <f>#REF!</f>
        <v>#REF!</v>
      </c>
      <c r="BL162" s="181" t="e">
        <f t="shared" si="47"/>
        <v>#REF!</v>
      </c>
      <c r="BM162" s="182" t="e">
        <f t="shared" si="48"/>
        <v>#REF!</v>
      </c>
      <c r="BN162" s="182" t="e">
        <f t="shared" si="49"/>
        <v>#REF!</v>
      </c>
      <c r="BO162" s="182" t="e">
        <f t="shared" si="50"/>
        <v>#REF!</v>
      </c>
      <c r="BP162" s="182" t="e">
        <f t="shared" si="51"/>
        <v>#REF!</v>
      </c>
      <c r="BQ162" s="182" t="e">
        <f t="shared" si="52"/>
        <v>#REF!</v>
      </c>
      <c r="BR162" s="182" t="e">
        <f t="shared" si="53"/>
        <v>#REF!</v>
      </c>
      <c r="BS162" s="183" t="e">
        <f t="shared" si="54"/>
        <v>#REF!</v>
      </c>
      <c r="BT162" s="184" t="e">
        <f t="shared" si="55"/>
        <v>#REF!</v>
      </c>
      <c r="BU162" s="185" t="e">
        <f t="shared" si="56"/>
        <v>#REF!</v>
      </c>
      <c r="BV162" s="185" t="e">
        <f t="shared" si="57"/>
        <v>#REF!</v>
      </c>
      <c r="BW162" s="185" t="e">
        <f t="shared" si="58"/>
        <v>#REF!</v>
      </c>
      <c r="BX162" s="186" t="e">
        <f t="shared" si="59"/>
        <v>#REF!</v>
      </c>
      <c r="BY16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2" s="66"/>
      <c r="DA162" s="66"/>
      <c r="DB162" s="66"/>
      <c r="DC162" s="224" t="str">
        <f t="shared" ref="DC162:DC193" si="62">C162&amp;E162</f>
        <v/>
      </c>
      <c r="DD162" s="1">
        <f>IF($DC162="",0,IF(COUNTIF($DC$2:$DC161,$DC162)=0,1,0))</f>
        <v>0</v>
      </c>
    </row>
    <row r="163" spans="1:108" s="1" customFormat="1" x14ac:dyDescent="0.25">
      <c r="A163" s="64">
        <v>162</v>
      </c>
      <c r="B163" s="71"/>
      <c r="C163" s="72"/>
      <c r="D163" s="72"/>
      <c r="E163" s="72"/>
      <c r="F163" s="72"/>
      <c r="G163" s="66"/>
      <c r="H163" s="66"/>
      <c r="I163" s="66"/>
      <c r="J163" s="67"/>
      <c r="K163" s="68"/>
      <c r="L163" s="69"/>
      <c r="M163" s="66"/>
      <c r="N163" s="66"/>
      <c r="O163" s="136" t="str">
        <f t="shared" si="61"/>
        <v/>
      </c>
      <c r="P163" s="65" t="str">
        <f t="shared" si="44"/>
        <v/>
      </c>
      <c r="Q163" s="70"/>
      <c r="R163" s="66"/>
      <c r="S163" s="65"/>
      <c r="T163" s="65"/>
      <c r="U163" s="65"/>
      <c r="V163" s="65"/>
      <c r="W163" s="65"/>
      <c r="X163" s="240"/>
      <c r="Y163" s="65"/>
      <c r="Z163" s="281"/>
      <c r="AA163" s="66"/>
      <c r="AB163" s="66"/>
      <c r="AC163" s="247"/>
      <c r="AD163" s="240" t="str">
        <f t="shared" si="45"/>
        <v/>
      </c>
      <c r="AE163" s="240"/>
      <c r="AF163" s="241"/>
      <c r="AG163" s="247"/>
      <c r="AH163" s="241"/>
      <c r="AI163" s="247"/>
      <c r="AJ163" s="231"/>
      <c r="AK163" s="240"/>
      <c r="AL163" s="241"/>
      <c r="AM163" s="65"/>
      <c r="AN163" s="241"/>
      <c r="AO163" s="65"/>
      <c r="AP163" s="66"/>
      <c r="AQ163" s="66"/>
      <c r="AR163" s="66"/>
      <c r="AS163" s="221"/>
      <c r="AT163" s="222">
        <f t="shared" si="60"/>
        <v>0</v>
      </c>
      <c r="AU163" s="223"/>
      <c r="AV163" s="99"/>
      <c r="AW163" s="100"/>
      <c r="AX163" s="100"/>
      <c r="AY163" s="100"/>
      <c r="AZ163" s="100"/>
      <c r="BA163" s="100"/>
      <c r="BB163" s="100"/>
      <c r="BC163" s="101"/>
      <c r="BD163" s="96"/>
      <c r="BE163" s="97"/>
      <c r="BF163" s="97"/>
      <c r="BG163" s="97"/>
      <c r="BH163" s="98"/>
      <c r="BI163" s="157" t="e">
        <f t="shared" si="46"/>
        <v>#REF!</v>
      </c>
      <c r="BJ163" s="158" t="e">
        <f>#REF!</f>
        <v>#REF!</v>
      </c>
      <c r="BK163" s="159" t="e">
        <f>#REF!</f>
        <v>#REF!</v>
      </c>
      <c r="BL163" s="181" t="e">
        <f t="shared" si="47"/>
        <v>#REF!</v>
      </c>
      <c r="BM163" s="182" t="e">
        <f t="shared" si="48"/>
        <v>#REF!</v>
      </c>
      <c r="BN163" s="182" t="e">
        <f t="shared" si="49"/>
        <v>#REF!</v>
      </c>
      <c r="BO163" s="182" t="e">
        <f t="shared" si="50"/>
        <v>#REF!</v>
      </c>
      <c r="BP163" s="182" t="e">
        <f t="shared" si="51"/>
        <v>#REF!</v>
      </c>
      <c r="BQ163" s="182" t="e">
        <f t="shared" si="52"/>
        <v>#REF!</v>
      </c>
      <c r="BR163" s="182" t="e">
        <f t="shared" si="53"/>
        <v>#REF!</v>
      </c>
      <c r="BS163" s="183" t="e">
        <f t="shared" si="54"/>
        <v>#REF!</v>
      </c>
      <c r="BT163" s="184" t="e">
        <f t="shared" si="55"/>
        <v>#REF!</v>
      </c>
      <c r="BU163" s="185" t="e">
        <f t="shared" si="56"/>
        <v>#REF!</v>
      </c>
      <c r="BV163" s="185" t="e">
        <f t="shared" si="57"/>
        <v>#REF!</v>
      </c>
      <c r="BW163" s="185" t="e">
        <f t="shared" si="58"/>
        <v>#REF!</v>
      </c>
      <c r="BX163" s="186" t="e">
        <f t="shared" si="59"/>
        <v>#REF!</v>
      </c>
      <c r="BY16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3" s="66"/>
      <c r="DA163" s="66"/>
      <c r="DB163" s="66"/>
      <c r="DC163" s="224" t="str">
        <f t="shared" si="62"/>
        <v/>
      </c>
      <c r="DD163" s="1">
        <f>IF($DC163="",0,IF(COUNTIF($DC$2:$DC162,$DC163)=0,1,0))</f>
        <v>0</v>
      </c>
    </row>
    <row r="164" spans="1:108" s="1" customFormat="1" x14ac:dyDescent="0.25">
      <c r="A164" s="64">
        <v>163</v>
      </c>
      <c r="B164" s="71"/>
      <c r="C164" s="72"/>
      <c r="D164" s="72"/>
      <c r="E164" s="72"/>
      <c r="F164" s="72"/>
      <c r="G164" s="66"/>
      <c r="H164" s="66"/>
      <c r="I164" s="66"/>
      <c r="J164" s="67"/>
      <c r="K164" s="68"/>
      <c r="L164" s="69"/>
      <c r="M164" s="66"/>
      <c r="N164" s="66"/>
      <c r="O164" s="136" t="str">
        <f t="shared" si="61"/>
        <v/>
      </c>
      <c r="P164" s="65" t="str">
        <f t="shared" si="44"/>
        <v/>
      </c>
      <c r="Q164" s="70"/>
      <c r="R164" s="66"/>
      <c r="S164" s="65"/>
      <c r="T164" s="65"/>
      <c r="U164" s="65"/>
      <c r="V164" s="65"/>
      <c r="W164" s="65"/>
      <c r="X164" s="240"/>
      <c r="Y164" s="65"/>
      <c r="Z164" s="281"/>
      <c r="AA164" s="66"/>
      <c r="AB164" s="66"/>
      <c r="AC164" s="247"/>
      <c r="AD164" s="240" t="str">
        <f t="shared" si="45"/>
        <v/>
      </c>
      <c r="AE164" s="240"/>
      <c r="AF164" s="241"/>
      <c r="AG164" s="247"/>
      <c r="AH164" s="241"/>
      <c r="AI164" s="247"/>
      <c r="AJ164" s="231"/>
      <c r="AK164" s="240"/>
      <c r="AL164" s="241"/>
      <c r="AM164" s="65"/>
      <c r="AN164" s="241"/>
      <c r="AO164" s="65"/>
      <c r="AP164" s="66"/>
      <c r="AQ164" s="66"/>
      <c r="AR164" s="66"/>
      <c r="AS164" s="221"/>
      <c r="AT164" s="222">
        <f t="shared" si="60"/>
        <v>0</v>
      </c>
      <c r="AU164" s="223"/>
      <c r="AV164" s="99"/>
      <c r="AW164" s="100"/>
      <c r="AX164" s="100"/>
      <c r="AY164" s="100"/>
      <c r="AZ164" s="100"/>
      <c r="BA164" s="100"/>
      <c r="BB164" s="100"/>
      <c r="BC164" s="101"/>
      <c r="BD164" s="96"/>
      <c r="BE164" s="97"/>
      <c r="BF164" s="97"/>
      <c r="BG164" s="97"/>
      <c r="BH164" s="98"/>
      <c r="BI164" s="157" t="e">
        <f t="shared" si="46"/>
        <v>#REF!</v>
      </c>
      <c r="BJ164" s="158" t="e">
        <f>#REF!</f>
        <v>#REF!</v>
      </c>
      <c r="BK164" s="159" t="e">
        <f>#REF!</f>
        <v>#REF!</v>
      </c>
      <c r="BL164" s="181" t="e">
        <f t="shared" si="47"/>
        <v>#REF!</v>
      </c>
      <c r="BM164" s="182" t="e">
        <f t="shared" si="48"/>
        <v>#REF!</v>
      </c>
      <c r="BN164" s="182" t="e">
        <f t="shared" si="49"/>
        <v>#REF!</v>
      </c>
      <c r="BO164" s="182" t="e">
        <f t="shared" si="50"/>
        <v>#REF!</v>
      </c>
      <c r="BP164" s="182" t="e">
        <f t="shared" si="51"/>
        <v>#REF!</v>
      </c>
      <c r="BQ164" s="182" t="e">
        <f t="shared" si="52"/>
        <v>#REF!</v>
      </c>
      <c r="BR164" s="182" t="e">
        <f t="shared" si="53"/>
        <v>#REF!</v>
      </c>
      <c r="BS164" s="183" t="e">
        <f t="shared" si="54"/>
        <v>#REF!</v>
      </c>
      <c r="BT164" s="184" t="e">
        <f t="shared" si="55"/>
        <v>#REF!</v>
      </c>
      <c r="BU164" s="185" t="e">
        <f t="shared" si="56"/>
        <v>#REF!</v>
      </c>
      <c r="BV164" s="185" t="e">
        <f t="shared" si="57"/>
        <v>#REF!</v>
      </c>
      <c r="BW164" s="185" t="e">
        <f t="shared" si="58"/>
        <v>#REF!</v>
      </c>
      <c r="BX164" s="186" t="e">
        <f t="shared" si="59"/>
        <v>#REF!</v>
      </c>
      <c r="BY16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4" s="66"/>
      <c r="DA164" s="66"/>
      <c r="DB164" s="66"/>
      <c r="DC164" s="224" t="str">
        <f t="shared" si="62"/>
        <v/>
      </c>
      <c r="DD164" s="1">
        <f>IF($DC164="",0,IF(COUNTIF($DC$2:$DC163,$DC164)=0,1,0))</f>
        <v>0</v>
      </c>
    </row>
    <row r="165" spans="1:108" s="1" customFormat="1" x14ac:dyDescent="0.25">
      <c r="A165" s="64">
        <v>164</v>
      </c>
      <c r="B165" s="71"/>
      <c r="C165" s="72"/>
      <c r="D165" s="72"/>
      <c r="E165" s="72"/>
      <c r="F165" s="72"/>
      <c r="G165" s="66"/>
      <c r="H165" s="66"/>
      <c r="I165" s="66"/>
      <c r="J165" s="67"/>
      <c r="K165" s="68"/>
      <c r="L165" s="69"/>
      <c r="M165" s="66"/>
      <c r="N165" s="66"/>
      <c r="O165" s="136" t="str">
        <f t="shared" si="61"/>
        <v/>
      </c>
      <c r="P165" s="65" t="str">
        <f t="shared" si="44"/>
        <v/>
      </c>
      <c r="Q165" s="70"/>
      <c r="R165" s="66"/>
      <c r="S165" s="65"/>
      <c r="T165" s="65"/>
      <c r="U165" s="65"/>
      <c r="V165" s="65"/>
      <c r="W165" s="65"/>
      <c r="X165" s="240"/>
      <c r="Y165" s="65"/>
      <c r="Z165" s="281"/>
      <c r="AA165" s="66"/>
      <c r="AB165" s="66"/>
      <c r="AC165" s="247"/>
      <c r="AD165" s="240" t="str">
        <f t="shared" si="45"/>
        <v/>
      </c>
      <c r="AE165" s="240"/>
      <c r="AF165" s="241"/>
      <c r="AG165" s="247"/>
      <c r="AH165" s="241"/>
      <c r="AI165" s="247"/>
      <c r="AJ165" s="231"/>
      <c r="AK165" s="240"/>
      <c r="AL165" s="241"/>
      <c r="AM165" s="65"/>
      <c r="AN165" s="241"/>
      <c r="AO165" s="65"/>
      <c r="AP165" s="66"/>
      <c r="AQ165" s="66"/>
      <c r="AR165" s="66"/>
      <c r="AS165" s="221"/>
      <c r="AT165" s="222">
        <f t="shared" si="60"/>
        <v>0</v>
      </c>
      <c r="AU165" s="223"/>
      <c r="AV165" s="99"/>
      <c r="AW165" s="100"/>
      <c r="AX165" s="100"/>
      <c r="AY165" s="100"/>
      <c r="AZ165" s="100"/>
      <c r="BA165" s="100"/>
      <c r="BB165" s="100"/>
      <c r="BC165" s="101"/>
      <c r="BD165" s="96"/>
      <c r="BE165" s="97"/>
      <c r="BF165" s="97"/>
      <c r="BG165" s="97"/>
      <c r="BH165" s="98"/>
      <c r="BI165" s="157" t="e">
        <f t="shared" si="46"/>
        <v>#REF!</v>
      </c>
      <c r="BJ165" s="158" t="e">
        <f>#REF!</f>
        <v>#REF!</v>
      </c>
      <c r="BK165" s="159" t="e">
        <f>#REF!</f>
        <v>#REF!</v>
      </c>
      <c r="BL165" s="181" t="e">
        <f t="shared" si="47"/>
        <v>#REF!</v>
      </c>
      <c r="BM165" s="182" t="e">
        <f t="shared" si="48"/>
        <v>#REF!</v>
      </c>
      <c r="BN165" s="182" t="e">
        <f t="shared" si="49"/>
        <v>#REF!</v>
      </c>
      <c r="BO165" s="182" t="e">
        <f t="shared" si="50"/>
        <v>#REF!</v>
      </c>
      <c r="BP165" s="182" t="e">
        <f t="shared" si="51"/>
        <v>#REF!</v>
      </c>
      <c r="BQ165" s="182" t="e">
        <f t="shared" si="52"/>
        <v>#REF!</v>
      </c>
      <c r="BR165" s="182" t="e">
        <f t="shared" si="53"/>
        <v>#REF!</v>
      </c>
      <c r="BS165" s="183" t="e">
        <f t="shared" si="54"/>
        <v>#REF!</v>
      </c>
      <c r="BT165" s="184" t="e">
        <f t="shared" si="55"/>
        <v>#REF!</v>
      </c>
      <c r="BU165" s="185" t="e">
        <f t="shared" si="56"/>
        <v>#REF!</v>
      </c>
      <c r="BV165" s="185" t="e">
        <f t="shared" si="57"/>
        <v>#REF!</v>
      </c>
      <c r="BW165" s="185" t="e">
        <f t="shared" si="58"/>
        <v>#REF!</v>
      </c>
      <c r="BX165" s="186" t="e">
        <f t="shared" si="59"/>
        <v>#REF!</v>
      </c>
      <c r="BY16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5" s="66"/>
      <c r="DA165" s="66"/>
      <c r="DB165" s="66"/>
      <c r="DC165" s="224" t="str">
        <f t="shared" si="62"/>
        <v/>
      </c>
      <c r="DD165" s="1">
        <f>IF($DC165="",0,IF(COUNTIF($DC$2:$DC164,$DC165)=0,1,0))</f>
        <v>0</v>
      </c>
    </row>
    <row r="166" spans="1:108" s="1" customFormat="1" x14ac:dyDescent="0.25">
      <c r="A166" s="64">
        <v>165</v>
      </c>
      <c r="B166" s="71"/>
      <c r="C166" s="72"/>
      <c r="D166" s="72"/>
      <c r="E166" s="72"/>
      <c r="F166" s="72"/>
      <c r="G166" s="66"/>
      <c r="H166" s="66"/>
      <c r="I166" s="66"/>
      <c r="J166" s="67"/>
      <c r="K166" s="68"/>
      <c r="L166" s="69"/>
      <c r="M166" s="66"/>
      <c r="N166" s="66"/>
      <c r="O166" s="136" t="str">
        <f t="shared" si="61"/>
        <v/>
      </c>
      <c r="P166" s="65" t="str">
        <f t="shared" si="44"/>
        <v/>
      </c>
      <c r="Q166" s="70"/>
      <c r="R166" s="66"/>
      <c r="S166" s="65"/>
      <c r="T166" s="65"/>
      <c r="U166" s="65"/>
      <c r="V166" s="65"/>
      <c r="W166" s="65"/>
      <c r="X166" s="240"/>
      <c r="Y166" s="65"/>
      <c r="Z166" s="281"/>
      <c r="AA166" s="66"/>
      <c r="AB166" s="66"/>
      <c r="AC166" s="247"/>
      <c r="AD166" s="240" t="str">
        <f t="shared" si="45"/>
        <v/>
      </c>
      <c r="AE166" s="240"/>
      <c r="AF166" s="241"/>
      <c r="AG166" s="247"/>
      <c r="AH166" s="241"/>
      <c r="AI166" s="247"/>
      <c r="AJ166" s="231"/>
      <c r="AK166" s="240"/>
      <c r="AL166" s="241"/>
      <c r="AM166" s="65"/>
      <c r="AN166" s="241"/>
      <c r="AO166" s="65"/>
      <c r="AP166" s="66"/>
      <c r="AQ166" s="66"/>
      <c r="AR166" s="66"/>
      <c r="AS166" s="221"/>
      <c r="AT166" s="222">
        <f t="shared" si="60"/>
        <v>0</v>
      </c>
      <c r="AU166" s="223"/>
      <c r="AV166" s="99"/>
      <c r="AW166" s="100"/>
      <c r="AX166" s="100"/>
      <c r="AY166" s="100"/>
      <c r="AZ166" s="100"/>
      <c r="BA166" s="100"/>
      <c r="BB166" s="100"/>
      <c r="BC166" s="101"/>
      <c r="BD166" s="96"/>
      <c r="BE166" s="97"/>
      <c r="BF166" s="97"/>
      <c r="BG166" s="97"/>
      <c r="BH166" s="98"/>
      <c r="BI166" s="157" t="e">
        <f t="shared" si="46"/>
        <v>#REF!</v>
      </c>
      <c r="BJ166" s="158" t="e">
        <f>#REF!</f>
        <v>#REF!</v>
      </c>
      <c r="BK166" s="159" t="e">
        <f>#REF!</f>
        <v>#REF!</v>
      </c>
      <c r="BL166" s="181" t="e">
        <f t="shared" si="47"/>
        <v>#REF!</v>
      </c>
      <c r="BM166" s="182" t="e">
        <f t="shared" si="48"/>
        <v>#REF!</v>
      </c>
      <c r="BN166" s="182" t="e">
        <f t="shared" si="49"/>
        <v>#REF!</v>
      </c>
      <c r="BO166" s="182" t="e">
        <f t="shared" si="50"/>
        <v>#REF!</v>
      </c>
      <c r="BP166" s="182" t="e">
        <f t="shared" si="51"/>
        <v>#REF!</v>
      </c>
      <c r="BQ166" s="182" t="e">
        <f t="shared" si="52"/>
        <v>#REF!</v>
      </c>
      <c r="BR166" s="182" t="e">
        <f t="shared" si="53"/>
        <v>#REF!</v>
      </c>
      <c r="BS166" s="183" t="e">
        <f t="shared" si="54"/>
        <v>#REF!</v>
      </c>
      <c r="BT166" s="184" t="e">
        <f t="shared" si="55"/>
        <v>#REF!</v>
      </c>
      <c r="BU166" s="185" t="e">
        <f t="shared" si="56"/>
        <v>#REF!</v>
      </c>
      <c r="BV166" s="185" t="e">
        <f t="shared" si="57"/>
        <v>#REF!</v>
      </c>
      <c r="BW166" s="185" t="e">
        <f t="shared" si="58"/>
        <v>#REF!</v>
      </c>
      <c r="BX166" s="186" t="e">
        <f t="shared" si="59"/>
        <v>#REF!</v>
      </c>
      <c r="BY16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6" s="66"/>
      <c r="DA166" s="66"/>
      <c r="DB166" s="66"/>
      <c r="DC166" s="224" t="str">
        <f t="shared" si="62"/>
        <v/>
      </c>
      <c r="DD166" s="1">
        <f>IF($DC166="",0,IF(COUNTIF($DC$2:$DC165,$DC166)=0,1,0))</f>
        <v>0</v>
      </c>
    </row>
    <row r="167" spans="1:108" s="1" customFormat="1" x14ac:dyDescent="0.25">
      <c r="A167" s="64">
        <v>166</v>
      </c>
      <c r="B167" s="71"/>
      <c r="C167" s="72"/>
      <c r="D167" s="72"/>
      <c r="E167" s="72"/>
      <c r="F167" s="72"/>
      <c r="G167" s="66"/>
      <c r="H167" s="66"/>
      <c r="I167" s="66"/>
      <c r="J167" s="67"/>
      <c r="K167" s="68"/>
      <c r="L167" s="69"/>
      <c r="M167" s="66"/>
      <c r="N167" s="66"/>
      <c r="O167" s="136" t="str">
        <f t="shared" si="61"/>
        <v/>
      </c>
      <c r="P167" s="65" t="str">
        <f t="shared" si="44"/>
        <v/>
      </c>
      <c r="Q167" s="70"/>
      <c r="R167" s="66"/>
      <c r="S167" s="65"/>
      <c r="T167" s="65"/>
      <c r="U167" s="65"/>
      <c r="V167" s="65"/>
      <c r="W167" s="65"/>
      <c r="X167" s="240"/>
      <c r="Y167" s="65"/>
      <c r="Z167" s="281"/>
      <c r="AA167" s="66"/>
      <c r="AB167" s="66"/>
      <c r="AC167" s="247"/>
      <c r="AD167" s="240" t="str">
        <f t="shared" si="45"/>
        <v/>
      </c>
      <c r="AE167" s="240"/>
      <c r="AF167" s="241"/>
      <c r="AG167" s="247"/>
      <c r="AH167" s="241"/>
      <c r="AI167" s="247"/>
      <c r="AJ167" s="231"/>
      <c r="AK167" s="240"/>
      <c r="AL167" s="241"/>
      <c r="AM167" s="65"/>
      <c r="AN167" s="241"/>
      <c r="AO167" s="65"/>
      <c r="AP167" s="66"/>
      <c r="AQ167" s="66"/>
      <c r="AR167" s="66"/>
      <c r="AS167" s="221"/>
      <c r="AT167" s="222">
        <f t="shared" si="60"/>
        <v>0</v>
      </c>
      <c r="AU167" s="223"/>
      <c r="AV167" s="99"/>
      <c r="AW167" s="100"/>
      <c r="AX167" s="100"/>
      <c r="AY167" s="100"/>
      <c r="AZ167" s="100"/>
      <c r="BA167" s="100"/>
      <c r="BB167" s="100"/>
      <c r="BC167" s="101"/>
      <c r="BD167" s="96"/>
      <c r="BE167" s="97"/>
      <c r="BF167" s="97"/>
      <c r="BG167" s="97"/>
      <c r="BH167" s="98"/>
      <c r="BI167" s="157" t="e">
        <f t="shared" si="46"/>
        <v>#REF!</v>
      </c>
      <c r="BJ167" s="158" t="e">
        <f>#REF!</f>
        <v>#REF!</v>
      </c>
      <c r="BK167" s="159" t="e">
        <f>#REF!</f>
        <v>#REF!</v>
      </c>
      <c r="BL167" s="181" t="e">
        <f t="shared" si="47"/>
        <v>#REF!</v>
      </c>
      <c r="BM167" s="182" t="e">
        <f t="shared" si="48"/>
        <v>#REF!</v>
      </c>
      <c r="BN167" s="182" t="e">
        <f t="shared" si="49"/>
        <v>#REF!</v>
      </c>
      <c r="BO167" s="182" t="e">
        <f t="shared" si="50"/>
        <v>#REF!</v>
      </c>
      <c r="BP167" s="182" t="e">
        <f t="shared" si="51"/>
        <v>#REF!</v>
      </c>
      <c r="BQ167" s="182" t="e">
        <f t="shared" si="52"/>
        <v>#REF!</v>
      </c>
      <c r="BR167" s="182" t="e">
        <f t="shared" si="53"/>
        <v>#REF!</v>
      </c>
      <c r="BS167" s="183" t="e">
        <f t="shared" si="54"/>
        <v>#REF!</v>
      </c>
      <c r="BT167" s="184" t="e">
        <f t="shared" si="55"/>
        <v>#REF!</v>
      </c>
      <c r="BU167" s="185" t="e">
        <f t="shared" si="56"/>
        <v>#REF!</v>
      </c>
      <c r="BV167" s="185" t="e">
        <f t="shared" si="57"/>
        <v>#REF!</v>
      </c>
      <c r="BW167" s="185" t="e">
        <f t="shared" si="58"/>
        <v>#REF!</v>
      </c>
      <c r="BX167" s="186" t="e">
        <f t="shared" si="59"/>
        <v>#REF!</v>
      </c>
      <c r="BY16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7" s="66"/>
      <c r="DA167" s="66"/>
      <c r="DB167" s="66"/>
      <c r="DC167" s="224" t="str">
        <f t="shared" si="62"/>
        <v/>
      </c>
      <c r="DD167" s="1">
        <f>IF($DC167="",0,IF(COUNTIF($DC$2:$DC166,$DC167)=0,1,0))</f>
        <v>0</v>
      </c>
    </row>
    <row r="168" spans="1:108" s="1" customFormat="1" x14ac:dyDescent="0.25">
      <c r="A168" s="64">
        <v>167</v>
      </c>
      <c r="B168" s="71"/>
      <c r="C168" s="72"/>
      <c r="D168" s="72"/>
      <c r="E168" s="72"/>
      <c r="F168" s="72"/>
      <c r="G168" s="66"/>
      <c r="H168" s="66"/>
      <c r="I168" s="66"/>
      <c r="J168" s="67"/>
      <c r="K168" s="68"/>
      <c r="L168" s="69"/>
      <c r="M168" s="66"/>
      <c r="N168" s="66"/>
      <c r="O168" s="136" t="str">
        <f t="shared" si="61"/>
        <v/>
      </c>
      <c r="P168" s="65" t="str">
        <f t="shared" si="44"/>
        <v/>
      </c>
      <c r="Q168" s="70"/>
      <c r="R168" s="66"/>
      <c r="S168" s="65"/>
      <c r="T168" s="65"/>
      <c r="U168" s="65"/>
      <c r="V168" s="65"/>
      <c r="W168" s="65"/>
      <c r="X168" s="240"/>
      <c r="Y168" s="65"/>
      <c r="Z168" s="281"/>
      <c r="AA168" s="66"/>
      <c r="AB168" s="66"/>
      <c r="AC168" s="247"/>
      <c r="AD168" s="240" t="str">
        <f t="shared" si="45"/>
        <v/>
      </c>
      <c r="AE168" s="240"/>
      <c r="AF168" s="241"/>
      <c r="AG168" s="247"/>
      <c r="AH168" s="241"/>
      <c r="AI168" s="247"/>
      <c r="AJ168" s="231"/>
      <c r="AK168" s="240"/>
      <c r="AL168" s="241"/>
      <c r="AM168" s="65"/>
      <c r="AN168" s="241"/>
      <c r="AO168" s="65"/>
      <c r="AP168" s="66"/>
      <c r="AQ168" s="66"/>
      <c r="AR168" s="66"/>
      <c r="AS168" s="221"/>
      <c r="AT168" s="222">
        <f t="shared" si="60"/>
        <v>0</v>
      </c>
      <c r="AU168" s="223"/>
      <c r="AV168" s="99"/>
      <c r="AW168" s="100"/>
      <c r="AX168" s="100"/>
      <c r="AY168" s="100"/>
      <c r="AZ168" s="100"/>
      <c r="BA168" s="100"/>
      <c r="BB168" s="100"/>
      <c r="BC168" s="101"/>
      <c r="BD168" s="96"/>
      <c r="BE168" s="97"/>
      <c r="BF168" s="97"/>
      <c r="BG168" s="97"/>
      <c r="BH168" s="98"/>
      <c r="BI168" s="157" t="e">
        <f t="shared" si="46"/>
        <v>#REF!</v>
      </c>
      <c r="BJ168" s="158" t="e">
        <f>#REF!</f>
        <v>#REF!</v>
      </c>
      <c r="BK168" s="159" t="e">
        <f>#REF!</f>
        <v>#REF!</v>
      </c>
      <c r="BL168" s="181" t="e">
        <f t="shared" si="47"/>
        <v>#REF!</v>
      </c>
      <c r="BM168" s="182" t="e">
        <f t="shared" si="48"/>
        <v>#REF!</v>
      </c>
      <c r="BN168" s="182" t="e">
        <f t="shared" si="49"/>
        <v>#REF!</v>
      </c>
      <c r="BO168" s="182" t="e">
        <f t="shared" si="50"/>
        <v>#REF!</v>
      </c>
      <c r="BP168" s="182" t="e">
        <f t="shared" si="51"/>
        <v>#REF!</v>
      </c>
      <c r="BQ168" s="182" t="e">
        <f t="shared" si="52"/>
        <v>#REF!</v>
      </c>
      <c r="BR168" s="182" t="e">
        <f t="shared" si="53"/>
        <v>#REF!</v>
      </c>
      <c r="BS168" s="183" t="e">
        <f t="shared" si="54"/>
        <v>#REF!</v>
      </c>
      <c r="BT168" s="184" t="e">
        <f t="shared" si="55"/>
        <v>#REF!</v>
      </c>
      <c r="BU168" s="185" t="e">
        <f t="shared" si="56"/>
        <v>#REF!</v>
      </c>
      <c r="BV168" s="185" t="e">
        <f t="shared" si="57"/>
        <v>#REF!</v>
      </c>
      <c r="BW168" s="185" t="e">
        <f t="shared" si="58"/>
        <v>#REF!</v>
      </c>
      <c r="BX168" s="186" t="e">
        <f t="shared" si="59"/>
        <v>#REF!</v>
      </c>
      <c r="BY16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8" s="66"/>
      <c r="DA168" s="66"/>
      <c r="DB168" s="66"/>
      <c r="DC168" s="224" t="str">
        <f t="shared" si="62"/>
        <v/>
      </c>
      <c r="DD168" s="1">
        <f>IF($DC168="",0,IF(COUNTIF($DC$2:$DC167,$DC168)=0,1,0))</f>
        <v>0</v>
      </c>
    </row>
    <row r="169" spans="1:108" s="1" customFormat="1" x14ac:dyDescent="0.25">
      <c r="A169" s="64">
        <v>168</v>
      </c>
      <c r="B169" s="71"/>
      <c r="C169" s="72"/>
      <c r="D169" s="72"/>
      <c r="E169" s="72"/>
      <c r="F169" s="72"/>
      <c r="G169" s="66"/>
      <c r="H169" s="66"/>
      <c r="I169" s="66"/>
      <c r="J169" s="67"/>
      <c r="K169" s="68"/>
      <c r="L169" s="69"/>
      <c r="M169" s="66"/>
      <c r="N169" s="66"/>
      <c r="O169" s="136" t="str">
        <f t="shared" si="61"/>
        <v/>
      </c>
      <c r="P169" s="65" t="str">
        <f t="shared" si="44"/>
        <v/>
      </c>
      <c r="Q169" s="70"/>
      <c r="R169" s="66"/>
      <c r="S169" s="65"/>
      <c r="T169" s="65"/>
      <c r="U169" s="65"/>
      <c r="V169" s="65"/>
      <c r="W169" s="65"/>
      <c r="X169" s="240"/>
      <c r="Y169" s="65"/>
      <c r="Z169" s="281"/>
      <c r="AA169" s="66"/>
      <c r="AB169" s="66"/>
      <c r="AC169" s="247"/>
      <c r="AD169" s="240" t="str">
        <f t="shared" si="45"/>
        <v/>
      </c>
      <c r="AE169" s="240"/>
      <c r="AF169" s="241"/>
      <c r="AG169" s="247"/>
      <c r="AH169" s="241"/>
      <c r="AI169" s="247"/>
      <c r="AJ169" s="231"/>
      <c r="AK169" s="240"/>
      <c r="AL169" s="241"/>
      <c r="AM169" s="65"/>
      <c r="AN169" s="241"/>
      <c r="AO169" s="65"/>
      <c r="AP169" s="66"/>
      <c r="AQ169" s="66"/>
      <c r="AR169" s="66"/>
      <c r="AS169" s="221"/>
      <c r="AT169" s="222">
        <f t="shared" si="60"/>
        <v>0</v>
      </c>
      <c r="AU169" s="223"/>
      <c r="AV169" s="99"/>
      <c r="AW169" s="100"/>
      <c r="AX169" s="100"/>
      <c r="AY169" s="100"/>
      <c r="AZ169" s="100"/>
      <c r="BA169" s="100"/>
      <c r="BB169" s="100"/>
      <c r="BC169" s="101"/>
      <c r="BD169" s="96"/>
      <c r="BE169" s="97"/>
      <c r="BF169" s="97"/>
      <c r="BG169" s="97"/>
      <c r="BH169" s="98"/>
      <c r="BI169" s="157" t="e">
        <f t="shared" si="46"/>
        <v>#REF!</v>
      </c>
      <c r="BJ169" s="158" t="e">
        <f>#REF!</f>
        <v>#REF!</v>
      </c>
      <c r="BK169" s="159" t="e">
        <f>#REF!</f>
        <v>#REF!</v>
      </c>
      <c r="BL169" s="181" t="e">
        <f t="shared" si="47"/>
        <v>#REF!</v>
      </c>
      <c r="BM169" s="182" t="e">
        <f t="shared" si="48"/>
        <v>#REF!</v>
      </c>
      <c r="BN169" s="182" t="e">
        <f t="shared" si="49"/>
        <v>#REF!</v>
      </c>
      <c r="BO169" s="182" t="e">
        <f t="shared" si="50"/>
        <v>#REF!</v>
      </c>
      <c r="BP169" s="182" t="e">
        <f t="shared" si="51"/>
        <v>#REF!</v>
      </c>
      <c r="BQ169" s="182" t="e">
        <f t="shared" si="52"/>
        <v>#REF!</v>
      </c>
      <c r="BR169" s="182" t="e">
        <f t="shared" si="53"/>
        <v>#REF!</v>
      </c>
      <c r="BS169" s="183" t="e">
        <f t="shared" si="54"/>
        <v>#REF!</v>
      </c>
      <c r="BT169" s="184" t="e">
        <f t="shared" si="55"/>
        <v>#REF!</v>
      </c>
      <c r="BU169" s="185" t="e">
        <f t="shared" si="56"/>
        <v>#REF!</v>
      </c>
      <c r="BV169" s="185" t="e">
        <f t="shared" si="57"/>
        <v>#REF!</v>
      </c>
      <c r="BW169" s="185" t="e">
        <f t="shared" si="58"/>
        <v>#REF!</v>
      </c>
      <c r="BX169" s="186" t="e">
        <f t="shared" si="59"/>
        <v>#REF!</v>
      </c>
      <c r="BY16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6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6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6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6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6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6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6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6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6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6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6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6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6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6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6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6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6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6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6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6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6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6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6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6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6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6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69" s="66"/>
      <c r="DA169" s="66"/>
      <c r="DB169" s="66"/>
      <c r="DC169" s="224" t="str">
        <f t="shared" si="62"/>
        <v/>
      </c>
      <c r="DD169" s="1">
        <f>IF($DC169="",0,IF(COUNTIF($DC$2:$DC168,$DC169)=0,1,0))</f>
        <v>0</v>
      </c>
    </row>
    <row r="170" spans="1:108" s="1" customFormat="1" x14ac:dyDescent="0.25">
      <c r="A170" s="64">
        <v>169</v>
      </c>
      <c r="B170" s="71"/>
      <c r="C170" s="72"/>
      <c r="D170" s="72"/>
      <c r="E170" s="72"/>
      <c r="F170" s="72"/>
      <c r="G170" s="66"/>
      <c r="H170" s="66"/>
      <c r="I170" s="66"/>
      <c r="J170" s="67"/>
      <c r="K170" s="68"/>
      <c r="L170" s="69"/>
      <c r="M170" s="66"/>
      <c r="N170" s="66"/>
      <c r="O170" s="136" t="str">
        <f t="shared" si="61"/>
        <v/>
      </c>
      <c r="P170" s="65" t="str">
        <f t="shared" si="44"/>
        <v/>
      </c>
      <c r="Q170" s="70"/>
      <c r="R170" s="66"/>
      <c r="S170" s="65"/>
      <c r="T170" s="65"/>
      <c r="U170" s="65"/>
      <c r="V170" s="65"/>
      <c r="W170" s="65"/>
      <c r="X170" s="240"/>
      <c r="Y170" s="65"/>
      <c r="Z170" s="281"/>
      <c r="AA170" s="66"/>
      <c r="AB170" s="66"/>
      <c r="AC170" s="247"/>
      <c r="AD170" s="240" t="str">
        <f t="shared" si="45"/>
        <v/>
      </c>
      <c r="AE170" s="240"/>
      <c r="AF170" s="241"/>
      <c r="AG170" s="247"/>
      <c r="AH170" s="241"/>
      <c r="AI170" s="247"/>
      <c r="AJ170" s="231"/>
      <c r="AK170" s="240"/>
      <c r="AL170" s="241"/>
      <c r="AM170" s="65"/>
      <c r="AN170" s="241"/>
      <c r="AO170" s="65"/>
      <c r="AP170" s="66"/>
      <c r="AQ170" s="66"/>
      <c r="AR170" s="66"/>
      <c r="AS170" s="221"/>
      <c r="AT170" s="222">
        <f t="shared" si="60"/>
        <v>0</v>
      </c>
      <c r="AU170" s="223"/>
      <c r="AV170" s="99"/>
      <c r="AW170" s="100"/>
      <c r="AX170" s="100"/>
      <c r="AY170" s="100"/>
      <c r="AZ170" s="100"/>
      <c r="BA170" s="100"/>
      <c r="BB170" s="100"/>
      <c r="BC170" s="101"/>
      <c r="BD170" s="96"/>
      <c r="BE170" s="97"/>
      <c r="BF170" s="97"/>
      <c r="BG170" s="97"/>
      <c r="BH170" s="98"/>
      <c r="BI170" s="157" t="e">
        <f t="shared" si="46"/>
        <v>#REF!</v>
      </c>
      <c r="BJ170" s="158" t="e">
        <f>#REF!</f>
        <v>#REF!</v>
      </c>
      <c r="BK170" s="159" t="e">
        <f>#REF!</f>
        <v>#REF!</v>
      </c>
      <c r="BL170" s="181" t="e">
        <f t="shared" si="47"/>
        <v>#REF!</v>
      </c>
      <c r="BM170" s="182" t="e">
        <f t="shared" si="48"/>
        <v>#REF!</v>
      </c>
      <c r="BN170" s="182" t="e">
        <f t="shared" si="49"/>
        <v>#REF!</v>
      </c>
      <c r="BO170" s="182" t="e">
        <f t="shared" si="50"/>
        <v>#REF!</v>
      </c>
      <c r="BP170" s="182" t="e">
        <f t="shared" si="51"/>
        <v>#REF!</v>
      </c>
      <c r="BQ170" s="182" t="e">
        <f t="shared" si="52"/>
        <v>#REF!</v>
      </c>
      <c r="BR170" s="182" t="e">
        <f t="shared" si="53"/>
        <v>#REF!</v>
      </c>
      <c r="BS170" s="183" t="e">
        <f t="shared" si="54"/>
        <v>#REF!</v>
      </c>
      <c r="BT170" s="184" t="e">
        <f t="shared" si="55"/>
        <v>#REF!</v>
      </c>
      <c r="BU170" s="185" t="e">
        <f t="shared" si="56"/>
        <v>#REF!</v>
      </c>
      <c r="BV170" s="185" t="e">
        <f t="shared" si="57"/>
        <v>#REF!</v>
      </c>
      <c r="BW170" s="185" t="e">
        <f t="shared" si="58"/>
        <v>#REF!</v>
      </c>
      <c r="BX170" s="186" t="e">
        <f t="shared" si="59"/>
        <v>#REF!</v>
      </c>
      <c r="BY17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0" s="66"/>
      <c r="DA170" s="66"/>
      <c r="DB170" s="66"/>
      <c r="DC170" s="224" t="str">
        <f t="shared" si="62"/>
        <v/>
      </c>
      <c r="DD170" s="1">
        <f>IF($DC170="",0,IF(COUNTIF($DC$2:$DC169,$DC170)=0,1,0))</f>
        <v>0</v>
      </c>
    </row>
    <row r="171" spans="1:108" s="1" customFormat="1" x14ac:dyDescent="0.25">
      <c r="A171" s="64">
        <v>170</v>
      </c>
      <c r="B171" s="71"/>
      <c r="C171" s="72"/>
      <c r="D171" s="72"/>
      <c r="E171" s="72"/>
      <c r="F171" s="72"/>
      <c r="G171" s="66"/>
      <c r="H171" s="66"/>
      <c r="I171" s="66"/>
      <c r="J171" s="67"/>
      <c r="K171" s="68"/>
      <c r="L171" s="69"/>
      <c r="M171" s="66"/>
      <c r="N171" s="66"/>
      <c r="O171" s="136" t="str">
        <f t="shared" si="61"/>
        <v/>
      </c>
      <c r="P171" s="65" t="str">
        <f t="shared" si="44"/>
        <v/>
      </c>
      <c r="Q171" s="70"/>
      <c r="R171" s="66"/>
      <c r="S171" s="65"/>
      <c r="T171" s="65"/>
      <c r="U171" s="65"/>
      <c r="V171" s="65"/>
      <c r="W171" s="65"/>
      <c r="X171" s="240"/>
      <c r="Y171" s="65"/>
      <c r="Z171" s="281"/>
      <c r="AA171" s="66"/>
      <c r="AB171" s="66"/>
      <c r="AC171" s="247"/>
      <c r="AD171" s="240" t="str">
        <f t="shared" si="45"/>
        <v/>
      </c>
      <c r="AE171" s="240"/>
      <c r="AF171" s="241"/>
      <c r="AG171" s="247"/>
      <c r="AH171" s="241"/>
      <c r="AI171" s="247"/>
      <c r="AJ171" s="231"/>
      <c r="AK171" s="240"/>
      <c r="AL171" s="241"/>
      <c r="AM171" s="65"/>
      <c r="AN171" s="241"/>
      <c r="AO171" s="65"/>
      <c r="AP171" s="66"/>
      <c r="AQ171" s="66"/>
      <c r="AR171" s="66"/>
      <c r="AS171" s="221"/>
      <c r="AT171" s="222">
        <f t="shared" si="60"/>
        <v>0</v>
      </c>
      <c r="AU171" s="223"/>
      <c r="AV171" s="99"/>
      <c r="AW171" s="100"/>
      <c r="AX171" s="100"/>
      <c r="AY171" s="100"/>
      <c r="AZ171" s="100"/>
      <c r="BA171" s="100"/>
      <c r="BB171" s="100"/>
      <c r="BC171" s="101"/>
      <c r="BD171" s="96"/>
      <c r="BE171" s="97"/>
      <c r="BF171" s="97"/>
      <c r="BG171" s="97"/>
      <c r="BH171" s="98"/>
      <c r="BI171" s="157" t="e">
        <f t="shared" si="46"/>
        <v>#REF!</v>
      </c>
      <c r="BJ171" s="158" t="e">
        <f>#REF!</f>
        <v>#REF!</v>
      </c>
      <c r="BK171" s="159" t="e">
        <f>#REF!</f>
        <v>#REF!</v>
      </c>
      <c r="BL171" s="181" t="e">
        <f t="shared" si="47"/>
        <v>#REF!</v>
      </c>
      <c r="BM171" s="182" t="e">
        <f t="shared" si="48"/>
        <v>#REF!</v>
      </c>
      <c r="BN171" s="182" t="e">
        <f t="shared" si="49"/>
        <v>#REF!</v>
      </c>
      <c r="BO171" s="182" t="e">
        <f t="shared" si="50"/>
        <v>#REF!</v>
      </c>
      <c r="BP171" s="182" t="e">
        <f t="shared" si="51"/>
        <v>#REF!</v>
      </c>
      <c r="BQ171" s="182" t="e">
        <f t="shared" si="52"/>
        <v>#REF!</v>
      </c>
      <c r="BR171" s="182" t="e">
        <f t="shared" si="53"/>
        <v>#REF!</v>
      </c>
      <c r="BS171" s="183" t="e">
        <f t="shared" si="54"/>
        <v>#REF!</v>
      </c>
      <c r="BT171" s="184" t="e">
        <f t="shared" si="55"/>
        <v>#REF!</v>
      </c>
      <c r="BU171" s="185" t="e">
        <f t="shared" si="56"/>
        <v>#REF!</v>
      </c>
      <c r="BV171" s="185" t="e">
        <f t="shared" si="57"/>
        <v>#REF!</v>
      </c>
      <c r="BW171" s="185" t="e">
        <f t="shared" si="58"/>
        <v>#REF!</v>
      </c>
      <c r="BX171" s="186" t="e">
        <f t="shared" si="59"/>
        <v>#REF!</v>
      </c>
      <c r="BY17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1" s="66"/>
      <c r="DA171" s="66"/>
      <c r="DB171" s="66"/>
      <c r="DC171" s="224" t="str">
        <f t="shared" si="62"/>
        <v/>
      </c>
      <c r="DD171" s="1">
        <f>IF($DC171="",0,IF(COUNTIF($DC$2:$DC170,$DC171)=0,1,0))</f>
        <v>0</v>
      </c>
    </row>
    <row r="172" spans="1:108" s="1" customFormat="1" x14ac:dyDescent="0.25">
      <c r="A172" s="64">
        <v>171</v>
      </c>
      <c r="B172" s="71"/>
      <c r="C172" s="72"/>
      <c r="D172" s="72"/>
      <c r="E172" s="72"/>
      <c r="F172" s="72"/>
      <c r="G172" s="66"/>
      <c r="H172" s="66"/>
      <c r="I172" s="66"/>
      <c r="J172" s="67"/>
      <c r="K172" s="68"/>
      <c r="L172" s="69"/>
      <c r="M172" s="66"/>
      <c r="N172" s="66"/>
      <c r="O172" s="136" t="str">
        <f t="shared" si="61"/>
        <v/>
      </c>
      <c r="P172" s="65" t="str">
        <f t="shared" si="44"/>
        <v/>
      </c>
      <c r="Q172" s="70"/>
      <c r="R172" s="66"/>
      <c r="S172" s="65"/>
      <c r="T172" s="65"/>
      <c r="U172" s="65"/>
      <c r="V172" s="65"/>
      <c r="W172" s="65"/>
      <c r="X172" s="240"/>
      <c r="Y172" s="65"/>
      <c r="Z172" s="281"/>
      <c r="AA172" s="66"/>
      <c r="AB172" s="66"/>
      <c r="AC172" s="247"/>
      <c r="AD172" s="240" t="str">
        <f t="shared" si="45"/>
        <v/>
      </c>
      <c r="AE172" s="240"/>
      <c r="AF172" s="241"/>
      <c r="AG172" s="247"/>
      <c r="AH172" s="241"/>
      <c r="AI172" s="247"/>
      <c r="AJ172" s="231"/>
      <c r="AK172" s="240"/>
      <c r="AL172" s="241"/>
      <c r="AM172" s="65"/>
      <c r="AN172" s="241"/>
      <c r="AO172" s="65"/>
      <c r="AP172" s="66"/>
      <c r="AQ172" s="66"/>
      <c r="AR172" s="66"/>
      <c r="AS172" s="221"/>
      <c r="AT172" s="222">
        <f t="shared" si="60"/>
        <v>0</v>
      </c>
      <c r="AU172" s="223"/>
      <c r="AV172" s="99"/>
      <c r="AW172" s="100"/>
      <c r="AX172" s="100"/>
      <c r="AY172" s="100"/>
      <c r="AZ172" s="100"/>
      <c r="BA172" s="100"/>
      <c r="BB172" s="100"/>
      <c r="BC172" s="101"/>
      <c r="BD172" s="96"/>
      <c r="BE172" s="97"/>
      <c r="BF172" s="97"/>
      <c r="BG172" s="97"/>
      <c r="BH172" s="98"/>
      <c r="BI172" s="157" t="e">
        <f t="shared" si="46"/>
        <v>#REF!</v>
      </c>
      <c r="BJ172" s="158" t="e">
        <f>#REF!</f>
        <v>#REF!</v>
      </c>
      <c r="BK172" s="159" t="e">
        <f>#REF!</f>
        <v>#REF!</v>
      </c>
      <c r="BL172" s="181" t="e">
        <f t="shared" si="47"/>
        <v>#REF!</v>
      </c>
      <c r="BM172" s="182" t="e">
        <f t="shared" si="48"/>
        <v>#REF!</v>
      </c>
      <c r="BN172" s="182" t="e">
        <f t="shared" si="49"/>
        <v>#REF!</v>
      </c>
      <c r="BO172" s="182" t="e">
        <f t="shared" si="50"/>
        <v>#REF!</v>
      </c>
      <c r="BP172" s="182" t="e">
        <f t="shared" si="51"/>
        <v>#REF!</v>
      </c>
      <c r="BQ172" s="182" t="e">
        <f t="shared" si="52"/>
        <v>#REF!</v>
      </c>
      <c r="BR172" s="182" t="e">
        <f t="shared" si="53"/>
        <v>#REF!</v>
      </c>
      <c r="BS172" s="183" t="e">
        <f t="shared" si="54"/>
        <v>#REF!</v>
      </c>
      <c r="BT172" s="184" t="e">
        <f t="shared" si="55"/>
        <v>#REF!</v>
      </c>
      <c r="BU172" s="185" t="e">
        <f t="shared" si="56"/>
        <v>#REF!</v>
      </c>
      <c r="BV172" s="185" t="e">
        <f t="shared" si="57"/>
        <v>#REF!</v>
      </c>
      <c r="BW172" s="185" t="e">
        <f t="shared" si="58"/>
        <v>#REF!</v>
      </c>
      <c r="BX172" s="186" t="e">
        <f t="shared" si="59"/>
        <v>#REF!</v>
      </c>
      <c r="BY17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2" s="66"/>
      <c r="DA172" s="66"/>
      <c r="DB172" s="66"/>
      <c r="DC172" s="224" t="str">
        <f t="shared" si="62"/>
        <v/>
      </c>
      <c r="DD172" s="1">
        <f>IF($DC172="",0,IF(COUNTIF($DC$2:$DC171,$DC172)=0,1,0))</f>
        <v>0</v>
      </c>
    </row>
    <row r="173" spans="1:108" s="1" customFormat="1" x14ac:dyDescent="0.25">
      <c r="A173" s="64">
        <v>172</v>
      </c>
      <c r="B173" s="71"/>
      <c r="C173" s="72"/>
      <c r="D173" s="72"/>
      <c r="E173" s="72"/>
      <c r="F173" s="72"/>
      <c r="G173" s="66"/>
      <c r="H173" s="66"/>
      <c r="I173" s="66"/>
      <c r="J173" s="67"/>
      <c r="K173" s="68"/>
      <c r="L173" s="69"/>
      <c r="M173" s="66"/>
      <c r="N173" s="66"/>
      <c r="O173" s="136" t="str">
        <f t="shared" ref="O173:O201" si="63">IF($L173="","",($AP173-$L173)/365)</f>
        <v/>
      </c>
      <c r="P173" s="65" t="str">
        <f t="shared" si="44"/>
        <v/>
      </c>
      <c r="Q173" s="70"/>
      <c r="R173" s="66"/>
      <c r="S173" s="65"/>
      <c r="T173" s="65"/>
      <c r="U173" s="65"/>
      <c r="V173" s="65"/>
      <c r="W173" s="65"/>
      <c r="X173" s="240"/>
      <c r="Y173" s="65"/>
      <c r="Z173" s="281"/>
      <c r="AA173" s="66"/>
      <c r="AB173" s="66"/>
      <c r="AC173" s="247"/>
      <c r="AD173" s="240" t="str">
        <f t="shared" si="45"/>
        <v/>
      </c>
      <c r="AE173" s="240"/>
      <c r="AF173" s="241"/>
      <c r="AG173" s="247"/>
      <c r="AH173" s="241"/>
      <c r="AI173" s="247"/>
      <c r="AJ173" s="231"/>
      <c r="AK173" s="240"/>
      <c r="AL173" s="241"/>
      <c r="AM173" s="65"/>
      <c r="AN173" s="241"/>
      <c r="AO173" s="65"/>
      <c r="AP173" s="66"/>
      <c r="AQ173" s="66"/>
      <c r="AR173" s="66"/>
      <c r="AS173" s="221"/>
      <c r="AT173" s="222">
        <f t="shared" si="60"/>
        <v>0</v>
      </c>
      <c r="AU173" s="223"/>
      <c r="AV173" s="99"/>
      <c r="AW173" s="100"/>
      <c r="AX173" s="100"/>
      <c r="AY173" s="100"/>
      <c r="AZ173" s="100"/>
      <c r="BA173" s="100"/>
      <c r="BB173" s="100"/>
      <c r="BC173" s="101"/>
      <c r="BD173" s="96"/>
      <c r="BE173" s="97"/>
      <c r="BF173" s="97"/>
      <c r="BG173" s="97"/>
      <c r="BH173" s="98"/>
      <c r="BI173" s="157" t="e">
        <f t="shared" si="46"/>
        <v>#REF!</v>
      </c>
      <c r="BJ173" s="158" t="e">
        <f>#REF!</f>
        <v>#REF!</v>
      </c>
      <c r="BK173" s="159" t="e">
        <f>#REF!</f>
        <v>#REF!</v>
      </c>
      <c r="BL173" s="181" t="e">
        <f t="shared" si="47"/>
        <v>#REF!</v>
      </c>
      <c r="BM173" s="182" t="e">
        <f t="shared" si="48"/>
        <v>#REF!</v>
      </c>
      <c r="BN173" s="182" t="e">
        <f t="shared" si="49"/>
        <v>#REF!</v>
      </c>
      <c r="BO173" s="182" t="e">
        <f t="shared" si="50"/>
        <v>#REF!</v>
      </c>
      <c r="BP173" s="182" t="e">
        <f t="shared" si="51"/>
        <v>#REF!</v>
      </c>
      <c r="BQ173" s="182" t="e">
        <f t="shared" si="52"/>
        <v>#REF!</v>
      </c>
      <c r="BR173" s="182" t="e">
        <f t="shared" si="53"/>
        <v>#REF!</v>
      </c>
      <c r="BS173" s="183" t="e">
        <f t="shared" si="54"/>
        <v>#REF!</v>
      </c>
      <c r="BT173" s="184" t="e">
        <f t="shared" si="55"/>
        <v>#REF!</v>
      </c>
      <c r="BU173" s="185" t="e">
        <f t="shared" si="56"/>
        <v>#REF!</v>
      </c>
      <c r="BV173" s="185" t="e">
        <f t="shared" si="57"/>
        <v>#REF!</v>
      </c>
      <c r="BW173" s="185" t="e">
        <f t="shared" si="58"/>
        <v>#REF!</v>
      </c>
      <c r="BX173" s="186" t="e">
        <f t="shared" si="59"/>
        <v>#REF!</v>
      </c>
      <c r="BY17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3" s="66"/>
      <c r="DA173" s="66"/>
      <c r="DB173" s="66"/>
      <c r="DC173" s="224" t="str">
        <f t="shared" si="62"/>
        <v/>
      </c>
      <c r="DD173" s="1">
        <f>IF($DC173="",0,IF(COUNTIF($DC$2:$DC172,$DC173)=0,1,0))</f>
        <v>0</v>
      </c>
    </row>
    <row r="174" spans="1:108" s="1" customFormat="1" x14ac:dyDescent="0.25">
      <c r="A174" s="64">
        <v>173</v>
      </c>
      <c r="B174" s="71"/>
      <c r="C174" s="72"/>
      <c r="D174" s="72"/>
      <c r="E174" s="72"/>
      <c r="F174" s="72"/>
      <c r="G174" s="66"/>
      <c r="H174" s="66"/>
      <c r="I174" s="66"/>
      <c r="J174" s="67"/>
      <c r="K174" s="68"/>
      <c r="L174" s="69"/>
      <c r="M174" s="66"/>
      <c r="N174" s="66"/>
      <c r="O174" s="136" t="str">
        <f t="shared" si="63"/>
        <v/>
      </c>
      <c r="P174" s="65" t="str">
        <f t="shared" si="44"/>
        <v/>
      </c>
      <c r="Q174" s="70"/>
      <c r="R174" s="66"/>
      <c r="S174" s="65"/>
      <c r="T174" s="65"/>
      <c r="U174" s="65"/>
      <c r="V174" s="65"/>
      <c r="W174" s="65"/>
      <c r="X174" s="240"/>
      <c r="Y174" s="65"/>
      <c r="Z174" s="281"/>
      <c r="AA174" s="66"/>
      <c r="AB174" s="66"/>
      <c r="AC174" s="247"/>
      <c r="AD174" s="240" t="str">
        <f t="shared" si="45"/>
        <v/>
      </c>
      <c r="AE174" s="240"/>
      <c r="AF174" s="241"/>
      <c r="AG174" s="247"/>
      <c r="AH174" s="241"/>
      <c r="AI174" s="247"/>
      <c r="AJ174" s="231"/>
      <c r="AK174" s="240"/>
      <c r="AL174" s="241"/>
      <c r="AM174" s="65"/>
      <c r="AN174" s="241"/>
      <c r="AO174" s="65"/>
      <c r="AP174" s="66"/>
      <c r="AQ174" s="66"/>
      <c r="AR174" s="66"/>
      <c r="AS174" s="221"/>
      <c r="AT174" s="222">
        <f t="shared" si="60"/>
        <v>0</v>
      </c>
      <c r="AU174" s="223"/>
      <c r="AV174" s="99"/>
      <c r="AW174" s="100"/>
      <c r="AX174" s="100"/>
      <c r="AY174" s="100"/>
      <c r="AZ174" s="100"/>
      <c r="BA174" s="100"/>
      <c r="BB174" s="100"/>
      <c r="BC174" s="101"/>
      <c r="BD174" s="96"/>
      <c r="BE174" s="97"/>
      <c r="BF174" s="97"/>
      <c r="BG174" s="97"/>
      <c r="BH174" s="98"/>
      <c r="BI174" s="157" t="e">
        <f t="shared" si="46"/>
        <v>#REF!</v>
      </c>
      <c r="BJ174" s="158" t="e">
        <f>#REF!</f>
        <v>#REF!</v>
      </c>
      <c r="BK174" s="159" t="e">
        <f>#REF!</f>
        <v>#REF!</v>
      </c>
      <c r="BL174" s="181" t="e">
        <f t="shared" si="47"/>
        <v>#REF!</v>
      </c>
      <c r="BM174" s="182" t="e">
        <f t="shared" si="48"/>
        <v>#REF!</v>
      </c>
      <c r="BN174" s="182" t="e">
        <f t="shared" si="49"/>
        <v>#REF!</v>
      </c>
      <c r="BO174" s="182" t="e">
        <f t="shared" si="50"/>
        <v>#REF!</v>
      </c>
      <c r="BP174" s="182" t="e">
        <f t="shared" si="51"/>
        <v>#REF!</v>
      </c>
      <c r="BQ174" s="182" t="e">
        <f t="shared" si="52"/>
        <v>#REF!</v>
      </c>
      <c r="BR174" s="182" t="e">
        <f t="shared" si="53"/>
        <v>#REF!</v>
      </c>
      <c r="BS174" s="183" t="e">
        <f t="shared" si="54"/>
        <v>#REF!</v>
      </c>
      <c r="BT174" s="184" t="e">
        <f t="shared" si="55"/>
        <v>#REF!</v>
      </c>
      <c r="BU174" s="185" t="e">
        <f t="shared" si="56"/>
        <v>#REF!</v>
      </c>
      <c r="BV174" s="185" t="e">
        <f t="shared" si="57"/>
        <v>#REF!</v>
      </c>
      <c r="BW174" s="185" t="e">
        <f t="shared" si="58"/>
        <v>#REF!</v>
      </c>
      <c r="BX174" s="186" t="e">
        <f t="shared" si="59"/>
        <v>#REF!</v>
      </c>
      <c r="BY17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4" s="66"/>
      <c r="DA174" s="66"/>
      <c r="DB174" s="66"/>
      <c r="DC174" s="224" t="str">
        <f t="shared" si="62"/>
        <v/>
      </c>
      <c r="DD174" s="1">
        <f>IF($DC174="",0,IF(COUNTIF($DC$2:$DC173,$DC174)=0,1,0))</f>
        <v>0</v>
      </c>
    </row>
    <row r="175" spans="1:108" s="1" customFormat="1" x14ac:dyDescent="0.25">
      <c r="A175" s="64">
        <v>174</v>
      </c>
      <c r="B175" s="71"/>
      <c r="C175" s="72"/>
      <c r="D175" s="72"/>
      <c r="E175" s="72"/>
      <c r="F175" s="72"/>
      <c r="G175" s="66"/>
      <c r="H175" s="66"/>
      <c r="I175" s="66"/>
      <c r="J175" s="67"/>
      <c r="K175" s="68"/>
      <c r="L175" s="69"/>
      <c r="M175" s="66"/>
      <c r="N175" s="66"/>
      <c r="O175" s="136" t="str">
        <f t="shared" si="63"/>
        <v/>
      </c>
      <c r="P175" s="65" t="str">
        <f t="shared" si="44"/>
        <v/>
      </c>
      <c r="Q175" s="70"/>
      <c r="R175" s="66"/>
      <c r="S175" s="65"/>
      <c r="T175" s="65"/>
      <c r="U175" s="65"/>
      <c r="V175" s="65"/>
      <c r="W175" s="65"/>
      <c r="X175" s="240"/>
      <c r="Y175" s="65"/>
      <c r="Z175" s="281"/>
      <c r="AA175" s="66"/>
      <c r="AB175" s="66"/>
      <c r="AC175" s="247"/>
      <c r="AD175" s="240" t="str">
        <f t="shared" si="45"/>
        <v/>
      </c>
      <c r="AE175" s="240"/>
      <c r="AF175" s="241"/>
      <c r="AG175" s="247"/>
      <c r="AH175" s="241"/>
      <c r="AI175" s="247"/>
      <c r="AJ175" s="231"/>
      <c r="AK175" s="240"/>
      <c r="AL175" s="241"/>
      <c r="AM175" s="65"/>
      <c r="AN175" s="241"/>
      <c r="AO175" s="65"/>
      <c r="AP175" s="66"/>
      <c r="AQ175" s="66"/>
      <c r="AR175" s="66"/>
      <c r="AS175" s="221"/>
      <c r="AT175" s="222">
        <f t="shared" si="60"/>
        <v>0</v>
      </c>
      <c r="AU175" s="223"/>
      <c r="AV175" s="99"/>
      <c r="AW175" s="100"/>
      <c r="AX175" s="100"/>
      <c r="AY175" s="100"/>
      <c r="AZ175" s="100"/>
      <c r="BA175" s="100"/>
      <c r="BB175" s="100"/>
      <c r="BC175" s="101"/>
      <c r="BD175" s="96"/>
      <c r="BE175" s="97"/>
      <c r="BF175" s="97"/>
      <c r="BG175" s="97"/>
      <c r="BH175" s="98"/>
      <c r="BI175" s="157" t="e">
        <f t="shared" si="46"/>
        <v>#REF!</v>
      </c>
      <c r="BJ175" s="158" t="e">
        <f>#REF!</f>
        <v>#REF!</v>
      </c>
      <c r="BK175" s="159" t="e">
        <f>#REF!</f>
        <v>#REF!</v>
      </c>
      <c r="BL175" s="181" t="e">
        <f t="shared" si="47"/>
        <v>#REF!</v>
      </c>
      <c r="BM175" s="182" t="e">
        <f t="shared" si="48"/>
        <v>#REF!</v>
      </c>
      <c r="BN175" s="182" t="e">
        <f t="shared" si="49"/>
        <v>#REF!</v>
      </c>
      <c r="BO175" s="182" t="e">
        <f t="shared" si="50"/>
        <v>#REF!</v>
      </c>
      <c r="BP175" s="182" t="e">
        <f t="shared" si="51"/>
        <v>#REF!</v>
      </c>
      <c r="BQ175" s="182" t="e">
        <f t="shared" si="52"/>
        <v>#REF!</v>
      </c>
      <c r="BR175" s="182" t="e">
        <f t="shared" si="53"/>
        <v>#REF!</v>
      </c>
      <c r="BS175" s="183" t="e">
        <f t="shared" si="54"/>
        <v>#REF!</v>
      </c>
      <c r="BT175" s="184" t="e">
        <f t="shared" si="55"/>
        <v>#REF!</v>
      </c>
      <c r="BU175" s="185" t="e">
        <f t="shared" si="56"/>
        <v>#REF!</v>
      </c>
      <c r="BV175" s="185" t="e">
        <f t="shared" si="57"/>
        <v>#REF!</v>
      </c>
      <c r="BW175" s="185" t="e">
        <f t="shared" si="58"/>
        <v>#REF!</v>
      </c>
      <c r="BX175" s="186" t="e">
        <f t="shared" si="59"/>
        <v>#REF!</v>
      </c>
      <c r="BY17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5" s="66"/>
      <c r="DA175" s="66"/>
      <c r="DB175" s="66"/>
      <c r="DC175" s="224" t="str">
        <f t="shared" si="62"/>
        <v/>
      </c>
      <c r="DD175" s="1">
        <f>IF($DC175="",0,IF(COUNTIF($DC$2:$DC174,$DC175)=0,1,0))</f>
        <v>0</v>
      </c>
    </row>
    <row r="176" spans="1:108" s="1" customFormat="1" x14ac:dyDescent="0.25">
      <c r="A176" s="64">
        <v>175</v>
      </c>
      <c r="B176" s="71"/>
      <c r="C176" s="72"/>
      <c r="D176" s="72"/>
      <c r="E176" s="72"/>
      <c r="F176" s="72"/>
      <c r="G176" s="66"/>
      <c r="H176" s="66"/>
      <c r="I176" s="66"/>
      <c r="J176" s="67"/>
      <c r="K176" s="68"/>
      <c r="L176" s="69"/>
      <c r="M176" s="66"/>
      <c r="N176" s="66"/>
      <c r="O176" s="136" t="str">
        <f t="shared" si="63"/>
        <v/>
      </c>
      <c r="P176" s="65" t="str">
        <f t="shared" si="44"/>
        <v/>
      </c>
      <c r="Q176" s="70"/>
      <c r="R176" s="66"/>
      <c r="S176" s="65"/>
      <c r="T176" s="65"/>
      <c r="U176" s="65"/>
      <c r="V176" s="65"/>
      <c r="W176" s="65"/>
      <c r="X176" s="240"/>
      <c r="Y176" s="65"/>
      <c r="Z176" s="281"/>
      <c r="AA176" s="66"/>
      <c r="AB176" s="66"/>
      <c r="AC176" s="247"/>
      <c r="AD176" s="240" t="str">
        <f t="shared" si="45"/>
        <v/>
      </c>
      <c r="AE176" s="240"/>
      <c r="AF176" s="241"/>
      <c r="AG176" s="247"/>
      <c r="AH176" s="241"/>
      <c r="AI176" s="247"/>
      <c r="AJ176" s="231"/>
      <c r="AK176" s="240"/>
      <c r="AL176" s="241"/>
      <c r="AM176" s="65"/>
      <c r="AN176" s="241"/>
      <c r="AO176" s="65"/>
      <c r="AP176" s="66"/>
      <c r="AQ176" s="66"/>
      <c r="AR176" s="66"/>
      <c r="AS176" s="221"/>
      <c r="AT176" s="222">
        <f t="shared" si="60"/>
        <v>0</v>
      </c>
      <c r="AU176" s="223"/>
      <c r="AV176" s="99"/>
      <c r="AW176" s="100"/>
      <c r="AX176" s="100"/>
      <c r="AY176" s="100"/>
      <c r="AZ176" s="100"/>
      <c r="BA176" s="100"/>
      <c r="BB176" s="100"/>
      <c r="BC176" s="101"/>
      <c r="BD176" s="96"/>
      <c r="BE176" s="97"/>
      <c r="BF176" s="97"/>
      <c r="BG176" s="97"/>
      <c r="BH176" s="98"/>
      <c r="BI176" s="157" t="e">
        <f t="shared" si="46"/>
        <v>#REF!</v>
      </c>
      <c r="BJ176" s="158" t="e">
        <f>#REF!</f>
        <v>#REF!</v>
      </c>
      <c r="BK176" s="159" t="e">
        <f>#REF!</f>
        <v>#REF!</v>
      </c>
      <c r="BL176" s="181" t="e">
        <f t="shared" si="47"/>
        <v>#REF!</v>
      </c>
      <c r="BM176" s="182" t="e">
        <f t="shared" si="48"/>
        <v>#REF!</v>
      </c>
      <c r="BN176" s="182" t="e">
        <f t="shared" si="49"/>
        <v>#REF!</v>
      </c>
      <c r="BO176" s="182" t="e">
        <f t="shared" si="50"/>
        <v>#REF!</v>
      </c>
      <c r="BP176" s="182" t="e">
        <f t="shared" si="51"/>
        <v>#REF!</v>
      </c>
      <c r="BQ176" s="182" t="e">
        <f t="shared" si="52"/>
        <v>#REF!</v>
      </c>
      <c r="BR176" s="182" t="e">
        <f t="shared" si="53"/>
        <v>#REF!</v>
      </c>
      <c r="BS176" s="183" t="e">
        <f t="shared" si="54"/>
        <v>#REF!</v>
      </c>
      <c r="BT176" s="184" t="e">
        <f t="shared" si="55"/>
        <v>#REF!</v>
      </c>
      <c r="BU176" s="185" t="e">
        <f t="shared" si="56"/>
        <v>#REF!</v>
      </c>
      <c r="BV176" s="185" t="e">
        <f t="shared" si="57"/>
        <v>#REF!</v>
      </c>
      <c r="BW176" s="185" t="e">
        <f t="shared" si="58"/>
        <v>#REF!</v>
      </c>
      <c r="BX176" s="186" t="e">
        <f t="shared" si="59"/>
        <v>#REF!</v>
      </c>
      <c r="BY17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6" s="66"/>
      <c r="DA176" s="66"/>
      <c r="DB176" s="66"/>
      <c r="DC176" s="224" t="str">
        <f t="shared" si="62"/>
        <v/>
      </c>
      <c r="DD176" s="1">
        <f>IF($DC176="",0,IF(COUNTIF($DC$2:$DC175,$DC176)=0,1,0))</f>
        <v>0</v>
      </c>
    </row>
    <row r="177" spans="1:108" s="1" customFormat="1" x14ac:dyDescent="0.25">
      <c r="A177" s="64">
        <v>176</v>
      </c>
      <c r="B177" s="71"/>
      <c r="C177" s="72"/>
      <c r="D177" s="72"/>
      <c r="E177" s="72"/>
      <c r="F177" s="72"/>
      <c r="G177" s="66"/>
      <c r="H177" s="66"/>
      <c r="I177" s="66"/>
      <c r="J177" s="67"/>
      <c r="K177" s="68"/>
      <c r="L177" s="69"/>
      <c r="M177" s="66"/>
      <c r="N177" s="66"/>
      <c r="O177" s="136" t="str">
        <f t="shared" si="63"/>
        <v/>
      </c>
      <c r="P177" s="65" t="str">
        <f t="shared" si="44"/>
        <v/>
      </c>
      <c r="Q177" s="70"/>
      <c r="R177" s="66"/>
      <c r="S177" s="65"/>
      <c r="T177" s="65"/>
      <c r="U177" s="65"/>
      <c r="V177" s="65"/>
      <c r="W177" s="65"/>
      <c r="X177" s="240"/>
      <c r="Y177" s="65"/>
      <c r="Z177" s="281"/>
      <c r="AA177" s="66"/>
      <c r="AB177" s="66"/>
      <c r="AC177" s="247"/>
      <c r="AD177" s="240" t="str">
        <f t="shared" si="45"/>
        <v/>
      </c>
      <c r="AE177" s="240"/>
      <c r="AF177" s="241"/>
      <c r="AG177" s="247"/>
      <c r="AH177" s="241"/>
      <c r="AI177" s="247"/>
      <c r="AJ177" s="231"/>
      <c r="AK177" s="240"/>
      <c r="AL177" s="241"/>
      <c r="AM177" s="65"/>
      <c r="AN177" s="241"/>
      <c r="AO177" s="65"/>
      <c r="AP177" s="66"/>
      <c r="AQ177" s="66"/>
      <c r="AR177" s="66"/>
      <c r="AS177" s="221"/>
      <c r="AT177" s="222">
        <f t="shared" si="60"/>
        <v>0</v>
      </c>
      <c r="AU177" s="223"/>
      <c r="AV177" s="99"/>
      <c r="AW177" s="100"/>
      <c r="AX177" s="100"/>
      <c r="AY177" s="100"/>
      <c r="AZ177" s="100"/>
      <c r="BA177" s="100"/>
      <c r="BB177" s="100"/>
      <c r="BC177" s="101"/>
      <c r="BD177" s="96"/>
      <c r="BE177" s="97"/>
      <c r="BF177" s="97"/>
      <c r="BG177" s="97"/>
      <c r="BH177" s="98"/>
      <c r="BI177" s="157" t="e">
        <f t="shared" si="46"/>
        <v>#REF!</v>
      </c>
      <c r="BJ177" s="158" t="e">
        <f>#REF!</f>
        <v>#REF!</v>
      </c>
      <c r="BK177" s="159" t="e">
        <f>#REF!</f>
        <v>#REF!</v>
      </c>
      <c r="BL177" s="181" t="e">
        <f t="shared" si="47"/>
        <v>#REF!</v>
      </c>
      <c r="BM177" s="182" t="e">
        <f t="shared" si="48"/>
        <v>#REF!</v>
      </c>
      <c r="BN177" s="182" t="e">
        <f t="shared" si="49"/>
        <v>#REF!</v>
      </c>
      <c r="BO177" s="182" t="e">
        <f t="shared" si="50"/>
        <v>#REF!</v>
      </c>
      <c r="BP177" s="182" t="e">
        <f t="shared" si="51"/>
        <v>#REF!</v>
      </c>
      <c r="BQ177" s="182" t="e">
        <f t="shared" si="52"/>
        <v>#REF!</v>
      </c>
      <c r="BR177" s="182" t="e">
        <f t="shared" si="53"/>
        <v>#REF!</v>
      </c>
      <c r="BS177" s="183" t="e">
        <f t="shared" si="54"/>
        <v>#REF!</v>
      </c>
      <c r="BT177" s="184" t="e">
        <f t="shared" si="55"/>
        <v>#REF!</v>
      </c>
      <c r="BU177" s="185" t="e">
        <f t="shared" si="56"/>
        <v>#REF!</v>
      </c>
      <c r="BV177" s="185" t="e">
        <f t="shared" si="57"/>
        <v>#REF!</v>
      </c>
      <c r="BW177" s="185" t="e">
        <f t="shared" si="58"/>
        <v>#REF!</v>
      </c>
      <c r="BX177" s="186" t="e">
        <f t="shared" si="59"/>
        <v>#REF!</v>
      </c>
      <c r="BY17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7" s="66"/>
      <c r="DA177" s="66"/>
      <c r="DB177" s="66"/>
      <c r="DC177" s="224" t="str">
        <f t="shared" si="62"/>
        <v/>
      </c>
      <c r="DD177" s="1">
        <f>IF($DC177="",0,IF(COUNTIF($DC$2:$DC176,$DC177)=0,1,0))</f>
        <v>0</v>
      </c>
    </row>
    <row r="178" spans="1:108" s="1" customFormat="1" x14ac:dyDescent="0.25">
      <c r="A178" s="64">
        <v>177</v>
      </c>
      <c r="B178" s="71"/>
      <c r="C178" s="72"/>
      <c r="D178" s="72"/>
      <c r="E178" s="72"/>
      <c r="F178" s="72"/>
      <c r="G178" s="66"/>
      <c r="H178" s="66"/>
      <c r="I178" s="66"/>
      <c r="J178" s="67"/>
      <c r="K178" s="68"/>
      <c r="L178" s="69"/>
      <c r="M178" s="66"/>
      <c r="N178" s="66"/>
      <c r="O178" s="136" t="str">
        <f t="shared" si="63"/>
        <v/>
      </c>
      <c r="P178" s="65" t="str">
        <f t="shared" si="44"/>
        <v/>
      </c>
      <c r="Q178" s="70"/>
      <c r="R178" s="66"/>
      <c r="S178" s="65"/>
      <c r="T178" s="65"/>
      <c r="U178" s="65"/>
      <c r="V178" s="65"/>
      <c r="W178" s="65"/>
      <c r="X178" s="240"/>
      <c r="Y178" s="65"/>
      <c r="Z178" s="281"/>
      <c r="AA178" s="66"/>
      <c r="AB178" s="66"/>
      <c r="AC178" s="247"/>
      <c r="AD178" s="240" t="str">
        <f t="shared" si="45"/>
        <v/>
      </c>
      <c r="AE178" s="240"/>
      <c r="AF178" s="241"/>
      <c r="AG178" s="247"/>
      <c r="AH178" s="241"/>
      <c r="AI178" s="247"/>
      <c r="AJ178" s="231"/>
      <c r="AK178" s="240"/>
      <c r="AL178" s="241"/>
      <c r="AM178" s="65"/>
      <c r="AN178" s="241"/>
      <c r="AO178" s="65"/>
      <c r="AP178" s="66"/>
      <c r="AQ178" s="66"/>
      <c r="AR178" s="66"/>
      <c r="AS178" s="221"/>
      <c r="AT178" s="222">
        <f t="shared" si="60"/>
        <v>0</v>
      </c>
      <c r="AU178" s="223"/>
      <c r="AV178" s="99"/>
      <c r="AW178" s="100"/>
      <c r="AX178" s="100"/>
      <c r="AY178" s="100"/>
      <c r="AZ178" s="100"/>
      <c r="BA178" s="100"/>
      <c r="BB178" s="100"/>
      <c r="BC178" s="101"/>
      <c r="BD178" s="96"/>
      <c r="BE178" s="97"/>
      <c r="BF178" s="97"/>
      <c r="BG178" s="97"/>
      <c r="BH178" s="98"/>
      <c r="BI178" s="157" t="e">
        <f t="shared" si="46"/>
        <v>#REF!</v>
      </c>
      <c r="BJ178" s="158" t="e">
        <f>#REF!</f>
        <v>#REF!</v>
      </c>
      <c r="BK178" s="159" t="e">
        <f>#REF!</f>
        <v>#REF!</v>
      </c>
      <c r="BL178" s="181" t="e">
        <f t="shared" si="47"/>
        <v>#REF!</v>
      </c>
      <c r="BM178" s="182" t="e">
        <f t="shared" si="48"/>
        <v>#REF!</v>
      </c>
      <c r="BN178" s="182" t="e">
        <f t="shared" si="49"/>
        <v>#REF!</v>
      </c>
      <c r="BO178" s="182" t="e">
        <f t="shared" si="50"/>
        <v>#REF!</v>
      </c>
      <c r="BP178" s="182" t="e">
        <f t="shared" si="51"/>
        <v>#REF!</v>
      </c>
      <c r="BQ178" s="182" t="e">
        <f t="shared" si="52"/>
        <v>#REF!</v>
      </c>
      <c r="BR178" s="182" t="e">
        <f t="shared" si="53"/>
        <v>#REF!</v>
      </c>
      <c r="BS178" s="183" t="e">
        <f t="shared" si="54"/>
        <v>#REF!</v>
      </c>
      <c r="BT178" s="184" t="e">
        <f t="shared" si="55"/>
        <v>#REF!</v>
      </c>
      <c r="BU178" s="185" t="e">
        <f t="shared" si="56"/>
        <v>#REF!</v>
      </c>
      <c r="BV178" s="185" t="e">
        <f t="shared" si="57"/>
        <v>#REF!</v>
      </c>
      <c r="BW178" s="185" t="e">
        <f t="shared" si="58"/>
        <v>#REF!</v>
      </c>
      <c r="BX178" s="186" t="e">
        <f t="shared" si="59"/>
        <v>#REF!</v>
      </c>
      <c r="BY17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8" s="66"/>
      <c r="DA178" s="66"/>
      <c r="DB178" s="66"/>
      <c r="DC178" s="224" t="str">
        <f t="shared" si="62"/>
        <v/>
      </c>
      <c r="DD178" s="1">
        <f>IF($DC178="",0,IF(COUNTIF($DC$2:$DC177,$DC178)=0,1,0))</f>
        <v>0</v>
      </c>
    </row>
    <row r="179" spans="1:108" s="1" customFormat="1" x14ac:dyDescent="0.25">
      <c r="A179" s="64">
        <v>178</v>
      </c>
      <c r="B179" s="71"/>
      <c r="C179" s="72"/>
      <c r="D179" s="72"/>
      <c r="E179" s="72"/>
      <c r="F179" s="72"/>
      <c r="G179" s="66"/>
      <c r="H179" s="66"/>
      <c r="I179" s="66"/>
      <c r="J179" s="67"/>
      <c r="K179" s="68"/>
      <c r="L179" s="69"/>
      <c r="M179" s="66"/>
      <c r="N179" s="66"/>
      <c r="O179" s="136" t="str">
        <f t="shared" si="63"/>
        <v/>
      </c>
      <c r="P179" s="65" t="str">
        <f t="shared" si="44"/>
        <v/>
      </c>
      <c r="Q179" s="70"/>
      <c r="R179" s="66"/>
      <c r="S179" s="65"/>
      <c r="T179" s="65"/>
      <c r="U179" s="65"/>
      <c r="V179" s="65"/>
      <c r="W179" s="65"/>
      <c r="X179" s="240"/>
      <c r="Y179" s="65"/>
      <c r="Z179" s="281"/>
      <c r="AA179" s="66"/>
      <c r="AB179" s="66"/>
      <c r="AC179" s="247"/>
      <c r="AD179" s="240" t="str">
        <f t="shared" si="45"/>
        <v/>
      </c>
      <c r="AE179" s="240"/>
      <c r="AF179" s="241"/>
      <c r="AG179" s="247"/>
      <c r="AH179" s="241"/>
      <c r="AI179" s="247"/>
      <c r="AJ179" s="231"/>
      <c r="AK179" s="240"/>
      <c r="AL179" s="241"/>
      <c r="AM179" s="65"/>
      <c r="AN179" s="241"/>
      <c r="AO179" s="65"/>
      <c r="AP179" s="66"/>
      <c r="AQ179" s="66"/>
      <c r="AR179" s="66"/>
      <c r="AS179" s="221"/>
      <c r="AT179" s="222">
        <f t="shared" si="60"/>
        <v>0</v>
      </c>
      <c r="AU179" s="223"/>
      <c r="AV179" s="99"/>
      <c r="AW179" s="100"/>
      <c r="AX179" s="100"/>
      <c r="AY179" s="100"/>
      <c r="AZ179" s="100"/>
      <c r="BA179" s="100"/>
      <c r="BB179" s="100"/>
      <c r="BC179" s="101"/>
      <c r="BD179" s="96"/>
      <c r="BE179" s="97"/>
      <c r="BF179" s="97"/>
      <c r="BG179" s="97"/>
      <c r="BH179" s="98"/>
      <c r="BI179" s="157" t="e">
        <f t="shared" si="46"/>
        <v>#REF!</v>
      </c>
      <c r="BJ179" s="158" t="e">
        <f>#REF!</f>
        <v>#REF!</v>
      </c>
      <c r="BK179" s="159" t="e">
        <f>#REF!</f>
        <v>#REF!</v>
      </c>
      <c r="BL179" s="181" t="e">
        <f t="shared" si="47"/>
        <v>#REF!</v>
      </c>
      <c r="BM179" s="182" t="e">
        <f t="shared" si="48"/>
        <v>#REF!</v>
      </c>
      <c r="BN179" s="182" t="e">
        <f t="shared" si="49"/>
        <v>#REF!</v>
      </c>
      <c r="BO179" s="182" t="e">
        <f t="shared" si="50"/>
        <v>#REF!</v>
      </c>
      <c r="BP179" s="182" t="e">
        <f t="shared" si="51"/>
        <v>#REF!</v>
      </c>
      <c r="BQ179" s="182" t="e">
        <f t="shared" si="52"/>
        <v>#REF!</v>
      </c>
      <c r="BR179" s="182" t="e">
        <f t="shared" si="53"/>
        <v>#REF!</v>
      </c>
      <c r="BS179" s="183" t="e">
        <f t="shared" si="54"/>
        <v>#REF!</v>
      </c>
      <c r="BT179" s="184" t="e">
        <f t="shared" si="55"/>
        <v>#REF!</v>
      </c>
      <c r="BU179" s="185" t="e">
        <f t="shared" si="56"/>
        <v>#REF!</v>
      </c>
      <c r="BV179" s="185" t="e">
        <f t="shared" si="57"/>
        <v>#REF!</v>
      </c>
      <c r="BW179" s="185" t="e">
        <f t="shared" si="58"/>
        <v>#REF!</v>
      </c>
      <c r="BX179" s="186" t="e">
        <f t="shared" si="59"/>
        <v>#REF!</v>
      </c>
      <c r="BY17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7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7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7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7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7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7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7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7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7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7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7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7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7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7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7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7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7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7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7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7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7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7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7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7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7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7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79" s="66"/>
      <c r="DA179" s="66"/>
      <c r="DB179" s="66"/>
      <c r="DC179" s="224" t="str">
        <f t="shared" si="62"/>
        <v/>
      </c>
      <c r="DD179" s="1">
        <f>IF($DC179="",0,IF(COUNTIF($DC$2:$DC178,$DC179)=0,1,0))</f>
        <v>0</v>
      </c>
    </row>
    <row r="180" spans="1:108" s="1" customFormat="1" x14ac:dyDescent="0.25">
      <c r="A180" s="64">
        <v>179</v>
      </c>
      <c r="B180" s="71"/>
      <c r="C180" s="72"/>
      <c r="D180" s="72"/>
      <c r="E180" s="72"/>
      <c r="F180" s="72"/>
      <c r="G180" s="66"/>
      <c r="H180" s="66"/>
      <c r="I180" s="66"/>
      <c r="J180" s="67"/>
      <c r="K180" s="68"/>
      <c r="L180" s="69"/>
      <c r="M180" s="66"/>
      <c r="N180" s="66"/>
      <c r="O180" s="136" t="str">
        <f t="shared" si="63"/>
        <v/>
      </c>
      <c r="P180" s="65" t="str">
        <f t="shared" si="44"/>
        <v/>
      </c>
      <c r="Q180" s="70"/>
      <c r="R180" s="66"/>
      <c r="S180" s="65"/>
      <c r="T180" s="65"/>
      <c r="U180" s="65"/>
      <c r="V180" s="65"/>
      <c r="W180" s="65"/>
      <c r="X180" s="240"/>
      <c r="Y180" s="65"/>
      <c r="Z180" s="281"/>
      <c r="AA180" s="66"/>
      <c r="AB180" s="66"/>
      <c r="AC180" s="247"/>
      <c r="AD180" s="240" t="str">
        <f t="shared" si="45"/>
        <v/>
      </c>
      <c r="AE180" s="240"/>
      <c r="AF180" s="241"/>
      <c r="AG180" s="247"/>
      <c r="AH180" s="241"/>
      <c r="AI180" s="247"/>
      <c r="AJ180" s="231"/>
      <c r="AK180" s="240"/>
      <c r="AL180" s="241"/>
      <c r="AM180" s="65"/>
      <c r="AN180" s="241"/>
      <c r="AO180" s="65"/>
      <c r="AP180" s="66"/>
      <c r="AQ180" s="66"/>
      <c r="AR180" s="66"/>
      <c r="AS180" s="221"/>
      <c r="AT180" s="222">
        <f t="shared" si="60"/>
        <v>0</v>
      </c>
      <c r="AU180" s="223"/>
      <c r="AV180" s="99"/>
      <c r="AW180" s="100"/>
      <c r="AX180" s="100"/>
      <c r="AY180" s="100"/>
      <c r="AZ180" s="100"/>
      <c r="BA180" s="100"/>
      <c r="BB180" s="100"/>
      <c r="BC180" s="101"/>
      <c r="BD180" s="96"/>
      <c r="BE180" s="97"/>
      <c r="BF180" s="97"/>
      <c r="BG180" s="97"/>
      <c r="BH180" s="98"/>
      <c r="BI180" s="157" t="e">
        <f t="shared" si="46"/>
        <v>#REF!</v>
      </c>
      <c r="BJ180" s="158" t="e">
        <f>#REF!</f>
        <v>#REF!</v>
      </c>
      <c r="BK180" s="159" t="e">
        <f>#REF!</f>
        <v>#REF!</v>
      </c>
      <c r="BL180" s="181" t="e">
        <f t="shared" si="47"/>
        <v>#REF!</v>
      </c>
      <c r="BM180" s="182" t="e">
        <f t="shared" si="48"/>
        <v>#REF!</v>
      </c>
      <c r="BN180" s="182" t="e">
        <f t="shared" si="49"/>
        <v>#REF!</v>
      </c>
      <c r="BO180" s="182" t="e">
        <f t="shared" si="50"/>
        <v>#REF!</v>
      </c>
      <c r="BP180" s="182" t="e">
        <f t="shared" si="51"/>
        <v>#REF!</v>
      </c>
      <c r="BQ180" s="182" t="e">
        <f t="shared" si="52"/>
        <v>#REF!</v>
      </c>
      <c r="BR180" s="182" t="e">
        <f t="shared" si="53"/>
        <v>#REF!</v>
      </c>
      <c r="BS180" s="183" t="e">
        <f t="shared" si="54"/>
        <v>#REF!</v>
      </c>
      <c r="BT180" s="184" t="e">
        <f t="shared" si="55"/>
        <v>#REF!</v>
      </c>
      <c r="BU180" s="185" t="e">
        <f t="shared" si="56"/>
        <v>#REF!</v>
      </c>
      <c r="BV180" s="185" t="e">
        <f t="shared" si="57"/>
        <v>#REF!</v>
      </c>
      <c r="BW180" s="185" t="e">
        <f t="shared" si="58"/>
        <v>#REF!</v>
      </c>
      <c r="BX180" s="186" t="e">
        <f t="shared" si="59"/>
        <v>#REF!</v>
      </c>
      <c r="BY18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0" s="66"/>
      <c r="DA180" s="66"/>
      <c r="DB180" s="66"/>
      <c r="DC180" s="224" t="str">
        <f t="shared" si="62"/>
        <v/>
      </c>
      <c r="DD180" s="1">
        <f>IF($DC180="",0,IF(COUNTIF($DC$2:$DC179,$DC180)=0,1,0))</f>
        <v>0</v>
      </c>
    </row>
    <row r="181" spans="1:108" s="1" customFormat="1" x14ac:dyDescent="0.25">
      <c r="A181" s="64">
        <v>180</v>
      </c>
      <c r="B181" s="71"/>
      <c r="C181" s="72"/>
      <c r="D181" s="72"/>
      <c r="E181" s="72"/>
      <c r="F181" s="72"/>
      <c r="G181" s="66"/>
      <c r="H181" s="66"/>
      <c r="I181" s="66"/>
      <c r="J181" s="67"/>
      <c r="K181" s="68"/>
      <c r="L181" s="69"/>
      <c r="M181" s="66"/>
      <c r="N181" s="66"/>
      <c r="O181" s="136" t="str">
        <f t="shared" si="63"/>
        <v/>
      </c>
      <c r="P181" s="65" t="str">
        <f t="shared" si="44"/>
        <v/>
      </c>
      <c r="Q181" s="70"/>
      <c r="R181" s="66"/>
      <c r="S181" s="65"/>
      <c r="T181" s="65"/>
      <c r="U181" s="65"/>
      <c r="V181" s="65"/>
      <c r="W181" s="65"/>
      <c r="X181" s="240"/>
      <c r="Y181" s="65"/>
      <c r="Z181" s="281"/>
      <c r="AA181" s="66"/>
      <c r="AB181" s="66"/>
      <c r="AC181" s="247"/>
      <c r="AD181" s="240" t="str">
        <f t="shared" si="45"/>
        <v/>
      </c>
      <c r="AE181" s="240"/>
      <c r="AF181" s="241"/>
      <c r="AG181" s="247"/>
      <c r="AH181" s="241"/>
      <c r="AI181" s="247"/>
      <c r="AJ181" s="231"/>
      <c r="AK181" s="240"/>
      <c r="AL181" s="241"/>
      <c r="AM181" s="65"/>
      <c r="AN181" s="241"/>
      <c r="AO181" s="65"/>
      <c r="AP181" s="66"/>
      <c r="AQ181" s="66"/>
      <c r="AR181" s="66"/>
      <c r="AS181" s="221"/>
      <c r="AT181" s="222">
        <f t="shared" si="60"/>
        <v>0</v>
      </c>
      <c r="AU181" s="223"/>
      <c r="AV181" s="99"/>
      <c r="AW181" s="100"/>
      <c r="AX181" s="100"/>
      <c r="AY181" s="100"/>
      <c r="AZ181" s="100"/>
      <c r="BA181" s="100"/>
      <c r="BB181" s="100"/>
      <c r="BC181" s="101"/>
      <c r="BD181" s="96"/>
      <c r="BE181" s="97"/>
      <c r="BF181" s="97"/>
      <c r="BG181" s="97"/>
      <c r="BH181" s="98"/>
      <c r="BI181" s="157" t="e">
        <f t="shared" si="46"/>
        <v>#REF!</v>
      </c>
      <c r="BJ181" s="158" t="e">
        <f>#REF!</f>
        <v>#REF!</v>
      </c>
      <c r="BK181" s="159" t="e">
        <f>#REF!</f>
        <v>#REF!</v>
      </c>
      <c r="BL181" s="181" t="e">
        <f t="shared" si="47"/>
        <v>#REF!</v>
      </c>
      <c r="BM181" s="182" t="e">
        <f t="shared" si="48"/>
        <v>#REF!</v>
      </c>
      <c r="BN181" s="182" t="e">
        <f t="shared" si="49"/>
        <v>#REF!</v>
      </c>
      <c r="BO181" s="182" t="e">
        <f t="shared" si="50"/>
        <v>#REF!</v>
      </c>
      <c r="BP181" s="182" t="e">
        <f t="shared" si="51"/>
        <v>#REF!</v>
      </c>
      <c r="BQ181" s="182" t="e">
        <f t="shared" si="52"/>
        <v>#REF!</v>
      </c>
      <c r="BR181" s="182" t="e">
        <f t="shared" si="53"/>
        <v>#REF!</v>
      </c>
      <c r="BS181" s="183" t="e">
        <f t="shared" si="54"/>
        <v>#REF!</v>
      </c>
      <c r="BT181" s="184" t="e">
        <f t="shared" si="55"/>
        <v>#REF!</v>
      </c>
      <c r="BU181" s="185" t="e">
        <f t="shared" si="56"/>
        <v>#REF!</v>
      </c>
      <c r="BV181" s="185" t="e">
        <f t="shared" si="57"/>
        <v>#REF!</v>
      </c>
      <c r="BW181" s="185" t="e">
        <f t="shared" si="58"/>
        <v>#REF!</v>
      </c>
      <c r="BX181" s="186" t="e">
        <f t="shared" si="59"/>
        <v>#REF!</v>
      </c>
      <c r="BY18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1" s="66"/>
      <c r="DA181" s="66"/>
      <c r="DB181" s="66"/>
      <c r="DC181" s="224" t="str">
        <f t="shared" si="62"/>
        <v/>
      </c>
      <c r="DD181" s="1">
        <f>IF($DC181="",0,IF(COUNTIF($DC$2:$DC180,$DC181)=0,1,0))</f>
        <v>0</v>
      </c>
    </row>
    <row r="182" spans="1:108" s="1" customFormat="1" x14ac:dyDescent="0.25">
      <c r="A182" s="64">
        <v>181</v>
      </c>
      <c r="B182" s="71"/>
      <c r="C182" s="72"/>
      <c r="D182" s="72"/>
      <c r="E182" s="72"/>
      <c r="F182" s="72"/>
      <c r="G182" s="66"/>
      <c r="H182" s="66"/>
      <c r="I182" s="66"/>
      <c r="J182" s="67"/>
      <c r="K182" s="68"/>
      <c r="L182" s="69"/>
      <c r="M182" s="66"/>
      <c r="N182" s="66"/>
      <c r="O182" s="136" t="str">
        <f t="shared" si="63"/>
        <v/>
      </c>
      <c r="P182" s="65" t="str">
        <f t="shared" si="44"/>
        <v/>
      </c>
      <c r="Q182" s="70"/>
      <c r="R182" s="66"/>
      <c r="S182" s="65"/>
      <c r="T182" s="65"/>
      <c r="U182" s="65"/>
      <c r="V182" s="65"/>
      <c r="W182" s="65"/>
      <c r="X182" s="240"/>
      <c r="Y182" s="65"/>
      <c r="Z182" s="281"/>
      <c r="AA182" s="66"/>
      <c r="AB182" s="66"/>
      <c r="AC182" s="247"/>
      <c r="AD182" s="240" t="str">
        <f t="shared" si="45"/>
        <v/>
      </c>
      <c r="AE182" s="240"/>
      <c r="AF182" s="241"/>
      <c r="AG182" s="247"/>
      <c r="AH182" s="241"/>
      <c r="AI182" s="247"/>
      <c r="AJ182" s="231"/>
      <c r="AK182" s="240"/>
      <c r="AL182" s="241"/>
      <c r="AM182" s="65"/>
      <c r="AN182" s="241"/>
      <c r="AO182" s="65"/>
      <c r="AP182" s="66"/>
      <c r="AQ182" s="66"/>
      <c r="AR182" s="66"/>
      <c r="AS182" s="221"/>
      <c r="AT182" s="222">
        <f t="shared" si="60"/>
        <v>0</v>
      </c>
      <c r="AU182" s="223"/>
      <c r="AV182" s="99"/>
      <c r="AW182" s="100"/>
      <c r="AX182" s="100"/>
      <c r="AY182" s="100"/>
      <c r="AZ182" s="100"/>
      <c r="BA182" s="100"/>
      <c r="BB182" s="100"/>
      <c r="BC182" s="101"/>
      <c r="BD182" s="96"/>
      <c r="BE182" s="97"/>
      <c r="BF182" s="97"/>
      <c r="BG182" s="97"/>
      <c r="BH182" s="98"/>
      <c r="BI182" s="157" t="e">
        <f t="shared" si="46"/>
        <v>#REF!</v>
      </c>
      <c r="BJ182" s="158" t="e">
        <f>#REF!</f>
        <v>#REF!</v>
      </c>
      <c r="BK182" s="159" t="e">
        <f>#REF!</f>
        <v>#REF!</v>
      </c>
      <c r="BL182" s="181" t="e">
        <f t="shared" si="47"/>
        <v>#REF!</v>
      </c>
      <c r="BM182" s="182" t="e">
        <f t="shared" si="48"/>
        <v>#REF!</v>
      </c>
      <c r="BN182" s="182" t="e">
        <f t="shared" si="49"/>
        <v>#REF!</v>
      </c>
      <c r="BO182" s="182" t="e">
        <f t="shared" si="50"/>
        <v>#REF!</v>
      </c>
      <c r="BP182" s="182" t="e">
        <f t="shared" si="51"/>
        <v>#REF!</v>
      </c>
      <c r="BQ182" s="182" t="e">
        <f t="shared" si="52"/>
        <v>#REF!</v>
      </c>
      <c r="BR182" s="182" t="e">
        <f t="shared" si="53"/>
        <v>#REF!</v>
      </c>
      <c r="BS182" s="183" t="e">
        <f t="shared" si="54"/>
        <v>#REF!</v>
      </c>
      <c r="BT182" s="184" t="e">
        <f t="shared" si="55"/>
        <v>#REF!</v>
      </c>
      <c r="BU182" s="185" t="e">
        <f t="shared" si="56"/>
        <v>#REF!</v>
      </c>
      <c r="BV182" s="185" t="e">
        <f t="shared" si="57"/>
        <v>#REF!</v>
      </c>
      <c r="BW182" s="185" t="e">
        <f t="shared" si="58"/>
        <v>#REF!</v>
      </c>
      <c r="BX182" s="186" t="e">
        <f t="shared" si="59"/>
        <v>#REF!</v>
      </c>
      <c r="BY18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2" s="66"/>
      <c r="DA182" s="66"/>
      <c r="DB182" s="66"/>
      <c r="DC182" s="224" t="str">
        <f t="shared" si="62"/>
        <v/>
      </c>
      <c r="DD182" s="1">
        <f>IF($DC182="",0,IF(COUNTIF($DC$2:$DC181,$DC182)=0,1,0))</f>
        <v>0</v>
      </c>
    </row>
    <row r="183" spans="1:108" s="1" customFormat="1" x14ac:dyDescent="0.25">
      <c r="A183" s="64">
        <v>182</v>
      </c>
      <c r="B183" s="71"/>
      <c r="C183" s="72"/>
      <c r="D183" s="72"/>
      <c r="E183" s="72"/>
      <c r="F183" s="72"/>
      <c r="G183" s="66"/>
      <c r="H183" s="66"/>
      <c r="I183" s="66"/>
      <c r="J183" s="67"/>
      <c r="K183" s="68"/>
      <c r="L183" s="69"/>
      <c r="M183" s="66"/>
      <c r="N183" s="66"/>
      <c r="O183" s="136" t="str">
        <f t="shared" si="63"/>
        <v/>
      </c>
      <c r="P183" s="65" t="str">
        <f t="shared" si="44"/>
        <v/>
      </c>
      <c r="Q183" s="70"/>
      <c r="R183" s="66"/>
      <c r="S183" s="65"/>
      <c r="T183" s="65"/>
      <c r="U183" s="65"/>
      <c r="V183" s="65"/>
      <c r="W183" s="65"/>
      <c r="X183" s="240"/>
      <c r="Y183" s="65"/>
      <c r="Z183" s="281"/>
      <c r="AA183" s="66"/>
      <c r="AB183" s="66"/>
      <c r="AC183" s="247"/>
      <c r="AD183" s="240" t="str">
        <f t="shared" si="45"/>
        <v/>
      </c>
      <c r="AE183" s="240"/>
      <c r="AF183" s="241"/>
      <c r="AG183" s="247"/>
      <c r="AH183" s="241"/>
      <c r="AI183" s="247"/>
      <c r="AJ183" s="231"/>
      <c r="AK183" s="240"/>
      <c r="AL183" s="241"/>
      <c r="AM183" s="65"/>
      <c r="AN183" s="241"/>
      <c r="AO183" s="65"/>
      <c r="AP183" s="66"/>
      <c r="AQ183" s="66"/>
      <c r="AR183" s="66"/>
      <c r="AS183" s="221"/>
      <c r="AT183" s="222">
        <f t="shared" si="60"/>
        <v>0</v>
      </c>
      <c r="AU183" s="223"/>
      <c r="AV183" s="99"/>
      <c r="AW183" s="100"/>
      <c r="AX183" s="100"/>
      <c r="AY183" s="100"/>
      <c r="AZ183" s="100"/>
      <c r="BA183" s="100"/>
      <c r="BB183" s="100"/>
      <c r="BC183" s="101"/>
      <c r="BD183" s="96"/>
      <c r="BE183" s="97"/>
      <c r="BF183" s="97"/>
      <c r="BG183" s="97"/>
      <c r="BH183" s="98"/>
      <c r="BI183" s="157" t="e">
        <f t="shared" si="46"/>
        <v>#REF!</v>
      </c>
      <c r="BJ183" s="158" t="e">
        <f>#REF!</f>
        <v>#REF!</v>
      </c>
      <c r="BK183" s="159" t="e">
        <f>#REF!</f>
        <v>#REF!</v>
      </c>
      <c r="BL183" s="181" t="e">
        <f t="shared" si="47"/>
        <v>#REF!</v>
      </c>
      <c r="BM183" s="182" t="e">
        <f t="shared" si="48"/>
        <v>#REF!</v>
      </c>
      <c r="BN183" s="182" t="e">
        <f t="shared" si="49"/>
        <v>#REF!</v>
      </c>
      <c r="BO183" s="182" t="e">
        <f t="shared" si="50"/>
        <v>#REF!</v>
      </c>
      <c r="BP183" s="182" t="e">
        <f t="shared" si="51"/>
        <v>#REF!</v>
      </c>
      <c r="BQ183" s="182" t="e">
        <f t="shared" si="52"/>
        <v>#REF!</v>
      </c>
      <c r="BR183" s="182" t="e">
        <f t="shared" si="53"/>
        <v>#REF!</v>
      </c>
      <c r="BS183" s="183" t="e">
        <f t="shared" si="54"/>
        <v>#REF!</v>
      </c>
      <c r="BT183" s="184" t="e">
        <f t="shared" si="55"/>
        <v>#REF!</v>
      </c>
      <c r="BU183" s="185" t="e">
        <f t="shared" si="56"/>
        <v>#REF!</v>
      </c>
      <c r="BV183" s="185" t="e">
        <f t="shared" si="57"/>
        <v>#REF!</v>
      </c>
      <c r="BW183" s="185" t="e">
        <f t="shared" si="58"/>
        <v>#REF!</v>
      </c>
      <c r="BX183" s="186" t="e">
        <f t="shared" si="59"/>
        <v>#REF!</v>
      </c>
      <c r="BY18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3" s="66"/>
      <c r="DA183" s="66"/>
      <c r="DB183" s="66"/>
      <c r="DC183" s="224" t="str">
        <f t="shared" si="62"/>
        <v/>
      </c>
      <c r="DD183" s="1">
        <f>IF($DC183="",0,IF(COUNTIF($DC$2:$DC182,$DC183)=0,1,0))</f>
        <v>0</v>
      </c>
    </row>
    <row r="184" spans="1:108" s="1" customFormat="1" x14ac:dyDescent="0.25">
      <c r="A184" s="64">
        <v>183</v>
      </c>
      <c r="B184" s="71"/>
      <c r="C184" s="72"/>
      <c r="D184" s="72"/>
      <c r="E184" s="72"/>
      <c r="F184" s="72"/>
      <c r="G184" s="66"/>
      <c r="H184" s="66"/>
      <c r="I184" s="66"/>
      <c r="J184" s="67"/>
      <c r="K184" s="68"/>
      <c r="L184" s="69"/>
      <c r="M184" s="66"/>
      <c r="N184" s="66"/>
      <c r="O184" s="136" t="str">
        <f t="shared" si="63"/>
        <v/>
      </c>
      <c r="P184" s="65" t="str">
        <f t="shared" si="44"/>
        <v/>
      </c>
      <c r="Q184" s="70"/>
      <c r="R184" s="66"/>
      <c r="S184" s="65"/>
      <c r="T184" s="65"/>
      <c r="U184" s="65"/>
      <c r="V184" s="65"/>
      <c r="W184" s="65"/>
      <c r="X184" s="240"/>
      <c r="Y184" s="65"/>
      <c r="Z184" s="281"/>
      <c r="AA184" s="66"/>
      <c r="AB184" s="66"/>
      <c r="AC184" s="247"/>
      <c r="AD184" s="240" t="str">
        <f t="shared" si="45"/>
        <v/>
      </c>
      <c r="AE184" s="240"/>
      <c r="AF184" s="241"/>
      <c r="AG184" s="247"/>
      <c r="AH184" s="241"/>
      <c r="AI184" s="247"/>
      <c r="AJ184" s="231"/>
      <c r="AK184" s="240"/>
      <c r="AL184" s="241"/>
      <c r="AM184" s="65"/>
      <c r="AN184" s="241"/>
      <c r="AO184" s="65"/>
      <c r="AP184" s="66"/>
      <c r="AQ184" s="66"/>
      <c r="AR184" s="66"/>
      <c r="AS184" s="221"/>
      <c r="AT184" s="222">
        <f t="shared" si="60"/>
        <v>0</v>
      </c>
      <c r="AU184" s="223"/>
      <c r="AV184" s="99"/>
      <c r="AW184" s="100"/>
      <c r="AX184" s="100"/>
      <c r="AY184" s="100"/>
      <c r="AZ184" s="100"/>
      <c r="BA184" s="100"/>
      <c r="BB184" s="100"/>
      <c r="BC184" s="101"/>
      <c r="BD184" s="96"/>
      <c r="BE184" s="97"/>
      <c r="BF184" s="97"/>
      <c r="BG184" s="97"/>
      <c r="BH184" s="98"/>
      <c r="BI184" s="157" t="e">
        <f t="shared" si="46"/>
        <v>#REF!</v>
      </c>
      <c r="BJ184" s="158" t="e">
        <f>#REF!</f>
        <v>#REF!</v>
      </c>
      <c r="BK184" s="159" t="e">
        <f>#REF!</f>
        <v>#REF!</v>
      </c>
      <c r="BL184" s="181" t="e">
        <f t="shared" si="47"/>
        <v>#REF!</v>
      </c>
      <c r="BM184" s="182" t="e">
        <f t="shared" si="48"/>
        <v>#REF!</v>
      </c>
      <c r="BN184" s="182" t="e">
        <f t="shared" si="49"/>
        <v>#REF!</v>
      </c>
      <c r="BO184" s="182" t="e">
        <f t="shared" si="50"/>
        <v>#REF!</v>
      </c>
      <c r="BP184" s="182" t="e">
        <f t="shared" si="51"/>
        <v>#REF!</v>
      </c>
      <c r="BQ184" s="182" t="e">
        <f t="shared" si="52"/>
        <v>#REF!</v>
      </c>
      <c r="BR184" s="182" t="e">
        <f t="shared" si="53"/>
        <v>#REF!</v>
      </c>
      <c r="BS184" s="183" t="e">
        <f t="shared" si="54"/>
        <v>#REF!</v>
      </c>
      <c r="BT184" s="184" t="e">
        <f t="shared" si="55"/>
        <v>#REF!</v>
      </c>
      <c r="BU184" s="185" t="e">
        <f t="shared" si="56"/>
        <v>#REF!</v>
      </c>
      <c r="BV184" s="185" t="e">
        <f t="shared" si="57"/>
        <v>#REF!</v>
      </c>
      <c r="BW184" s="185" t="e">
        <f t="shared" si="58"/>
        <v>#REF!</v>
      </c>
      <c r="BX184" s="186" t="e">
        <f t="shared" si="59"/>
        <v>#REF!</v>
      </c>
      <c r="BY18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4" s="66"/>
      <c r="DA184" s="66"/>
      <c r="DB184" s="66"/>
      <c r="DC184" s="224" t="str">
        <f t="shared" si="62"/>
        <v/>
      </c>
      <c r="DD184" s="1">
        <f>IF($DC184="",0,IF(COUNTIF($DC$2:$DC183,$DC184)=0,1,0))</f>
        <v>0</v>
      </c>
    </row>
    <row r="185" spans="1:108" s="1" customFormat="1" x14ac:dyDescent="0.25">
      <c r="A185" s="64">
        <v>184</v>
      </c>
      <c r="B185" s="71"/>
      <c r="C185" s="72"/>
      <c r="D185" s="72"/>
      <c r="E185" s="72"/>
      <c r="F185" s="72"/>
      <c r="G185" s="66"/>
      <c r="H185" s="66"/>
      <c r="I185" s="66"/>
      <c r="J185" s="67"/>
      <c r="K185" s="68"/>
      <c r="L185" s="69"/>
      <c r="M185" s="66"/>
      <c r="N185" s="66"/>
      <c r="O185" s="136" t="str">
        <f t="shared" si="63"/>
        <v/>
      </c>
      <c r="P185" s="65" t="str">
        <f t="shared" si="44"/>
        <v/>
      </c>
      <c r="Q185" s="70"/>
      <c r="R185" s="66"/>
      <c r="S185" s="65"/>
      <c r="T185" s="65"/>
      <c r="U185" s="65"/>
      <c r="V185" s="65"/>
      <c r="W185" s="65"/>
      <c r="X185" s="240"/>
      <c r="Y185" s="65"/>
      <c r="Z185" s="281"/>
      <c r="AA185" s="66"/>
      <c r="AB185" s="66"/>
      <c r="AC185" s="247"/>
      <c r="AD185" s="240" t="str">
        <f t="shared" si="45"/>
        <v/>
      </c>
      <c r="AE185" s="240"/>
      <c r="AF185" s="241"/>
      <c r="AG185" s="247"/>
      <c r="AH185" s="241"/>
      <c r="AI185" s="247"/>
      <c r="AJ185" s="231"/>
      <c r="AK185" s="240"/>
      <c r="AL185" s="241"/>
      <c r="AM185" s="65"/>
      <c r="AN185" s="241"/>
      <c r="AO185" s="65"/>
      <c r="AP185" s="66"/>
      <c r="AQ185" s="66"/>
      <c r="AR185" s="66"/>
      <c r="AS185" s="221"/>
      <c r="AT185" s="222">
        <f t="shared" si="60"/>
        <v>0</v>
      </c>
      <c r="AU185" s="223"/>
      <c r="AV185" s="99"/>
      <c r="AW185" s="100"/>
      <c r="AX185" s="100"/>
      <c r="AY185" s="100"/>
      <c r="AZ185" s="100"/>
      <c r="BA185" s="100"/>
      <c r="BB185" s="100"/>
      <c r="BC185" s="101"/>
      <c r="BD185" s="96"/>
      <c r="BE185" s="97"/>
      <c r="BF185" s="97"/>
      <c r="BG185" s="97"/>
      <c r="BH185" s="98"/>
      <c r="BI185" s="157" t="e">
        <f t="shared" si="46"/>
        <v>#REF!</v>
      </c>
      <c r="BJ185" s="158" t="e">
        <f>#REF!</f>
        <v>#REF!</v>
      </c>
      <c r="BK185" s="159" t="e">
        <f>#REF!</f>
        <v>#REF!</v>
      </c>
      <c r="BL185" s="181" t="e">
        <f t="shared" si="47"/>
        <v>#REF!</v>
      </c>
      <c r="BM185" s="182" t="e">
        <f t="shared" si="48"/>
        <v>#REF!</v>
      </c>
      <c r="BN185" s="182" t="e">
        <f t="shared" si="49"/>
        <v>#REF!</v>
      </c>
      <c r="BO185" s="182" t="e">
        <f t="shared" si="50"/>
        <v>#REF!</v>
      </c>
      <c r="BP185" s="182" t="e">
        <f t="shared" si="51"/>
        <v>#REF!</v>
      </c>
      <c r="BQ185" s="182" t="e">
        <f t="shared" si="52"/>
        <v>#REF!</v>
      </c>
      <c r="BR185" s="182" t="e">
        <f t="shared" si="53"/>
        <v>#REF!</v>
      </c>
      <c r="BS185" s="183" t="e">
        <f t="shared" si="54"/>
        <v>#REF!</v>
      </c>
      <c r="BT185" s="184" t="e">
        <f t="shared" si="55"/>
        <v>#REF!</v>
      </c>
      <c r="BU185" s="185" t="e">
        <f t="shared" si="56"/>
        <v>#REF!</v>
      </c>
      <c r="BV185" s="185" t="e">
        <f t="shared" si="57"/>
        <v>#REF!</v>
      </c>
      <c r="BW185" s="185" t="e">
        <f t="shared" si="58"/>
        <v>#REF!</v>
      </c>
      <c r="BX185" s="186" t="e">
        <f t="shared" si="59"/>
        <v>#REF!</v>
      </c>
      <c r="BY18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5" s="66"/>
      <c r="DA185" s="66"/>
      <c r="DB185" s="66"/>
      <c r="DC185" s="224" t="str">
        <f t="shared" si="62"/>
        <v/>
      </c>
      <c r="DD185" s="1">
        <f>IF($DC185="",0,IF(COUNTIF($DC$2:$DC184,$DC185)=0,1,0))</f>
        <v>0</v>
      </c>
    </row>
    <row r="186" spans="1:108" s="1" customFormat="1" x14ac:dyDescent="0.25">
      <c r="A186" s="64">
        <v>185</v>
      </c>
      <c r="B186" s="71"/>
      <c r="C186" s="72"/>
      <c r="D186" s="72"/>
      <c r="E186" s="72"/>
      <c r="F186" s="72"/>
      <c r="G186" s="66"/>
      <c r="H186" s="66"/>
      <c r="I186" s="66"/>
      <c r="J186" s="67"/>
      <c r="K186" s="68"/>
      <c r="L186" s="69"/>
      <c r="M186" s="66"/>
      <c r="N186" s="66"/>
      <c r="O186" s="136" t="str">
        <f t="shared" si="63"/>
        <v/>
      </c>
      <c r="P186" s="65" t="str">
        <f t="shared" si="44"/>
        <v/>
      </c>
      <c r="Q186" s="70"/>
      <c r="R186" s="66"/>
      <c r="S186" s="65"/>
      <c r="T186" s="65"/>
      <c r="U186" s="65"/>
      <c r="V186" s="65"/>
      <c r="W186" s="65"/>
      <c r="X186" s="240"/>
      <c r="Y186" s="65"/>
      <c r="Z186" s="281"/>
      <c r="AA186" s="66"/>
      <c r="AB186" s="66"/>
      <c r="AC186" s="247"/>
      <c r="AD186" s="240" t="str">
        <f t="shared" si="45"/>
        <v/>
      </c>
      <c r="AE186" s="240"/>
      <c r="AF186" s="241"/>
      <c r="AG186" s="247"/>
      <c r="AH186" s="241"/>
      <c r="AI186" s="247"/>
      <c r="AJ186" s="231"/>
      <c r="AK186" s="240"/>
      <c r="AL186" s="241"/>
      <c r="AM186" s="65"/>
      <c r="AN186" s="241"/>
      <c r="AO186" s="65"/>
      <c r="AP186" s="66"/>
      <c r="AQ186" s="66"/>
      <c r="AR186" s="66"/>
      <c r="AS186" s="221"/>
      <c r="AT186" s="222">
        <f t="shared" si="60"/>
        <v>0</v>
      </c>
      <c r="AU186" s="223"/>
      <c r="AV186" s="99"/>
      <c r="AW186" s="100"/>
      <c r="AX186" s="100"/>
      <c r="AY186" s="100"/>
      <c r="AZ186" s="100"/>
      <c r="BA186" s="100"/>
      <c r="BB186" s="100"/>
      <c r="BC186" s="101"/>
      <c r="BD186" s="96"/>
      <c r="BE186" s="97"/>
      <c r="BF186" s="97"/>
      <c r="BG186" s="97"/>
      <c r="BH186" s="98"/>
      <c r="BI186" s="157" t="e">
        <f t="shared" si="46"/>
        <v>#REF!</v>
      </c>
      <c r="BJ186" s="158" t="e">
        <f>#REF!</f>
        <v>#REF!</v>
      </c>
      <c r="BK186" s="159" t="e">
        <f>#REF!</f>
        <v>#REF!</v>
      </c>
      <c r="BL186" s="181" t="e">
        <f t="shared" si="47"/>
        <v>#REF!</v>
      </c>
      <c r="BM186" s="182" t="e">
        <f t="shared" si="48"/>
        <v>#REF!</v>
      </c>
      <c r="BN186" s="182" t="e">
        <f t="shared" si="49"/>
        <v>#REF!</v>
      </c>
      <c r="BO186" s="182" t="e">
        <f t="shared" si="50"/>
        <v>#REF!</v>
      </c>
      <c r="BP186" s="182" t="e">
        <f t="shared" si="51"/>
        <v>#REF!</v>
      </c>
      <c r="BQ186" s="182" t="e">
        <f t="shared" si="52"/>
        <v>#REF!</v>
      </c>
      <c r="BR186" s="182" t="e">
        <f t="shared" si="53"/>
        <v>#REF!</v>
      </c>
      <c r="BS186" s="183" t="e">
        <f t="shared" si="54"/>
        <v>#REF!</v>
      </c>
      <c r="BT186" s="184" t="e">
        <f t="shared" si="55"/>
        <v>#REF!</v>
      </c>
      <c r="BU186" s="185" t="e">
        <f t="shared" si="56"/>
        <v>#REF!</v>
      </c>
      <c r="BV186" s="185" t="e">
        <f t="shared" si="57"/>
        <v>#REF!</v>
      </c>
      <c r="BW186" s="185" t="e">
        <f t="shared" si="58"/>
        <v>#REF!</v>
      </c>
      <c r="BX186" s="186" t="e">
        <f t="shared" si="59"/>
        <v>#REF!</v>
      </c>
      <c r="BY18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6" s="66"/>
      <c r="DA186" s="66"/>
      <c r="DB186" s="66"/>
      <c r="DC186" s="224" t="str">
        <f t="shared" si="62"/>
        <v/>
      </c>
      <c r="DD186" s="1">
        <f>IF($DC186="",0,IF(COUNTIF($DC$2:$DC185,$DC186)=0,1,0))</f>
        <v>0</v>
      </c>
    </row>
    <row r="187" spans="1:108" s="1" customFormat="1" x14ac:dyDescent="0.25">
      <c r="A187" s="64">
        <v>186</v>
      </c>
      <c r="B187" s="71"/>
      <c r="C187" s="72"/>
      <c r="D187" s="72"/>
      <c r="E187" s="72"/>
      <c r="F187" s="72"/>
      <c r="G187" s="66"/>
      <c r="H187" s="66"/>
      <c r="I187" s="66"/>
      <c r="J187" s="67"/>
      <c r="K187" s="68"/>
      <c r="L187" s="69"/>
      <c r="M187" s="66"/>
      <c r="N187" s="66"/>
      <c r="O187" s="136" t="str">
        <f t="shared" si="63"/>
        <v/>
      </c>
      <c r="P187" s="65" t="str">
        <f t="shared" si="44"/>
        <v/>
      </c>
      <c r="Q187" s="70"/>
      <c r="R187" s="66"/>
      <c r="S187" s="65"/>
      <c r="T187" s="65"/>
      <c r="U187" s="65"/>
      <c r="V187" s="65"/>
      <c r="W187" s="65"/>
      <c r="X187" s="240"/>
      <c r="Y187" s="65"/>
      <c r="Z187" s="281"/>
      <c r="AA187" s="66"/>
      <c r="AB187" s="66"/>
      <c r="AC187" s="247"/>
      <c r="AD187" s="240" t="str">
        <f t="shared" si="45"/>
        <v/>
      </c>
      <c r="AE187" s="240"/>
      <c r="AF187" s="241"/>
      <c r="AG187" s="247"/>
      <c r="AH187" s="241"/>
      <c r="AI187" s="247"/>
      <c r="AJ187" s="231"/>
      <c r="AK187" s="240"/>
      <c r="AL187" s="241"/>
      <c r="AM187" s="65"/>
      <c r="AN187" s="241"/>
      <c r="AO187" s="65"/>
      <c r="AP187" s="66"/>
      <c r="AQ187" s="66"/>
      <c r="AR187" s="66"/>
      <c r="AS187" s="221"/>
      <c r="AT187" s="222">
        <f t="shared" si="60"/>
        <v>0</v>
      </c>
      <c r="AU187" s="223"/>
      <c r="AV187" s="99"/>
      <c r="AW187" s="100"/>
      <c r="AX187" s="100"/>
      <c r="AY187" s="100"/>
      <c r="AZ187" s="100"/>
      <c r="BA187" s="100"/>
      <c r="BB187" s="100"/>
      <c r="BC187" s="101"/>
      <c r="BD187" s="96"/>
      <c r="BE187" s="97"/>
      <c r="BF187" s="97"/>
      <c r="BG187" s="97"/>
      <c r="BH187" s="98"/>
      <c r="BI187" s="157" t="e">
        <f t="shared" si="46"/>
        <v>#REF!</v>
      </c>
      <c r="BJ187" s="158" t="e">
        <f>#REF!</f>
        <v>#REF!</v>
      </c>
      <c r="BK187" s="159" t="e">
        <f>#REF!</f>
        <v>#REF!</v>
      </c>
      <c r="BL187" s="181" t="e">
        <f t="shared" si="47"/>
        <v>#REF!</v>
      </c>
      <c r="BM187" s="182" t="e">
        <f t="shared" si="48"/>
        <v>#REF!</v>
      </c>
      <c r="BN187" s="182" t="e">
        <f t="shared" si="49"/>
        <v>#REF!</v>
      </c>
      <c r="BO187" s="182" t="e">
        <f t="shared" si="50"/>
        <v>#REF!</v>
      </c>
      <c r="BP187" s="182" t="e">
        <f t="shared" si="51"/>
        <v>#REF!</v>
      </c>
      <c r="BQ187" s="182" t="e">
        <f t="shared" si="52"/>
        <v>#REF!</v>
      </c>
      <c r="BR187" s="182" t="e">
        <f t="shared" si="53"/>
        <v>#REF!</v>
      </c>
      <c r="BS187" s="183" t="e">
        <f t="shared" si="54"/>
        <v>#REF!</v>
      </c>
      <c r="BT187" s="184" t="e">
        <f t="shared" si="55"/>
        <v>#REF!</v>
      </c>
      <c r="BU187" s="185" t="e">
        <f t="shared" si="56"/>
        <v>#REF!</v>
      </c>
      <c r="BV187" s="185" t="e">
        <f t="shared" si="57"/>
        <v>#REF!</v>
      </c>
      <c r="BW187" s="185" t="e">
        <f t="shared" si="58"/>
        <v>#REF!</v>
      </c>
      <c r="BX187" s="186" t="e">
        <f t="shared" si="59"/>
        <v>#REF!</v>
      </c>
      <c r="BY18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7" s="66"/>
      <c r="DA187" s="66"/>
      <c r="DB187" s="66"/>
      <c r="DC187" s="224" t="str">
        <f t="shared" si="62"/>
        <v/>
      </c>
      <c r="DD187" s="1">
        <f>IF($DC187="",0,IF(COUNTIF($DC$2:$DC186,$DC187)=0,1,0))</f>
        <v>0</v>
      </c>
    </row>
    <row r="188" spans="1:108" s="1" customFormat="1" x14ac:dyDescent="0.25">
      <c r="A188" s="64">
        <v>187</v>
      </c>
      <c r="B188" s="71"/>
      <c r="C188" s="72"/>
      <c r="D188" s="72"/>
      <c r="E188" s="72"/>
      <c r="F188" s="72"/>
      <c r="G188" s="66"/>
      <c r="H188" s="66"/>
      <c r="I188" s="66"/>
      <c r="J188" s="67"/>
      <c r="K188" s="68"/>
      <c r="L188" s="69"/>
      <c r="M188" s="66"/>
      <c r="N188" s="66"/>
      <c r="O188" s="136" t="str">
        <f t="shared" si="63"/>
        <v/>
      </c>
      <c r="P188" s="65" t="str">
        <f t="shared" si="44"/>
        <v/>
      </c>
      <c r="Q188" s="70"/>
      <c r="R188" s="66"/>
      <c r="S188" s="65"/>
      <c r="T188" s="65"/>
      <c r="U188" s="65"/>
      <c r="V188" s="65"/>
      <c r="W188" s="65"/>
      <c r="X188" s="240"/>
      <c r="Y188" s="65"/>
      <c r="Z188" s="281"/>
      <c r="AA188" s="66"/>
      <c r="AB188" s="66"/>
      <c r="AC188" s="247"/>
      <c r="AD188" s="240" t="str">
        <f t="shared" si="45"/>
        <v/>
      </c>
      <c r="AE188" s="240"/>
      <c r="AF188" s="241"/>
      <c r="AG188" s="247"/>
      <c r="AH188" s="241"/>
      <c r="AI188" s="247"/>
      <c r="AJ188" s="231"/>
      <c r="AK188" s="240"/>
      <c r="AL188" s="241"/>
      <c r="AM188" s="65"/>
      <c r="AN188" s="241"/>
      <c r="AO188" s="65"/>
      <c r="AP188" s="66"/>
      <c r="AQ188" s="66"/>
      <c r="AR188" s="66"/>
      <c r="AS188" s="221"/>
      <c r="AT188" s="222">
        <f t="shared" si="60"/>
        <v>0</v>
      </c>
      <c r="AU188" s="223"/>
      <c r="AV188" s="99"/>
      <c r="AW188" s="100"/>
      <c r="AX188" s="100"/>
      <c r="AY188" s="100"/>
      <c r="AZ188" s="100"/>
      <c r="BA188" s="100"/>
      <c r="BB188" s="100"/>
      <c r="BC188" s="101"/>
      <c r="BD188" s="96"/>
      <c r="BE188" s="97"/>
      <c r="BF188" s="97"/>
      <c r="BG188" s="97"/>
      <c r="BH188" s="98"/>
      <c r="BI188" s="157" t="e">
        <f t="shared" si="46"/>
        <v>#REF!</v>
      </c>
      <c r="BJ188" s="158" t="e">
        <f>#REF!</f>
        <v>#REF!</v>
      </c>
      <c r="BK188" s="159" t="e">
        <f>#REF!</f>
        <v>#REF!</v>
      </c>
      <c r="BL188" s="181" t="e">
        <f t="shared" si="47"/>
        <v>#REF!</v>
      </c>
      <c r="BM188" s="182" t="e">
        <f t="shared" si="48"/>
        <v>#REF!</v>
      </c>
      <c r="BN188" s="182" t="e">
        <f t="shared" si="49"/>
        <v>#REF!</v>
      </c>
      <c r="BO188" s="182" t="e">
        <f t="shared" si="50"/>
        <v>#REF!</v>
      </c>
      <c r="BP188" s="182" t="e">
        <f t="shared" si="51"/>
        <v>#REF!</v>
      </c>
      <c r="BQ188" s="182" t="e">
        <f t="shared" si="52"/>
        <v>#REF!</v>
      </c>
      <c r="BR188" s="182" t="e">
        <f t="shared" si="53"/>
        <v>#REF!</v>
      </c>
      <c r="BS188" s="183" t="e">
        <f t="shared" si="54"/>
        <v>#REF!</v>
      </c>
      <c r="BT188" s="184" t="e">
        <f t="shared" si="55"/>
        <v>#REF!</v>
      </c>
      <c r="BU188" s="185" t="e">
        <f t="shared" si="56"/>
        <v>#REF!</v>
      </c>
      <c r="BV188" s="185" t="e">
        <f t="shared" si="57"/>
        <v>#REF!</v>
      </c>
      <c r="BW188" s="185" t="e">
        <f t="shared" si="58"/>
        <v>#REF!</v>
      </c>
      <c r="BX188" s="186" t="e">
        <f t="shared" si="59"/>
        <v>#REF!</v>
      </c>
      <c r="BY18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8" s="66"/>
      <c r="DA188" s="66"/>
      <c r="DB188" s="66"/>
      <c r="DC188" s="224" t="str">
        <f t="shared" si="62"/>
        <v/>
      </c>
      <c r="DD188" s="1">
        <f>IF($DC188="",0,IF(COUNTIF($DC$2:$DC187,$DC188)=0,1,0))</f>
        <v>0</v>
      </c>
    </row>
    <row r="189" spans="1:108" s="1" customFormat="1" x14ac:dyDescent="0.25">
      <c r="A189" s="64">
        <v>188</v>
      </c>
      <c r="B189" s="71"/>
      <c r="C189" s="72"/>
      <c r="D189" s="72"/>
      <c r="E189" s="72"/>
      <c r="F189" s="72"/>
      <c r="G189" s="66"/>
      <c r="H189" s="66"/>
      <c r="I189" s="66"/>
      <c r="J189" s="67"/>
      <c r="K189" s="68"/>
      <c r="L189" s="69"/>
      <c r="M189" s="66"/>
      <c r="N189" s="66"/>
      <c r="O189" s="136" t="str">
        <f t="shared" si="63"/>
        <v/>
      </c>
      <c r="P189" s="65" t="str">
        <f t="shared" si="44"/>
        <v/>
      </c>
      <c r="Q189" s="70"/>
      <c r="R189" s="66"/>
      <c r="S189" s="65"/>
      <c r="T189" s="65"/>
      <c r="U189" s="65"/>
      <c r="V189" s="65"/>
      <c r="W189" s="65"/>
      <c r="X189" s="240"/>
      <c r="Y189" s="65"/>
      <c r="Z189" s="281"/>
      <c r="AA189" s="66"/>
      <c r="AB189" s="66"/>
      <c r="AC189" s="247"/>
      <c r="AD189" s="240" t="str">
        <f t="shared" si="45"/>
        <v/>
      </c>
      <c r="AE189" s="240"/>
      <c r="AF189" s="241"/>
      <c r="AG189" s="247"/>
      <c r="AH189" s="241"/>
      <c r="AI189" s="247"/>
      <c r="AJ189" s="231"/>
      <c r="AK189" s="240"/>
      <c r="AL189" s="241"/>
      <c r="AM189" s="65"/>
      <c r="AN189" s="241"/>
      <c r="AO189" s="65"/>
      <c r="AP189" s="66"/>
      <c r="AQ189" s="66"/>
      <c r="AR189" s="66"/>
      <c r="AS189" s="221"/>
      <c r="AT189" s="222">
        <f t="shared" si="60"/>
        <v>0</v>
      </c>
      <c r="AU189" s="223"/>
      <c r="AV189" s="99"/>
      <c r="AW189" s="100"/>
      <c r="AX189" s="100"/>
      <c r="AY189" s="100"/>
      <c r="AZ189" s="100"/>
      <c r="BA189" s="100"/>
      <c r="BB189" s="100"/>
      <c r="BC189" s="101"/>
      <c r="BD189" s="96"/>
      <c r="BE189" s="97"/>
      <c r="BF189" s="97"/>
      <c r="BG189" s="97"/>
      <c r="BH189" s="98"/>
      <c r="BI189" s="157" t="e">
        <f t="shared" si="46"/>
        <v>#REF!</v>
      </c>
      <c r="BJ189" s="158" t="e">
        <f>#REF!</f>
        <v>#REF!</v>
      </c>
      <c r="BK189" s="159" t="e">
        <f>#REF!</f>
        <v>#REF!</v>
      </c>
      <c r="BL189" s="181" t="e">
        <f t="shared" si="47"/>
        <v>#REF!</v>
      </c>
      <c r="BM189" s="182" t="e">
        <f t="shared" si="48"/>
        <v>#REF!</v>
      </c>
      <c r="BN189" s="182" t="e">
        <f t="shared" si="49"/>
        <v>#REF!</v>
      </c>
      <c r="BO189" s="182" t="e">
        <f t="shared" si="50"/>
        <v>#REF!</v>
      </c>
      <c r="BP189" s="182" t="e">
        <f t="shared" si="51"/>
        <v>#REF!</v>
      </c>
      <c r="BQ189" s="182" t="e">
        <f t="shared" si="52"/>
        <v>#REF!</v>
      </c>
      <c r="BR189" s="182" t="e">
        <f t="shared" si="53"/>
        <v>#REF!</v>
      </c>
      <c r="BS189" s="183" t="e">
        <f t="shared" si="54"/>
        <v>#REF!</v>
      </c>
      <c r="BT189" s="184" t="e">
        <f t="shared" si="55"/>
        <v>#REF!</v>
      </c>
      <c r="BU189" s="185" t="e">
        <f t="shared" si="56"/>
        <v>#REF!</v>
      </c>
      <c r="BV189" s="185" t="e">
        <f t="shared" si="57"/>
        <v>#REF!</v>
      </c>
      <c r="BW189" s="185" t="e">
        <f t="shared" si="58"/>
        <v>#REF!</v>
      </c>
      <c r="BX189" s="186" t="e">
        <f t="shared" si="59"/>
        <v>#REF!</v>
      </c>
      <c r="BY18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8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8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8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8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8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8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8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8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8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8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8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8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8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8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8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8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8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8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8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8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8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8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8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8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8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8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89" s="66"/>
      <c r="DA189" s="66"/>
      <c r="DB189" s="66"/>
      <c r="DC189" s="224" t="str">
        <f t="shared" si="62"/>
        <v/>
      </c>
      <c r="DD189" s="1">
        <f>IF($DC189="",0,IF(COUNTIF($DC$2:$DC188,$DC189)=0,1,0))</f>
        <v>0</v>
      </c>
    </row>
    <row r="190" spans="1:108" s="1" customFormat="1" x14ac:dyDescent="0.25">
      <c r="A190" s="64">
        <v>189</v>
      </c>
      <c r="B190" s="71"/>
      <c r="C190" s="72"/>
      <c r="D190" s="72"/>
      <c r="E190" s="72"/>
      <c r="F190" s="72"/>
      <c r="G190" s="66"/>
      <c r="H190" s="66"/>
      <c r="I190" s="66"/>
      <c r="J190" s="67"/>
      <c r="K190" s="68"/>
      <c r="L190" s="69"/>
      <c r="M190" s="66"/>
      <c r="N190" s="66"/>
      <c r="O190" s="136" t="str">
        <f t="shared" si="63"/>
        <v/>
      </c>
      <c r="P190" s="65" t="str">
        <f t="shared" si="44"/>
        <v/>
      </c>
      <c r="Q190" s="70"/>
      <c r="R190" s="66"/>
      <c r="S190" s="65"/>
      <c r="T190" s="65"/>
      <c r="U190" s="65"/>
      <c r="V190" s="65"/>
      <c r="W190" s="65"/>
      <c r="X190" s="240"/>
      <c r="Y190" s="65"/>
      <c r="Z190" s="281"/>
      <c r="AA190" s="66"/>
      <c r="AB190" s="66"/>
      <c r="AC190" s="247"/>
      <c r="AD190" s="240" t="str">
        <f t="shared" si="45"/>
        <v/>
      </c>
      <c r="AE190" s="240"/>
      <c r="AF190" s="241"/>
      <c r="AG190" s="247"/>
      <c r="AH190" s="241"/>
      <c r="AI190" s="247"/>
      <c r="AJ190" s="231"/>
      <c r="AK190" s="240"/>
      <c r="AL190" s="241"/>
      <c r="AM190" s="65"/>
      <c r="AN190" s="241"/>
      <c r="AO190" s="65"/>
      <c r="AP190" s="66"/>
      <c r="AQ190" s="66"/>
      <c r="AR190" s="66"/>
      <c r="AS190" s="221"/>
      <c r="AT190" s="222">
        <f t="shared" si="60"/>
        <v>0</v>
      </c>
      <c r="AU190" s="223"/>
      <c r="AV190" s="99"/>
      <c r="AW190" s="100"/>
      <c r="AX190" s="100"/>
      <c r="AY190" s="100"/>
      <c r="AZ190" s="100"/>
      <c r="BA190" s="100"/>
      <c r="BB190" s="100"/>
      <c r="BC190" s="101"/>
      <c r="BD190" s="96"/>
      <c r="BE190" s="97"/>
      <c r="BF190" s="97"/>
      <c r="BG190" s="97"/>
      <c r="BH190" s="98"/>
      <c r="BI190" s="157" t="e">
        <f t="shared" si="46"/>
        <v>#REF!</v>
      </c>
      <c r="BJ190" s="158" t="e">
        <f>#REF!</f>
        <v>#REF!</v>
      </c>
      <c r="BK190" s="159" t="e">
        <f>#REF!</f>
        <v>#REF!</v>
      </c>
      <c r="BL190" s="181" t="e">
        <f t="shared" si="47"/>
        <v>#REF!</v>
      </c>
      <c r="BM190" s="182" t="e">
        <f t="shared" si="48"/>
        <v>#REF!</v>
      </c>
      <c r="BN190" s="182" t="e">
        <f t="shared" si="49"/>
        <v>#REF!</v>
      </c>
      <c r="BO190" s="182" t="e">
        <f t="shared" si="50"/>
        <v>#REF!</v>
      </c>
      <c r="BP190" s="182" t="e">
        <f t="shared" si="51"/>
        <v>#REF!</v>
      </c>
      <c r="BQ190" s="182" t="e">
        <f t="shared" si="52"/>
        <v>#REF!</v>
      </c>
      <c r="BR190" s="182" t="e">
        <f t="shared" si="53"/>
        <v>#REF!</v>
      </c>
      <c r="BS190" s="183" t="e">
        <f t="shared" si="54"/>
        <v>#REF!</v>
      </c>
      <c r="BT190" s="184" t="e">
        <f t="shared" si="55"/>
        <v>#REF!</v>
      </c>
      <c r="BU190" s="185" t="e">
        <f t="shared" si="56"/>
        <v>#REF!</v>
      </c>
      <c r="BV190" s="185" t="e">
        <f t="shared" si="57"/>
        <v>#REF!</v>
      </c>
      <c r="BW190" s="185" t="e">
        <f t="shared" si="58"/>
        <v>#REF!</v>
      </c>
      <c r="BX190" s="186" t="e">
        <f t="shared" si="59"/>
        <v>#REF!</v>
      </c>
      <c r="BY19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0" s="66"/>
      <c r="DA190" s="66"/>
      <c r="DB190" s="66"/>
      <c r="DC190" s="224" t="str">
        <f t="shared" si="62"/>
        <v/>
      </c>
      <c r="DD190" s="1">
        <f>IF($DC190="",0,IF(COUNTIF($DC$2:$DC189,$DC190)=0,1,0))</f>
        <v>0</v>
      </c>
    </row>
    <row r="191" spans="1:108" s="1" customFormat="1" x14ac:dyDescent="0.25">
      <c r="A191" s="64">
        <v>190</v>
      </c>
      <c r="B191" s="71"/>
      <c r="C191" s="72"/>
      <c r="D191" s="72"/>
      <c r="E191" s="72"/>
      <c r="F191" s="72"/>
      <c r="G191" s="66"/>
      <c r="H191" s="66"/>
      <c r="I191" s="66"/>
      <c r="J191" s="67"/>
      <c r="K191" s="68"/>
      <c r="L191" s="69"/>
      <c r="M191" s="66"/>
      <c r="N191" s="66"/>
      <c r="O191" s="136" t="str">
        <f t="shared" si="63"/>
        <v/>
      </c>
      <c r="P191" s="65" t="str">
        <f t="shared" si="44"/>
        <v/>
      </c>
      <c r="Q191" s="70"/>
      <c r="R191" s="66"/>
      <c r="S191" s="65"/>
      <c r="T191" s="65"/>
      <c r="U191" s="65"/>
      <c r="V191" s="65"/>
      <c r="W191" s="65"/>
      <c r="X191" s="240"/>
      <c r="Y191" s="65"/>
      <c r="Z191" s="281"/>
      <c r="AA191" s="66"/>
      <c r="AB191" s="66"/>
      <c r="AC191" s="247"/>
      <c r="AD191" s="240" t="str">
        <f t="shared" si="45"/>
        <v/>
      </c>
      <c r="AE191" s="240"/>
      <c r="AF191" s="241"/>
      <c r="AG191" s="247"/>
      <c r="AH191" s="241"/>
      <c r="AI191" s="247"/>
      <c r="AJ191" s="231"/>
      <c r="AK191" s="240"/>
      <c r="AL191" s="241"/>
      <c r="AM191" s="65"/>
      <c r="AN191" s="241"/>
      <c r="AO191" s="65"/>
      <c r="AP191" s="66"/>
      <c r="AQ191" s="66"/>
      <c r="AR191" s="66"/>
      <c r="AS191" s="221"/>
      <c r="AT191" s="222">
        <f t="shared" si="60"/>
        <v>0</v>
      </c>
      <c r="AU191" s="223"/>
      <c r="AV191" s="99"/>
      <c r="AW191" s="100"/>
      <c r="AX191" s="100"/>
      <c r="AY191" s="100"/>
      <c r="AZ191" s="100"/>
      <c r="BA191" s="100"/>
      <c r="BB191" s="100"/>
      <c r="BC191" s="101"/>
      <c r="BD191" s="96"/>
      <c r="BE191" s="97"/>
      <c r="BF191" s="97"/>
      <c r="BG191" s="97"/>
      <c r="BH191" s="98"/>
      <c r="BI191" s="157" t="e">
        <f t="shared" si="46"/>
        <v>#REF!</v>
      </c>
      <c r="BJ191" s="158" t="e">
        <f>#REF!</f>
        <v>#REF!</v>
      </c>
      <c r="BK191" s="159" t="e">
        <f>#REF!</f>
        <v>#REF!</v>
      </c>
      <c r="BL191" s="181" t="e">
        <f t="shared" si="47"/>
        <v>#REF!</v>
      </c>
      <c r="BM191" s="182" t="e">
        <f t="shared" si="48"/>
        <v>#REF!</v>
      </c>
      <c r="BN191" s="182" t="e">
        <f t="shared" si="49"/>
        <v>#REF!</v>
      </c>
      <c r="BO191" s="182" t="e">
        <f t="shared" si="50"/>
        <v>#REF!</v>
      </c>
      <c r="BP191" s="182" t="e">
        <f t="shared" si="51"/>
        <v>#REF!</v>
      </c>
      <c r="BQ191" s="182" t="e">
        <f t="shared" si="52"/>
        <v>#REF!</v>
      </c>
      <c r="BR191" s="182" t="e">
        <f t="shared" si="53"/>
        <v>#REF!</v>
      </c>
      <c r="BS191" s="183" t="e">
        <f t="shared" si="54"/>
        <v>#REF!</v>
      </c>
      <c r="BT191" s="184" t="e">
        <f t="shared" si="55"/>
        <v>#REF!</v>
      </c>
      <c r="BU191" s="185" t="e">
        <f t="shared" si="56"/>
        <v>#REF!</v>
      </c>
      <c r="BV191" s="185" t="e">
        <f t="shared" si="57"/>
        <v>#REF!</v>
      </c>
      <c r="BW191" s="185" t="e">
        <f t="shared" si="58"/>
        <v>#REF!</v>
      </c>
      <c r="BX191" s="186" t="e">
        <f t="shared" si="59"/>
        <v>#REF!</v>
      </c>
      <c r="BY19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1" s="66"/>
      <c r="DA191" s="66"/>
      <c r="DB191" s="66"/>
      <c r="DC191" s="224" t="str">
        <f t="shared" si="62"/>
        <v/>
      </c>
      <c r="DD191" s="1">
        <f>IF($DC191="",0,IF(COUNTIF($DC$2:$DC190,$DC191)=0,1,0))</f>
        <v>0</v>
      </c>
    </row>
    <row r="192" spans="1:108" s="1" customFormat="1" x14ac:dyDescent="0.25">
      <c r="A192" s="64">
        <v>191</v>
      </c>
      <c r="B192" s="71"/>
      <c r="C192" s="72"/>
      <c r="D192" s="72"/>
      <c r="E192" s="72"/>
      <c r="F192" s="72"/>
      <c r="G192" s="66"/>
      <c r="H192" s="66"/>
      <c r="I192" s="66"/>
      <c r="J192" s="67"/>
      <c r="K192" s="68"/>
      <c r="L192" s="69"/>
      <c r="M192" s="66"/>
      <c r="N192" s="66"/>
      <c r="O192" s="136" t="str">
        <f t="shared" si="63"/>
        <v/>
      </c>
      <c r="P192" s="65" t="str">
        <f t="shared" si="44"/>
        <v/>
      </c>
      <c r="Q192" s="70"/>
      <c r="R192" s="66"/>
      <c r="S192" s="65"/>
      <c r="T192" s="65"/>
      <c r="U192" s="65"/>
      <c r="V192" s="65"/>
      <c r="W192" s="65"/>
      <c r="X192" s="240"/>
      <c r="Y192" s="65"/>
      <c r="Z192" s="281"/>
      <c r="AA192" s="66"/>
      <c r="AB192" s="66"/>
      <c r="AC192" s="247"/>
      <c r="AD192" s="240" t="str">
        <f t="shared" si="45"/>
        <v/>
      </c>
      <c r="AE192" s="240"/>
      <c r="AF192" s="241"/>
      <c r="AG192" s="247"/>
      <c r="AH192" s="241"/>
      <c r="AI192" s="247"/>
      <c r="AJ192" s="231"/>
      <c r="AK192" s="240"/>
      <c r="AL192" s="241"/>
      <c r="AM192" s="65"/>
      <c r="AN192" s="241"/>
      <c r="AO192" s="65"/>
      <c r="AP192" s="66"/>
      <c r="AQ192" s="66"/>
      <c r="AR192" s="66"/>
      <c r="AS192" s="221"/>
      <c r="AT192" s="222">
        <f t="shared" si="60"/>
        <v>0</v>
      </c>
      <c r="AU192" s="223"/>
      <c r="AV192" s="99"/>
      <c r="AW192" s="100"/>
      <c r="AX192" s="100"/>
      <c r="AY192" s="100"/>
      <c r="AZ192" s="100"/>
      <c r="BA192" s="100"/>
      <c r="BB192" s="100"/>
      <c r="BC192" s="101"/>
      <c r="BD192" s="96"/>
      <c r="BE192" s="97"/>
      <c r="BF192" s="97"/>
      <c r="BG192" s="97"/>
      <c r="BH192" s="98"/>
      <c r="BI192" s="157" t="e">
        <f t="shared" si="46"/>
        <v>#REF!</v>
      </c>
      <c r="BJ192" s="158" t="e">
        <f>#REF!</f>
        <v>#REF!</v>
      </c>
      <c r="BK192" s="159" t="e">
        <f>#REF!</f>
        <v>#REF!</v>
      </c>
      <c r="BL192" s="181" t="e">
        <f t="shared" si="47"/>
        <v>#REF!</v>
      </c>
      <c r="BM192" s="182" t="e">
        <f t="shared" si="48"/>
        <v>#REF!</v>
      </c>
      <c r="BN192" s="182" t="e">
        <f t="shared" si="49"/>
        <v>#REF!</v>
      </c>
      <c r="BO192" s="182" t="e">
        <f t="shared" si="50"/>
        <v>#REF!</v>
      </c>
      <c r="BP192" s="182" t="e">
        <f t="shared" si="51"/>
        <v>#REF!</v>
      </c>
      <c r="BQ192" s="182" t="e">
        <f t="shared" si="52"/>
        <v>#REF!</v>
      </c>
      <c r="BR192" s="182" t="e">
        <f t="shared" si="53"/>
        <v>#REF!</v>
      </c>
      <c r="BS192" s="183" t="e">
        <f t="shared" si="54"/>
        <v>#REF!</v>
      </c>
      <c r="BT192" s="184" t="e">
        <f t="shared" si="55"/>
        <v>#REF!</v>
      </c>
      <c r="BU192" s="185" t="e">
        <f t="shared" si="56"/>
        <v>#REF!</v>
      </c>
      <c r="BV192" s="185" t="e">
        <f t="shared" si="57"/>
        <v>#REF!</v>
      </c>
      <c r="BW192" s="185" t="e">
        <f t="shared" si="58"/>
        <v>#REF!</v>
      </c>
      <c r="BX192" s="186" t="e">
        <f t="shared" si="59"/>
        <v>#REF!</v>
      </c>
      <c r="BY192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2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2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2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2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2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2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2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2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2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2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2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2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2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2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2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2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2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2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2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2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2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2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2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2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2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2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2" s="66"/>
      <c r="DA192" s="66"/>
      <c r="DB192" s="66"/>
      <c r="DC192" s="224" t="str">
        <f t="shared" si="62"/>
        <v/>
      </c>
      <c r="DD192" s="1">
        <f>IF($DC192="",0,IF(COUNTIF($DC$2:$DC191,$DC192)=0,1,0))</f>
        <v>0</v>
      </c>
    </row>
    <row r="193" spans="1:108" s="1" customFormat="1" x14ac:dyDescent="0.25">
      <c r="A193" s="64">
        <v>192</v>
      </c>
      <c r="B193" s="71"/>
      <c r="C193" s="72"/>
      <c r="D193" s="72"/>
      <c r="E193" s="72"/>
      <c r="F193" s="72"/>
      <c r="G193" s="66"/>
      <c r="H193" s="66"/>
      <c r="I193" s="66"/>
      <c r="J193" s="67"/>
      <c r="K193" s="68"/>
      <c r="L193" s="69"/>
      <c r="M193" s="66"/>
      <c r="N193" s="66"/>
      <c r="O193" s="136" t="str">
        <f t="shared" si="63"/>
        <v/>
      </c>
      <c r="P193" s="65" t="str">
        <f t="shared" si="44"/>
        <v/>
      </c>
      <c r="Q193" s="70"/>
      <c r="R193" s="66"/>
      <c r="S193" s="65"/>
      <c r="T193" s="65"/>
      <c r="U193" s="65"/>
      <c r="V193" s="65"/>
      <c r="W193" s="65"/>
      <c r="X193" s="240"/>
      <c r="Y193" s="65"/>
      <c r="Z193" s="281"/>
      <c r="AA193" s="66"/>
      <c r="AB193" s="66"/>
      <c r="AC193" s="247"/>
      <c r="AD193" s="240" t="str">
        <f t="shared" si="45"/>
        <v/>
      </c>
      <c r="AE193" s="240"/>
      <c r="AF193" s="241"/>
      <c r="AG193" s="247"/>
      <c r="AH193" s="241"/>
      <c r="AI193" s="247"/>
      <c r="AJ193" s="231"/>
      <c r="AK193" s="240"/>
      <c r="AL193" s="241"/>
      <c r="AM193" s="65"/>
      <c r="AN193" s="241"/>
      <c r="AO193" s="65"/>
      <c r="AP193" s="66"/>
      <c r="AQ193" s="66"/>
      <c r="AR193" s="66"/>
      <c r="AS193" s="221"/>
      <c r="AT193" s="222">
        <f t="shared" si="60"/>
        <v>0</v>
      </c>
      <c r="AU193" s="223"/>
      <c r="AV193" s="99"/>
      <c r="AW193" s="100"/>
      <c r="AX193" s="100"/>
      <c r="AY193" s="100"/>
      <c r="AZ193" s="100"/>
      <c r="BA193" s="100"/>
      <c r="BB193" s="100"/>
      <c r="BC193" s="101"/>
      <c r="BD193" s="96"/>
      <c r="BE193" s="97"/>
      <c r="BF193" s="97"/>
      <c r="BG193" s="97"/>
      <c r="BH193" s="98"/>
      <c r="BI193" s="157" t="e">
        <f t="shared" si="46"/>
        <v>#REF!</v>
      </c>
      <c r="BJ193" s="158" t="e">
        <f>#REF!</f>
        <v>#REF!</v>
      </c>
      <c r="BK193" s="159" t="e">
        <f>#REF!</f>
        <v>#REF!</v>
      </c>
      <c r="BL193" s="181" t="e">
        <f t="shared" si="47"/>
        <v>#REF!</v>
      </c>
      <c r="BM193" s="182" t="e">
        <f t="shared" si="48"/>
        <v>#REF!</v>
      </c>
      <c r="BN193" s="182" t="e">
        <f t="shared" si="49"/>
        <v>#REF!</v>
      </c>
      <c r="BO193" s="182" t="e">
        <f t="shared" si="50"/>
        <v>#REF!</v>
      </c>
      <c r="BP193" s="182" t="e">
        <f t="shared" si="51"/>
        <v>#REF!</v>
      </c>
      <c r="BQ193" s="182" t="e">
        <f t="shared" si="52"/>
        <v>#REF!</v>
      </c>
      <c r="BR193" s="182" t="e">
        <f t="shared" si="53"/>
        <v>#REF!</v>
      </c>
      <c r="BS193" s="183" t="e">
        <f t="shared" si="54"/>
        <v>#REF!</v>
      </c>
      <c r="BT193" s="184" t="e">
        <f t="shared" si="55"/>
        <v>#REF!</v>
      </c>
      <c r="BU193" s="185" t="e">
        <f t="shared" si="56"/>
        <v>#REF!</v>
      </c>
      <c r="BV193" s="185" t="e">
        <f t="shared" si="57"/>
        <v>#REF!</v>
      </c>
      <c r="BW193" s="185" t="e">
        <f t="shared" si="58"/>
        <v>#REF!</v>
      </c>
      <c r="BX193" s="186" t="e">
        <f t="shared" si="59"/>
        <v>#REF!</v>
      </c>
      <c r="BY193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3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3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3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3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3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3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3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3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3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3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3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3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3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3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3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3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3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3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3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3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3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3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3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3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3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3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3" s="66"/>
      <c r="DA193" s="66"/>
      <c r="DB193" s="66"/>
      <c r="DC193" s="224" t="str">
        <f t="shared" si="62"/>
        <v/>
      </c>
      <c r="DD193" s="1">
        <f>IF($DC193="",0,IF(COUNTIF($DC$2:$DC192,$DC193)=0,1,0))</f>
        <v>0</v>
      </c>
    </row>
    <row r="194" spans="1:108" s="1" customFormat="1" x14ac:dyDescent="0.25">
      <c r="A194" s="64">
        <v>193</v>
      </c>
      <c r="B194" s="71"/>
      <c r="C194" s="72"/>
      <c r="D194" s="72"/>
      <c r="E194" s="72"/>
      <c r="F194" s="72"/>
      <c r="G194" s="66"/>
      <c r="H194" s="66"/>
      <c r="I194" s="66"/>
      <c r="J194" s="67"/>
      <c r="K194" s="68"/>
      <c r="L194" s="69"/>
      <c r="M194" s="66"/>
      <c r="N194" s="66"/>
      <c r="O194" s="136" t="str">
        <f t="shared" si="63"/>
        <v/>
      </c>
      <c r="P194" s="65" t="str">
        <f t="shared" si="44"/>
        <v/>
      </c>
      <c r="Q194" s="70"/>
      <c r="R194" s="66"/>
      <c r="S194" s="65"/>
      <c r="T194" s="65"/>
      <c r="U194" s="65"/>
      <c r="V194" s="65"/>
      <c r="W194" s="65"/>
      <c r="X194" s="240"/>
      <c r="Y194" s="65"/>
      <c r="Z194" s="281"/>
      <c r="AA194" s="66"/>
      <c r="AB194" s="66"/>
      <c r="AC194" s="247"/>
      <c r="AD194" s="240" t="str">
        <f t="shared" si="45"/>
        <v/>
      </c>
      <c r="AE194" s="240"/>
      <c r="AF194" s="241"/>
      <c r="AG194" s="247"/>
      <c r="AH194" s="241"/>
      <c r="AI194" s="247"/>
      <c r="AJ194" s="231"/>
      <c r="AK194" s="240"/>
      <c r="AL194" s="241"/>
      <c r="AM194" s="65"/>
      <c r="AN194" s="241"/>
      <c r="AO194" s="65"/>
      <c r="AP194" s="66"/>
      <c r="AQ194" s="66"/>
      <c r="AR194" s="66"/>
      <c r="AS194" s="221"/>
      <c r="AT194" s="222">
        <f t="shared" si="60"/>
        <v>0</v>
      </c>
      <c r="AU194" s="223"/>
      <c r="AV194" s="99"/>
      <c r="AW194" s="100"/>
      <c r="AX194" s="100"/>
      <c r="AY194" s="100"/>
      <c r="AZ194" s="100"/>
      <c r="BA194" s="100"/>
      <c r="BB194" s="100"/>
      <c r="BC194" s="101"/>
      <c r="BD194" s="96"/>
      <c r="BE194" s="97"/>
      <c r="BF194" s="97"/>
      <c r="BG194" s="97"/>
      <c r="BH194" s="98"/>
      <c r="BI194" s="157" t="e">
        <f t="shared" si="46"/>
        <v>#REF!</v>
      </c>
      <c r="BJ194" s="158" t="e">
        <f>#REF!</f>
        <v>#REF!</v>
      </c>
      <c r="BK194" s="159" t="e">
        <f>#REF!</f>
        <v>#REF!</v>
      </c>
      <c r="BL194" s="181" t="e">
        <f t="shared" si="47"/>
        <v>#REF!</v>
      </c>
      <c r="BM194" s="182" t="e">
        <f t="shared" si="48"/>
        <v>#REF!</v>
      </c>
      <c r="BN194" s="182" t="e">
        <f t="shared" si="49"/>
        <v>#REF!</v>
      </c>
      <c r="BO194" s="182" t="e">
        <f t="shared" si="50"/>
        <v>#REF!</v>
      </c>
      <c r="BP194" s="182" t="e">
        <f t="shared" si="51"/>
        <v>#REF!</v>
      </c>
      <c r="BQ194" s="182" t="e">
        <f t="shared" si="52"/>
        <v>#REF!</v>
      </c>
      <c r="BR194" s="182" t="e">
        <f t="shared" si="53"/>
        <v>#REF!</v>
      </c>
      <c r="BS194" s="183" t="e">
        <f t="shared" si="54"/>
        <v>#REF!</v>
      </c>
      <c r="BT194" s="184" t="e">
        <f t="shared" si="55"/>
        <v>#REF!</v>
      </c>
      <c r="BU194" s="185" t="e">
        <f t="shared" si="56"/>
        <v>#REF!</v>
      </c>
      <c r="BV194" s="185" t="e">
        <f t="shared" si="57"/>
        <v>#REF!</v>
      </c>
      <c r="BW194" s="185" t="e">
        <f t="shared" si="58"/>
        <v>#REF!</v>
      </c>
      <c r="BX194" s="186" t="e">
        <f t="shared" si="59"/>
        <v>#REF!</v>
      </c>
      <c r="BY194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4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4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4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4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4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4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4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4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4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4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4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4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4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4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4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4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4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4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4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4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4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4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4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4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4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4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4" s="66"/>
      <c r="DA194" s="66"/>
      <c r="DB194" s="66"/>
      <c r="DC194" s="224" t="str">
        <f t="shared" ref="DC194:DC201" si="64">C194&amp;E194</f>
        <v/>
      </c>
      <c r="DD194" s="1">
        <f>IF($DC194="",0,IF(COUNTIF($DC$2:$DC193,$DC194)=0,1,0))</f>
        <v>0</v>
      </c>
    </row>
    <row r="195" spans="1:108" s="1" customFormat="1" x14ac:dyDescent="0.25">
      <c r="A195" s="64">
        <v>194</v>
      </c>
      <c r="B195" s="71"/>
      <c r="C195" s="72"/>
      <c r="D195" s="72"/>
      <c r="E195" s="72"/>
      <c r="F195" s="72"/>
      <c r="G195" s="66"/>
      <c r="H195" s="66"/>
      <c r="I195" s="66"/>
      <c r="J195" s="67"/>
      <c r="K195" s="68"/>
      <c r="L195" s="69"/>
      <c r="M195" s="66"/>
      <c r="N195" s="66"/>
      <c r="O195" s="136" t="str">
        <f t="shared" si="63"/>
        <v/>
      </c>
      <c r="P195" s="65" t="str">
        <f t="shared" ref="P195:P201" si="65">IF(B195="","",IF($B195="MR","H","F"))</f>
        <v/>
      </c>
      <c r="Q195" s="70"/>
      <c r="R195" s="66"/>
      <c r="S195" s="65"/>
      <c r="T195" s="65"/>
      <c r="U195" s="65"/>
      <c r="V195" s="65"/>
      <c r="W195" s="65"/>
      <c r="X195" s="240"/>
      <c r="Y195" s="65"/>
      <c r="Z195" s="281"/>
      <c r="AA195" s="66"/>
      <c r="AB195" s="66"/>
      <c r="AC195" s="247"/>
      <c r="AD195" s="240" t="str">
        <f t="shared" ref="AD195:AD201" si="66">IF($AC195="","",IF($AC195="À l'étranger","À l'étranger",IF($AC195="N. VI et Vbis (sans diplôme validé)",2,IF($AC195="N. V (CAP / BEP)",3,IF($AC195="N. IV (bac)",4,IF($AC195="N. III (bac + 2)",5,IF($AC195="N. II (bac + 4 et bac +3)",6,"7/8")))))))</f>
        <v/>
      </c>
      <c r="AE195" s="240"/>
      <c r="AF195" s="241"/>
      <c r="AG195" s="247"/>
      <c r="AH195" s="241"/>
      <c r="AI195" s="247"/>
      <c r="AJ195" s="231"/>
      <c r="AK195" s="240"/>
      <c r="AL195" s="241"/>
      <c r="AM195" s="65"/>
      <c r="AN195" s="241"/>
      <c r="AO195" s="65"/>
      <c r="AP195" s="66"/>
      <c r="AQ195" s="66"/>
      <c r="AR195" s="66"/>
      <c r="AS195" s="221"/>
      <c r="AT195" s="222">
        <f t="shared" si="60"/>
        <v>0</v>
      </c>
      <c r="AU195" s="223"/>
      <c r="AV195" s="99"/>
      <c r="AW195" s="100"/>
      <c r="AX195" s="100"/>
      <c r="AY195" s="100"/>
      <c r="AZ195" s="100"/>
      <c r="BA195" s="100"/>
      <c r="BB195" s="100"/>
      <c r="BC195" s="101"/>
      <c r="BD195" s="96"/>
      <c r="BE195" s="97"/>
      <c r="BF195" s="97"/>
      <c r="BG195" s="97"/>
      <c r="BH195" s="98"/>
      <c r="BI195" s="157" t="e">
        <f t="shared" ref="BI195:BI201" si="67">SUM(BL195:BX195)+CY195</f>
        <v>#REF!</v>
      </c>
      <c r="BJ195" s="158" t="e">
        <f>#REF!</f>
        <v>#REF!</v>
      </c>
      <c r="BK195" s="159" t="e">
        <f>#REF!</f>
        <v>#REF!</v>
      </c>
      <c r="BL195" s="181" t="e">
        <f t="shared" ref="BL195:BL201" si="68">BY195+CL195</f>
        <v>#REF!</v>
      </c>
      <c r="BM195" s="182" t="e">
        <f t="shared" ref="BM195:BM201" si="69">BZ195+CM195</f>
        <v>#REF!</v>
      </c>
      <c r="BN195" s="182" t="e">
        <f t="shared" ref="BN195:BN201" si="70">CA195+CN195</f>
        <v>#REF!</v>
      </c>
      <c r="BO195" s="182" t="e">
        <f t="shared" ref="BO195:BO201" si="71">CB195+CO195</f>
        <v>#REF!</v>
      </c>
      <c r="BP195" s="182" t="e">
        <f t="shared" ref="BP195:BP201" si="72">CC195+CP195</f>
        <v>#REF!</v>
      </c>
      <c r="BQ195" s="182" t="e">
        <f t="shared" ref="BQ195:BQ201" si="73">CD195+CQ195</f>
        <v>#REF!</v>
      </c>
      <c r="BR195" s="182" t="e">
        <f t="shared" ref="BR195:BR201" si="74">CE195+CR195</f>
        <v>#REF!</v>
      </c>
      <c r="BS195" s="183" t="e">
        <f t="shared" ref="BS195:BS201" si="75">CF195+CS195</f>
        <v>#REF!</v>
      </c>
      <c r="BT195" s="184" t="e">
        <f t="shared" ref="BT195:BT201" si="76">CG195+CT195</f>
        <v>#REF!</v>
      </c>
      <c r="BU195" s="185" t="e">
        <f t="shared" ref="BU195:BU201" si="77">CH195+CU195</f>
        <v>#REF!</v>
      </c>
      <c r="BV195" s="185" t="e">
        <f t="shared" ref="BV195:BV201" si="78">CI195+CV195</f>
        <v>#REF!</v>
      </c>
      <c r="BW195" s="185" t="e">
        <f t="shared" ref="BW195:BW201" si="79">CJ195+CW195</f>
        <v>#REF!</v>
      </c>
      <c r="BX195" s="186" t="e">
        <f t="shared" ref="BX195:BX201" si="80">CK195+CX195</f>
        <v>#REF!</v>
      </c>
      <c r="BY195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5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5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5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5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5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5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5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5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5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5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5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5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5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5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5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5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5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5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5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5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5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5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5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5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5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5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5" s="66"/>
      <c r="DA195" s="66"/>
      <c r="DB195" s="66"/>
      <c r="DC195" s="224" t="str">
        <f t="shared" si="64"/>
        <v/>
      </c>
      <c r="DD195" s="1">
        <f>IF($DC195="",0,IF(COUNTIF($DC$2:$DC194,$DC195)=0,1,0))</f>
        <v>0</v>
      </c>
    </row>
    <row r="196" spans="1:108" s="1" customFormat="1" x14ac:dyDescent="0.25">
      <c r="A196" s="64">
        <v>195</v>
      </c>
      <c r="B196" s="71"/>
      <c r="C196" s="72"/>
      <c r="D196" s="72"/>
      <c r="E196" s="72"/>
      <c r="F196" s="72"/>
      <c r="G196" s="66"/>
      <c r="H196" s="66"/>
      <c r="I196" s="66"/>
      <c r="J196" s="67"/>
      <c r="K196" s="68"/>
      <c r="L196" s="69"/>
      <c r="M196" s="66"/>
      <c r="N196" s="66"/>
      <c r="O196" s="136" t="str">
        <f t="shared" si="63"/>
        <v/>
      </c>
      <c r="P196" s="65" t="str">
        <f t="shared" si="65"/>
        <v/>
      </c>
      <c r="Q196" s="70"/>
      <c r="R196" s="66"/>
      <c r="S196" s="65"/>
      <c r="T196" s="65"/>
      <c r="U196" s="65"/>
      <c r="V196" s="65"/>
      <c r="W196" s="65"/>
      <c r="X196" s="240"/>
      <c r="Y196" s="65"/>
      <c r="Z196" s="281"/>
      <c r="AA196" s="66"/>
      <c r="AB196" s="66"/>
      <c r="AC196" s="247"/>
      <c r="AD196" s="240" t="str">
        <f t="shared" si="66"/>
        <v/>
      </c>
      <c r="AE196" s="240"/>
      <c r="AF196" s="241"/>
      <c r="AG196" s="247"/>
      <c r="AH196" s="241"/>
      <c r="AI196" s="247"/>
      <c r="AJ196" s="231"/>
      <c r="AK196" s="240"/>
      <c r="AL196" s="241"/>
      <c r="AM196" s="65"/>
      <c r="AN196" s="241"/>
      <c r="AO196" s="65"/>
      <c r="AP196" s="66"/>
      <c r="AQ196" s="66"/>
      <c r="AR196" s="66"/>
      <c r="AS196" s="221"/>
      <c r="AT196" s="222">
        <f t="shared" si="60"/>
        <v>0</v>
      </c>
      <c r="AU196" s="223"/>
      <c r="AV196" s="99"/>
      <c r="AW196" s="100"/>
      <c r="AX196" s="100"/>
      <c r="AY196" s="100"/>
      <c r="AZ196" s="100"/>
      <c r="BA196" s="100"/>
      <c r="BB196" s="100"/>
      <c r="BC196" s="101"/>
      <c r="BD196" s="96"/>
      <c r="BE196" s="97"/>
      <c r="BF196" s="97"/>
      <c r="BG196" s="97"/>
      <c r="BH196" s="98"/>
      <c r="BI196" s="157" t="e">
        <f t="shared" si="67"/>
        <v>#REF!</v>
      </c>
      <c r="BJ196" s="158" t="e">
        <f>#REF!</f>
        <v>#REF!</v>
      </c>
      <c r="BK196" s="159" t="e">
        <f>#REF!</f>
        <v>#REF!</v>
      </c>
      <c r="BL196" s="181" t="e">
        <f t="shared" si="68"/>
        <v>#REF!</v>
      </c>
      <c r="BM196" s="182" t="e">
        <f t="shared" si="69"/>
        <v>#REF!</v>
      </c>
      <c r="BN196" s="182" t="e">
        <f t="shared" si="70"/>
        <v>#REF!</v>
      </c>
      <c r="BO196" s="182" t="e">
        <f t="shared" si="71"/>
        <v>#REF!</v>
      </c>
      <c r="BP196" s="182" t="e">
        <f t="shared" si="72"/>
        <v>#REF!</v>
      </c>
      <c r="BQ196" s="182" t="e">
        <f t="shared" si="73"/>
        <v>#REF!</v>
      </c>
      <c r="BR196" s="182" t="e">
        <f t="shared" si="74"/>
        <v>#REF!</v>
      </c>
      <c r="BS196" s="183" t="e">
        <f t="shared" si="75"/>
        <v>#REF!</v>
      </c>
      <c r="BT196" s="184" t="e">
        <f t="shared" si="76"/>
        <v>#REF!</v>
      </c>
      <c r="BU196" s="185" t="e">
        <f t="shared" si="77"/>
        <v>#REF!</v>
      </c>
      <c r="BV196" s="185" t="e">
        <f t="shared" si="78"/>
        <v>#REF!</v>
      </c>
      <c r="BW196" s="185" t="e">
        <f t="shared" si="79"/>
        <v>#REF!</v>
      </c>
      <c r="BX196" s="186" t="e">
        <f t="shared" si="80"/>
        <v>#REF!</v>
      </c>
      <c r="BY196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6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6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6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6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6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6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6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6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6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6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6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6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6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6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6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6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6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6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6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6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6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6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6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6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6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6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6" s="66"/>
      <c r="DA196" s="66"/>
      <c r="DB196" s="66"/>
      <c r="DC196" s="224" t="str">
        <f t="shared" si="64"/>
        <v/>
      </c>
      <c r="DD196" s="1">
        <f>IF($DC196="",0,IF(COUNTIF($DC$2:$DC195,$DC196)=0,1,0))</f>
        <v>0</v>
      </c>
    </row>
    <row r="197" spans="1:108" s="1" customFormat="1" x14ac:dyDescent="0.25">
      <c r="A197" s="64">
        <v>196</v>
      </c>
      <c r="B197" s="71"/>
      <c r="C197" s="72"/>
      <c r="D197" s="72"/>
      <c r="E197" s="72"/>
      <c r="F197" s="72"/>
      <c r="G197" s="66"/>
      <c r="H197" s="66"/>
      <c r="I197" s="66"/>
      <c r="J197" s="67"/>
      <c r="K197" s="68"/>
      <c r="L197" s="69"/>
      <c r="M197" s="66"/>
      <c r="N197" s="66"/>
      <c r="O197" s="136" t="str">
        <f t="shared" si="63"/>
        <v/>
      </c>
      <c r="P197" s="65" t="str">
        <f t="shared" si="65"/>
        <v/>
      </c>
      <c r="Q197" s="70"/>
      <c r="R197" s="66"/>
      <c r="S197" s="65"/>
      <c r="T197" s="65"/>
      <c r="U197" s="65"/>
      <c r="V197" s="65"/>
      <c r="W197" s="65"/>
      <c r="X197" s="240"/>
      <c r="Y197" s="65"/>
      <c r="Z197" s="281"/>
      <c r="AA197" s="66"/>
      <c r="AB197" s="66"/>
      <c r="AC197" s="247"/>
      <c r="AD197" s="240" t="str">
        <f t="shared" si="66"/>
        <v/>
      </c>
      <c r="AE197" s="240"/>
      <c r="AF197" s="241"/>
      <c r="AG197" s="247"/>
      <c r="AH197" s="241"/>
      <c r="AI197" s="247"/>
      <c r="AJ197" s="231"/>
      <c r="AK197" s="240"/>
      <c r="AL197" s="241"/>
      <c r="AM197" s="65"/>
      <c r="AN197" s="241"/>
      <c r="AO197" s="65"/>
      <c r="AP197" s="66"/>
      <c r="AQ197" s="66"/>
      <c r="AR197" s="66"/>
      <c r="AS197" s="221"/>
      <c r="AT197" s="222">
        <f t="shared" si="60"/>
        <v>0</v>
      </c>
      <c r="AU197" s="223"/>
      <c r="AV197" s="99"/>
      <c r="AW197" s="100"/>
      <c r="AX197" s="100"/>
      <c r="AY197" s="100"/>
      <c r="AZ197" s="100"/>
      <c r="BA197" s="100"/>
      <c r="BB197" s="100"/>
      <c r="BC197" s="101"/>
      <c r="BD197" s="96"/>
      <c r="BE197" s="97"/>
      <c r="BF197" s="97"/>
      <c r="BG197" s="97"/>
      <c r="BH197" s="98"/>
      <c r="BI197" s="157" t="e">
        <f t="shared" si="67"/>
        <v>#REF!</v>
      </c>
      <c r="BJ197" s="158" t="e">
        <f>#REF!</f>
        <v>#REF!</v>
      </c>
      <c r="BK197" s="159" t="e">
        <f>#REF!</f>
        <v>#REF!</v>
      </c>
      <c r="BL197" s="181" t="e">
        <f t="shared" si="68"/>
        <v>#REF!</v>
      </c>
      <c r="BM197" s="182" t="e">
        <f t="shared" si="69"/>
        <v>#REF!</v>
      </c>
      <c r="BN197" s="182" t="e">
        <f t="shared" si="70"/>
        <v>#REF!</v>
      </c>
      <c r="BO197" s="182" t="e">
        <f t="shared" si="71"/>
        <v>#REF!</v>
      </c>
      <c r="BP197" s="182" t="e">
        <f t="shared" si="72"/>
        <v>#REF!</v>
      </c>
      <c r="BQ197" s="182" t="e">
        <f t="shared" si="73"/>
        <v>#REF!</v>
      </c>
      <c r="BR197" s="182" t="e">
        <f t="shared" si="74"/>
        <v>#REF!</v>
      </c>
      <c r="BS197" s="183" t="e">
        <f t="shared" si="75"/>
        <v>#REF!</v>
      </c>
      <c r="BT197" s="184" t="e">
        <f t="shared" si="76"/>
        <v>#REF!</v>
      </c>
      <c r="BU197" s="185" t="e">
        <f t="shared" si="77"/>
        <v>#REF!</v>
      </c>
      <c r="BV197" s="185" t="e">
        <f t="shared" si="78"/>
        <v>#REF!</v>
      </c>
      <c r="BW197" s="185" t="e">
        <f t="shared" si="79"/>
        <v>#REF!</v>
      </c>
      <c r="BX197" s="186" t="e">
        <f t="shared" si="80"/>
        <v>#REF!</v>
      </c>
      <c r="BY197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7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7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7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7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7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7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7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7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7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7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7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7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7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7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7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7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7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7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7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7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7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7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7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7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7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7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7" s="66"/>
      <c r="DA197" s="66"/>
      <c r="DB197" s="66"/>
      <c r="DC197" s="224" t="str">
        <f t="shared" si="64"/>
        <v/>
      </c>
      <c r="DD197" s="1">
        <f>IF($DC197="",0,IF(COUNTIF($DC$2:$DC196,$DC197)=0,1,0))</f>
        <v>0</v>
      </c>
    </row>
    <row r="198" spans="1:108" s="1" customFormat="1" x14ac:dyDescent="0.25">
      <c r="A198" s="64">
        <v>197</v>
      </c>
      <c r="B198" s="71"/>
      <c r="C198" s="72"/>
      <c r="D198" s="72"/>
      <c r="E198" s="72"/>
      <c r="F198" s="72"/>
      <c r="G198" s="66"/>
      <c r="H198" s="66"/>
      <c r="I198" s="66"/>
      <c r="J198" s="67"/>
      <c r="K198" s="68"/>
      <c r="L198" s="69"/>
      <c r="M198" s="66"/>
      <c r="N198" s="66"/>
      <c r="O198" s="136" t="str">
        <f t="shared" si="63"/>
        <v/>
      </c>
      <c r="P198" s="65" t="str">
        <f t="shared" si="65"/>
        <v/>
      </c>
      <c r="Q198" s="70"/>
      <c r="R198" s="66"/>
      <c r="S198" s="65"/>
      <c r="T198" s="65"/>
      <c r="U198" s="65"/>
      <c r="V198" s="65"/>
      <c r="W198" s="65"/>
      <c r="X198" s="240"/>
      <c r="Y198" s="65"/>
      <c r="Z198" s="281"/>
      <c r="AA198" s="66"/>
      <c r="AB198" s="66"/>
      <c r="AC198" s="247"/>
      <c r="AD198" s="240" t="str">
        <f t="shared" si="66"/>
        <v/>
      </c>
      <c r="AE198" s="240"/>
      <c r="AF198" s="241"/>
      <c r="AG198" s="247"/>
      <c r="AH198" s="241"/>
      <c r="AI198" s="247"/>
      <c r="AJ198" s="231"/>
      <c r="AK198" s="240"/>
      <c r="AL198" s="241"/>
      <c r="AM198" s="65"/>
      <c r="AN198" s="241"/>
      <c r="AO198" s="65"/>
      <c r="AP198" s="66"/>
      <c r="AQ198" s="66"/>
      <c r="AR198" s="66"/>
      <c r="AS198" s="221"/>
      <c r="AT198" s="222">
        <f t="shared" ref="AT198:AT201" si="81">SUM(AV198:BH198)</f>
        <v>0</v>
      </c>
      <c r="AU198" s="223"/>
      <c r="AV198" s="99"/>
      <c r="AW198" s="100"/>
      <c r="AX198" s="100"/>
      <c r="AY198" s="100"/>
      <c r="AZ198" s="100"/>
      <c r="BA198" s="100"/>
      <c r="BB198" s="100"/>
      <c r="BC198" s="101"/>
      <c r="BD198" s="96"/>
      <c r="BE198" s="97"/>
      <c r="BF198" s="97"/>
      <c r="BG198" s="97"/>
      <c r="BH198" s="98"/>
      <c r="BI198" s="157" t="e">
        <f t="shared" si="67"/>
        <v>#REF!</v>
      </c>
      <c r="BJ198" s="158" t="e">
        <f>#REF!</f>
        <v>#REF!</v>
      </c>
      <c r="BK198" s="159" t="e">
        <f>#REF!</f>
        <v>#REF!</v>
      </c>
      <c r="BL198" s="181" t="e">
        <f t="shared" si="68"/>
        <v>#REF!</v>
      </c>
      <c r="BM198" s="182" t="e">
        <f t="shared" si="69"/>
        <v>#REF!</v>
      </c>
      <c r="BN198" s="182" t="e">
        <f t="shared" si="70"/>
        <v>#REF!</v>
      </c>
      <c r="BO198" s="182" t="e">
        <f t="shared" si="71"/>
        <v>#REF!</v>
      </c>
      <c r="BP198" s="182" t="e">
        <f t="shared" si="72"/>
        <v>#REF!</v>
      </c>
      <c r="BQ198" s="182" t="e">
        <f t="shared" si="73"/>
        <v>#REF!</v>
      </c>
      <c r="BR198" s="182" t="e">
        <f t="shared" si="74"/>
        <v>#REF!</v>
      </c>
      <c r="BS198" s="183" t="e">
        <f t="shared" si="75"/>
        <v>#REF!</v>
      </c>
      <c r="BT198" s="184" t="e">
        <f t="shared" si="76"/>
        <v>#REF!</v>
      </c>
      <c r="BU198" s="185" t="e">
        <f t="shared" si="77"/>
        <v>#REF!</v>
      </c>
      <c r="BV198" s="185" t="e">
        <f t="shared" si="78"/>
        <v>#REF!</v>
      </c>
      <c r="BW198" s="185" t="e">
        <f t="shared" si="79"/>
        <v>#REF!</v>
      </c>
      <c r="BX198" s="186" t="e">
        <f t="shared" si="80"/>
        <v>#REF!</v>
      </c>
      <c r="BY198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8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8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8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8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8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8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8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8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8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8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8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8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8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8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8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8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8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8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8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8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8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8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8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8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8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8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8" s="66"/>
      <c r="DA198" s="66"/>
      <c r="DB198" s="66"/>
      <c r="DC198" s="224" t="str">
        <f t="shared" si="64"/>
        <v/>
      </c>
      <c r="DD198" s="1">
        <f>IF($DC198="",0,IF(COUNTIF($DC$2:$DC197,$DC198)=0,1,0))</f>
        <v>0</v>
      </c>
    </row>
    <row r="199" spans="1:108" s="1" customFormat="1" x14ac:dyDescent="0.25">
      <c r="A199" s="64">
        <v>198</v>
      </c>
      <c r="B199" s="71"/>
      <c r="C199" s="72"/>
      <c r="D199" s="72"/>
      <c r="E199" s="72"/>
      <c r="F199" s="72"/>
      <c r="G199" s="66"/>
      <c r="H199" s="66"/>
      <c r="I199" s="66"/>
      <c r="J199" s="67"/>
      <c r="K199" s="68"/>
      <c r="L199" s="69"/>
      <c r="M199" s="66"/>
      <c r="N199" s="66"/>
      <c r="O199" s="136" t="str">
        <f t="shared" si="63"/>
        <v/>
      </c>
      <c r="P199" s="65" t="str">
        <f t="shared" si="65"/>
        <v/>
      </c>
      <c r="Q199" s="70"/>
      <c r="R199" s="66"/>
      <c r="S199" s="65"/>
      <c r="T199" s="65"/>
      <c r="U199" s="65"/>
      <c r="V199" s="65"/>
      <c r="W199" s="65"/>
      <c r="X199" s="240"/>
      <c r="Y199" s="65"/>
      <c r="Z199" s="281"/>
      <c r="AA199" s="66"/>
      <c r="AB199" s="66"/>
      <c r="AC199" s="247"/>
      <c r="AD199" s="240" t="str">
        <f t="shared" si="66"/>
        <v/>
      </c>
      <c r="AE199" s="240"/>
      <c r="AF199" s="241"/>
      <c r="AG199" s="247"/>
      <c r="AH199" s="241"/>
      <c r="AI199" s="247"/>
      <c r="AJ199" s="231"/>
      <c r="AK199" s="240"/>
      <c r="AL199" s="241"/>
      <c r="AM199" s="65"/>
      <c r="AN199" s="241"/>
      <c r="AO199" s="65"/>
      <c r="AP199" s="66"/>
      <c r="AQ199" s="66"/>
      <c r="AR199" s="66"/>
      <c r="AS199" s="221"/>
      <c r="AT199" s="222">
        <f t="shared" si="81"/>
        <v>0</v>
      </c>
      <c r="AU199" s="223"/>
      <c r="AV199" s="99"/>
      <c r="AW199" s="100"/>
      <c r="AX199" s="100"/>
      <c r="AY199" s="100"/>
      <c r="AZ199" s="100"/>
      <c r="BA199" s="100"/>
      <c r="BB199" s="100"/>
      <c r="BC199" s="101"/>
      <c r="BD199" s="96"/>
      <c r="BE199" s="97"/>
      <c r="BF199" s="97"/>
      <c r="BG199" s="97"/>
      <c r="BH199" s="98"/>
      <c r="BI199" s="157" t="e">
        <f t="shared" si="67"/>
        <v>#REF!</v>
      </c>
      <c r="BJ199" s="158" t="e">
        <f>#REF!</f>
        <v>#REF!</v>
      </c>
      <c r="BK199" s="159" t="e">
        <f>#REF!</f>
        <v>#REF!</v>
      </c>
      <c r="BL199" s="181" t="e">
        <f t="shared" si="68"/>
        <v>#REF!</v>
      </c>
      <c r="BM199" s="182" t="e">
        <f t="shared" si="69"/>
        <v>#REF!</v>
      </c>
      <c r="BN199" s="182" t="e">
        <f t="shared" si="70"/>
        <v>#REF!</v>
      </c>
      <c r="BO199" s="182" t="e">
        <f t="shared" si="71"/>
        <v>#REF!</v>
      </c>
      <c r="BP199" s="182" t="e">
        <f t="shared" si="72"/>
        <v>#REF!</v>
      </c>
      <c r="BQ199" s="182" t="e">
        <f t="shared" si="73"/>
        <v>#REF!</v>
      </c>
      <c r="BR199" s="182" t="e">
        <f t="shared" si="74"/>
        <v>#REF!</v>
      </c>
      <c r="BS199" s="183" t="e">
        <f t="shared" si="75"/>
        <v>#REF!</v>
      </c>
      <c r="BT199" s="184" t="e">
        <f t="shared" si="76"/>
        <v>#REF!</v>
      </c>
      <c r="BU199" s="185" t="e">
        <f t="shared" si="77"/>
        <v>#REF!</v>
      </c>
      <c r="BV199" s="185" t="e">
        <f t="shared" si="78"/>
        <v>#REF!</v>
      </c>
      <c r="BW199" s="185" t="e">
        <f t="shared" si="79"/>
        <v>#REF!</v>
      </c>
      <c r="BX199" s="186" t="e">
        <f t="shared" si="80"/>
        <v>#REF!</v>
      </c>
      <c r="BY199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199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199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199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199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199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199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199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199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199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199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199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199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199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199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199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199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199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199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199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199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199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199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199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199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199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199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199" s="66"/>
      <c r="DA199" s="66"/>
      <c r="DB199" s="66"/>
      <c r="DC199" s="224" t="str">
        <f t="shared" si="64"/>
        <v/>
      </c>
      <c r="DD199" s="1">
        <f>IF($DC199="",0,IF(COUNTIF($DC$2:$DC198,$DC199)=0,1,0))</f>
        <v>0</v>
      </c>
    </row>
    <row r="200" spans="1:108" s="1" customFormat="1" x14ac:dyDescent="0.25">
      <c r="A200" s="64">
        <v>199</v>
      </c>
      <c r="B200" s="71"/>
      <c r="C200" s="72"/>
      <c r="D200" s="72"/>
      <c r="E200" s="72"/>
      <c r="F200" s="72"/>
      <c r="G200" s="66"/>
      <c r="H200" s="66"/>
      <c r="I200" s="66"/>
      <c r="J200" s="67"/>
      <c r="K200" s="68"/>
      <c r="L200" s="69"/>
      <c r="M200" s="66"/>
      <c r="N200" s="66"/>
      <c r="O200" s="136" t="str">
        <f t="shared" si="63"/>
        <v/>
      </c>
      <c r="P200" s="65" t="str">
        <f t="shared" si="65"/>
        <v/>
      </c>
      <c r="Q200" s="70"/>
      <c r="R200" s="66"/>
      <c r="S200" s="65"/>
      <c r="T200" s="65"/>
      <c r="U200" s="65"/>
      <c r="V200" s="65"/>
      <c r="W200" s="65"/>
      <c r="X200" s="240"/>
      <c r="Y200" s="65"/>
      <c r="Z200" s="281"/>
      <c r="AA200" s="66"/>
      <c r="AB200" s="66"/>
      <c r="AC200" s="247"/>
      <c r="AD200" s="240" t="str">
        <f t="shared" si="66"/>
        <v/>
      </c>
      <c r="AE200" s="240"/>
      <c r="AF200" s="241"/>
      <c r="AG200" s="247"/>
      <c r="AH200" s="241"/>
      <c r="AI200" s="247"/>
      <c r="AJ200" s="231"/>
      <c r="AK200" s="240"/>
      <c r="AL200" s="241"/>
      <c r="AM200" s="65"/>
      <c r="AN200" s="241"/>
      <c r="AO200" s="65"/>
      <c r="AP200" s="66"/>
      <c r="AQ200" s="66"/>
      <c r="AR200" s="66"/>
      <c r="AS200" s="221"/>
      <c r="AT200" s="222">
        <f t="shared" si="81"/>
        <v>0</v>
      </c>
      <c r="AU200" s="223"/>
      <c r="AV200" s="99"/>
      <c r="AW200" s="100"/>
      <c r="AX200" s="100"/>
      <c r="AY200" s="100"/>
      <c r="AZ200" s="100"/>
      <c r="BA200" s="100"/>
      <c r="BB200" s="100"/>
      <c r="BC200" s="101"/>
      <c r="BD200" s="96"/>
      <c r="BE200" s="97"/>
      <c r="BF200" s="97"/>
      <c r="BG200" s="97"/>
      <c r="BH200" s="98"/>
      <c r="BI200" s="157" t="e">
        <f t="shared" si="67"/>
        <v>#REF!</v>
      </c>
      <c r="BJ200" s="158" t="e">
        <f>#REF!</f>
        <v>#REF!</v>
      </c>
      <c r="BK200" s="159" t="e">
        <f>#REF!</f>
        <v>#REF!</v>
      </c>
      <c r="BL200" s="181" t="e">
        <f t="shared" si="68"/>
        <v>#REF!</v>
      </c>
      <c r="BM200" s="182" t="e">
        <f t="shared" si="69"/>
        <v>#REF!</v>
      </c>
      <c r="BN200" s="182" t="e">
        <f t="shared" si="70"/>
        <v>#REF!</v>
      </c>
      <c r="BO200" s="182" t="e">
        <f t="shared" si="71"/>
        <v>#REF!</v>
      </c>
      <c r="BP200" s="182" t="e">
        <f t="shared" si="72"/>
        <v>#REF!</v>
      </c>
      <c r="BQ200" s="182" t="e">
        <f t="shared" si="73"/>
        <v>#REF!</v>
      </c>
      <c r="BR200" s="182" t="e">
        <f t="shared" si="74"/>
        <v>#REF!</v>
      </c>
      <c r="BS200" s="183" t="e">
        <f t="shared" si="75"/>
        <v>#REF!</v>
      </c>
      <c r="BT200" s="184" t="e">
        <f t="shared" si="76"/>
        <v>#REF!</v>
      </c>
      <c r="BU200" s="185" t="e">
        <f t="shared" si="77"/>
        <v>#REF!</v>
      </c>
      <c r="BV200" s="185" t="e">
        <f t="shared" si="78"/>
        <v>#REF!</v>
      </c>
      <c r="BW200" s="185" t="e">
        <f t="shared" si="79"/>
        <v>#REF!</v>
      </c>
      <c r="BX200" s="186" t="e">
        <f t="shared" si="80"/>
        <v>#REF!</v>
      </c>
      <c r="BY200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0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0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0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0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0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0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0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0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0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0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0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0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0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0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0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0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0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0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0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0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0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0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0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0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0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0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0" s="66"/>
      <c r="DA200" s="66"/>
      <c r="DB200" s="66"/>
      <c r="DC200" s="224" t="str">
        <f t="shared" si="64"/>
        <v/>
      </c>
      <c r="DD200" s="1">
        <f>IF($DC200="",0,IF(COUNTIF($DC$2:$DC199,$DC200)=0,1,0))</f>
        <v>0</v>
      </c>
    </row>
    <row r="201" spans="1:108" s="1" customFormat="1" x14ac:dyDescent="0.25">
      <c r="A201" s="64">
        <v>200</v>
      </c>
      <c r="B201" s="71"/>
      <c r="C201" s="72"/>
      <c r="D201" s="72"/>
      <c r="E201" s="72"/>
      <c r="F201" s="72"/>
      <c r="G201" s="66"/>
      <c r="H201" s="66"/>
      <c r="I201" s="66"/>
      <c r="J201" s="67"/>
      <c r="K201" s="290"/>
      <c r="L201" s="69"/>
      <c r="M201" s="66"/>
      <c r="N201" s="66"/>
      <c r="O201" s="136" t="str">
        <f t="shared" si="63"/>
        <v/>
      </c>
      <c r="P201" s="65" t="str">
        <f t="shared" si="65"/>
        <v/>
      </c>
      <c r="Q201" s="70"/>
      <c r="R201" s="66"/>
      <c r="S201" s="65"/>
      <c r="T201" s="65"/>
      <c r="U201" s="65"/>
      <c r="V201" s="65"/>
      <c r="W201" s="65"/>
      <c r="X201" s="65"/>
      <c r="Y201" s="65"/>
      <c r="Z201" s="281"/>
      <c r="AA201" s="66"/>
      <c r="AB201" s="66"/>
      <c r="AC201" s="247"/>
      <c r="AD201" s="240" t="str">
        <f t="shared" si="66"/>
        <v/>
      </c>
      <c r="AE201" s="243"/>
      <c r="AF201" s="241"/>
      <c r="AG201" s="247"/>
      <c r="AH201" s="241"/>
      <c r="AI201" s="247"/>
      <c r="AJ201" s="231"/>
      <c r="AK201" s="240"/>
      <c r="AL201" s="241"/>
      <c r="AM201" s="65"/>
      <c r="AN201" s="241"/>
      <c r="AO201" s="65"/>
      <c r="AP201" s="66"/>
      <c r="AQ201" s="66"/>
      <c r="AR201" s="66"/>
      <c r="AS201" s="221"/>
      <c r="AT201" s="222">
        <f t="shared" si="81"/>
        <v>0</v>
      </c>
      <c r="AU201" s="223"/>
      <c r="AV201" s="99"/>
      <c r="AW201" s="100"/>
      <c r="AX201" s="100"/>
      <c r="AY201" s="100"/>
      <c r="AZ201" s="100"/>
      <c r="BA201" s="100"/>
      <c r="BB201" s="100"/>
      <c r="BC201" s="101"/>
      <c r="BD201" s="96"/>
      <c r="BE201" s="97"/>
      <c r="BF201" s="97"/>
      <c r="BG201" s="97"/>
      <c r="BH201" s="98"/>
      <c r="BI201" s="157" t="e">
        <f t="shared" si="67"/>
        <v>#REF!</v>
      </c>
      <c r="BJ201" s="158" t="e">
        <f>#REF!</f>
        <v>#REF!</v>
      </c>
      <c r="BK201" s="159" t="e">
        <f>#REF!</f>
        <v>#REF!</v>
      </c>
      <c r="BL201" s="181" t="e">
        <f t="shared" si="68"/>
        <v>#REF!</v>
      </c>
      <c r="BM201" s="182" t="e">
        <f t="shared" si="69"/>
        <v>#REF!</v>
      </c>
      <c r="BN201" s="182" t="e">
        <f t="shared" si="70"/>
        <v>#REF!</v>
      </c>
      <c r="BO201" s="182" t="e">
        <f t="shared" si="71"/>
        <v>#REF!</v>
      </c>
      <c r="BP201" s="182" t="e">
        <f t="shared" si="72"/>
        <v>#REF!</v>
      </c>
      <c r="BQ201" s="182" t="e">
        <f t="shared" si="73"/>
        <v>#REF!</v>
      </c>
      <c r="BR201" s="182" t="e">
        <f t="shared" si="74"/>
        <v>#REF!</v>
      </c>
      <c r="BS201" s="183" t="e">
        <f t="shared" si="75"/>
        <v>#REF!</v>
      </c>
      <c r="BT201" s="184" t="e">
        <f t="shared" si="76"/>
        <v>#REF!</v>
      </c>
      <c r="BU201" s="185" t="e">
        <f t="shared" si="77"/>
        <v>#REF!</v>
      </c>
      <c r="BV201" s="185" t="e">
        <f t="shared" si="78"/>
        <v>#REF!</v>
      </c>
      <c r="BW201" s="185" t="e">
        <f t="shared" si="79"/>
        <v>#REF!</v>
      </c>
      <c r="BX201" s="186" t="e">
        <f t="shared" si="80"/>
        <v>#REF!</v>
      </c>
      <c r="BY201" s="172" t="e">
        <f>SUMIF(#REF!,BY$1,#REF!)+SUMIF(#REF!,BY$1,#REF!)+SUMIF(#REF!,BY$1,#REF!)+SUMIF(#REF!,BY$1,#REF!)+SUMIF(#REF!,BY$1,#REF!)+SUMIF(#REF!,BY$1,#REF!)+SUMIF(#REF!,BY$1,#REF!)+SUMIF(#REF!,BY$1,#REF!)+SUMIF(#REF!,BY$1,#REF!)+SUMIF(#REF!,BY$1,#REF!)+SUMIF(#REF!,BY$1,#REF!)</f>
        <v>#REF!</v>
      </c>
      <c r="BZ201" s="173" t="e">
        <f>SUMIF(#REF!,BZ$1,#REF!)+SUMIF(#REF!,BZ$1,#REF!)+SUMIF(#REF!,BZ$1,#REF!)+SUMIF(#REF!,BZ$1,#REF!)+SUMIF(#REF!,BZ$1,#REF!)+SUMIF(#REF!,BZ$1,#REF!)+SUMIF(#REF!,BZ$1,#REF!)+SUMIF(#REF!,BZ$1,#REF!)+SUMIF(#REF!,BZ$1,#REF!)+SUMIF(#REF!,BZ$1,#REF!)+SUMIF(#REF!,BZ$1,#REF!)</f>
        <v>#REF!</v>
      </c>
      <c r="CA201" s="173" t="e">
        <f>SUMIF(#REF!,CA$1,#REF!)+SUMIF(#REF!,CA$1,#REF!)+SUMIF(#REF!,CA$1,#REF!)+SUMIF(#REF!,CA$1,#REF!)+SUMIF(#REF!,CA$1,#REF!)+SUMIF(#REF!,CA$1,#REF!)+SUMIF(#REF!,CA$1,#REF!)+SUMIF(#REF!,CA$1,#REF!)+SUMIF(#REF!,CA$1,#REF!)+SUMIF(#REF!,CA$1,#REF!)+SUMIF(#REF!,CA$1,#REF!)</f>
        <v>#REF!</v>
      </c>
      <c r="CB201" s="173" t="e">
        <f>SUMIF(#REF!,CB$1,#REF!)+SUMIF(#REF!,CB$1,#REF!)+SUMIF(#REF!,CB$1,#REF!)+SUMIF(#REF!,CB$1,#REF!)+SUMIF(#REF!,CB$1,#REF!)+SUMIF(#REF!,CB$1,#REF!)+SUMIF(#REF!,CB$1,#REF!)+SUMIF(#REF!,CB$1,#REF!)+SUMIF(#REF!,CB$1,#REF!)+SUMIF(#REF!,CB$1,#REF!)+SUMIF(#REF!,CB$1,#REF!)</f>
        <v>#REF!</v>
      </c>
      <c r="CC201" s="173" t="e">
        <f>SUMIF(#REF!,CC$1,#REF!)+SUMIF(#REF!,CC$1,#REF!)+SUMIF(#REF!,CC$1,#REF!)+SUMIF(#REF!,CC$1,#REF!)+SUMIF(#REF!,CC$1,#REF!)+SUMIF(#REF!,CC$1,#REF!)+SUMIF(#REF!,CC$1,#REF!)+SUMIF(#REF!,CC$1,#REF!)+SUMIF(#REF!,CC$1,#REF!)+SUMIF(#REF!,CC$1,#REF!)+SUMIF(#REF!,CC$1,#REF!)</f>
        <v>#REF!</v>
      </c>
      <c r="CD201" s="173" t="e">
        <f>SUMIF(#REF!,CD$1,#REF!)+SUMIF(#REF!,CD$1,#REF!)+SUMIF(#REF!,CD$1,#REF!)+SUMIF(#REF!,CD$1,#REF!)+SUMIF(#REF!,CD$1,#REF!)+SUMIF(#REF!,CD$1,#REF!)+SUMIF(#REF!,CD$1,#REF!)+SUMIF(#REF!,CD$1,#REF!)+SUMIF(#REF!,CD$1,#REF!)+SUMIF(#REF!,CD$1,#REF!)+SUMIF(#REF!,CD$1,#REF!)</f>
        <v>#REF!</v>
      </c>
      <c r="CE201" s="173" t="e">
        <f>SUMIF(#REF!,CE$1,#REF!)+SUMIF(#REF!,CE$1,#REF!)+SUMIF(#REF!,CE$1,#REF!)+SUMIF(#REF!,CE$1,#REF!)+SUMIF(#REF!,CE$1,#REF!)+SUMIF(#REF!,CE$1,#REF!)+SUMIF(#REF!,CE$1,#REF!)+SUMIF(#REF!,CE$1,#REF!)+SUMIF(#REF!,CE$1,#REF!)+SUMIF(#REF!,CE$1,#REF!)+SUMIF(#REF!,CE$1,#REF!)</f>
        <v>#REF!</v>
      </c>
      <c r="CF201" s="174" t="e">
        <f>SUMIF(#REF!,CF$1,#REF!)+SUMIF(#REF!,CF$1,#REF!)+SUMIF(#REF!,CF$1,#REF!)+SUMIF(#REF!,CF$1,#REF!)+SUMIF(#REF!,CF$1,#REF!)+SUMIF(#REF!,CF$1,#REF!)+SUMIF(#REF!,CF$1,#REF!)+SUMIF(#REF!,CF$1,#REF!)+SUMIF(#REF!,CF$1,#REF!)+SUMIF(#REF!,CF$1,#REF!)+SUMIF(#REF!,CF$1,#REF!)</f>
        <v>#REF!</v>
      </c>
      <c r="CG201" s="175" t="e">
        <f>SUMIF(#REF!,CG$1,#REF!)+SUMIF(#REF!,CG$1,#REF!)+SUMIF(#REF!,CG$1,#REF!)+SUMIF(#REF!,CG$1,#REF!)+SUMIF(#REF!,CG$1,#REF!)+SUMIF(#REF!,CG$1,#REF!)+SUMIF(#REF!,CG$1,#REF!)+SUMIF(#REF!,CG$1,#REF!)+SUMIF(#REF!,CG$1,#REF!)+SUMIF(#REF!,CG$1,#REF!)+SUMIF(#REF!,CG$1,#REF!)</f>
        <v>#REF!</v>
      </c>
      <c r="CH201" s="176" t="e">
        <f>SUMIF(#REF!,CH$1,#REF!)+SUMIF(#REF!,CH$1,#REF!)+SUMIF(#REF!,CH$1,#REF!)+SUMIF(#REF!,CH$1,#REF!)+SUMIF(#REF!,CH$1,#REF!)+SUMIF(#REF!,CH$1,#REF!)+SUMIF(#REF!,CH$1,#REF!)+SUMIF(#REF!,CH$1,#REF!)+SUMIF(#REF!,CH$1,#REF!)+SUMIF(#REF!,CH$1,#REF!)+SUMIF(#REF!,CH$1,#REF!)</f>
        <v>#REF!</v>
      </c>
      <c r="CI201" s="176" t="e">
        <f>SUMIF(#REF!,CI$1,#REF!)+SUMIF(#REF!,CI$1,#REF!)+SUMIF(#REF!,CI$1,#REF!)+SUMIF(#REF!,CI$1,#REF!)+SUMIF(#REF!,CI$1,#REF!)+SUMIF(#REF!,CI$1,#REF!)+SUMIF(#REF!,CI$1,#REF!)+SUMIF(#REF!,CI$1,#REF!)+SUMIF(#REF!,CI$1,#REF!)+SUMIF(#REF!,CI$1,#REF!)+SUMIF(#REF!,CI$1,#REF!)</f>
        <v>#REF!</v>
      </c>
      <c r="CJ201" s="176" t="e">
        <f>SUMIF(#REF!,CJ$1,#REF!)+SUMIF(#REF!,CJ$1,#REF!)+SUMIF(#REF!,CJ$1,#REF!)+SUMIF(#REF!,CJ$1,#REF!)+SUMIF(#REF!,CJ$1,#REF!)+SUMIF(#REF!,CJ$1,#REF!)+SUMIF(#REF!,CJ$1,#REF!)+SUMIF(#REF!,CJ$1,#REF!)+SUMIF(#REF!,CJ$1,#REF!)+SUMIF(#REF!,CJ$1,#REF!)+SUMIF(#REF!,CJ$1,#REF!)</f>
        <v>#REF!</v>
      </c>
      <c r="CK201" s="177" t="e">
        <f>SUMIF(#REF!,CK$1,#REF!)+SUMIF(#REF!,CK$1,#REF!)+SUMIF(#REF!,CK$1,#REF!)+SUMIF(#REF!,CK$1,#REF!)+SUMIF(#REF!,CK$1,#REF!)+SUMIF(#REF!,CK$1,#REF!)+SUMIF(#REF!,CK$1,#REF!)+SUMIF(#REF!,CK$1,#REF!)+SUMIF(#REF!,CK$1,#REF!)+SUMIF(#REF!,CK$1,#REF!)+SUMIF(#REF!,CK$1,#REF!)</f>
        <v>#REF!</v>
      </c>
      <c r="CL201" s="147" t="e">
        <f>SUMIF(#REF!,CL$1,#REF!)+SUMIF(#REF!,CL$1,#REF!)+SUMIF(#REF!,CL$1,#REF!)+SUMIF(#REF!,CL$1,#REF!)+SUMIF(#REF!,CL$1,#REF!)+SUMIF(#REF!,CL$1,#REF!)+SUMIF(#REF!,CL$1,#REF!)+SUMIF(#REF!,CL$1,#REF!)+SUMIF(#REF!,CL$1,#REF!)+SUMIF(#REF!,CL$1,#REF!)+SUMIF(#REF!,CL$1,#REF!)</f>
        <v>#REF!</v>
      </c>
      <c r="CM201" s="148" t="e">
        <f>SUMIF(#REF!,CM$1,#REF!)+SUMIF(#REF!,CM$1,#REF!)+SUMIF(#REF!,CM$1,#REF!)+SUMIF(#REF!,CM$1,#REF!)+SUMIF(#REF!,CM$1,#REF!)+SUMIF(#REF!,CM$1,#REF!)+SUMIF(#REF!,CM$1,#REF!)+SUMIF(#REF!,CM$1,#REF!)+SUMIF(#REF!,CM$1,#REF!)+SUMIF(#REF!,CM$1,#REF!)+SUMIF(#REF!,CM$1,#REF!)</f>
        <v>#REF!</v>
      </c>
      <c r="CN201" s="148" t="e">
        <f>SUMIF(#REF!,CN$1,#REF!)+SUMIF(#REF!,CN$1,#REF!)+SUMIF(#REF!,CN$1,#REF!)+SUMIF(#REF!,CN$1,#REF!)+SUMIF(#REF!,CN$1,#REF!)+SUMIF(#REF!,CN$1,#REF!)+SUMIF(#REF!,CN$1,#REF!)+SUMIF(#REF!,CN$1,#REF!)+SUMIF(#REF!,CN$1,#REF!)+SUMIF(#REF!,CN$1,#REF!)+SUMIF(#REF!,CN$1,#REF!)</f>
        <v>#REF!</v>
      </c>
      <c r="CO201" s="148" t="e">
        <f>SUMIF(#REF!,CO$1,#REF!)+SUMIF(#REF!,CO$1,#REF!)+SUMIF(#REF!,CO$1,#REF!)+SUMIF(#REF!,CO$1,#REF!)+SUMIF(#REF!,CO$1,#REF!)+SUMIF(#REF!,CO$1,#REF!)+SUMIF(#REF!,CO$1,#REF!)+SUMIF(#REF!,CO$1,#REF!)+SUMIF(#REF!,CO$1,#REF!)+SUMIF(#REF!,CO$1,#REF!)+SUMIF(#REF!,CO$1,#REF!)</f>
        <v>#REF!</v>
      </c>
      <c r="CP201" s="148" t="e">
        <f>SUMIF(#REF!,CP$1,#REF!)+SUMIF(#REF!,CP$1,#REF!)+SUMIF(#REF!,CP$1,#REF!)+SUMIF(#REF!,CP$1,#REF!)+SUMIF(#REF!,CP$1,#REF!)+SUMIF(#REF!,CP$1,#REF!)+SUMIF(#REF!,CP$1,#REF!)+SUMIF(#REF!,CP$1,#REF!)+SUMIF(#REF!,CP$1,#REF!)+SUMIF(#REF!,CP$1,#REF!)+SUMIF(#REF!,CP$1,#REF!)</f>
        <v>#REF!</v>
      </c>
      <c r="CQ201" s="148" t="e">
        <f>SUMIF(#REF!,CQ$1,#REF!)+SUMIF(#REF!,CQ$1,#REF!)+SUMIF(#REF!,CQ$1,#REF!)+SUMIF(#REF!,CQ$1,#REF!)+SUMIF(#REF!,CQ$1,#REF!)+SUMIF(#REF!,CQ$1,#REF!)+SUMIF(#REF!,CQ$1,#REF!)+SUMIF(#REF!,CQ$1,#REF!)+SUMIF(#REF!,CQ$1,#REF!)+SUMIF(#REF!,CQ$1,#REF!)+SUMIF(#REF!,CQ$1,#REF!)</f>
        <v>#REF!</v>
      </c>
      <c r="CR201" s="148" t="e">
        <f>SUMIF(#REF!,CR$1,#REF!)+SUMIF(#REF!,CR$1,#REF!)+SUMIF(#REF!,CR$1,#REF!)+SUMIF(#REF!,CR$1,#REF!)+SUMIF(#REF!,CR$1,#REF!)+SUMIF(#REF!,CR$1,#REF!)+SUMIF(#REF!,CR$1,#REF!)+SUMIF(#REF!,CR$1,#REF!)+SUMIF(#REF!,CR$1,#REF!)+SUMIF(#REF!,CR$1,#REF!)+SUMIF(#REF!,CR$1,#REF!)</f>
        <v>#REF!</v>
      </c>
      <c r="CS201" s="149" t="e">
        <f>SUMIF(#REF!,CS$1,#REF!)+SUMIF(#REF!,CS$1,#REF!)+SUMIF(#REF!,CS$1,#REF!)+SUMIF(#REF!,CS$1,#REF!)+SUMIF(#REF!,CS$1,#REF!)+SUMIF(#REF!,CS$1,#REF!)+SUMIF(#REF!,CS$1,#REF!)+SUMIF(#REF!,CS$1,#REF!)+SUMIF(#REF!,CS$1,#REF!)+SUMIF(#REF!,CS$1,#REF!)+SUMIF(#REF!,CS$1,#REF!)</f>
        <v>#REF!</v>
      </c>
      <c r="CT201" s="150" t="e">
        <f>SUMIF(#REF!,CT$1,#REF!)+SUMIF(#REF!,CT$1,#REF!)+SUMIF(#REF!,CT$1,#REF!)+SUMIF(#REF!,CT$1,#REF!)+SUMIF(#REF!,CT$1,#REF!)+SUMIF(#REF!,CT$1,#REF!)+SUMIF(#REF!,CT$1,#REF!)+SUMIF(#REF!,CT$1,#REF!)+SUMIF(#REF!,CT$1,#REF!)+SUMIF(#REF!,CT$1,#REF!)+SUMIF(#REF!,CT$1,#REF!)</f>
        <v>#REF!</v>
      </c>
      <c r="CU201" s="151" t="e">
        <f>SUMIF(#REF!,CU$1,#REF!)+SUMIF(#REF!,CU$1,#REF!)+SUMIF(#REF!,CU$1,#REF!)+SUMIF(#REF!,CU$1,#REF!)+SUMIF(#REF!,CU$1,#REF!)+SUMIF(#REF!,CU$1,#REF!)+SUMIF(#REF!,CU$1,#REF!)+SUMIF(#REF!,CU$1,#REF!)+SUMIF(#REF!,CU$1,#REF!)+SUMIF(#REF!,CU$1,#REF!)+SUMIF(#REF!,CU$1,#REF!)</f>
        <v>#REF!</v>
      </c>
      <c r="CV201" s="151" t="e">
        <f>SUMIF(#REF!,CV$1,#REF!)+SUMIF(#REF!,CV$1,#REF!)+SUMIF(#REF!,CV$1,#REF!)+SUMIF(#REF!,CV$1,#REF!)+SUMIF(#REF!,CV$1,#REF!)+SUMIF(#REF!,CV$1,#REF!)+SUMIF(#REF!,CV$1,#REF!)+SUMIF(#REF!,CV$1,#REF!)+SUMIF(#REF!,CV$1,#REF!)+SUMIF(#REF!,CV$1,#REF!)+SUMIF(#REF!,CV$1,#REF!)</f>
        <v>#REF!</v>
      </c>
      <c r="CW201" s="151" t="e">
        <f>SUMIF(#REF!,CW$1,#REF!)+SUMIF(#REF!,CW$1,#REF!)+SUMIF(#REF!,CW$1,#REF!)+SUMIF(#REF!,CW$1,#REF!)+SUMIF(#REF!,CW$1,#REF!)+SUMIF(#REF!,CW$1,#REF!)+SUMIF(#REF!,CW$1,#REF!)+SUMIF(#REF!,CW$1,#REF!)+SUMIF(#REF!,CW$1,#REF!)+SUMIF(#REF!,CW$1,#REF!)+SUMIF(#REF!,CW$1,#REF!)</f>
        <v>#REF!</v>
      </c>
      <c r="CX201" s="152" t="e">
        <f>SUMIF(#REF!,CX$1,#REF!)+SUMIF(#REF!,CX$1,#REF!)+SUMIF(#REF!,CX$1,#REF!)+SUMIF(#REF!,CX$1,#REF!)+SUMIF(#REF!,CX$1,#REF!)+SUMIF(#REF!,CX$1,#REF!)+SUMIF(#REF!,CX$1,#REF!)+SUMIF(#REF!,CX$1,#REF!)+SUMIF(#REF!,CX$1,#REF!)+SUMIF(#REF!,CX$1,#REF!)+SUMIF(#REF!,CX$1,#REF!)</f>
        <v>#REF!</v>
      </c>
      <c r="CY201" s="152" t="e">
        <f>SUMIF(#REF!,CY$1,#REF!)+SUMIF(#REF!,CY$1,#REF!)+SUMIF(#REF!,CY$1,#REF!)+SUMIF(#REF!,CY$1,#REF!)+SUMIF(#REF!,CY$1,#REF!)+SUMIF(#REF!,CY$1,#REF!)+SUMIF(#REF!,CY$1,#REF!)+SUMIF(#REF!,CY$1,#REF!)+SUMIF(#REF!,CY$1,#REF!)+SUMIF(#REF!,CY$1,#REF!)+SUMIF(#REF!,CY$1,#REF!)</f>
        <v>#REF!</v>
      </c>
      <c r="CZ201" s="66"/>
      <c r="DA201" s="66"/>
      <c r="DB201" s="66"/>
      <c r="DC201" s="224" t="str">
        <f t="shared" si="64"/>
        <v/>
      </c>
      <c r="DD201" s="1">
        <f>IF($DC201="",0,IF(COUNTIF($DC$2:$DC200,$DC201)=0,1,0))</f>
        <v>0</v>
      </c>
    </row>
    <row r="202" spans="1:108" ht="17.25" customHeight="1" x14ac:dyDescent="0.25">
      <c r="K202" s="291"/>
      <c r="BL202" s="156" t="e">
        <f t="shared" ref="BL202:CX202" si="82">SUBTOTAL(109,BL2:BL201)</f>
        <v>#REF!</v>
      </c>
      <c r="BM202" s="156" t="e">
        <f t="shared" si="82"/>
        <v>#REF!</v>
      </c>
      <c r="BN202" s="156" t="e">
        <f t="shared" si="82"/>
        <v>#REF!</v>
      </c>
      <c r="BO202" s="156" t="e">
        <f t="shared" si="82"/>
        <v>#REF!</v>
      </c>
      <c r="BP202" s="156" t="e">
        <f t="shared" si="82"/>
        <v>#REF!</v>
      </c>
      <c r="BQ202" s="156" t="e">
        <f t="shared" si="82"/>
        <v>#REF!</v>
      </c>
      <c r="BR202" s="156" t="e">
        <f t="shared" si="82"/>
        <v>#REF!</v>
      </c>
      <c r="BS202" s="156" t="e">
        <f t="shared" si="82"/>
        <v>#REF!</v>
      </c>
      <c r="BT202" s="156" t="e">
        <f t="shared" si="82"/>
        <v>#REF!</v>
      </c>
      <c r="BU202" s="156" t="e">
        <f t="shared" si="82"/>
        <v>#REF!</v>
      </c>
      <c r="BV202" s="156" t="e">
        <f t="shared" si="82"/>
        <v>#REF!</v>
      </c>
      <c r="BW202" s="156" t="e">
        <f t="shared" si="82"/>
        <v>#REF!</v>
      </c>
      <c r="BX202" s="156" t="e">
        <f t="shared" si="82"/>
        <v>#REF!</v>
      </c>
      <c r="BY202" s="156" t="e">
        <f t="shared" si="82"/>
        <v>#REF!</v>
      </c>
      <c r="BZ202" s="156" t="e">
        <f t="shared" si="82"/>
        <v>#REF!</v>
      </c>
      <c r="CA202" s="156" t="e">
        <f t="shared" si="82"/>
        <v>#REF!</v>
      </c>
      <c r="CB202" s="156" t="e">
        <f t="shared" si="82"/>
        <v>#REF!</v>
      </c>
      <c r="CC202" s="156" t="e">
        <f t="shared" si="82"/>
        <v>#REF!</v>
      </c>
      <c r="CD202" s="156" t="e">
        <f t="shared" si="82"/>
        <v>#REF!</v>
      </c>
      <c r="CE202" s="156" t="e">
        <f t="shared" si="82"/>
        <v>#REF!</v>
      </c>
      <c r="CF202" s="156" t="e">
        <f t="shared" si="82"/>
        <v>#REF!</v>
      </c>
      <c r="CG202" s="156" t="e">
        <f t="shared" si="82"/>
        <v>#REF!</v>
      </c>
      <c r="CH202" s="156" t="e">
        <f t="shared" si="82"/>
        <v>#REF!</v>
      </c>
      <c r="CI202" s="156" t="e">
        <f t="shared" si="82"/>
        <v>#REF!</v>
      </c>
      <c r="CJ202" s="156" t="e">
        <f t="shared" si="82"/>
        <v>#REF!</v>
      </c>
      <c r="CK202" s="156" t="e">
        <f t="shared" si="82"/>
        <v>#REF!</v>
      </c>
      <c r="CL202" s="156" t="e">
        <f t="shared" si="82"/>
        <v>#REF!</v>
      </c>
      <c r="CM202" s="156" t="e">
        <f t="shared" si="82"/>
        <v>#REF!</v>
      </c>
      <c r="CN202" s="156" t="e">
        <f t="shared" si="82"/>
        <v>#REF!</v>
      </c>
      <c r="CO202" s="156" t="e">
        <f t="shared" si="82"/>
        <v>#REF!</v>
      </c>
      <c r="CP202" s="156" t="e">
        <f t="shared" si="82"/>
        <v>#REF!</v>
      </c>
      <c r="CQ202" s="156" t="e">
        <f t="shared" si="82"/>
        <v>#REF!</v>
      </c>
      <c r="CR202" s="156" t="e">
        <f t="shared" si="82"/>
        <v>#REF!</v>
      </c>
      <c r="CS202" s="156" t="e">
        <f t="shared" si="82"/>
        <v>#REF!</v>
      </c>
      <c r="CT202" s="156" t="e">
        <f t="shared" si="82"/>
        <v>#REF!</v>
      </c>
      <c r="CU202" s="156" t="e">
        <f t="shared" si="82"/>
        <v>#REF!</v>
      </c>
      <c r="CV202" s="156" t="e">
        <f t="shared" si="82"/>
        <v>#REF!</v>
      </c>
      <c r="CW202" s="156" t="e">
        <f t="shared" si="82"/>
        <v>#REF!</v>
      </c>
      <c r="CX202" s="156" t="e">
        <f t="shared" si="82"/>
        <v>#REF!</v>
      </c>
      <c r="CY202" s="156"/>
    </row>
  </sheetData>
  <protectedRanges>
    <protectedRange sqref="AM8:AM9 AM12:AM15 AM3:AM5 AK12:AK15 AK2:AK10 AN2:AS15 AK16:AS17 AK19:AS201 AM18:AS18" name="Plage12"/>
    <protectedRange sqref="AC12:AC201 AD2:AD201" name="Plage11"/>
    <protectedRange sqref="Z2:AA11 S16:Y201 T2:Y15" name="Plage10"/>
    <protectedRange sqref="B2:B201" name="Plage9"/>
    <protectedRange sqref="CZ2:DB201" name="Plage8"/>
    <protectedRange sqref="AR2:AS15 AP16:AS201 AV2:BH201" name="Plage7"/>
    <protectedRange sqref="AN12:AN201 AQ2:AQ15" name="Plage6"/>
    <protectedRange sqref="AO2:AO15 AL16:AL17 AL19:AL201" name="Plage5"/>
    <protectedRange sqref="AL2:AM2 AL10:AM11 AL8:AL9 AL12:AL15 AL6:AM7 AL3:AL5 AF2:AF14 AF16:AF201 AE2:AE201 AG2:AJ201 AK18:AL18" name="Plage4"/>
    <protectedRange sqref="Z12:AB15 AB2:AC11 Z17:AB201" name="Plage3"/>
    <protectedRange sqref="R2:R16 S2:S15 Q17:R201" name="Plage2"/>
    <protectedRange sqref="L2:N201 I2:K15 I17:K201 J16:K16 F2:H201 C26:E201 C22:E24 C2:E20" name="Plage1"/>
  </protectedRanges>
  <autoFilter ref="A1:DD201"/>
  <conditionalFormatting sqref="AF2">
    <cfRule type="expression" dxfId="19" priority="9">
      <formula>$AE2="Aucun diplôme"</formula>
    </cfRule>
  </conditionalFormatting>
  <conditionalFormatting sqref="AF3:AF201">
    <cfRule type="expression" dxfId="18" priority="8">
      <formula>$AE3="Aucun diplôme"</formula>
    </cfRule>
  </conditionalFormatting>
  <conditionalFormatting sqref="AN2">
    <cfRule type="expression" dxfId="17" priority="7">
      <formula>$AM2="SANS FORMATION"</formula>
    </cfRule>
  </conditionalFormatting>
  <conditionalFormatting sqref="AN3:AN201">
    <cfRule type="expression" dxfId="16" priority="6">
      <formula>$AM3="SANS FORMATION"</formula>
    </cfRule>
  </conditionalFormatting>
  <conditionalFormatting sqref="AJ2:AL2">
    <cfRule type="expression" dxfId="15" priority="5">
      <formula>$AI2="Jamais travaillé"</formula>
    </cfRule>
  </conditionalFormatting>
  <conditionalFormatting sqref="AJ3:AL201">
    <cfRule type="expression" dxfId="14" priority="3">
      <formula>$AI3="Jamais travaillé"</formula>
    </cfRule>
  </conditionalFormatting>
  <conditionalFormatting sqref="X2">
    <cfRule type="expression" dxfId="13" priority="2">
      <formula>$U2="NON"</formula>
    </cfRule>
  </conditionalFormatting>
  <conditionalFormatting sqref="X3:X200">
    <cfRule type="expression" dxfId="12" priority="1">
      <formula>$U3="NON"</formula>
    </cfRule>
  </conditionalFormatting>
  <dataValidations count="2">
    <dataValidation type="list" allowBlank="1" showInputMessage="1" showErrorMessage="1" sqref="AD202:AD1048576">
      <formula1>$J$3:$J$8</formula1>
    </dataValidation>
    <dataValidation showInputMessage="1" showErrorMessage="1" sqref="AH2:AH139"/>
  </dataValidations>
  <pageMargins left="0.23622047244094491" right="0.23622047244094491" top="0.74803149606299213" bottom="0.74803149606299213" header="0.31496062992125984" footer="0.31496062992125984"/>
  <pageSetup paperSize="8" fitToWidth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>
          <x14:formula1>
            <xm:f>LISTES!$I$3:$I$8</xm:f>
          </x14:formula1>
          <xm:sqref>AC202:AC1048576</xm:sqref>
        </x14:dataValidation>
        <x14:dataValidation type="list" allowBlank="1" showInputMessage="1" showErrorMessage="1">
          <x14:formula1>
            <xm:f>LISTES!$B$2:$B$3</xm:f>
          </x14:formula1>
          <xm:sqref>B2:B1048576</xm:sqref>
        </x14:dataValidation>
        <x14:dataValidation type="list" allowBlank="1" showInputMessage="1" showErrorMessage="1">
          <x14:formula1>
            <xm:f>LISTES!$L$2:$L$6</xm:f>
          </x14:formula1>
          <xm:sqref>AO16:AO1048576</xm:sqref>
        </x14:dataValidation>
        <x14:dataValidation type="list" allowBlank="1" showInputMessage="1" showErrorMessage="1">
          <x14:formula1>
            <xm:f>LISTES!$Z$2:$Z$3</xm:f>
          </x14:formula1>
          <xm:sqref>V16:V201 V2:W15</xm:sqref>
        </x14:dataValidation>
        <x14:dataValidation type="list" allowBlank="1" showInputMessage="1" showErrorMessage="1">
          <x14:formula1>
            <xm:f>LISTES!$AA$2:$AA$3</xm:f>
          </x14:formula1>
          <xm:sqref>W16:W201</xm:sqref>
        </x14:dataValidation>
        <x14:dataValidation type="list" allowBlank="1" showInputMessage="1" showErrorMessage="1">
          <x14:formula1>
            <xm:f>LISTES!$AC$2:$AC$8</xm:f>
          </x14:formula1>
          <xm:sqref>AE2:AE201</xm:sqref>
        </x14:dataValidation>
        <x14:dataValidation type="list" allowBlank="1" showInputMessage="1" showErrorMessage="1">
          <x14:formula1>
            <xm:f>LISTES!$D$2:$D$4</xm:f>
          </x14:formula1>
          <xm:sqref>S16:S1048576</xm:sqref>
        </x14:dataValidation>
        <x14:dataValidation type="list" allowBlank="1" showInputMessage="1" showErrorMessage="1">
          <x14:formula1>
            <xm:f>LISTES!$E$2:$E$9</xm:f>
          </x14:formula1>
          <xm:sqref>T2:T1048576</xm:sqref>
        </x14:dataValidation>
        <x14:dataValidation type="list" allowBlank="1" showInputMessage="1" showErrorMessage="1">
          <x14:formula1>
            <xm:f>LISTES!$F$2:$F$3</xm:f>
          </x14:formula1>
          <xm:sqref>U37:U1048576</xm:sqref>
        </x14:dataValidation>
        <x14:dataValidation type="list" allowBlank="1" showInputMessage="1" showErrorMessage="1">
          <x14:formula1>
            <xm:f>LISTES!$G$2:$G$4</xm:f>
          </x14:formula1>
          <xm:sqref>Z10:Z11 Z2:Z8 X33:X1048576</xm:sqref>
        </x14:dataValidation>
        <x14:dataValidation type="list" allowBlank="1" showInputMessage="1" showErrorMessage="1">
          <x14:formula1>
            <xm:f>LISTES!$J$2:$J$9</xm:f>
          </x14:formula1>
          <xm:sqref>AN10:AN11 AK2:AK10 AK12:AK17 AK19:AK1048576</xm:sqref>
        </x14:dataValidation>
        <x14:dataValidation type="list" allowBlank="1" showInputMessage="1" showErrorMessage="1">
          <x14:formula1>
            <xm:f>LISTES!$K$2:$K$16</xm:f>
          </x14:formula1>
          <xm:sqref>AM3:AM5 AM8:AM9 AP2:AP15 AM12:AM1048576</xm:sqref>
        </x14:dataValidation>
        <x14:dataValidation type="list" allowBlank="1" showInputMessage="1" showErrorMessage="1">
          <x14:formula1>
            <xm:f>LISTES!$H$2:$H$8</xm:f>
          </x14:formula1>
          <xm:sqref>Y2:Y1048576</xm:sqref>
        </x14:dataValidation>
        <x14:dataValidation type="list" allowBlank="1" showInputMessage="1" showErrorMessage="1">
          <x14:formula1>
            <xm:f>LISTES!$I$2:$I$8</xm:f>
          </x14:formula1>
          <xm:sqref>AC2:AC201</xm:sqref>
        </x14:dataValidation>
        <x14:dataValidation type="list" allowBlank="1">
          <x14:formula1>
            <xm:f>LISTES!$AD$2:$AD$8</xm:f>
          </x14:formula1>
          <xm:sqref>AS2:AS201</xm:sqref>
        </x14:dataValidation>
        <x14:dataValidation type="list" allowBlank="1" showInputMessage="1" showErrorMessage="1">
          <x14:formula1>
            <xm:f>LISTES!$AB$2:$AB$17</xm:f>
          </x14:formula1>
          <xm:sqref>AG2:AG201 AJ9:AJ11 AJ2</xm:sqref>
        </x14:dataValidation>
        <x14:dataValidation type="list" allowBlank="1" showInputMessage="1" showErrorMessage="1">
          <x14:formula1>
            <xm:f>LISTES!$U$2:$U$3</xm:f>
          </x14:formula1>
          <xm:sqref>U2:U36</xm:sqref>
        </x14:dataValidation>
        <x14:dataValidation type="list" allowBlank="1" showInputMessage="1" showErrorMessage="1">
          <x14:formula1>
            <xm:f>LISTES!$G$2:$G$5</xm:f>
          </x14:formula1>
          <xm:sqref>X2:X32</xm:sqref>
        </x14:dataValidation>
        <x14:dataValidation type="list" allowBlank="1" showInputMessage="1" showErrorMessage="1">
          <x14:formula1>
            <xm:f>LISTES!$AK$2:$AK$8</xm:f>
          </x14:formula1>
          <xm:sqref>AI2:AI201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D131"/>
  <sheetViews>
    <sheetView workbookViewId="0">
      <selection activeCell="H2" sqref="H2"/>
    </sheetView>
  </sheetViews>
  <sheetFormatPr baseColWidth="10" defaultColWidth="11.7109375" defaultRowHeight="12" x14ac:dyDescent="0.25"/>
  <cols>
    <col min="1" max="1" width="11.7109375" style="4" customWidth="1"/>
    <col min="2" max="2" width="11.7109375" style="5"/>
    <col min="3" max="7" width="13.42578125" style="5" customWidth="1"/>
    <col min="8" max="17" width="4.28515625" style="5" customWidth="1"/>
    <col min="18" max="21" width="3.28515625" style="6" customWidth="1"/>
    <col min="22" max="31" width="4.28515625" style="5" customWidth="1"/>
    <col min="32" max="35" width="3.28515625" style="6" customWidth="1"/>
    <col min="36" max="45" width="4.28515625" style="5" customWidth="1"/>
    <col min="46" max="49" width="3.28515625" style="6" customWidth="1"/>
    <col min="50" max="57" width="4.28515625" style="5" customWidth="1"/>
    <col min="58" max="59" width="7.140625" style="5" customWidth="1"/>
    <col min="60" max="680" width="4.28515625" style="5" customWidth="1"/>
    <col min="681" max="16384" width="11.7109375" style="5"/>
  </cols>
  <sheetData>
    <row r="1" spans="1:680" s="1" customFormat="1" x14ac:dyDescent="0.25">
      <c r="A1" s="11" t="s">
        <v>21</v>
      </c>
      <c r="B1" s="11" t="s">
        <v>22</v>
      </c>
      <c r="C1" s="23" t="s">
        <v>18</v>
      </c>
      <c r="D1" s="23" t="s">
        <v>19</v>
      </c>
      <c r="E1" s="23" t="s">
        <v>20</v>
      </c>
      <c r="F1" s="24" t="s">
        <v>66</v>
      </c>
      <c r="G1" s="24" t="s">
        <v>65</v>
      </c>
      <c r="H1" s="305">
        <v>43500</v>
      </c>
      <c r="I1" s="305"/>
      <c r="J1" s="303">
        <v>43501</v>
      </c>
      <c r="K1" s="303"/>
      <c r="L1" s="305">
        <v>43502</v>
      </c>
      <c r="M1" s="305"/>
      <c r="N1" s="303">
        <v>43503</v>
      </c>
      <c r="O1" s="303"/>
      <c r="P1" s="305">
        <v>43504</v>
      </c>
      <c r="Q1" s="305"/>
      <c r="R1" s="299">
        <v>43505</v>
      </c>
      <c r="S1" s="299"/>
      <c r="T1" s="299">
        <v>43506</v>
      </c>
      <c r="U1" s="299"/>
      <c r="V1" s="305">
        <v>43507</v>
      </c>
      <c r="W1" s="305"/>
      <c r="X1" s="303">
        <v>43508</v>
      </c>
      <c r="Y1" s="303"/>
      <c r="Z1" s="305">
        <v>43509</v>
      </c>
      <c r="AA1" s="305"/>
      <c r="AB1" s="303">
        <v>43510</v>
      </c>
      <c r="AC1" s="303"/>
      <c r="AD1" s="305">
        <v>43511</v>
      </c>
      <c r="AE1" s="305"/>
      <c r="AF1" s="299">
        <v>43512</v>
      </c>
      <c r="AG1" s="299"/>
      <c r="AH1" s="299">
        <v>43513</v>
      </c>
      <c r="AI1" s="299"/>
      <c r="AJ1" s="305">
        <v>43514</v>
      </c>
      <c r="AK1" s="305"/>
      <c r="AL1" s="303">
        <v>43515</v>
      </c>
      <c r="AM1" s="303"/>
      <c r="AN1" s="305">
        <v>43516</v>
      </c>
      <c r="AO1" s="305"/>
      <c r="AP1" s="303">
        <v>43517</v>
      </c>
      <c r="AQ1" s="303"/>
      <c r="AR1" s="305">
        <v>43518</v>
      </c>
      <c r="AS1" s="305"/>
      <c r="AT1" s="299">
        <v>43519</v>
      </c>
      <c r="AU1" s="299"/>
      <c r="AV1" s="299">
        <v>43520</v>
      </c>
      <c r="AW1" s="299"/>
      <c r="AX1" s="305">
        <v>43521</v>
      </c>
      <c r="AY1" s="305"/>
      <c r="AZ1" s="303">
        <v>43522</v>
      </c>
      <c r="BA1" s="303"/>
      <c r="BB1" s="305">
        <v>43523</v>
      </c>
      <c r="BC1" s="305"/>
      <c r="BD1" s="303">
        <v>43524</v>
      </c>
      <c r="BE1" s="303"/>
      <c r="BF1" s="304" t="s">
        <v>17</v>
      </c>
      <c r="BG1" s="300"/>
      <c r="BH1" s="301">
        <v>43525</v>
      </c>
      <c r="BI1" s="301"/>
      <c r="BJ1" s="298">
        <v>43526</v>
      </c>
      <c r="BK1" s="298"/>
      <c r="BL1" s="298">
        <v>43527</v>
      </c>
      <c r="BM1" s="298"/>
      <c r="BN1" s="301">
        <v>43528</v>
      </c>
      <c r="BO1" s="301"/>
      <c r="BP1" s="302">
        <v>43529</v>
      </c>
      <c r="BQ1" s="302"/>
      <c r="BR1" s="301">
        <v>43530</v>
      </c>
      <c r="BS1" s="301"/>
      <c r="BT1" s="302">
        <v>43531</v>
      </c>
      <c r="BU1" s="302"/>
      <c r="BV1" s="301">
        <v>43532</v>
      </c>
      <c r="BW1" s="301"/>
      <c r="BX1" s="298">
        <v>43533</v>
      </c>
      <c r="BY1" s="298"/>
      <c r="BZ1" s="298">
        <v>43534</v>
      </c>
      <c r="CA1" s="298"/>
      <c r="CB1" s="301">
        <v>43535</v>
      </c>
      <c r="CC1" s="301"/>
      <c r="CD1" s="302">
        <v>43536</v>
      </c>
      <c r="CE1" s="302"/>
      <c r="CF1" s="301">
        <v>43537</v>
      </c>
      <c r="CG1" s="301"/>
      <c r="CH1" s="302">
        <v>43538</v>
      </c>
      <c r="CI1" s="302"/>
      <c r="CJ1" s="301">
        <v>43539</v>
      </c>
      <c r="CK1" s="301"/>
      <c r="CL1" s="298">
        <v>43540</v>
      </c>
      <c r="CM1" s="298"/>
      <c r="CN1" s="298">
        <v>43541</v>
      </c>
      <c r="CO1" s="298"/>
      <c r="CP1" s="301">
        <v>43542</v>
      </c>
      <c r="CQ1" s="301"/>
      <c r="CR1" s="302">
        <v>43543</v>
      </c>
      <c r="CS1" s="302"/>
      <c r="CT1" s="301">
        <v>43544</v>
      </c>
      <c r="CU1" s="301"/>
      <c r="CV1" s="302">
        <v>43545</v>
      </c>
      <c r="CW1" s="302"/>
      <c r="CX1" s="301">
        <v>43546</v>
      </c>
      <c r="CY1" s="301"/>
      <c r="CZ1" s="298">
        <v>43547</v>
      </c>
      <c r="DA1" s="298"/>
      <c r="DB1" s="298">
        <v>43548</v>
      </c>
      <c r="DC1" s="298"/>
      <c r="DD1" s="301">
        <v>43549</v>
      </c>
      <c r="DE1" s="301"/>
      <c r="DF1" s="302">
        <v>43550</v>
      </c>
      <c r="DG1" s="302"/>
      <c r="DH1" s="301">
        <v>43551</v>
      </c>
      <c r="DI1" s="301"/>
      <c r="DJ1" s="302">
        <v>43552</v>
      </c>
      <c r="DK1" s="302"/>
      <c r="DL1" s="301">
        <v>43553</v>
      </c>
      <c r="DM1" s="301"/>
      <c r="DN1" s="298">
        <v>43554</v>
      </c>
      <c r="DO1" s="298"/>
      <c r="DP1" s="298">
        <v>43555</v>
      </c>
      <c r="DQ1" s="298"/>
      <c r="DR1" s="3"/>
      <c r="DS1" s="301">
        <v>43556</v>
      </c>
      <c r="DT1" s="301"/>
      <c r="DU1" s="302">
        <v>43557</v>
      </c>
      <c r="DV1" s="302"/>
      <c r="DW1" s="301">
        <v>43558</v>
      </c>
      <c r="DX1" s="301"/>
      <c r="DY1" s="302">
        <v>43559</v>
      </c>
      <c r="DZ1" s="302"/>
      <c r="EA1" s="301">
        <v>43560</v>
      </c>
      <c r="EB1" s="301"/>
      <c r="EC1" s="298">
        <v>43561</v>
      </c>
      <c r="ED1" s="298"/>
      <c r="EE1" s="298">
        <v>43562</v>
      </c>
      <c r="EF1" s="298"/>
      <c r="EG1" s="301">
        <v>43563</v>
      </c>
      <c r="EH1" s="301"/>
      <c r="EI1" s="302">
        <v>43564</v>
      </c>
      <c r="EJ1" s="302"/>
      <c r="EK1" s="301">
        <v>43565</v>
      </c>
      <c r="EL1" s="301"/>
      <c r="EM1" s="302">
        <v>43566</v>
      </c>
      <c r="EN1" s="302"/>
      <c r="EO1" s="301">
        <v>43567</v>
      </c>
      <c r="EP1" s="301"/>
      <c r="EQ1" s="298">
        <v>43568</v>
      </c>
      <c r="ER1" s="298"/>
      <c r="ES1" s="298">
        <v>43569</v>
      </c>
      <c r="ET1" s="298"/>
      <c r="EU1" s="301">
        <v>43570</v>
      </c>
      <c r="EV1" s="301"/>
      <c r="EW1" s="302">
        <v>43571</v>
      </c>
      <c r="EX1" s="302"/>
      <c r="EY1" s="301">
        <v>43572</v>
      </c>
      <c r="EZ1" s="301"/>
      <c r="FA1" s="302">
        <v>43573</v>
      </c>
      <c r="FB1" s="302"/>
      <c r="FC1" s="301">
        <v>43574</v>
      </c>
      <c r="FD1" s="301"/>
      <c r="FE1" s="298">
        <v>43575</v>
      </c>
      <c r="FF1" s="298"/>
      <c r="FG1" s="298">
        <v>43576</v>
      </c>
      <c r="FH1" s="298"/>
      <c r="FI1" s="301">
        <v>43577</v>
      </c>
      <c r="FJ1" s="301"/>
      <c r="FK1" s="302">
        <v>43578</v>
      </c>
      <c r="FL1" s="302"/>
      <c r="FM1" s="301">
        <v>43579</v>
      </c>
      <c r="FN1" s="301"/>
      <c r="FO1" s="302">
        <v>43580</v>
      </c>
      <c r="FP1" s="302"/>
      <c r="FQ1" s="301">
        <v>43581</v>
      </c>
      <c r="FR1" s="301"/>
      <c r="FS1" s="298">
        <v>43582</v>
      </c>
      <c r="FT1" s="298"/>
      <c r="FU1" s="298">
        <v>43583</v>
      </c>
      <c r="FV1" s="298"/>
      <c r="FW1" s="301">
        <v>43584</v>
      </c>
      <c r="FX1" s="301"/>
      <c r="FY1" s="302">
        <v>43585</v>
      </c>
      <c r="FZ1" s="302"/>
      <c r="GA1" s="3"/>
      <c r="GB1" s="301">
        <v>43586</v>
      </c>
      <c r="GC1" s="301"/>
      <c r="GD1" s="302">
        <v>43587</v>
      </c>
      <c r="GE1" s="302"/>
      <c r="GF1" s="301">
        <v>43588</v>
      </c>
      <c r="GG1" s="301"/>
      <c r="GH1" s="298">
        <v>43589</v>
      </c>
      <c r="GI1" s="298"/>
      <c r="GJ1" s="298">
        <v>43590</v>
      </c>
      <c r="GK1" s="298"/>
      <c r="GL1" s="301">
        <v>43591</v>
      </c>
      <c r="GM1" s="301"/>
      <c r="GN1" s="302">
        <v>43592</v>
      </c>
      <c r="GO1" s="302"/>
      <c r="GP1" s="301">
        <v>43593</v>
      </c>
      <c r="GQ1" s="301"/>
      <c r="GR1" s="302">
        <v>43594</v>
      </c>
      <c r="GS1" s="302"/>
      <c r="GT1" s="301">
        <v>43595</v>
      </c>
      <c r="GU1" s="301"/>
      <c r="GV1" s="298">
        <v>43596</v>
      </c>
      <c r="GW1" s="298"/>
      <c r="GX1" s="298">
        <v>43597</v>
      </c>
      <c r="GY1" s="298"/>
      <c r="GZ1" s="301">
        <v>43598</v>
      </c>
      <c r="HA1" s="301"/>
      <c r="HB1" s="302">
        <v>43599</v>
      </c>
      <c r="HC1" s="302"/>
      <c r="HD1" s="301">
        <v>43600</v>
      </c>
      <c r="HE1" s="301"/>
      <c r="HF1" s="302">
        <v>43601</v>
      </c>
      <c r="HG1" s="302"/>
      <c r="HH1" s="301">
        <v>43602</v>
      </c>
      <c r="HI1" s="301"/>
      <c r="HJ1" s="298">
        <v>43603</v>
      </c>
      <c r="HK1" s="298"/>
      <c r="HL1" s="298">
        <v>43604</v>
      </c>
      <c r="HM1" s="298"/>
      <c r="HN1" s="301">
        <v>43605</v>
      </c>
      <c r="HO1" s="301"/>
      <c r="HP1" s="302">
        <v>43606</v>
      </c>
      <c r="HQ1" s="302"/>
      <c r="HR1" s="301">
        <v>43607</v>
      </c>
      <c r="HS1" s="301"/>
      <c r="HT1" s="302">
        <v>43608</v>
      </c>
      <c r="HU1" s="302"/>
      <c r="HV1" s="301">
        <v>43609</v>
      </c>
      <c r="HW1" s="301"/>
      <c r="HX1" s="298">
        <v>43610</v>
      </c>
      <c r="HY1" s="298"/>
      <c r="HZ1" s="298">
        <v>43611</v>
      </c>
      <c r="IA1" s="298"/>
      <c r="IB1" s="301">
        <v>43612</v>
      </c>
      <c r="IC1" s="301"/>
      <c r="ID1" s="302">
        <v>43613</v>
      </c>
      <c r="IE1" s="302"/>
      <c r="IF1" s="301">
        <v>43614</v>
      </c>
      <c r="IG1" s="301"/>
      <c r="IH1" s="302">
        <v>43615</v>
      </c>
      <c r="II1" s="302"/>
      <c r="IJ1" s="301">
        <v>43616</v>
      </c>
      <c r="IK1" s="301"/>
      <c r="IL1" s="3"/>
      <c r="IM1" s="298">
        <v>43617</v>
      </c>
      <c r="IN1" s="298"/>
      <c r="IO1" s="298">
        <v>43618</v>
      </c>
      <c r="IP1" s="298"/>
      <c r="IQ1" s="301">
        <v>43619</v>
      </c>
      <c r="IR1" s="301"/>
      <c r="IS1" s="302">
        <v>43620</v>
      </c>
      <c r="IT1" s="302"/>
      <c r="IU1" s="301">
        <v>43621</v>
      </c>
      <c r="IV1" s="301"/>
      <c r="IW1" s="302">
        <v>43622</v>
      </c>
      <c r="IX1" s="302"/>
      <c r="IY1" s="301">
        <v>43623</v>
      </c>
      <c r="IZ1" s="301"/>
      <c r="JA1" s="298">
        <v>43624</v>
      </c>
      <c r="JB1" s="298"/>
      <c r="JC1" s="298">
        <v>43625</v>
      </c>
      <c r="JD1" s="298"/>
      <c r="JE1" s="301">
        <v>43626</v>
      </c>
      <c r="JF1" s="301"/>
      <c r="JG1" s="302">
        <v>43627</v>
      </c>
      <c r="JH1" s="302"/>
      <c r="JI1" s="301">
        <v>43628</v>
      </c>
      <c r="JJ1" s="301"/>
      <c r="JK1" s="302">
        <v>43629</v>
      </c>
      <c r="JL1" s="302"/>
      <c r="JM1" s="301">
        <v>43630</v>
      </c>
      <c r="JN1" s="301"/>
      <c r="JO1" s="298">
        <v>43631</v>
      </c>
      <c r="JP1" s="298"/>
      <c r="JQ1" s="298">
        <v>43632</v>
      </c>
      <c r="JR1" s="298"/>
      <c r="JS1" s="301">
        <v>43633</v>
      </c>
      <c r="JT1" s="301"/>
      <c r="JU1" s="302">
        <v>43634</v>
      </c>
      <c r="JV1" s="302"/>
      <c r="JW1" s="301">
        <v>43635</v>
      </c>
      <c r="JX1" s="301"/>
      <c r="JY1" s="302">
        <v>43636</v>
      </c>
      <c r="JZ1" s="302"/>
      <c r="KA1" s="301">
        <v>43637</v>
      </c>
      <c r="KB1" s="301"/>
      <c r="KC1" s="298">
        <v>43638</v>
      </c>
      <c r="KD1" s="298"/>
      <c r="KE1" s="298">
        <v>43639</v>
      </c>
      <c r="KF1" s="298"/>
      <c r="KG1" s="301">
        <v>43640</v>
      </c>
      <c r="KH1" s="301"/>
      <c r="KI1" s="302">
        <v>43641</v>
      </c>
      <c r="KJ1" s="302"/>
      <c r="KK1" s="301">
        <v>43642</v>
      </c>
      <c r="KL1" s="301"/>
      <c r="KM1" s="302">
        <v>43643</v>
      </c>
      <c r="KN1" s="302"/>
      <c r="KO1" s="301">
        <v>43644</v>
      </c>
      <c r="KP1" s="301"/>
      <c r="KQ1" s="298">
        <v>43645</v>
      </c>
      <c r="KR1" s="298"/>
      <c r="KS1" s="298">
        <v>43646</v>
      </c>
      <c r="KT1" s="298"/>
      <c r="KU1" s="3"/>
      <c r="KV1" s="301">
        <v>43647</v>
      </c>
      <c r="KW1" s="301"/>
      <c r="KX1" s="302">
        <v>43648</v>
      </c>
      <c r="KY1" s="302"/>
      <c r="KZ1" s="301">
        <v>43649</v>
      </c>
      <c r="LA1" s="301"/>
      <c r="LB1" s="302">
        <v>43650</v>
      </c>
      <c r="LC1" s="302"/>
      <c r="LD1" s="301">
        <v>43651</v>
      </c>
      <c r="LE1" s="301"/>
      <c r="LF1" s="298">
        <v>43652</v>
      </c>
      <c r="LG1" s="298"/>
      <c r="LH1" s="298">
        <v>43653</v>
      </c>
      <c r="LI1" s="298"/>
      <c r="LJ1" s="301">
        <v>43654</v>
      </c>
      <c r="LK1" s="301"/>
      <c r="LL1" s="302">
        <v>43655</v>
      </c>
      <c r="LM1" s="302"/>
      <c r="LN1" s="301">
        <v>43656</v>
      </c>
      <c r="LO1" s="301"/>
      <c r="LP1" s="302">
        <v>43657</v>
      </c>
      <c r="LQ1" s="302"/>
      <c r="LR1" s="301">
        <v>43658</v>
      </c>
      <c r="LS1" s="301"/>
      <c r="LT1" s="298">
        <v>43659</v>
      </c>
      <c r="LU1" s="298"/>
      <c r="LV1" s="298">
        <v>43660</v>
      </c>
      <c r="LW1" s="298"/>
      <c r="LX1" s="301">
        <v>43661</v>
      </c>
      <c r="LY1" s="301"/>
      <c r="LZ1" s="302">
        <v>43662</v>
      </c>
      <c r="MA1" s="302"/>
      <c r="MB1" s="301">
        <v>43663</v>
      </c>
      <c r="MC1" s="301"/>
      <c r="MD1" s="302">
        <v>43664</v>
      </c>
      <c r="ME1" s="302"/>
      <c r="MF1" s="301">
        <v>43665</v>
      </c>
      <c r="MG1" s="301"/>
      <c r="MH1" s="298">
        <v>43666</v>
      </c>
      <c r="MI1" s="298"/>
      <c r="MJ1" s="298">
        <v>43667</v>
      </c>
      <c r="MK1" s="298"/>
      <c r="ML1" s="301">
        <v>43668</v>
      </c>
      <c r="MM1" s="301"/>
      <c r="MN1" s="302">
        <v>43669</v>
      </c>
      <c r="MO1" s="302"/>
      <c r="MP1" s="301">
        <v>43670</v>
      </c>
      <c r="MQ1" s="301"/>
      <c r="MR1" s="302">
        <v>43671</v>
      </c>
      <c r="MS1" s="302"/>
      <c r="MT1" s="301">
        <v>43672</v>
      </c>
      <c r="MU1" s="301"/>
      <c r="MV1" s="298">
        <v>43673</v>
      </c>
      <c r="MW1" s="298"/>
      <c r="MX1" s="298">
        <v>43674</v>
      </c>
      <c r="MY1" s="298"/>
      <c r="MZ1" s="301">
        <v>43675</v>
      </c>
      <c r="NA1" s="301"/>
      <c r="NB1" s="302">
        <v>43676</v>
      </c>
      <c r="NC1" s="302"/>
      <c r="ND1" s="301">
        <v>43677</v>
      </c>
      <c r="NE1" s="301"/>
      <c r="NF1" s="3"/>
      <c r="NG1" s="302">
        <v>43678</v>
      </c>
      <c r="NH1" s="302"/>
      <c r="NI1" s="301">
        <v>43679</v>
      </c>
      <c r="NJ1" s="301"/>
      <c r="NK1" s="298">
        <v>43680</v>
      </c>
      <c r="NL1" s="298"/>
      <c r="NM1" s="298">
        <v>43681</v>
      </c>
      <c r="NN1" s="298"/>
      <c r="NO1" s="301">
        <v>43682</v>
      </c>
      <c r="NP1" s="301"/>
      <c r="NQ1" s="302">
        <v>43683</v>
      </c>
      <c r="NR1" s="302"/>
      <c r="NS1" s="301">
        <v>43684</v>
      </c>
      <c r="NT1" s="301"/>
      <c r="NU1" s="302">
        <v>43685</v>
      </c>
      <c r="NV1" s="302"/>
      <c r="NW1" s="301">
        <v>43686</v>
      </c>
      <c r="NX1" s="301"/>
      <c r="NY1" s="298">
        <v>43687</v>
      </c>
      <c r="NZ1" s="298"/>
      <c r="OA1" s="298">
        <v>43688</v>
      </c>
      <c r="OB1" s="298"/>
      <c r="OC1" s="301">
        <v>43689</v>
      </c>
      <c r="OD1" s="301"/>
      <c r="OE1" s="302">
        <v>43690</v>
      </c>
      <c r="OF1" s="302"/>
      <c r="OG1" s="301">
        <v>43691</v>
      </c>
      <c r="OH1" s="301"/>
      <c r="OI1" s="302">
        <v>43692</v>
      </c>
      <c r="OJ1" s="302"/>
      <c r="OK1" s="301">
        <v>43693</v>
      </c>
      <c r="OL1" s="301"/>
      <c r="OM1" s="298">
        <v>43694</v>
      </c>
      <c r="ON1" s="298"/>
      <c r="OO1" s="298">
        <v>43695</v>
      </c>
      <c r="OP1" s="298"/>
      <c r="OQ1" s="301">
        <v>43696</v>
      </c>
      <c r="OR1" s="301"/>
      <c r="OS1" s="302">
        <v>43697</v>
      </c>
      <c r="OT1" s="302"/>
      <c r="OU1" s="301">
        <v>43698</v>
      </c>
      <c r="OV1" s="301"/>
      <c r="OW1" s="302">
        <v>43699</v>
      </c>
      <c r="OX1" s="302"/>
      <c r="OY1" s="301">
        <v>43700</v>
      </c>
      <c r="OZ1" s="301"/>
      <c r="PA1" s="298">
        <v>43701</v>
      </c>
      <c r="PB1" s="298"/>
      <c r="PC1" s="298">
        <v>43702</v>
      </c>
      <c r="PD1" s="298"/>
      <c r="PE1" s="301">
        <v>43703</v>
      </c>
      <c r="PF1" s="301"/>
      <c r="PG1" s="302">
        <v>43704</v>
      </c>
      <c r="PH1" s="302"/>
      <c r="PI1" s="301">
        <v>43705</v>
      </c>
      <c r="PJ1" s="301"/>
      <c r="PK1" s="302">
        <v>43706</v>
      </c>
      <c r="PL1" s="302"/>
      <c r="PM1" s="301">
        <v>43707</v>
      </c>
      <c r="PN1" s="301"/>
      <c r="PO1" s="298">
        <v>43708</v>
      </c>
      <c r="PP1" s="298"/>
      <c r="PQ1" s="3"/>
      <c r="PR1" s="298">
        <v>43709</v>
      </c>
      <c r="PS1" s="298"/>
      <c r="PT1" s="301">
        <v>43710</v>
      </c>
      <c r="PU1" s="301"/>
      <c r="PV1" s="302">
        <v>43711</v>
      </c>
      <c r="PW1" s="302"/>
      <c r="PX1" s="301">
        <v>43712</v>
      </c>
      <c r="PY1" s="301"/>
      <c r="PZ1" s="302">
        <v>43713</v>
      </c>
      <c r="QA1" s="302"/>
      <c r="QB1" s="301">
        <v>43714</v>
      </c>
      <c r="QC1" s="301"/>
      <c r="QD1" s="298">
        <v>43715</v>
      </c>
      <c r="QE1" s="298"/>
      <c r="QF1" s="298">
        <v>43716</v>
      </c>
      <c r="QG1" s="298"/>
      <c r="QH1" s="301">
        <v>43717</v>
      </c>
      <c r="QI1" s="301"/>
      <c r="QJ1" s="302">
        <v>43718</v>
      </c>
      <c r="QK1" s="302"/>
      <c r="QL1" s="301">
        <v>43719</v>
      </c>
      <c r="QM1" s="301"/>
      <c r="QN1" s="302">
        <v>43720</v>
      </c>
      <c r="QO1" s="302"/>
      <c r="QP1" s="301">
        <v>43721</v>
      </c>
      <c r="QQ1" s="301"/>
      <c r="QR1" s="298">
        <v>43722</v>
      </c>
      <c r="QS1" s="298"/>
      <c r="QT1" s="298">
        <v>43723</v>
      </c>
      <c r="QU1" s="298"/>
      <c r="QV1" s="301">
        <v>43724</v>
      </c>
      <c r="QW1" s="301"/>
      <c r="QX1" s="302">
        <v>43725</v>
      </c>
      <c r="QY1" s="302"/>
      <c r="QZ1" s="301">
        <v>43726</v>
      </c>
      <c r="RA1" s="301"/>
      <c r="RB1" s="302">
        <v>43727</v>
      </c>
      <c r="RC1" s="302"/>
      <c r="RD1" s="301">
        <v>43728</v>
      </c>
      <c r="RE1" s="301"/>
      <c r="RF1" s="298">
        <v>43729</v>
      </c>
      <c r="RG1" s="298"/>
      <c r="RH1" s="298">
        <v>43730</v>
      </c>
      <c r="RI1" s="298"/>
      <c r="RJ1" s="301">
        <v>43731</v>
      </c>
      <c r="RK1" s="301"/>
      <c r="RL1" s="302">
        <v>43732</v>
      </c>
      <c r="RM1" s="302"/>
      <c r="RN1" s="301">
        <v>43733</v>
      </c>
      <c r="RO1" s="301"/>
      <c r="RP1" s="302">
        <v>43734</v>
      </c>
      <c r="RQ1" s="302"/>
      <c r="RR1" s="301">
        <v>43735</v>
      </c>
      <c r="RS1" s="301"/>
      <c r="RT1" s="298">
        <v>43736</v>
      </c>
      <c r="RU1" s="298"/>
      <c r="RV1" s="298">
        <v>43737</v>
      </c>
      <c r="RW1" s="298"/>
      <c r="RX1" s="301">
        <v>43738</v>
      </c>
      <c r="RY1" s="301"/>
      <c r="RZ1" s="3"/>
      <c r="SA1" s="302">
        <v>43739</v>
      </c>
      <c r="SB1" s="302"/>
      <c r="SC1" s="301">
        <v>43740</v>
      </c>
      <c r="SD1" s="301"/>
      <c r="SE1" s="302">
        <v>43741</v>
      </c>
      <c r="SF1" s="302"/>
      <c r="SG1" s="301">
        <v>43742</v>
      </c>
      <c r="SH1" s="301"/>
      <c r="SI1" s="298">
        <v>43743</v>
      </c>
      <c r="SJ1" s="298"/>
      <c r="SK1" s="298">
        <v>43744</v>
      </c>
      <c r="SL1" s="298"/>
      <c r="SM1" s="301">
        <v>43745</v>
      </c>
      <c r="SN1" s="301"/>
      <c r="SO1" s="302">
        <v>43746</v>
      </c>
      <c r="SP1" s="302"/>
      <c r="SQ1" s="301">
        <v>43747</v>
      </c>
      <c r="SR1" s="301"/>
      <c r="SS1" s="302">
        <v>43748</v>
      </c>
      <c r="ST1" s="302"/>
      <c r="SU1" s="301">
        <v>43749</v>
      </c>
      <c r="SV1" s="301"/>
      <c r="SW1" s="298">
        <v>43750</v>
      </c>
      <c r="SX1" s="298"/>
      <c r="SY1" s="298">
        <v>43751</v>
      </c>
      <c r="SZ1" s="298"/>
      <c r="TA1" s="301">
        <v>43752</v>
      </c>
      <c r="TB1" s="301"/>
      <c r="TC1" s="302">
        <v>43753</v>
      </c>
      <c r="TD1" s="302"/>
      <c r="TE1" s="301">
        <v>43754</v>
      </c>
      <c r="TF1" s="301"/>
      <c r="TG1" s="302">
        <v>43755</v>
      </c>
      <c r="TH1" s="302"/>
      <c r="TI1" s="301">
        <v>43756</v>
      </c>
      <c r="TJ1" s="301"/>
      <c r="TK1" s="298">
        <v>43757</v>
      </c>
      <c r="TL1" s="298"/>
      <c r="TM1" s="298">
        <v>43758</v>
      </c>
      <c r="TN1" s="298"/>
      <c r="TO1" s="301">
        <v>43759</v>
      </c>
      <c r="TP1" s="301"/>
      <c r="TQ1" s="302">
        <v>43760</v>
      </c>
      <c r="TR1" s="302"/>
      <c r="TS1" s="301">
        <v>43761</v>
      </c>
      <c r="TT1" s="301"/>
      <c r="TU1" s="302">
        <v>43762</v>
      </c>
      <c r="TV1" s="302"/>
      <c r="TW1" s="301">
        <v>43763</v>
      </c>
      <c r="TX1" s="301"/>
      <c r="TY1" s="298">
        <v>43764</v>
      </c>
      <c r="TZ1" s="298"/>
      <c r="UA1" s="298">
        <v>43765</v>
      </c>
      <c r="UB1" s="298"/>
      <c r="UC1" s="301">
        <v>43766</v>
      </c>
      <c r="UD1" s="301"/>
      <c r="UE1" s="302">
        <v>43767</v>
      </c>
      <c r="UF1" s="302"/>
      <c r="UG1" s="301">
        <v>43768</v>
      </c>
      <c r="UH1" s="301"/>
      <c r="UI1" s="302">
        <v>43769</v>
      </c>
      <c r="UJ1" s="302"/>
      <c r="UK1" s="3"/>
      <c r="UL1" s="301">
        <v>43770</v>
      </c>
      <c r="UM1" s="301"/>
      <c r="UN1" s="298">
        <v>43771</v>
      </c>
      <c r="UO1" s="298"/>
      <c r="UP1" s="298">
        <v>43772</v>
      </c>
      <c r="UQ1" s="298"/>
      <c r="UR1" s="301">
        <v>43773</v>
      </c>
      <c r="US1" s="301"/>
      <c r="UT1" s="302">
        <v>43774</v>
      </c>
      <c r="UU1" s="302"/>
      <c r="UV1" s="301">
        <v>43775</v>
      </c>
      <c r="UW1" s="301"/>
      <c r="UX1" s="302">
        <v>43776</v>
      </c>
      <c r="UY1" s="302"/>
      <c r="UZ1" s="301">
        <v>43777</v>
      </c>
      <c r="VA1" s="301"/>
      <c r="VB1" s="298">
        <v>43778</v>
      </c>
      <c r="VC1" s="298"/>
      <c r="VD1" s="298">
        <v>43779</v>
      </c>
      <c r="VE1" s="298"/>
      <c r="VF1" s="301">
        <v>43780</v>
      </c>
      <c r="VG1" s="301"/>
      <c r="VH1" s="302">
        <v>43781</v>
      </c>
      <c r="VI1" s="302"/>
      <c r="VJ1" s="301">
        <v>43782</v>
      </c>
      <c r="VK1" s="301"/>
      <c r="VL1" s="302">
        <v>43783</v>
      </c>
      <c r="VM1" s="302"/>
      <c r="VN1" s="301">
        <v>43784</v>
      </c>
      <c r="VO1" s="301"/>
      <c r="VP1" s="298">
        <v>43785</v>
      </c>
      <c r="VQ1" s="298"/>
      <c r="VR1" s="298">
        <v>43786</v>
      </c>
      <c r="VS1" s="298"/>
      <c r="VT1" s="301">
        <v>43787</v>
      </c>
      <c r="VU1" s="301"/>
      <c r="VV1" s="302">
        <v>43788</v>
      </c>
      <c r="VW1" s="302"/>
      <c r="VX1" s="301">
        <v>43789</v>
      </c>
      <c r="VY1" s="301"/>
      <c r="VZ1" s="302">
        <v>43790</v>
      </c>
      <c r="WA1" s="302"/>
      <c r="WB1" s="301">
        <v>43791</v>
      </c>
      <c r="WC1" s="301"/>
      <c r="WD1" s="298">
        <v>43792</v>
      </c>
      <c r="WE1" s="298"/>
      <c r="WF1" s="298">
        <v>43793</v>
      </c>
      <c r="WG1" s="298"/>
      <c r="WH1" s="301">
        <v>43794</v>
      </c>
      <c r="WI1" s="301"/>
      <c r="WJ1" s="302">
        <v>43795</v>
      </c>
      <c r="WK1" s="302"/>
      <c r="WL1" s="301">
        <v>43796</v>
      </c>
      <c r="WM1" s="301"/>
      <c r="WN1" s="302">
        <v>43797</v>
      </c>
      <c r="WO1" s="302"/>
      <c r="WP1" s="301">
        <v>43798</v>
      </c>
      <c r="WQ1" s="301"/>
      <c r="WR1" s="298">
        <v>43799</v>
      </c>
      <c r="WS1" s="298"/>
      <c r="WT1" s="3"/>
      <c r="WU1" s="298">
        <v>43800</v>
      </c>
      <c r="WV1" s="298"/>
      <c r="WW1" s="301">
        <v>43801</v>
      </c>
      <c r="WX1" s="301"/>
      <c r="WY1" s="302">
        <v>43802</v>
      </c>
      <c r="WZ1" s="302"/>
      <c r="XA1" s="301">
        <v>43803</v>
      </c>
      <c r="XB1" s="301"/>
      <c r="XC1" s="302">
        <v>43804</v>
      </c>
      <c r="XD1" s="302"/>
      <c r="XE1" s="301">
        <v>43805</v>
      </c>
      <c r="XF1" s="301"/>
      <c r="XG1" s="298">
        <v>43806</v>
      </c>
      <c r="XH1" s="298"/>
      <c r="XI1" s="298">
        <v>43807</v>
      </c>
      <c r="XJ1" s="298"/>
      <c r="XK1" s="301">
        <v>43808</v>
      </c>
      <c r="XL1" s="301"/>
      <c r="XM1" s="302">
        <v>43809</v>
      </c>
      <c r="XN1" s="302"/>
      <c r="XO1" s="301">
        <v>43810</v>
      </c>
      <c r="XP1" s="301"/>
      <c r="XQ1" s="302">
        <v>43811</v>
      </c>
      <c r="XR1" s="302"/>
      <c r="XS1" s="301">
        <v>43812</v>
      </c>
      <c r="XT1" s="301"/>
      <c r="XU1" s="298">
        <v>43813</v>
      </c>
      <c r="XV1" s="298"/>
      <c r="XW1" s="298">
        <v>43814</v>
      </c>
      <c r="XX1" s="298"/>
      <c r="XY1" s="301">
        <v>43815</v>
      </c>
      <c r="XZ1" s="301"/>
      <c r="YA1" s="302">
        <v>43816</v>
      </c>
      <c r="YB1" s="302"/>
      <c r="YC1" s="301">
        <v>43817</v>
      </c>
      <c r="YD1" s="301"/>
      <c r="YE1" s="302">
        <v>43818</v>
      </c>
      <c r="YF1" s="302"/>
      <c r="YG1" s="301">
        <v>43819</v>
      </c>
      <c r="YH1" s="301"/>
      <c r="YI1" s="298">
        <v>43820</v>
      </c>
      <c r="YJ1" s="298"/>
      <c r="YK1" s="298">
        <v>43821</v>
      </c>
      <c r="YL1" s="298"/>
      <c r="YM1" s="301">
        <v>43822</v>
      </c>
      <c r="YN1" s="301"/>
      <c r="YO1" s="302">
        <v>43823</v>
      </c>
      <c r="YP1" s="302"/>
      <c r="YQ1" s="301">
        <v>43824</v>
      </c>
      <c r="YR1" s="301"/>
      <c r="YS1" s="302">
        <v>43825</v>
      </c>
      <c r="YT1" s="302"/>
      <c r="YU1" s="301">
        <v>43826</v>
      </c>
      <c r="YV1" s="301"/>
      <c r="YW1" s="298">
        <v>43827</v>
      </c>
      <c r="YX1" s="298"/>
      <c r="YY1" s="298">
        <v>43828</v>
      </c>
      <c r="YZ1" s="298"/>
      <c r="ZA1" s="301">
        <v>43829</v>
      </c>
      <c r="ZB1" s="301"/>
      <c r="ZC1" s="302">
        <v>43830</v>
      </c>
      <c r="ZD1" s="302"/>
    </row>
    <row r="2" spans="1:680" s="2" customFormat="1" ht="11.25" x14ac:dyDescent="0.25">
      <c r="A2" s="12" t="str">
        <f>'PPa2019'!D2</f>
        <v>mmm</v>
      </c>
      <c r="B2" s="12" t="str">
        <f>'PPa2019'!E2</f>
        <v>mm</v>
      </c>
      <c r="C2" s="10"/>
      <c r="D2" s="10"/>
      <c r="E2" s="10"/>
      <c r="F2" s="10"/>
      <c r="G2" s="10"/>
      <c r="H2" s="27">
        <v>7</v>
      </c>
      <c r="I2" s="28"/>
      <c r="J2" s="27">
        <v>3</v>
      </c>
      <c r="K2" s="28"/>
      <c r="L2" s="27"/>
      <c r="M2" s="28"/>
      <c r="N2" s="27">
        <v>2</v>
      </c>
      <c r="O2" s="28"/>
      <c r="P2" s="27">
        <v>1</v>
      </c>
      <c r="Q2" s="28"/>
      <c r="R2" s="9"/>
      <c r="S2" s="9"/>
      <c r="T2" s="9"/>
      <c r="U2" s="9"/>
      <c r="V2" s="27"/>
      <c r="W2" s="28"/>
      <c r="X2" s="27"/>
      <c r="Y2" s="28"/>
      <c r="Z2" s="27"/>
      <c r="AA2" s="28"/>
      <c r="AB2" s="27"/>
      <c r="AC2" s="28"/>
      <c r="AD2" s="27"/>
      <c r="AE2" s="28"/>
      <c r="AF2" s="9"/>
      <c r="AG2" s="9"/>
      <c r="AH2" s="9"/>
      <c r="AI2" s="9"/>
      <c r="AJ2" s="27"/>
      <c r="AK2" s="28"/>
      <c r="AL2" s="27"/>
      <c r="AM2" s="28"/>
      <c r="AN2" s="27"/>
      <c r="AO2" s="28"/>
      <c r="AP2" s="27"/>
      <c r="AQ2" s="28"/>
      <c r="AR2" s="27"/>
      <c r="AS2" s="28"/>
      <c r="AT2" s="9"/>
      <c r="AU2" s="9"/>
      <c r="AV2" s="9"/>
      <c r="AW2" s="9"/>
      <c r="AX2" s="27"/>
      <c r="AY2" s="28"/>
      <c r="AZ2" s="27"/>
      <c r="BA2" s="28"/>
      <c r="BB2" s="27"/>
      <c r="BC2" s="28"/>
      <c r="BD2" s="27"/>
      <c r="BE2" s="28"/>
      <c r="BF2" s="29">
        <f>$H2+$J2+$L2+$N2+$P2+$V2+$X2+$Z2+$AB2+$AD2+$AJ2+$AL2+$AN2+$AP2+$AR2+$AX2+$AZ2+$BB2+$BD2</f>
        <v>13</v>
      </c>
      <c r="BG2" s="30">
        <f>$I2+$K2+$M2+$O2+$Q2+$W2+$Y2+$AA2+$AC2+$AE2+$AK2+$AM2+$AO2+$AQ2+$AS2+$AY2+$BA2+$BC2+$BE2</f>
        <v>0</v>
      </c>
      <c r="BH2" s="7"/>
      <c r="BI2" s="7"/>
      <c r="BJ2" s="8"/>
      <c r="BK2" s="8"/>
      <c r="BL2" s="8"/>
      <c r="BM2" s="8"/>
      <c r="BN2" s="25"/>
      <c r="BO2" s="25"/>
      <c r="BP2" s="10"/>
      <c r="BQ2" s="10"/>
      <c r="BR2" s="25"/>
      <c r="BS2" s="25"/>
      <c r="BT2" s="10"/>
      <c r="BU2" s="10"/>
      <c r="BV2" s="25"/>
      <c r="BW2" s="25"/>
      <c r="BX2" s="8"/>
      <c r="BY2" s="8"/>
      <c r="BZ2" s="8"/>
      <c r="CA2" s="8"/>
      <c r="CB2" s="25"/>
      <c r="CC2" s="25"/>
      <c r="CD2" s="10"/>
      <c r="CE2" s="10"/>
      <c r="CF2" s="25"/>
      <c r="CG2" s="25"/>
      <c r="CH2" s="10"/>
      <c r="CI2" s="10"/>
      <c r="CJ2" s="25"/>
      <c r="CK2" s="25"/>
      <c r="CL2" s="8"/>
      <c r="CM2" s="8"/>
      <c r="CN2" s="8"/>
      <c r="CO2" s="8"/>
      <c r="CP2" s="25"/>
      <c r="CQ2" s="25"/>
      <c r="CR2" s="10"/>
      <c r="CS2" s="10"/>
      <c r="CT2" s="25"/>
      <c r="CU2" s="25"/>
      <c r="CV2" s="10"/>
      <c r="CW2" s="10"/>
      <c r="CX2" s="25"/>
      <c r="CY2" s="25"/>
      <c r="CZ2" s="8"/>
      <c r="DA2" s="8"/>
      <c r="DB2" s="8"/>
      <c r="DC2" s="8"/>
      <c r="DD2" s="25"/>
      <c r="DE2" s="25"/>
      <c r="DF2" s="10"/>
      <c r="DG2" s="10"/>
      <c r="DH2" s="25"/>
      <c r="DI2" s="25"/>
      <c r="DJ2" s="10"/>
      <c r="DK2" s="10"/>
      <c r="DL2" s="25"/>
      <c r="DM2" s="25"/>
      <c r="DN2" s="8"/>
      <c r="DO2" s="8"/>
      <c r="DP2" s="8"/>
      <c r="DQ2" s="8"/>
      <c r="DR2" s="26"/>
      <c r="DS2" s="25"/>
      <c r="DT2" s="25"/>
      <c r="DU2" s="10"/>
      <c r="DV2" s="10"/>
      <c r="DW2" s="25"/>
      <c r="DX2" s="25"/>
      <c r="DY2" s="10"/>
      <c r="DZ2" s="10"/>
      <c r="EA2" s="25"/>
      <c r="EB2" s="25"/>
      <c r="EC2" s="8"/>
      <c r="ED2" s="8"/>
      <c r="EE2" s="8"/>
      <c r="EF2" s="8"/>
      <c r="EG2" s="25"/>
      <c r="EH2" s="25"/>
      <c r="EI2" s="10"/>
      <c r="EJ2" s="10"/>
      <c r="EK2" s="25"/>
      <c r="EL2" s="25"/>
      <c r="EM2" s="10"/>
      <c r="EN2" s="10"/>
      <c r="EO2" s="25"/>
      <c r="EP2" s="25"/>
      <c r="EQ2" s="8"/>
      <c r="ER2" s="8"/>
      <c r="ES2" s="8"/>
      <c r="ET2" s="8"/>
      <c r="EU2" s="25"/>
      <c r="EV2" s="25"/>
      <c r="EW2" s="10"/>
      <c r="EX2" s="10"/>
      <c r="EY2" s="25"/>
      <c r="EZ2" s="25"/>
      <c r="FA2" s="10"/>
      <c r="FB2" s="10"/>
      <c r="FC2" s="25"/>
      <c r="FD2" s="25"/>
      <c r="FE2" s="8"/>
      <c r="FF2" s="8"/>
      <c r="FG2" s="8"/>
      <c r="FH2" s="8"/>
      <c r="FI2" s="25"/>
      <c r="FJ2" s="25"/>
      <c r="FK2" s="10"/>
      <c r="FL2" s="10"/>
      <c r="FM2" s="25"/>
      <c r="FN2" s="25"/>
      <c r="FO2" s="10"/>
      <c r="FP2" s="10"/>
      <c r="FQ2" s="25"/>
      <c r="FR2" s="25"/>
      <c r="FS2" s="8"/>
      <c r="FT2" s="8"/>
      <c r="FU2" s="8"/>
      <c r="FV2" s="8"/>
      <c r="FW2" s="25"/>
      <c r="FX2" s="25"/>
      <c r="FY2" s="10"/>
      <c r="FZ2" s="10"/>
      <c r="GA2" s="26"/>
      <c r="GB2" s="25"/>
      <c r="GC2" s="25"/>
      <c r="GD2" s="10"/>
      <c r="GE2" s="10"/>
      <c r="GF2" s="25"/>
      <c r="GG2" s="25"/>
      <c r="GH2" s="8"/>
      <c r="GI2" s="8"/>
      <c r="GJ2" s="8"/>
      <c r="GK2" s="8"/>
      <c r="GL2" s="25"/>
      <c r="GM2" s="25"/>
      <c r="GN2" s="10"/>
      <c r="GO2" s="10"/>
      <c r="GP2" s="25"/>
      <c r="GQ2" s="25"/>
      <c r="GR2" s="10"/>
      <c r="GS2" s="10"/>
      <c r="GT2" s="25"/>
      <c r="GU2" s="25"/>
      <c r="GV2" s="8"/>
      <c r="GW2" s="8"/>
      <c r="GX2" s="8"/>
      <c r="GY2" s="8"/>
      <c r="GZ2" s="25"/>
      <c r="HA2" s="25"/>
      <c r="HB2" s="10"/>
      <c r="HC2" s="10"/>
      <c r="HD2" s="25"/>
      <c r="HE2" s="25"/>
      <c r="HF2" s="10"/>
      <c r="HG2" s="10"/>
      <c r="HH2" s="25"/>
      <c r="HI2" s="25"/>
      <c r="HJ2" s="8"/>
      <c r="HK2" s="8"/>
      <c r="HL2" s="8"/>
      <c r="HM2" s="8"/>
      <c r="HN2" s="25"/>
      <c r="HO2" s="25"/>
      <c r="HP2" s="10"/>
      <c r="HQ2" s="10"/>
      <c r="HR2" s="25"/>
      <c r="HS2" s="25"/>
      <c r="HT2" s="10"/>
      <c r="HU2" s="10"/>
      <c r="HV2" s="25"/>
      <c r="HW2" s="25"/>
      <c r="HX2" s="8"/>
      <c r="HY2" s="8"/>
      <c r="HZ2" s="8"/>
      <c r="IA2" s="8"/>
      <c r="IB2" s="25"/>
      <c r="IC2" s="25"/>
      <c r="ID2" s="10"/>
      <c r="IE2" s="10"/>
      <c r="IF2" s="25"/>
      <c r="IG2" s="25"/>
      <c r="IH2" s="10"/>
      <c r="II2" s="10"/>
      <c r="IJ2" s="25"/>
      <c r="IK2" s="25"/>
      <c r="IL2" s="26"/>
      <c r="IM2" s="8"/>
      <c r="IN2" s="8"/>
      <c r="IO2" s="8"/>
      <c r="IP2" s="8"/>
      <c r="IQ2" s="25"/>
      <c r="IR2" s="25"/>
      <c r="IS2" s="10"/>
      <c r="IT2" s="10"/>
      <c r="IU2" s="25"/>
      <c r="IV2" s="25"/>
      <c r="IW2" s="10"/>
      <c r="IX2" s="10"/>
      <c r="IY2" s="25"/>
      <c r="IZ2" s="25"/>
      <c r="JA2" s="8"/>
      <c r="JB2" s="8"/>
      <c r="JC2" s="8"/>
      <c r="JD2" s="8"/>
      <c r="JE2" s="25"/>
      <c r="JF2" s="25"/>
      <c r="JG2" s="10"/>
      <c r="JH2" s="10"/>
      <c r="JI2" s="25"/>
      <c r="JJ2" s="25"/>
      <c r="JK2" s="10"/>
      <c r="JL2" s="10"/>
      <c r="JM2" s="25"/>
      <c r="JN2" s="25"/>
      <c r="JO2" s="8"/>
      <c r="JP2" s="8"/>
      <c r="JQ2" s="8"/>
      <c r="JR2" s="8"/>
      <c r="JS2" s="25"/>
      <c r="JT2" s="25"/>
      <c r="JU2" s="10"/>
      <c r="JV2" s="10"/>
      <c r="JW2" s="25"/>
      <c r="JX2" s="25"/>
      <c r="JY2" s="10"/>
      <c r="JZ2" s="10"/>
      <c r="KA2" s="25"/>
      <c r="KB2" s="25"/>
      <c r="KC2" s="8"/>
      <c r="KD2" s="8"/>
      <c r="KE2" s="8"/>
      <c r="KF2" s="8"/>
      <c r="KG2" s="25"/>
      <c r="KH2" s="25"/>
      <c r="KI2" s="10"/>
      <c r="KJ2" s="10"/>
      <c r="KK2" s="25"/>
      <c r="KL2" s="25"/>
      <c r="KM2" s="10"/>
      <c r="KN2" s="10"/>
      <c r="KO2" s="25"/>
      <c r="KP2" s="25"/>
      <c r="KQ2" s="8"/>
      <c r="KR2" s="8"/>
      <c r="KS2" s="8"/>
      <c r="KT2" s="8"/>
      <c r="KU2" s="26"/>
      <c r="KV2" s="25"/>
      <c r="KW2" s="25"/>
      <c r="KX2" s="10"/>
      <c r="KY2" s="10"/>
      <c r="KZ2" s="25"/>
      <c r="LA2" s="25"/>
      <c r="LB2" s="10"/>
      <c r="LC2" s="10"/>
      <c r="LD2" s="25"/>
      <c r="LE2" s="25"/>
      <c r="LF2" s="8"/>
      <c r="LG2" s="8"/>
      <c r="LH2" s="8"/>
      <c r="LI2" s="8"/>
      <c r="LJ2" s="25"/>
      <c r="LK2" s="25"/>
      <c r="LL2" s="10"/>
      <c r="LM2" s="10"/>
      <c r="LN2" s="25"/>
      <c r="LO2" s="25"/>
      <c r="LP2" s="10"/>
      <c r="LQ2" s="10"/>
      <c r="LR2" s="25"/>
      <c r="LS2" s="25"/>
      <c r="LT2" s="8"/>
      <c r="LU2" s="8"/>
      <c r="LV2" s="8"/>
      <c r="LW2" s="8"/>
      <c r="LX2" s="25"/>
      <c r="LY2" s="25"/>
      <c r="LZ2" s="10"/>
      <c r="MA2" s="10"/>
      <c r="MB2" s="25"/>
      <c r="MC2" s="25"/>
      <c r="MD2" s="10"/>
      <c r="ME2" s="10"/>
      <c r="MF2" s="25"/>
      <c r="MG2" s="25"/>
      <c r="MH2" s="8"/>
      <c r="MI2" s="8"/>
      <c r="MJ2" s="8"/>
      <c r="MK2" s="8"/>
      <c r="ML2" s="25"/>
      <c r="MM2" s="25"/>
      <c r="MN2" s="10"/>
      <c r="MO2" s="10"/>
      <c r="MP2" s="25"/>
      <c r="MQ2" s="25"/>
      <c r="MR2" s="10"/>
      <c r="MS2" s="10"/>
      <c r="MT2" s="25"/>
      <c r="MU2" s="25"/>
      <c r="MV2" s="8"/>
      <c r="MW2" s="8"/>
      <c r="MX2" s="8"/>
      <c r="MY2" s="8"/>
      <c r="MZ2" s="25"/>
      <c r="NA2" s="25"/>
      <c r="NB2" s="10"/>
      <c r="NC2" s="10"/>
      <c r="ND2" s="25"/>
      <c r="NE2" s="25"/>
      <c r="NF2" s="26"/>
      <c r="NG2" s="10"/>
      <c r="NH2" s="10"/>
      <c r="NI2" s="25"/>
      <c r="NJ2" s="25"/>
      <c r="NK2" s="8"/>
      <c r="NL2" s="8"/>
      <c r="NM2" s="8"/>
      <c r="NN2" s="8"/>
      <c r="NO2" s="25"/>
      <c r="NP2" s="25"/>
      <c r="NQ2" s="10"/>
      <c r="NR2" s="10"/>
      <c r="NS2" s="25"/>
      <c r="NT2" s="25"/>
      <c r="NU2" s="10"/>
      <c r="NV2" s="10"/>
      <c r="NW2" s="25"/>
      <c r="NX2" s="25"/>
      <c r="NY2" s="8"/>
      <c r="NZ2" s="8"/>
      <c r="OA2" s="8"/>
      <c r="OB2" s="8"/>
      <c r="OC2" s="25"/>
      <c r="OD2" s="25"/>
      <c r="OE2" s="10"/>
      <c r="OF2" s="10"/>
      <c r="OG2" s="25"/>
      <c r="OH2" s="25"/>
      <c r="OI2" s="10"/>
      <c r="OJ2" s="10"/>
      <c r="OK2" s="25"/>
      <c r="OL2" s="25"/>
      <c r="OM2" s="8"/>
      <c r="ON2" s="8"/>
      <c r="OO2" s="8"/>
      <c r="OP2" s="8"/>
      <c r="OQ2" s="25"/>
      <c r="OR2" s="25"/>
      <c r="OS2" s="10"/>
      <c r="OT2" s="10"/>
      <c r="OU2" s="25"/>
      <c r="OV2" s="25"/>
      <c r="OW2" s="10"/>
      <c r="OX2" s="10"/>
      <c r="OY2" s="25"/>
      <c r="OZ2" s="25"/>
      <c r="PA2" s="8"/>
      <c r="PB2" s="8"/>
      <c r="PC2" s="8"/>
      <c r="PD2" s="8"/>
      <c r="PE2" s="25"/>
      <c r="PF2" s="25"/>
      <c r="PG2" s="10"/>
      <c r="PH2" s="10"/>
      <c r="PI2" s="25"/>
      <c r="PJ2" s="25"/>
      <c r="PK2" s="10"/>
      <c r="PL2" s="10"/>
      <c r="PM2" s="25"/>
      <c r="PN2" s="25"/>
      <c r="PO2" s="8"/>
      <c r="PP2" s="8"/>
      <c r="PQ2" s="26"/>
      <c r="PR2" s="8"/>
      <c r="PS2" s="8"/>
      <c r="PT2" s="25"/>
      <c r="PU2" s="25"/>
      <c r="PV2" s="10"/>
      <c r="PW2" s="10"/>
      <c r="PX2" s="25"/>
      <c r="PY2" s="25"/>
      <c r="PZ2" s="10"/>
      <c r="QA2" s="10"/>
      <c r="QB2" s="25"/>
      <c r="QC2" s="25"/>
      <c r="QD2" s="8"/>
      <c r="QE2" s="8"/>
      <c r="QF2" s="8"/>
      <c r="QG2" s="8"/>
      <c r="QH2" s="25"/>
      <c r="QI2" s="25"/>
      <c r="QJ2" s="10"/>
      <c r="QK2" s="10"/>
      <c r="QL2" s="25"/>
      <c r="QM2" s="25"/>
      <c r="QN2" s="10"/>
      <c r="QO2" s="10"/>
      <c r="QP2" s="25"/>
      <c r="QQ2" s="25"/>
      <c r="QR2" s="8"/>
      <c r="QS2" s="8"/>
      <c r="QT2" s="8"/>
      <c r="QU2" s="8"/>
      <c r="QV2" s="25"/>
      <c r="QW2" s="25"/>
      <c r="QX2" s="10"/>
      <c r="QY2" s="10"/>
      <c r="QZ2" s="25"/>
      <c r="RA2" s="25"/>
      <c r="RB2" s="10"/>
      <c r="RC2" s="10"/>
      <c r="RD2" s="25"/>
      <c r="RE2" s="25"/>
      <c r="RF2" s="8"/>
      <c r="RG2" s="8"/>
      <c r="RH2" s="8"/>
      <c r="RI2" s="8"/>
      <c r="RJ2" s="25"/>
      <c r="RK2" s="25"/>
      <c r="RL2" s="10"/>
      <c r="RM2" s="10"/>
      <c r="RN2" s="25"/>
      <c r="RO2" s="25"/>
      <c r="RP2" s="10"/>
      <c r="RQ2" s="10"/>
      <c r="RR2" s="25"/>
      <c r="RS2" s="25"/>
      <c r="RT2" s="8"/>
      <c r="RU2" s="8"/>
      <c r="RV2" s="8"/>
      <c r="RW2" s="8"/>
      <c r="RX2" s="25"/>
      <c r="RY2" s="25"/>
      <c r="RZ2" s="26"/>
      <c r="SA2" s="10"/>
      <c r="SB2" s="10"/>
      <c r="SC2" s="25"/>
      <c r="SD2" s="25"/>
      <c r="SE2" s="10"/>
      <c r="SF2" s="10"/>
      <c r="SG2" s="25"/>
      <c r="SH2" s="25"/>
      <c r="SI2" s="8"/>
      <c r="SJ2" s="8"/>
      <c r="SK2" s="8"/>
      <c r="SL2" s="8"/>
      <c r="SM2" s="25"/>
      <c r="SN2" s="25"/>
      <c r="SO2" s="10"/>
      <c r="SP2" s="10"/>
      <c r="SQ2" s="25"/>
      <c r="SR2" s="25"/>
      <c r="SS2" s="10"/>
      <c r="ST2" s="10"/>
      <c r="SU2" s="25"/>
      <c r="SV2" s="25"/>
      <c r="SW2" s="8"/>
      <c r="SX2" s="8"/>
      <c r="SY2" s="8"/>
      <c r="SZ2" s="8"/>
      <c r="TA2" s="25"/>
      <c r="TB2" s="25"/>
      <c r="TC2" s="10"/>
      <c r="TD2" s="10"/>
      <c r="TE2" s="25"/>
      <c r="TF2" s="25"/>
      <c r="TG2" s="10"/>
      <c r="TH2" s="10"/>
      <c r="TI2" s="25"/>
      <c r="TJ2" s="25"/>
      <c r="TK2" s="8"/>
      <c r="TL2" s="8"/>
      <c r="TM2" s="8"/>
      <c r="TN2" s="8"/>
      <c r="TO2" s="25"/>
      <c r="TP2" s="25"/>
      <c r="TQ2" s="10"/>
      <c r="TR2" s="10"/>
      <c r="TS2" s="25"/>
      <c r="TT2" s="25"/>
      <c r="TU2" s="10"/>
      <c r="TV2" s="10"/>
      <c r="TW2" s="25"/>
      <c r="TX2" s="25"/>
      <c r="TY2" s="8"/>
      <c r="TZ2" s="8"/>
      <c r="UA2" s="8"/>
      <c r="UB2" s="8"/>
      <c r="UC2" s="25"/>
      <c r="UD2" s="25"/>
      <c r="UE2" s="10"/>
      <c r="UF2" s="10"/>
      <c r="UG2" s="25"/>
      <c r="UH2" s="25"/>
      <c r="UI2" s="10"/>
      <c r="UJ2" s="10"/>
      <c r="UK2" s="26"/>
      <c r="UL2" s="25"/>
      <c r="UM2" s="25"/>
      <c r="UN2" s="8"/>
      <c r="UO2" s="8"/>
      <c r="UP2" s="8"/>
      <c r="UQ2" s="8"/>
      <c r="UR2" s="25"/>
      <c r="US2" s="25"/>
      <c r="UT2" s="10"/>
      <c r="UU2" s="10"/>
      <c r="UV2" s="25"/>
      <c r="UW2" s="25"/>
      <c r="UX2" s="10"/>
      <c r="UY2" s="10"/>
      <c r="UZ2" s="25"/>
      <c r="VA2" s="25"/>
      <c r="VB2" s="8"/>
      <c r="VC2" s="8"/>
      <c r="VD2" s="8"/>
      <c r="VE2" s="8"/>
      <c r="VF2" s="25"/>
      <c r="VG2" s="25"/>
      <c r="VH2" s="10"/>
      <c r="VI2" s="10"/>
      <c r="VJ2" s="25"/>
      <c r="VK2" s="25"/>
      <c r="VL2" s="10"/>
      <c r="VM2" s="10"/>
      <c r="VN2" s="25"/>
      <c r="VO2" s="25"/>
      <c r="VP2" s="8"/>
      <c r="VQ2" s="8"/>
      <c r="VR2" s="8"/>
      <c r="VS2" s="8"/>
      <c r="VT2" s="25"/>
      <c r="VU2" s="25"/>
      <c r="VV2" s="10"/>
      <c r="VW2" s="10"/>
      <c r="VX2" s="25"/>
      <c r="VY2" s="25"/>
      <c r="VZ2" s="10"/>
      <c r="WA2" s="10"/>
      <c r="WB2" s="25"/>
      <c r="WC2" s="25"/>
      <c r="WD2" s="8"/>
      <c r="WE2" s="8"/>
      <c r="WF2" s="8"/>
      <c r="WG2" s="8"/>
      <c r="WH2" s="25"/>
      <c r="WI2" s="25"/>
      <c r="WJ2" s="10"/>
      <c r="WK2" s="10"/>
      <c r="WL2" s="25"/>
      <c r="WM2" s="25"/>
      <c r="WN2" s="10"/>
      <c r="WO2" s="10"/>
      <c r="WP2" s="25"/>
      <c r="WQ2" s="25"/>
      <c r="WR2" s="8"/>
      <c r="WS2" s="8"/>
      <c r="WT2" s="26"/>
      <c r="WU2" s="8"/>
      <c r="WV2" s="8"/>
      <c r="WW2" s="25"/>
      <c r="WX2" s="25"/>
      <c r="WY2" s="10"/>
      <c r="WZ2" s="10"/>
      <c r="XA2" s="25"/>
      <c r="XB2" s="25"/>
      <c r="XC2" s="10"/>
      <c r="XD2" s="10"/>
      <c r="XE2" s="25"/>
      <c r="XF2" s="25"/>
      <c r="XG2" s="8"/>
      <c r="XH2" s="8"/>
      <c r="XI2" s="8"/>
      <c r="XJ2" s="8"/>
      <c r="XK2" s="25"/>
      <c r="XL2" s="25"/>
      <c r="XM2" s="10"/>
      <c r="XN2" s="10"/>
      <c r="XO2" s="25"/>
      <c r="XP2" s="25"/>
      <c r="XQ2" s="10"/>
      <c r="XR2" s="10"/>
      <c r="XS2" s="25"/>
      <c r="XT2" s="25"/>
      <c r="XU2" s="8"/>
      <c r="XV2" s="8"/>
      <c r="XW2" s="8"/>
      <c r="XX2" s="8"/>
      <c r="XY2" s="25"/>
      <c r="XZ2" s="25"/>
      <c r="YA2" s="10"/>
      <c r="YB2" s="10"/>
      <c r="YC2" s="25"/>
      <c r="YD2" s="25"/>
      <c r="YE2" s="10"/>
      <c r="YF2" s="10"/>
      <c r="YG2" s="25"/>
      <c r="YH2" s="25"/>
      <c r="YI2" s="8"/>
      <c r="YJ2" s="8"/>
      <c r="YK2" s="8"/>
      <c r="YL2" s="8"/>
      <c r="YM2" s="25"/>
      <c r="YN2" s="25"/>
      <c r="YO2" s="10"/>
      <c r="YP2" s="10"/>
      <c r="YQ2" s="25"/>
      <c r="YR2" s="25"/>
      <c r="YS2" s="10"/>
      <c r="YT2" s="10"/>
      <c r="YU2" s="25"/>
      <c r="YV2" s="25"/>
      <c r="YW2" s="8"/>
      <c r="YX2" s="8"/>
      <c r="YY2" s="8"/>
      <c r="YZ2" s="8"/>
      <c r="ZA2" s="25"/>
      <c r="ZB2" s="25"/>
      <c r="ZC2" s="10"/>
      <c r="ZD2" s="10"/>
    </row>
    <row r="3" spans="1:680" x14ac:dyDescent="0.25">
      <c r="A3" s="12">
        <f>'PPa2019'!D3</f>
        <v>0</v>
      </c>
      <c r="B3" s="12">
        <f>'PPa2019'!E3</f>
        <v>0</v>
      </c>
      <c r="C3" s="10"/>
      <c r="D3" s="10"/>
      <c r="E3" s="10"/>
      <c r="F3" s="10"/>
      <c r="G3" s="10"/>
      <c r="H3" s="27"/>
      <c r="I3" s="28">
        <v>7</v>
      </c>
      <c r="J3" s="27"/>
      <c r="K3" s="28">
        <v>7</v>
      </c>
      <c r="L3" s="27"/>
      <c r="M3" s="28">
        <v>7</v>
      </c>
      <c r="N3" s="27"/>
      <c r="O3" s="28">
        <v>7</v>
      </c>
      <c r="P3" s="27"/>
      <c r="Q3" s="28">
        <v>7</v>
      </c>
      <c r="R3" s="9"/>
      <c r="S3" s="9"/>
      <c r="T3" s="9"/>
      <c r="U3" s="9"/>
      <c r="V3" s="27"/>
      <c r="W3" s="28">
        <v>7</v>
      </c>
      <c r="X3" s="27"/>
      <c r="Y3" s="28">
        <v>7</v>
      </c>
      <c r="Z3" s="27"/>
      <c r="AA3" s="28">
        <v>7</v>
      </c>
      <c r="AB3" s="27"/>
      <c r="AC3" s="28">
        <v>7</v>
      </c>
      <c r="AD3" s="27"/>
      <c r="AE3" s="28">
        <v>7</v>
      </c>
      <c r="AF3" s="9"/>
      <c r="AG3" s="9"/>
      <c r="AH3" s="9"/>
      <c r="AI3" s="9"/>
      <c r="AJ3" s="27">
        <v>3</v>
      </c>
      <c r="AK3" s="28"/>
      <c r="AL3" s="27">
        <v>3</v>
      </c>
      <c r="AM3" s="28"/>
      <c r="AN3" s="27">
        <v>7</v>
      </c>
      <c r="AO3" s="28"/>
      <c r="AP3" s="27">
        <v>3</v>
      </c>
      <c r="AQ3" s="28"/>
      <c r="AR3" s="27">
        <v>3</v>
      </c>
      <c r="AS3" s="28"/>
      <c r="AT3" s="9"/>
      <c r="AU3" s="9"/>
      <c r="AV3" s="9"/>
      <c r="AW3" s="9"/>
      <c r="AX3" s="27">
        <v>1</v>
      </c>
      <c r="AY3" s="28"/>
      <c r="AZ3" s="27">
        <v>7</v>
      </c>
      <c r="BA3" s="28"/>
      <c r="BB3" s="27">
        <v>7</v>
      </c>
      <c r="BC3" s="28"/>
      <c r="BD3" s="27">
        <v>1</v>
      </c>
      <c r="BE3" s="28"/>
      <c r="BF3" s="29">
        <f t="shared" ref="BF3:BF66" si="0">$H3+$J3+$L3+$N3+$P3+$V3+$X3+$Z3+$AB3+$AD3+$AJ3+$AL3+$AN3+$AP3+$AR3+$AX3+$AZ3+$BB3+$BD3</f>
        <v>35</v>
      </c>
      <c r="BG3" s="30">
        <f t="shared" ref="BG3:BG66" si="1">$I3+$K3+$M3+$O3+$Q3+$W3+$Y3+$AA3+$AC3+$AE3+$AK3+$AM3+$AO3+$AQ3+$AS3+$AY3+$BA3+$BC3+$BE3</f>
        <v>70</v>
      </c>
    </row>
    <row r="4" spans="1:680" x14ac:dyDescent="0.25">
      <c r="A4" s="12">
        <f>'PPa2019'!D4</f>
        <v>0</v>
      </c>
      <c r="B4" s="12">
        <f>'PPa2019'!E4</f>
        <v>0</v>
      </c>
      <c r="C4" s="10"/>
      <c r="D4" s="10"/>
      <c r="E4" s="10"/>
      <c r="F4" s="10"/>
      <c r="G4" s="10"/>
      <c r="H4" s="27"/>
      <c r="I4" s="28"/>
      <c r="J4" s="27"/>
      <c r="K4" s="28"/>
      <c r="L4" s="27"/>
      <c r="M4" s="28"/>
      <c r="N4" s="27"/>
      <c r="O4" s="28"/>
      <c r="P4" s="27"/>
      <c r="Q4" s="28"/>
      <c r="R4" s="9"/>
      <c r="S4" s="9"/>
      <c r="T4" s="9"/>
      <c r="U4" s="9"/>
      <c r="V4" s="27"/>
      <c r="W4" s="28"/>
      <c r="X4" s="27"/>
      <c r="Y4" s="28"/>
      <c r="Z4" s="27"/>
      <c r="AA4" s="28"/>
      <c r="AB4" s="27"/>
      <c r="AC4" s="28"/>
      <c r="AD4" s="27"/>
      <c r="AE4" s="28"/>
      <c r="AF4" s="9"/>
      <c r="AG4" s="9"/>
      <c r="AH4" s="9"/>
      <c r="AI4" s="9"/>
      <c r="AJ4" s="27"/>
      <c r="AK4" s="28"/>
      <c r="AL4" s="27"/>
      <c r="AM4" s="28"/>
      <c r="AN4" s="27"/>
      <c r="AO4" s="28"/>
      <c r="AP4" s="27"/>
      <c r="AQ4" s="28"/>
      <c r="AR4" s="27"/>
      <c r="AS4" s="28"/>
      <c r="AT4" s="9"/>
      <c r="AU4" s="9"/>
      <c r="AV4" s="9"/>
      <c r="AW4" s="9"/>
      <c r="AX4" s="27"/>
      <c r="AY4" s="28"/>
      <c r="AZ4" s="27"/>
      <c r="BA4" s="28"/>
      <c r="BB4" s="27"/>
      <c r="BC4" s="28"/>
      <c r="BD4" s="27"/>
      <c r="BE4" s="28"/>
      <c r="BF4" s="29">
        <f t="shared" si="0"/>
        <v>0</v>
      </c>
      <c r="BG4" s="30">
        <f t="shared" si="1"/>
        <v>0</v>
      </c>
    </row>
    <row r="5" spans="1:680" x14ac:dyDescent="0.25">
      <c r="A5" s="12">
        <f>'PPa2019'!D5</f>
        <v>0</v>
      </c>
      <c r="B5" s="12">
        <f>'PPa2019'!E5</f>
        <v>0</v>
      </c>
      <c r="C5" s="10"/>
      <c r="D5" s="10"/>
      <c r="E5" s="10"/>
      <c r="F5" s="10"/>
      <c r="G5" s="10"/>
      <c r="H5" s="27"/>
      <c r="I5" s="28"/>
      <c r="J5" s="27"/>
      <c r="K5" s="28"/>
      <c r="L5" s="27"/>
      <c r="M5" s="28"/>
      <c r="N5" s="27"/>
      <c r="O5" s="28"/>
      <c r="P5" s="27"/>
      <c r="Q5" s="28"/>
      <c r="R5" s="9"/>
      <c r="S5" s="9"/>
      <c r="T5" s="9"/>
      <c r="U5" s="9"/>
      <c r="V5" s="27"/>
      <c r="W5" s="28"/>
      <c r="X5" s="27"/>
      <c r="Y5" s="28"/>
      <c r="Z5" s="27"/>
      <c r="AA5" s="28"/>
      <c r="AB5" s="27"/>
      <c r="AC5" s="28"/>
      <c r="AD5" s="27"/>
      <c r="AE5" s="28"/>
      <c r="AF5" s="9"/>
      <c r="AG5" s="9"/>
      <c r="AH5" s="9"/>
      <c r="AI5" s="9"/>
      <c r="AJ5" s="27"/>
      <c r="AK5" s="28"/>
      <c r="AL5" s="27"/>
      <c r="AM5" s="28"/>
      <c r="AN5" s="27"/>
      <c r="AO5" s="28"/>
      <c r="AP5" s="27"/>
      <c r="AQ5" s="28"/>
      <c r="AR5" s="27"/>
      <c r="AS5" s="28"/>
      <c r="AT5" s="9"/>
      <c r="AU5" s="9"/>
      <c r="AV5" s="9"/>
      <c r="AW5" s="9"/>
      <c r="AX5" s="27"/>
      <c r="AY5" s="28"/>
      <c r="AZ5" s="27"/>
      <c r="BA5" s="28"/>
      <c r="BB5" s="27"/>
      <c r="BC5" s="28"/>
      <c r="BD5" s="27"/>
      <c r="BE5" s="28"/>
      <c r="BF5" s="29">
        <f t="shared" si="0"/>
        <v>0</v>
      </c>
      <c r="BG5" s="30">
        <f t="shared" si="1"/>
        <v>0</v>
      </c>
    </row>
    <row r="6" spans="1:680" x14ac:dyDescent="0.25">
      <c r="A6" s="12">
        <f>'PPa2019'!D6</f>
        <v>0</v>
      </c>
      <c r="B6" s="12">
        <f>'PPa2019'!E6</f>
        <v>0</v>
      </c>
      <c r="C6" s="10"/>
      <c r="D6" s="10"/>
      <c r="E6" s="10"/>
      <c r="F6" s="10"/>
      <c r="G6" s="10"/>
      <c r="H6" s="27"/>
      <c r="I6" s="28"/>
      <c r="J6" s="27"/>
      <c r="K6" s="28"/>
      <c r="L6" s="27"/>
      <c r="M6" s="28"/>
      <c r="N6" s="27"/>
      <c r="O6" s="28"/>
      <c r="P6" s="27"/>
      <c r="Q6" s="28"/>
      <c r="R6" s="9"/>
      <c r="S6" s="9"/>
      <c r="T6" s="9"/>
      <c r="U6" s="9"/>
      <c r="V6" s="27"/>
      <c r="W6" s="28"/>
      <c r="X6" s="27"/>
      <c r="Y6" s="28"/>
      <c r="Z6" s="27"/>
      <c r="AA6" s="28"/>
      <c r="AB6" s="27"/>
      <c r="AC6" s="28"/>
      <c r="AD6" s="27"/>
      <c r="AE6" s="28"/>
      <c r="AF6" s="9"/>
      <c r="AG6" s="9"/>
      <c r="AH6" s="9"/>
      <c r="AI6" s="9"/>
      <c r="AJ6" s="27"/>
      <c r="AK6" s="28"/>
      <c r="AL6" s="27"/>
      <c r="AM6" s="28"/>
      <c r="AN6" s="27"/>
      <c r="AO6" s="28"/>
      <c r="AP6" s="27"/>
      <c r="AQ6" s="28"/>
      <c r="AR6" s="27"/>
      <c r="AS6" s="28"/>
      <c r="AT6" s="9"/>
      <c r="AU6" s="9"/>
      <c r="AV6" s="9"/>
      <c r="AW6" s="9"/>
      <c r="AX6" s="27"/>
      <c r="AY6" s="28"/>
      <c r="AZ6" s="27"/>
      <c r="BA6" s="28"/>
      <c r="BB6" s="27"/>
      <c r="BC6" s="28"/>
      <c r="BD6" s="27"/>
      <c r="BE6" s="28"/>
      <c r="BF6" s="29">
        <f t="shared" si="0"/>
        <v>0</v>
      </c>
      <c r="BG6" s="30">
        <f t="shared" si="1"/>
        <v>0</v>
      </c>
    </row>
    <row r="7" spans="1:680" x14ac:dyDescent="0.25">
      <c r="A7" s="12">
        <f>'PPa2019'!D7</f>
        <v>0</v>
      </c>
      <c r="B7" s="12">
        <f>'PPa2019'!E7</f>
        <v>0</v>
      </c>
      <c r="C7" s="10"/>
      <c r="D7" s="10"/>
      <c r="E7" s="10"/>
      <c r="F7" s="10"/>
      <c r="G7" s="10"/>
      <c r="H7" s="27"/>
      <c r="I7" s="28"/>
      <c r="J7" s="27"/>
      <c r="K7" s="28"/>
      <c r="L7" s="27"/>
      <c r="M7" s="28"/>
      <c r="N7" s="27"/>
      <c r="O7" s="28"/>
      <c r="P7" s="27"/>
      <c r="Q7" s="28"/>
      <c r="R7" s="9"/>
      <c r="S7" s="9"/>
      <c r="T7" s="9"/>
      <c r="U7" s="9"/>
      <c r="V7" s="27"/>
      <c r="W7" s="28"/>
      <c r="X7" s="27"/>
      <c r="Y7" s="28"/>
      <c r="Z7" s="27"/>
      <c r="AA7" s="28"/>
      <c r="AB7" s="27"/>
      <c r="AC7" s="28"/>
      <c r="AD7" s="27"/>
      <c r="AE7" s="28"/>
      <c r="AF7" s="9"/>
      <c r="AG7" s="9"/>
      <c r="AH7" s="9"/>
      <c r="AI7" s="9"/>
      <c r="AJ7" s="27"/>
      <c r="AK7" s="28"/>
      <c r="AL7" s="27"/>
      <c r="AM7" s="28"/>
      <c r="AN7" s="27"/>
      <c r="AO7" s="28"/>
      <c r="AP7" s="27"/>
      <c r="AQ7" s="28"/>
      <c r="AR7" s="27"/>
      <c r="AS7" s="28"/>
      <c r="AT7" s="9"/>
      <c r="AU7" s="9"/>
      <c r="AV7" s="9"/>
      <c r="AW7" s="9"/>
      <c r="AX7" s="27"/>
      <c r="AY7" s="28"/>
      <c r="AZ7" s="27"/>
      <c r="BA7" s="28"/>
      <c r="BB7" s="27"/>
      <c r="BC7" s="28"/>
      <c r="BD7" s="27"/>
      <c r="BE7" s="28"/>
      <c r="BF7" s="29">
        <f t="shared" si="0"/>
        <v>0</v>
      </c>
      <c r="BG7" s="30">
        <f t="shared" si="1"/>
        <v>0</v>
      </c>
    </row>
    <row r="8" spans="1:680" x14ac:dyDescent="0.25">
      <c r="A8" s="12">
        <f>'PPa2019'!D8</f>
        <v>0</v>
      </c>
      <c r="B8" s="12">
        <f>'PPa2019'!E8</f>
        <v>0</v>
      </c>
      <c r="C8" s="10"/>
      <c r="D8" s="10"/>
      <c r="E8" s="10"/>
      <c r="F8" s="10"/>
      <c r="G8" s="10"/>
      <c r="H8" s="27"/>
      <c r="I8" s="28"/>
      <c r="J8" s="27"/>
      <c r="K8" s="28"/>
      <c r="L8" s="27"/>
      <c r="M8" s="28"/>
      <c r="N8" s="27"/>
      <c r="O8" s="28"/>
      <c r="P8" s="27"/>
      <c r="Q8" s="28"/>
      <c r="R8" s="9"/>
      <c r="S8" s="9"/>
      <c r="T8" s="9"/>
      <c r="U8" s="9"/>
      <c r="V8" s="27"/>
      <c r="W8" s="28"/>
      <c r="X8" s="27"/>
      <c r="Y8" s="28"/>
      <c r="Z8" s="27"/>
      <c r="AA8" s="28"/>
      <c r="AB8" s="27"/>
      <c r="AC8" s="28"/>
      <c r="AD8" s="27"/>
      <c r="AE8" s="28"/>
      <c r="AF8" s="9"/>
      <c r="AG8" s="9"/>
      <c r="AH8" s="9"/>
      <c r="AI8" s="9"/>
      <c r="AJ8" s="27"/>
      <c r="AK8" s="28"/>
      <c r="AL8" s="27"/>
      <c r="AM8" s="28"/>
      <c r="AN8" s="27"/>
      <c r="AO8" s="28"/>
      <c r="AP8" s="27"/>
      <c r="AQ8" s="28"/>
      <c r="AR8" s="27"/>
      <c r="AS8" s="28"/>
      <c r="AT8" s="9"/>
      <c r="AU8" s="9"/>
      <c r="AV8" s="9"/>
      <c r="AW8" s="9"/>
      <c r="AX8" s="27"/>
      <c r="AY8" s="28"/>
      <c r="AZ8" s="27"/>
      <c r="BA8" s="28"/>
      <c r="BB8" s="27"/>
      <c r="BC8" s="28"/>
      <c r="BD8" s="27"/>
      <c r="BE8" s="28"/>
      <c r="BF8" s="29">
        <f t="shared" si="0"/>
        <v>0</v>
      </c>
      <c r="BG8" s="30">
        <f t="shared" si="1"/>
        <v>0</v>
      </c>
    </row>
    <row r="9" spans="1:680" x14ac:dyDescent="0.25">
      <c r="A9" s="12">
        <f>'PPa2019'!D9</f>
        <v>0</v>
      </c>
      <c r="B9" s="12">
        <f>'PPa2019'!E9</f>
        <v>0</v>
      </c>
      <c r="C9" s="10"/>
      <c r="D9" s="10"/>
      <c r="E9" s="10"/>
      <c r="F9" s="10"/>
      <c r="G9" s="10"/>
      <c r="H9" s="27"/>
      <c r="I9" s="28"/>
      <c r="J9" s="27"/>
      <c r="K9" s="28"/>
      <c r="L9" s="27"/>
      <c r="M9" s="28"/>
      <c r="N9" s="27"/>
      <c r="O9" s="28"/>
      <c r="P9" s="27"/>
      <c r="Q9" s="28"/>
      <c r="R9" s="9"/>
      <c r="S9" s="9"/>
      <c r="T9" s="9"/>
      <c r="U9" s="9"/>
      <c r="V9" s="27"/>
      <c r="W9" s="28"/>
      <c r="X9" s="27"/>
      <c r="Y9" s="28"/>
      <c r="Z9" s="27"/>
      <c r="AA9" s="28"/>
      <c r="AB9" s="27"/>
      <c r="AC9" s="28"/>
      <c r="AD9" s="27"/>
      <c r="AE9" s="28"/>
      <c r="AF9" s="9"/>
      <c r="AG9" s="9"/>
      <c r="AH9" s="9"/>
      <c r="AI9" s="9"/>
      <c r="AJ9" s="27"/>
      <c r="AK9" s="28"/>
      <c r="AL9" s="27"/>
      <c r="AM9" s="28"/>
      <c r="AN9" s="27"/>
      <c r="AO9" s="28"/>
      <c r="AP9" s="27"/>
      <c r="AQ9" s="28"/>
      <c r="AR9" s="27"/>
      <c r="AS9" s="28"/>
      <c r="AT9" s="9"/>
      <c r="AU9" s="9"/>
      <c r="AV9" s="9"/>
      <c r="AW9" s="9"/>
      <c r="AX9" s="27"/>
      <c r="AY9" s="28"/>
      <c r="AZ9" s="27"/>
      <c r="BA9" s="28"/>
      <c r="BB9" s="27"/>
      <c r="BC9" s="28"/>
      <c r="BD9" s="27"/>
      <c r="BE9" s="28"/>
      <c r="BF9" s="29">
        <f t="shared" si="0"/>
        <v>0</v>
      </c>
      <c r="BG9" s="30">
        <f t="shared" si="1"/>
        <v>0</v>
      </c>
    </row>
    <row r="10" spans="1:680" x14ac:dyDescent="0.25">
      <c r="A10" s="12">
        <f>'PPa2019'!D10</f>
        <v>0</v>
      </c>
      <c r="B10" s="12">
        <f>'PPa2019'!E10</f>
        <v>0</v>
      </c>
      <c r="C10" s="10"/>
      <c r="D10" s="10"/>
      <c r="E10" s="10"/>
      <c r="F10" s="10"/>
      <c r="G10" s="10"/>
      <c r="H10" s="27"/>
      <c r="I10" s="28"/>
      <c r="J10" s="27"/>
      <c r="K10" s="28"/>
      <c r="L10" s="27"/>
      <c r="M10" s="28"/>
      <c r="N10" s="27"/>
      <c r="O10" s="28"/>
      <c r="P10" s="27"/>
      <c r="Q10" s="28"/>
      <c r="R10" s="9"/>
      <c r="S10" s="9"/>
      <c r="T10" s="9"/>
      <c r="U10" s="9"/>
      <c r="V10" s="27"/>
      <c r="W10" s="28"/>
      <c r="X10" s="27"/>
      <c r="Y10" s="28"/>
      <c r="Z10" s="27"/>
      <c r="AA10" s="28"/>
      <c r="AB10" s="27"/>
      <c r="AC10" s="28"/>
      <c r="AD10" s="27"/>
      <c r="AE10" s="28"/>
      <c r="AF10" s="9"/>
      <c r="AG10" s="9"/>
      <c r="AH10" s="9"/>
      <c r="AI10" s="9"/>
      <c r="AJ10" s="27"/>
      <c r="AK10" s="28"/>
      <c r="AL10" s="27"/>
      <c r="AM10" s="28"/>
      <c r="AN10" s="27"/>
      <c r="AO10" s="28"/>
      <c r="AP10" s="27"/>
      <c r="AQ10" s="28"/>
      <c r="AR10" s="27"/>
      <c r="AS10" s="28"/>
      <c r="AT10" s="9"/>
      <c r="AU10" s="9"/>
      <c r="AV10" s="9"/>
      <c r="AW10" s="9"/>
      <c r="AX10" s="27"/>
      <c r="AY10" s="28"/>
      <c r="AZ10" s="27"/>
      <c r="BA10" s="28"/>
      <c r="BB10" s="27"/>
      <c r="BC10" s="28"/>
      <c r="BD10" s="27"/>
      <c r="BE10" s="28"/>
      <c r="BF10" s="29">
        <f t="shared" si="0"/>
        <v>0</v>
      </c>
      <c r="BG10" s="30">
        <f t="shared" si="1"/>
        <v>0</v>
      </c>
    </row>
    <row r="11" spans="1:680" x14ac:dyDescent="0.25">
      <c r="A11" s="12">
        <f>'PPa2019'!D11</f>
        <v>0</v>
      </c>
      <c r="B11" s="12">
        <f>'PPa2019'!E11</f>
        <v>0</v>
      </c>
      <c r="C11" s="10"/>
      <c r="D11" s="10"/>
      <c r="E11" s="10"/>
      <c r="F11" s="10"/>
      <c r="G11" s="10"/>
      <c r="H11" s="27"/>
      <c r="I11" s="28"/>
      <c r="J11" s="27"/>
      <c r="K11" s="28"/>
      <c r="L11" s="27"/>
      <c r="M11" s="28"/>
      <c r="N11" s="27"/>
      <c r="O11" s="28"/>
      <c r="P11" s="27"/>
      <c r="Q11" s="28"/>
      <c r="R11" s="9"/>
      <c r="S11" s="9"/>
      <c r="T11" s="9"/>
      <c r="U11" s="9"/>
      <c r="V11" s="27"/>
      <c r="W11" s="28"/>
      <c r="X11" s="27"/>
      <c r="Y11" s="28"/>
      <c r="Z11" s="27"/>
      <c r="AA11" s="28"/>
      <c r="AB11" s="27"/>
      <c r="AC11" s="28"/>
      <c r="AD11" s="27"/>
      <c r="AE11" s="28"/>
      <c r="AF11" s="9"/>
      <c r="AG11" s="9"/>
      <c r="AH11" s="9"/>
      <c r="AI11" s="9"/>
      <c r="AJ11" s="27"/>
      <c r="AK11" s="28"/>
      <c r="AL11" s="27"/>
      <c r="AM11" s="28"/>
      <c r="AN11" s="27"/>
      <c r="AO11" s="28"/>
      <c r="AP11" s="27"/>
      <c r="AQ11" s="28"/>
      <c r="AR11" s="27"/>
      <c r="AS11" s="28"/>
      <c r="AT11" s="9"/>
      <c r="AU11" s="9"/>
      <c r="AV11" s="9"/>
      <c r="AW11" s="9"/>
      <c r="AX11" s="27"/>
      <c r="AY11" s="28"/>
      <c r="AZ11" s="27"/>
      <c r="BA11" s="28"/>
      <c r="BB11" s="27"/>
      <c r="BC11" s="28"/>
      <c r="BD11" s="27"/>
      <c r="BE11" s="28"/>
      <c r="BF11" s="29">
        <f t="shared" si="0"/>
        <v>0</v>
      </c>
      <c r="BG11" s="30">
        <f t="shared" si="1"/>
        <v>0</v>
      </c>
    </row>
    <row r="12" spans="1:680" x14ac:dyDescent="0.25">
      <c r="A12" s="12">
        <f>'PPa2019'!D12</f>
        <v>0</v>
      </c>
      <c r="B12" s="12">
        <f>'PPa2019'!E12</f>
        <v>0</v>
      </c>
      <c r="C12" s="10"/>
      <c r="D12" s="10"/>
      <c r="E12" s="10"/>
      <c r="F12" s="10"/>
      <c r="G12" s="10"/>
      <c r="H12" s="27"/>
      <c r="I12" s="28"/>
      <c r="J12" s="27"/>
      <c r="K12" s="28"/>
      <c r="L12" s="27"/>
      <c r="M12" s="28"/>
      <c r="N12" s="27"/>
      <c r="O12" s="28"/>
      <c r="P12" s="27"/>
      <c r="Q12" s="28"/>
      <c r="R12" s="9"/>
      <c r="S12" s="9"/>
      <c r="T12" s="9"/>
      <c r="U12" s="9"/>
      <c r="V12" s="27"/>
      <c r="W12" s="28"/>
      <c r="X12" s="27"/>
      <c r="Y12" s="28"/>
      <c r="Z12" s="27"/>
      <c r="AA12" s="28"/>
      <c r="AB12" s="27"/>
      <c r="AC12" s="28"/>
      <c r="AD12" s="27"/>
      <c r="AE12" s="28"/>
      <c r="AF12" s="9"/>
      <c r="AG12" s="9"/>
      <c r="AH12" s="9"/>
      <c r="AI12" s="9"/>
      <c r="AJ12" s="27"/>
      <c r="AK12" s="28"/>
      <c r="AL12" s="27"/>
      <c r="AM12" s="28"/>
      <c r="AN12" s="27"/>
      <c r="AO12" s="28"/>
      <c r="AP12" s="27"/>
      <c r="AQ12" s="28"/>
      <c r="AR12" s="27"/>
      <c r="AS12" s="28"/>
      <c r="AT12" s="9"/>
      <c r="AU12" s="9"/>
      <c r="AV12" s="9"/>
      <c r="AW12" s="9"/>
      <c r="AX12" s="27"/>
      <c r="AY12" s="28"/>
      <c r="AZ12" s="27"/>
      <c r="BA12" s="28"/>
      <c r="BB12" s="27"/>
      <c r="BC12" s="28"/>
      <c r="BD12" s="27"/>
      <c r="BE12" s="28"/>
      <c r="BF12" s="29">
        <f t="shared" si="0"/>
        <v>0</v>
      </c>
      <c r="BG12" s="30">
        <f t="shared" si="1"/>
        <v>0</v>
      </c>
    </row>
    <row r="13" spans="1:680" x14ac:dyDescent="0.25">
      <c r="A13" s="12">
        <f>'PPa2019'!D13</f>
        <v>0</v>
      </c>
      <c r="B13" s="12">
        <f>'PPa2019'!E13</f>
        <v>0</v>
      </c>
      <c r="C13" s="10"/>
      <c r="D13" s="10"/>
      <c r="E13" s="10"/>
      <c r="F13" s="10"/>
      <c r="G13" s="10"/>
      <c r="H13" s="27"/>
      <c r="I13" s="28"/>
      <c r="J13" s="27"/>
      <c r="K13" s="28"/>
      <c r="L13" s="27"/>
      <c r="M13" s="28"/>
      <c r="N13" s="27"/>
      <c r="O13" s="28"/>
      <c r="P13" s="27"/>
      <c r="Q13" s="28"/>
      <c r="R13" s="9"/>
      <c r="S13" s="9"/>
      <c r="T13" s="9"/>
      <c r="U13" s="9"/>
      <c r="V13" s="27"/>
      <c r="W13" s="28"/>
      <c r="X13" s="27"/>
      <c r="Y13" s="28"/>
      <c r="Z13" s="27"/>
      <c r="AA13" s="28"/>
      <c r="AB13" s="27"/>
      <c r="AC13" s="28"/>
      <c r="AD13" s="27"/>
      <c r="AE13" s="28"/>
      <c r="AF13" s="9"/>
      <c r="AG13" s="9"/>
      <c r="AH13" s="9"/>
      <c r="AI13" s="9"/>
      <c r="AJ13" s="27"/>
      <c r="AK13" s="28"/>
      <c r="AL13" s="27"/>
      <c r="AM13" s="28"/>
      <c r="AN13" s="27"/>
      <c r="AO13" s="28"/>
      <c r="AP13" s="27"/>
      <c r="AQ13" s="28"/>
      <c r="AR13" s="27"/>
      <c r="AS13" s="28"/>
      <c r="AT13" s="9"/>
      <c r="AU13" s="9"/>
      <c r="AV13" s="9"/>
      <c r="AW13" s="9"/>
      <c r="AX13" s="27"/>
      <c r="AY13" s="28"/>
      <c r="AZ13" s="27"/>
      <c r="BA13" s="28"/>
      <c r="BB13" s="27"/>
      <c r="BC13" s="28"/>
      <c r="BD13" s="27"/>
      <c r="BE13" s="28"/>
      <c r="BF13" s="29">
        <f t="shared" si="0"/>
        <v>0</v>
      </c>
      <c r="BG13" s="30">
        <f t="shared" si="1"/>
        <v>0</v>
      </c>
    </row>
    <row r="14" spans="1:680" x14ac:dyDescent="0.25">
      <c r="A14" s="12">
        <f>'PPa2019'!D14</f>
        <v>0</v>
      </c>
      <c r="B14" s="12">
        <f>'PPa2019'!E14</f>
        <v>0</v>
      </c>
      <c r="C14" s="10"/>
      <c r="D14" s="10"/>
      <c r="E14" s="10"/>
      <c r="F14" s="10"/>
      <c r="G14" s="10"/>
      <c r="H14" s="27"/>
      <c r="I14" s="28"/>
      <c r="J14" s="27"/>
      <c r="K14" s="28"/>
      <c r="L14" s="27"/>
      <c r="M14" s="28"/>
      <c r="N14" s="27"/>
      <c r="O14" s="28"/>
      <c r="P14" s="27"/>
      <c r="Q14" s="28"/>
      <c r="R14" s="9"/>
      <c r="S14" s="9"/>
      <c r="T14" s="9"/>
      <c r="U14" s="9"/>
      <c r="V14" s="27"/>
      <c r="W14" s="28"/>
      <c r="X14" s="27"/>
      <c r="Y14" s="28"/>
      <c r="Z14" s="27"/>
      <c r="AA14" s="28"/>
      <c r="AB14" s="27"/>
      <c r="AC14" s="28"/>
      <c r="AD14" s="27"/>
      <c r="AE14" s="28"/>
      <c r="AF14" s="9"/>
      <c r="AG14" s="9"/>
      <c r="AH14" s="9"/>
      <c r="AI14" s="9"/>
      <c r="AJ14" s="27"/>
      <c r="AK14" s="28"/>
      <c r="AL14" s="27"/>
      <c r="AM14" s="28"/>
      <c r="AN14" s="27"/>
      <c r="AO14" s="28"/>
      <c r="AP14" s="27"/>
      <c r="AQ14" s="28"/>
      <c r="AR14" s="27"/>
      <c r="AS14" s="28"/>
      <c r="AT14" s="9"/>
      <c r="AU14" s="9"/>
      <c r="AV14" s="9"/>
      <c r="AW14" s="9"/>
      <c r="AX14" s="27"/>
      <c r="AY14" s="28"/>
      <c r="AZ14" s="27"/>
      <c r="BA14" s="28"/>
      <c r="BB14" s="27"/>
      <c r="BC14" s="28"/>
      <c r="BD14" s="27"/>
      <c r="BE14" s="28"/>
      <c r="BF14" s="29">
        <f t="shared" si="0"/>
        <v>0</v>
      </c>
      <c r="BG14" s="30">
        <f t="shared" si="1"/>
        <v>0</v>
      </c>
    </row>
    <row r="15" spans="1:680" x14ac:dyDescent="0.25">
      <c r="A15" s="12">
        <f>'PPa2019'!D15</f>
        <v>0</v>
      </c>
      <c r="B15" s="12">
        <f>'PPa2019'!E15</f>
        <v>0</v>
      </c>
      <c r="C15" s="10"/>
      <c r="D15" s="10"/>
      <c r="E15" s="10"/>
      <c r="F15" s="10"/>
      <c r="G15" s="10"/>
      <c r="H15" s="27"/>
      <c r="I15" s="28"/>
      <c r="J15" s="27"/>
      <c r="K15" s="28"/>
      <c r="L15" s="27"/>
      <c r="M15" s="28"/>
      <c r="N15" s="27"/>
      <c r="O15" s="28"/>
      <c r="P15" s="27"/>
      <c r="Q15" s="28"/>
      <c r="R15" s="9"/>
      <c r="S15" s="9"/>
      <c r="T15" s="9"/>
      <c r="U15" s="9"/>
      <c r="V15" s="27"/>
      <c r="W15" s="28"/>
      <c r="X15" s="27"/>
      <c r="Y15" s="28"/>
      <c r="Z15" s="27"/>
      <c r="AA15" s="28"/>
      <c r="AB15" s="27"/>
      <c r="AC15" s="28"/>
      <c r="AD15" s="27"/>
      <c r="AE15" s="28"/>
      <c r="AF15" s="9"/>
      <c r="AG15" s="9"/>
      <c r="AH15" s="9"/>
      <c r="AI15" s="9"/>
      <c r="AJ15" s="27"/>
      <c r="AK15" s="28"/>
      <c r="AL15" s="27"/>
      <c r="AM15" s="28"/>
      <c r="AN15" s="27"/>
      <c r="AO15" s="28"/>
      <c r="AP15" s="27"/>
      <c r="AQ15" s="28"/>
      <c r="AR15" s="27"/>
      <c r="AS15" s="28"/>
      <c r="AT15" s="9"/>
      <c r="AU15" s="9"/>
      <c r="AV15" s="9"/>
      <c r="AW15" s="9"/>
      <c r="AX15" s="27"/>
      <c r="AY15" s="28"/>
      <c r="AZ15" s="27"/>
      <c r="BA15" s="28"/>
      <c r="BB15" s="27"/>
      <c r="BC15" s="28"/>
      <c r="BD15" s="27"/>
      <c r="BE15" s="28"/>
      <c r="BF15" s="29">
        <f t="shared" si="0"/>
        <v>0</v>
      </c>
      <c r="BG15" s="30">
        <f t="shared" si="1"/>
        <v>0</v>
      </c>
    </row>
    <row r="16" spans="1:680" x14ac:dyDescent="0.25">
      <c r="A16" s="12">
        <f>'PPa2019'!D16</f>
        <v>0</v>
      </c>
      <c r="B16" s="12">
        <f>'PPa2019'!E16</f>
        <v>0</v>
      </c>
      <c r="C16" s="10"/>
      <c r="D16" s="10"/>
      <c r="E16" s="10"/>
      <c r="F16" s="10"/>
      <c r="G16" s="10"/>
      <c r="H16" s="27"/>
      <c r="I16" s="28"/>
      <c r="J16" s="27"/>
      <c r="K16" s="28"/>
      <c r="L16" s="27"/>
      <c r="M16" s="28"/>
      <c r="N16" s="27"/>
      <c r="O16" s="28"/>
      <c r="P16" s="27"/>
      <c r="Q16" s="28"/>
      <c r="R16" s="9"/>
      <c r="S16" s="9"/>
      <c r="T16" s="9"/>
      <c r="U16" s="9"/>
      <c r="V16" s="27"/>
      <c r="W16" s="28"/>
      <c r="X16" s="27"/>
      <c r="Y16" s="28"/>
      <c r="Z16" s="27"/>
      <c r="AA16" s="28"/>
      <c r="AB16" s="27"/>
      <c r="AC16" s="28"/>
      <c r="AD16" s="27"/>
      <c r="AE16" s="28"/>
      <c r="AF16" s="9"/>
      <c r="AG16" s="9"/>
      <c r="AH16" s="9"/>
      <c r="AI16" s="9"/>
      <c r="AJ16" s="27"/>
      <c r="AK16" s="28"/>
      <c r="AL16" s="27"/>
      <c r="AM16" s="28"/>
      <c r="AN16" s="27"/>
      <c r="AO16" s="28"/>
      <c r="AP16" s="27"/>
      <c r="AQ16" s="28"/>
      <c r="AR16" s="27"/>
      <c r="AS16" s="28"/>
      <c r="AT16" s="9"/>
      <c r="AU16" s="9"/>
      <c r="AV16" s="9"/>
      <c r="AW16" s="9"/>
      <c r="AX16" s="27"/>
      <c r="AY16" s="28"/>
      <c r="AZ16" s="27"/>
      <c r="BA16" s="28"/>
      <c r="BB16" s="27"/>
      <c r="BC16" s="28"/>
      <c r="BD16" s="27"/>
      <c r="BE16" s="28"/>
      <c r="BF16" s="29">
        <f t="shared" si="0"/>
        <v>0</v>
      </c>
      <c r="BG16" s="30">
        <f t="shared" si="1"/>
        <v>0</v>
      </c>
    </row>
    <row r="17" spans="1:59" x14ac:dyDescent="0.25">
      <c r="A17" s="12">
        <f>'PPa2019'!D17</f>
        <v>0</v>
      </c>
      <c r="B17" s="12">
        <f>'PPa2019'!E17</f>
        <v>0</v>
      </c>
      <c r="C17" s="10"/>
      <c r="D17" s="10"/>
      <c r="E17" s="10"/>
      <c r="F17" s="10"/>
      <c r="G17" s="10"/>
      <c r="H17" s="27"/>
      <c r="I17" s="28"/>
      <c r="J17" s="27"/>
      <c r="K17" s="28"/>
      <c r="L17" s="27"/>
      <c r="M17" s="28"/>
      <c r="N17" s="27"/>
      <c r="O17" s="28"/>
      <c r="P17" s="27"/>
      <c r="Q17" s="28"/>
      <c r="R17" s="9"/>
      <c r="S17" s="9"/>
      <c r="T17" s="9"/>
      <c r="U17" s="9"/>
      <c r="V17" s="27"/>
      <c r="W17" s="28"/>
      <c r="X17" s="27"/>
      <c r="Y17" s="28"/>
      <c r="Z17" s="27"/>
      <c r="AA17" s="28"/>
      <c r="AB17" s="27"/>
      <c r="AC17" s="28"/>
      <c r="AD17" s="27"/>
      <c r="AE17" s="28"/>
      <c r="AF17" s="9"/>
      <c r="AG17" s="9"/>
      <c r="AH17" s="9"/>
      <c r="AI17" s="9"/>
      <c r="AJ17" s="27"/>
      <c r="AK17" s="28"/>
      <c r="AL17" s="27"/>
      <c r="AM17" s="28"/>
      <c r="AN17" s="27"/>
      <c r="AO17" s="28"/>
      <c r="AP17" s="27"/>
      <c r="AQ17" s="28"/>
      <c r="AR17" s="27"/>
      <c r="AS17" s="28"/>
      <c r="AT17" s="9"/>
      <c r="AU17" s="9"/>
      <c r="AV17" s="9"/>
      <c r="AW17" s="9"/>
      <c r="AX17" s="27"/>
      <c r="AY17" s="28"/>
      <c r="AZ17" s="27"/>
      <c r="BA17" s="28"/>
      <c r="BB17" s="27"/>
      <c r="BC17" s="28"/>
      <c r="BD17" s="27"/>
      <c r="BE17" s="28"/>
      <c r="BF17" s="29">
        <f t="shared" si="0"/>
        <v>0</v>
      </c>
      <c r="BG17" s="30">
        <f t="shared" si="1"/>
        <v>0</v>
      </c>
    </row>
    <row r="18" spans="1:59" x14ac:dyDescent="0.25">
      <c r="A18" s="12">
        <f>'PPa2019'!D18</f>
        <v>0</v>
      </c>
      <c r="B18" s="12">
        <f>'PPa2019'!E18</f>
        <v>0</v>
      </c>
      <c r="C18" s="10"/>
      <c r="D18" s="10"/>
      <c r="E18" s="10"/>
      <c r="F18" s="10"/>
      <c r="G18" s="10"/>
      <c r="H18" s="27"/>
      <c r="I18" s="28"/>
      <c r="J18" s="27"/>
      <c r="K18" s="28"/>
      <c r="L18" s="27"/>
      <c r="M18" s="28"/>
      <c r="N18" s="27"/>
      <c r="O18" s="28"/>
      <c r="P18" s="27"/>
      <c r="Q18" s="28"/>
      <c r="R18" s="9"/>
      <c r="S18" s="9"/>
      <c r="T18" s="9"/>
      <c r="U18" s="9"/>
      <c r="V18" s="27"/>
      <c r="W18" s="28"/>
      <c r="X18" s="27"/>
      <c r="Y18" s="28"/>
      <c r="Z18" s="27"/>
      <c r="AA18" s="28"/>
      <c r="AB18" s="27"/>
      <c r="AC18" s="28"/>
      <c r="AD18" s="27"/>
      <c r="AE18" s="28"/>
      <c r="AF18" s="9"/>
      <c r="AG18" s="9"/>
      <c r="AH18" s="9"/>
      <c r="AI18" s="9"/>
      <c r="AJ18" s="27"/>
      <c r="AK18" s="28"/>
      <c r="AL18" s="27"/>
      <c r="AM18" s="28"/>
      <c r="AN18" s="27"/>
      <c r="AO18" s="28"/>
      <c r="AP18" s="27"/>
      <c r="AQ18" s="28"/>
      <c r="AR18" s="27"/>
      <c r="AS18" s="28"/>
      <c r="AT18" s="9"/>
      <c r="AU18" s="9"/>
      <c r="AV18" s="9"/>
      <c r="AW18" s="9"/>
      <c r="AX18" s="27"/>
      <c r="AY18" s="28"/>
      <c r="AZ18" s="27"/>
      <c r="BA18" s="28"/>
      <c r="BB18" s="27"/>
      <c r="BC18" s="28"/>
      <c r="BD18" s="27"/>
      <c r="BE18" s="28"/>
      <c r="BF18" s="29">
        <f t="shared" si="0"/>
        <v>0</v>
      </c>
      <c r="BG18" s="30">
        <f t="shared" si="1"/>
        <v>0</v>
      </c>
    </row>
    <row r="19" spans="1:59" x14ac:dyDescent="0.25">
      <c r="A19" s="12" t="e">
        <f>'PPa2019'!#REF!</f>
        <v>#REF!</v>
      </c>
      <c r="B19" s="12" t="e">
        <f>'PPa2019'!#REF!</f>
        <v>#REF!</v>
      </c>
      <c r="C19" s="10"/>
      <c r="D19" s="10"/>
      <c r="E19" s="10"/>
      <c r="F19" s="10"/>
      <c r="G19" s="10"/>
      <c r="H19" s="27"/>
      <c r="I19" s="28"/>
      <c r="J19" s="27"/>
      <c r="K19" s="28"/>
      <c r="L19" s="27"/>
      <c r="M19" s="28"/>
      <c r="N19" s="27"/>
      <c r="O19" s="28"/>
      <c r="P19" s="27"/>
      <c r="Q19" s="28"/>
      <c r="R19" s="9"/>
      <c r="S19" s="9"/>
      <c r="T19" s="9"/>
      <c r="U19" s="9"/>
      <c r="V19" s="27"/>
      <c r="W19" s="28"/>
      <c r="X19" s="27"/>
      <c r="Y19" s="28"/>
      <c r="Z19" s="27"/>
      <c r="AA19" s="28"/>
      <c r="AB19" s="27"/>
      <c r="AC19" s="28"/>
      <c r="AD19" s="27"/>
      <c r="AE19" s="28"/>
      <c r="AF19" s="9"/>
      <c r="AG19" s="9"/>
      <c r="AH19" s="9"/>
      <c r="AI19" s="9"/>
      <c r="AJ19" s="27"/>
      <c r="AK19" s="28"/>
      <c r="AL19" s="27"/>
      <c r="AM19" s="28"/>
      <c r="AN19" s="27"/>
      <c r="AO19" s="28"/>
      <c r="AP19" s="27"/>
      <c r="AQ19" s="28"/>
      <c r="AR19" s="27"/>
      <c r="AS19" s="28"/>
      <c r="AT19" s="9"/>
      <c r="AU19" s="9"/>
      <c r="AV19" s="9"/>
      <c r="AW19" s="9"/>
      <c r="AX19" s="27"/>
      <c r="AY19" s="28"/>
      <c r="AZ19" s="27"/>
      <c r="BA19" s="28"/>
      <c r="BB19" s="27"/>
      <c r="BC19" s="28"/>
      <c r="BD19" s="27"/>
      <c r="BE19" s="28"/>
      <c r="BF19" s="29">
        <f t="shared" si="0"/>
        <v>0</v>
      </c>
      <c r="BG19" s="30">
        <f t="shared" si="1"/>
        <v>0</v>
      </c>
    </row>
    <row r="20" spans="1:59" x14ac:dyDescent="0.25">
      <c r="A20" s="12">
        <f>'PPa2019'!E20</f>
        <v>0</v>
      </c>
      <c r="B20" s="12" t="e">
        <f>'PPa2019'!#REF!</f>
        <v>#REF!</v>
      </c>
      <c r="C20" s="10"/>
      <c r="D20" s="10"/>
      <c r="E20" s="10"/>
      <c r="F20" s="10"/>
      <c r="G20" s="10"/>
      <c r="H20" s="27"/>
      <c r="I20" s="28"/>
      <c r="J20" s="27"/>
      <c r="K20" s="28"/>
      <c r="L20" s="27"/>
      <c r="M20" s="28"/>
      <c r="N20" s="27"/>
      <c r="O20" s="28"/>
      <c r="P20" s="27"/>
      <c r="Q20" s="28"/>
      <c r="R20" s="9"/>
      <c r="S20" s="9"/>
      <c r="T20" s="9"/>
      <c r="U20" s="9"/>
      <c r="V20" s="27"/>
      <c r="W20" s="28"/>
      <c r="X20" s="27"/>
      <c r="Y20" s="28"/>
      <c r="Z20" s="27"/>
      <c r="AA20" s="28"/>
      <c r="AB20" s="27"/>
      <c r="AC20" s="28"/>
      <c r="AD20" s="27"/>
      <c r="AE20" s="28"/>
      <c r="AF20" s="9"/>
      <c r="AG20" s="9"/>
      <c r="AH20" s="9"/>
      <c r="AI20" s="9"/>
      <c r="AJ20" s="27"/>
      <c r="AK20" s="28"/>
      <c r="AL20" s="27"/>
      <c r="AM20" s="28"/>
      <c r="AN20" s="27"/>
      <c r="AO20" s="28"/>
      <c r="AP20" s="27"/>
      <c r="AQ20" s="28"/>
      <c r="AR20" s="27"/>
      <c r="AS20" s="28"/>
      <c r="AT20" s="9"/>
      <c r="AU20" s="9"/>
      <c r="AV20" s="9"/>
      <c r="AW20" s="9"/>
      <c r="AX20" s="27"/>
      <c r="AY20" s="28"/>
      <c r="AZ20" s="27"/>
      <c r="BA20" s="28"/>
      <c r="BB20" s="27"/>
      <c r="BC20" s="28"/>
      <c r="BD20" s="27"/>
      <c r="BE20" s="28"/>
      <c r="BF20" s="29">
        <f t="shared" si="0"/>
        <v>0</v>
      </c>
      <c r="BG20" s="30">
        <f t="shared" si="1"/>
        <v>0</v>
      </c>
    </row>
    <row r="21" spans="1:59" x14ac:dyDescent="0.25">
      <c r="A21" s="12">
        <f>'PPa2019'!E19</f>
        <v>0</v>
      </c>
      <c r="B21" s="12" t="e">
        <f>'PPa2019'!#REF!</f>
        <v>#REF!</v>
      </c>
      <c r="C21" s="10"/>
      <c r="D21" s="10"/>
      <c r="E21" s="10"/>
      <c r="F21" s="10"/>
      <c r="G21" s="10"/>
      <c r="H21" s="27"/>
      <c r="I21" s="28"/>
      <c r="J21" s="27"/>
      <c r="K21" s="28"/>
      <c r="L21" s="27"/>
      <c r="M21" s="28"/>
      <c r="N21" s="27"/>
      <c r="O21" s="28"/>
      <c r="P21" s="27"/>
      <c r="Q21" s="28"/>
      <c r="R21" s="9"/>
      <c r="S21" s="9"/>
      <c r="T21" s="9"/>
      <c r="U21" s="9"/>
      <c r="V21" s="27"/>
      <c r="W21" s="28"/>
      <c r="X21" s="27"/>
      <c r="Y21" s="28"/>
      <c r="Z21" s="27"/>
      <c r="AA21" s="28"/>
      <c r="AB21" s="27"/>
      <c r="AC21" s="28"/>
      <c r="AD21" s="27"/>
      <c r="AE21" s="28"/>
      <c r="AF21" s="9"/>
      <c r="AG21" s="9"/>
      <c r="AH21" s="9"/>
      <c r="AI21" s="9"/>
      <c r="AJ21" s="27"/>
      <c r="AK21" s="28"/>
      <c r="AL21" s="27"/>
      <c r="AM21" s="28"/>
      <c r="AN21" s="27"/>
      <c r="AO21" s="28"/>
      <c r="AP21" s="27"/>
      <c r="AQ21" s="28"/>
      <c r="AR21" s="27"/>
      <c r="AS21" s="28"/>
      <c r="AT21" s="9"/>
      <c r="AU21" s="9"/>
      <c r="AV21" s="9"/>
      <c r="AW21" s="9"/>
      <c r="AX21" s="27"/>
      <c r="AY21" s="28"/>
      <c r="AZ21" s="27"/>
      <c r="BA21" s="28"/>
      <c r="BB21" s="27"/>
      <c r="BC21" s="28"/>
      <c r="BD21" s="27"/>
      <c r="BE21" s="28"/>
      <c r="BF21" s="29">
        <f t="shared" si="0"/>
        <v>0</v>
      </c>
      <c r="BG21" s="30">
        <f t="shared" si="1"/>
        <v>0</v>
      </c>
    </row>
    <row r="22" spans="1:59" x14ac:dyDescent="0.25">
      <c r="A22" s="12">
        <f>'PPa2019'!E22</f>
        <v>0</v>
      </c>
      <c r="B22" s="12" t="e">
        <f>'PPa2019'!#REF!</f>
        <v>#REF!</v>
      </c>
      <c r="C22" s="10"/>
      <c r="D22" s="10"/>
      <c r="E22" s="10"/>
      <c r="F22" s="10"/>
      <c r="G22" s="10"/>
      <c r="H22" s="27"/>
      <c r="I22" s="28"/>
      <c r="J22" s="27"/>
      <c r="K22" s="28"/>
      <c r="L22" s="27"/>
      <c r="M22" s="28"/>
      <c r="N22" s="27"/>
      <c r="O22" s="28"/>
      <c r="P22" s="27"/>
      <c r="Q22" s="28"/>
      <c r="R22" s="9"/>
      <c r="S22" s="9"/>
      <c r="T22" s="9"/>
      <c r="U22" s="9"/>
      <c r="V22" s="27"/>
      <c r="W22" s="28"/>
      <c r="X22" s="27"/>
      <c r="Y22" s="28"/>
      <c r="Z22" s="27"/>
      <c r="AA22" s="28"/>
      <c r="AB22" s="27"/>
      <c r="AC22" s="28"/>
      <c r="AD22" s="27"/>
      <c r="AE22" s="28"/>
      <c r="AF22" s="9"/>
      <c r="AG22" s="9"/>
      <c r="AH22" s="9"/>
      <c r="AI22" s="9"/>
      <c r="AJ22" s="27"/>
      <c r="AK22" s="28"/>
      <c r="AL22" s="27"/>
      <c r="AM22" s="28"/>
      <c r="AN22" s="27"/>
      <c r="AO22" s="28"/>
      <c r="AP22" s="27"/>
      <c r="AQ22" s="28"/>
      <c r="AR22" s="27"/>
      <c r="AS22" s="28"/>
      <c r="AT22" s="9"/>
      <c r="AU22" s="9"/>
      <c r="AV22" s="9"/>
      <c r="AW22" s="9"/>
      <c r="AX22" s="27"/>
      <c r="AY22" s="28"/>
      <c r="AZ22" s="27"/>
      <c r="BA22" s="28"/>
      <c r="BB22" s="27"/>
      <c r="BC22" s="28"/>
      <c r="BD22" s="27"/>
      <c r="BE22" s="28"/>
      <c r="BF22" s="29">
        <f t="shared" si="0"/>
        <v>0</v>
      </c>
      <c r="BG22" s="30">
        <f t="shared" si="1"/>
        <v>0</v>
      </c>
    </row>
    <row r="23" spans="1:59" x14ac:dyDescent="0.25">
      <c r="A23" s="12">
        <f>'PPa2019'!E23</f>
        <v>0</v>
      </c>
      <c r="B23" s="12" t="e">
        <f>'PPa2019'!#REF!</f>
        <v>#REF!</v>
      </c>
      <c r="C23" s="10"/>
      <c r="D23" s="10"/>
      <c r="E23" s="10"/>
      <c r="F23" s="10"/>
      <c r="G23" s="10"/>
      <c r="H23" s="27"/>
      <c r="I23" s="28"/>
      <c r="J23" s="27"/>
      <c r="K23" s="28"/>
      <c r="L23" s="27"/>
      <c r="M23" s="28"/>
      <c r="N23" s="27"/>
      <c r="O23" s="28"/>
      <c r="P23" s="27"/>
      <c r="Q23" s="28"/>
      <c r="R23" s="9"/>
      <c r="S23" s="9"/>
      <c r="T23" s="9"/>
      <c r="U23" s="9"/>
      <c r="V23" s="27"/>
      <c r="W23" s="28"/>
      <c r="X23" s="27"/>
      <c r="Y23" s="28"/>
      <c r="Z23" s="27"/>
      <c r="AA23" s="28"/>
      <c r="AB23" s="27"/>
      <c r="AC23" s="28"/>
      <c r="AD23" s="27"/>
      <c r="AE23" s="28"/>
      <c r="AF23" s="9"/>
      <c r="AG23" s="9"/>
      <c r="AH23" s="9"/>
      <c r="AI23" s="9"/>
      <c r="AJ23" s="27"/>
      <c r="AK23" s="28"/>
      <c r="AL23" s="27"/>
      <c r="AM23" s="28"/>
      <c r="AN23" s="27"/>
      <c r="AO23" s="28"/>
      <c r="AP23" s="27"/>
      <c r="AQ23" s="28"/>
      <c r="AR23" s="27"/>
      <c r="AS23" s="28"/>
      <c r="AT23" s="9"/>
      <c r="AU23" s="9"/>
      <c r="AV23" s="9"/>
      <c r="AW23" s="9"/>
      <c r="AX23" s="27"/>
      <c r="AY23" s="28"/>
      <c r="AZ23" s="27"/>
      <c r="BA23" s="28"/>
      <c r="BB23" s="27"/>
      <c r="BC23" s="28"/>
      <c r="BD23" s="27"/>
      <c r="BE23" s="28"/>
      <c r="BF23" s="29">
        <f t="shared" si="0"/>
        <v>0</v>
      </c>
      <c r="BG23" s="30">
        <f t="shared" si="1"/>
        <v>0</v>
      </c>
    </row>
    <row r="24" spans="1:59" x14ac:dyDescent="0.25">
      <c r="A24" s="12">
        <f>'PPa2019'!E24</f>
        <v>0</v>
      </c>
      <c r="B24" s="12" t="e">
        <f>'PPa2019'!#REF!</f>
        <v>#REF!</v>
      </c>
      <c r="C24" s="10"/>
      <c r="D24" s="10"/>
      <c r="E24" s="10"/>
      <c r="F24" s="10"/>
      <c r="G24" s="10"/>
      <c r="H24" s="27"/>
      <c r="I24" s="28"/>
      <c r="J24" s="27"/>
      <c r="K24" s="28"/>
      <c r="L24" s="27"/>
      <c r="M24" s="28"/>
      <c r="N24" s="27"/>
      <c r="O24" s="28"/>
      <c r="P24" s="27"/>
      <c r="Q24" s="28"/>
      <c r="R24" s="9"/>
      <c r="S24" s="9"/>
      <c r="T24" s="9"/>
      <c r="U24" s="9"/>
      <c r="V24" s="27"/>
      <c r="W24" s="28"/>
      <c r="X24" s="27"/>
      <c r="Y24" s="28"/>
      <c r="Z24" s="27"/>
      <c r="AA24" s="28"/>
      <c r="AB24" s="27"/>
      <c r="AC24" s="28"/>
      <c r="AD24" s="27"/>
      <c r="AE24" s="28"/>
      <c r="AF24" s="9"/>
      <c r="AG24" s="9"/>
      <c r="AH24" s="9"/>
      <c r="AI24" s="9"/>
      <c r="AJ24" s="27"/>
      <c r="AK24" s="28"/>
      <c r="AL24" s="27"/>
      <c r="AM24" s="28"/>
      <c r="AN24" s="27"/>
      <c r="AO24" s="28"/>
      <c r="AP24" s="27"/>
      <c r="AQ24" s="28"/>
      <c r="AR24" s="27"/>
      <c r="AS24" s="28"/>
      <c r="AT24" s="9"/>
      <c r="AU24" s="9"/>
      <c r="AV24" s="9"/>
      <c r="AW24" s="9"/>
      <c r="AX24" s="27"/>
      <c r="AY24" s="28"/>
      <c r="AZ24" s="27"/>
      <c r="BA24" s="28"/>
      <c r="BB24" s="27"/>
      <c r="BC24" s="28"/>
      <c r="BD24" s="27"/>
      <c r="BE24" s="28"/>
      <c r="BF24" s="29">
        <f t="shared" si="0"/>
        <v>0</v>
      </c>
      <c r="BG24" s="30">
        <f t="shared" si="1"/>
        <v>0</v>
      </c>
    </row>
    <row r="25" spans="1:59" x14ac:dyDescent="0.25">
      <c r="A25" s="12" t="e">
        <f>'PPa2019'!#REF!</f>
        <v>#REF!</v>
      </c>
      <c r="B25" s="12" t="e">
        <f>'PPa2019'!#REF!</f>
        <v>#REF!</v>
      </c>
      <c r="C25" s="10"/>
      <c r="D25" s="10"/>
      <c r="E25" s="10"/>
      <c r="F25" s="10"/>
      <c r="G25" s="10"/>
      <c r="H25" s="27"/>
      <c r="I25" s="28"/>
      <c r="J25" s="27"/>
      <c r="K25" s="28"/>
      <c r="L25" s="27"/>
      <c r="M25" s="28"/>
      <c r="N25" s="27"/>
      <c r="O25" s="28"/>
      <c r="P25" s="27"/>
      <c r="Q25" s="28"/>
      <c r="R25" s="9"/>
      <c r="S25" s="9"/>
      <c r="T25" s="9"/>
      <c r="U25" s="9"/>
      <c r="V25" s="27"/>
      <c r="W25" s="28"/>
      <c r="X25" s="27"/>
      <c r="Y25" s="28"/>
      <c r="Z25" s="27"/>
      <c r="AA25" s="28"/>
      <c r="AB25" s="27"/>
      <c r="AC25" s="28"/>
      <c r="AD25" s="27"/>
      <c r="AE25" s="28"/>
      <c r="AF25" s="9"/>
      <c r="AG25" s="9"/>
      <c r="AH25" s="9"/>
      <c r="AI25" s="9"/>
      <c r="AJ25" s="27"/>
      <c r="AK25" s="28"/>
      <c r="AL25" s="27"/>
      <c r="AM25" s="28"/>
      <c r="AN25" s="27"/>
      <c r="AO25" s="28"/>
      <c r="AP25" s="27"/>
      <c r="AQ25" s="28"/>
      <c r="AR25" s="27"/>
      <c r="AS25" s="28"/>
      <c r="AT25" s="9"/>
      <c r="AU25" s="9"/>
      <c r="AV25" s="9"/>
      <c r="AW25" s="9"/>
      <c r="AX25" s="27"/>
      <c r="AY25" s="28"/>
      <c r="AZ25" s="27"/>
      <c r="BA25" s="28"/>
      <c r="BB25" s="27"/>
      <c r="BC25" s="28"/>
      <c r="BD25" s="27"/>
      <c r="BE25" s="28"/>
      <c r="BF25" s="29">
        <f t="shared" si="0"/>
        <v>0</v>
      </c>
      <c r="BG25" s="30">
        <f t="shared" si="1"/>
        <v>0</v>
      </c>
    </row>
    <row r="26" spans="1:59" x14ac:dyDescent="0.25">
      <c r="A26" s="12">
        <f>'PPa2019'!D26</f>
        <v>0</v>
      </c>
      <c r="B26" s="12">
        <f>'PPa2019'!E26</f>
        <v>0</v>
      </c>
      <c r="C26" s="10"/>
      <c r="D26" s="10"/>
      <c r="E26" s="10"/>
      <c r="F26" s="10"/>
      <c r="G26" s="10"/>
      <c r="H26" s="27"/>
      <c r="I26" s="28"/>
      <c r="J26" s="27"/>
      <c r="K26" s="28"/>
      <c r="L26" s="27"/>
      <c r="M26" s="28"/>
      <c r="N26" s="27"/>
      <c r="O26" s="28"/>
      <c r="P26" s="27"/>
      <c r="Q26" s="28"/>
      <c r="R26" s="9"/>
      <c r="S26" s="9"/>
      <c r="T26" s="9"/>
      <c r="U26" s="9"/>
      <c r="V26" s="27"/>
      <c r="W26" s="28"/>
      <c r="X26" s="27"/>
      <c r="Y26" s="28"/>
      <c r="Z26" s="27"/>
      <c r="AA26" s="28"/>
      <c r="AB26" s="27"/>
      <c r="AC26" s="28"/>
      <c r="AD26" s="27"/>
      <c r="AE26" s="28"/>
      <c r="AF26" s="9"/>
      <c r="AG26" s="9"/>
      <c r="AH26" s="9"/>
      <c r="AI26" s="9"/>
      <c r="AJ26" s="27"/>
      <c r="AK26" s="28"/>
      <c r="AL26" s="27"/>
      <c r="AM26" s="28"/>
      <c r="AN26" s="27"/>
      <c r="AO26" s="28"/>
      <c r="AP26" s="27"/>
      <c r="AQ26" s="28"/>
      <c r="AR26" s="27"/>
      <c r="AS26" s="28"/>
      <c r="AT26" s="9"/>
      <c r="AU26" s="9"/>
      <c r="AV26" s="9"/>
      <c r="AW26" s="9"/>
      <c r="AX26" s="27"/>
      <c r="AY26" s="28"/>
      <c r="AZ26" s="27"/>
      <c r="BA26" s="28"/>
      <c r="BB26" s="27"/>
      <c r="BC26" s="28"/>
      <c r="BD26" s="27"/>
      <c r="BE26" s="28"/>
      <c r="BF26" s="29">
        <f t="shared" si="0"/>
        <v>0</v>
      </c>
      <c r="BG26" s="30">
        <f t="shared" si="1"/>
        <v>0</v>
      </c>
    </row>
    <row r="27" spans="1:59" x14ac:dyDescent="0.25">
      <c r="A27" s="12">
        <f>'PPa2019'!D27</f>
        <v>0</v>
      </c>
      <c r="B27" s="12">
        <f>'PPa2019'!E27</f>
        <v>0</v>
      </c>
      <c r="C27" s="10"/>
      <c r="D27" s="10"/>
      <c r="E27" s="10"/>
      <c r="F27" s="10"/>
      <c r="G27" s="10"/>
      <c r="H27" s="27"/>
      <c r="I27" s="28"/>
      <c r="J27" s="27"/>
      <c r="K27" s="28"/>
      <c r="L27" s="27"/>
      <c r="M27" s="28"/>
      <c r="N27" s="27"/>
      <c r="O27" s="28"/>
      <c r="P27" s="27"/>
      <c r="Q27" s="28"/>
      <c r="R27" s="9"/>
      <c r="S27" s="9"/>
      <c r="T27" s="9"/>
      <c r="U27" s="9"/>
      <c r="V27" s="27"/>
      <c r="W27" s="28"/>
      <c r="X27" s="27"/>
      <c r="Y27" s="28"/>
      <c r="Z27" s="27"/>
      <c r="AA27" s="28"/>
      <c r="AB27" s="27"/>
      <c r="AC27" s="28"/>
      <c r="AD27" s="27"/>
      <c r="AE27" s="28"/>
      <c r="AF27" s="9"/>
      <c r="AG27" s="9"/>
      <c r="AH27" s="9"/>
      <c r="AI27" s="9"/>
      <c r="AJ27" s="27"/>
      <c r="AK27" s="28"/>
      <c r="AL27" s="27"/>
      <c r="AM27" s="28"/>
      <c r="AN27" s="27"/>
      <c r="AO27" s="28"/>
      <c r="AP27" s="27"/>
      <c r="AQ27" s="28"/>
      <c r="AR27" s="27"/>
      <c r="AS27" s="28"/>
      <c r="AT27" s="9"/>
      <c r="AU27" s="9"/>
      <c r="AV27" s="9"/>
      <c r="AW27" s="9"/>
      <c r="AX27" s="27"/>
      <c r="AY27" s="28"/>
      <c r="AZ27" s="27"/>
      <c r="BA27" s="28"/>
      <c r="BB27" s="27"/>
      <c r="BC27" s="28"/>
      <c r="BD27" s="27"/>
      <c r="BE27" s="28"/>
      <c r="BF27" s="29">
        <f t="shared" si="0"/>
        <v>0</v>
      </c>
      <c r="BG27" s="30">
        <f t="shared" si="1"/>
        <v>0</v>
      </c>
    </row>
    <row r="28" spans="1:59" x14ac:dyDescent="0.25">
      <c r="A28" s="12">
        <f>'PPa2019'!D28</f>
        <v>0</v>
      </c>
      <c r="B28" s="12">
        <f>'PPa2019'!E28</f>
        <v>0</v>
      </c>
      <c r="C28" s="10"/>
      <c r="D28" s="10"/>
      <c r="E28" s="10"/>
      <c r="F28" s="10"/>
      <c r="G28" s="10"/>
      <c r="H28" s="27"/>
      <c r="I28" s="28"/>
      <c r="J28" s="27"/>
      <c r="K28" s="28"/>
      <c r="L28" s="27"/>
      <c r="M28" s="28"/>
      <c r="N28" s="27"/>
      <c r="O28" s="28"/>
      <c r="P28" s="27"/>
      <c r="Q28" s="28"/>
      <c r="R28" s="9"/>
      <c r="S28" s="9"/>
      <c r="T28" s="9"/>
      <c r="U28" s="9"/>
      <c r="V28" s="27"/>
      <c r="W28" s="28"/>
      <c r="X28" s="27"/>
      <c r="Y28" s="28"/>
      <c r="Z28" s="27"/>
      <c r="AA28" s="28"/>
      <c r="AB28" s="27"/>
      <c r="AC28" s="28"/>
      <c r="AD28" s="27"/>
      <c r="AE28" s="28"/>
      <c r="AF28" s="9"/>
      <c r="AG28" s="9"/>
      <c r="AH28" s="9"/>
      <c r="AI28" s="9"/>
      <c r="AJ28" s="27"/>
      <c r="AK28" s="28"/>
      <c r="AL28" s="27"/>
      <c r="AM28" s="28"/>
      <c r="AN28" s="27"/>
      <c r="AO28" s="28"/>
      <c r="AP28" s="27"/>
      <c r="AQ28" s="28"/>
      <c r="AR28" s="27"/>
      <c r="AS28" s="28"/>
      <c r="AT28" s="9"/>
      <c r="AU28" s="9"/>
      <c r="AV28" s="9"/>
      <c r="AW28" s="9"/>
      <c r="AX28" s="27"/>
      <c r="AY28" s="28"/>
      <c r="AZ28" s="27"/>
      <c r="BA28" s="28"/>
      <c r="BB28" s="27"/>
      <c r="BC28" s="28"/>
      <c r="BD28" s="27"/>
      <c r="BE28" s="28"/>
      <c r="BF28" s="29">
        <f t="shared" si="0"/>
        <v>0</v>
      </c>
      <c r="BG28" s="30">
        <f t="shared" si="1"/>
        <v>0</v>
      </c>
    </row>
    <row r="29" spans="1:59" x14ac:dyDescent="0.25">
      <c r="A29" s="12">
        <f>'PPa2019'!D29</f>
        <v>0</v>
      </c>
      <c r="B29" s="12">
        <f>'PPa2019'!E29</f>
        <v>0</v>
      </c>
      <c r="C29" s="10"/>
      <c r="D29" s="10"/>
      <c r="E29" s="10"/>
      <c r="F29" s="10"/>
      <c r="G29" s="10"/>
      <c r="H29" s="27"/>
      <c r="I29" s="28"/>
      <c r="J29" s="27"/>
      <c r="K29" s="28"/>
      <c r="L29" s="27"/>
      <c r="M29" s="28"/>
      <c r="N29" s="27"/>
      <c r="O29" s="28"/>
      <c r="P29" s="27"/>
      <c r="Q29" s="28"/>
      <c r="R29" s="9"/>
      <c r="S29" s="9"/>
      <c r="T29" s="9"/>
      <c r="U29" s="9"/>
      <c r="V29" s="27"/>
      <c r="W29" s="28"/>
      <c r="X29" s="27"/>
      <c r="Y29" s="28"/>
      <c r="Z29" s="27"/>
      <c r="AA29" s="28"/>
      <c r="AB29" s="27"/>
      <c r="AC29" s="28"/>
      <c r="AD29" s="27"/>
      <c r="AE29" s="28"/>
      <c r="AF29" s="9"/>
      <c r="AG29" s="9"/>
      <c r="AH29" s="9"/>
      <c r="AI29" s="9"/>
      <c r="AJ29" s="27"/>
      <c r="AK29" s="28"/>
      <c r="AL29" s="27"/>
      <c r="AM29" s="28"/>
      <c r="AN29" s="27"/>
      <c r="AO29" s="28"/>
      <c r="AP29" s="27"/>
      <c r="AQ29" s="28"/>
      <c r="AR29" s="27"/>
      <c r="AS29" s="28"/>
      <c r="AT29" s="9"/>
      <c r="AU29" s="9"/>
      <c r="AV29" s="9"/>
      <c r="AW29" s="9"/>
      <c r="AX29" s="27"/>
      <c r="AY29" s="28"/>
      <c r="AZ29" s="27"/>
      <c r="BA29" s="28"/>
      <c r="BB29" s="27"/>
      <c r="BC29" s="28"/>
      <c r="BD29" s="27"/>
      <c r="BE29" s="28"/>
      <c r="BF29" s="29">
        <f t="shared" si="0"/>
        <v>0</v>
      </c>
      <c r="BG29" s="30">
        <f t="shared" si="1"/>
        <v>0</v>
      </c>
    </row>
    <row r="30" spans="1:59" x14ac:dyDescent="0.25">
      <c r="A30" s="12">
        <f>'PPa2019'!D30</f>
        <v>0</v>
      </c>
      <c r="B30" s="12">
        <f>'PPa2019'!E30</f>
        <v>0</v>
      </c>
      <c r="C30" s="10"/>
      <c r="D30" s="10"/>
      <c r="E30" s="10"/>
      <c r="F30" s="10"/>
      <c r="G30" s="10"/>
      <c r="H30" s="27"/>
      <c r="I30" s="28"/>
      <c r="J30" s="27"/>
      <c r="K30" s="28"/>
      <c r="L30" s="27"/>
      <c r="M30" s="28"/>
      <c r="N30" s="27"/>
      <c r="O30" s="28"/>
      <c r="P30" s="27"/>
      <c r="Q30" s="28"/>
      <c r="R30" s="9"/>
      <c r="S30" s="9"/>
      <c r="T30" s="9"/>
      <c r="U30" s="9"/>
      <c r="V30" s="27"/>
      <c r="W30" s="28"/>
      <c r="X30" s="27"/>
      <c r="Y30" s="28"/>
      <c r="Z30" s="27"/>
      <c r="AA30" s="28"/>
      <c r="AB30" s="27"/>
      <c r="AC30" s="28"/>
      <c r="AD30" s="27"/>
      <c r="AE30" s="28"/>
      <c r="AF30" s="9"/>
      <c r="AG30" s="9"/>
      <c r="AH30" s="9"/>
      <c r="AI30" s="9"/>
      <c r="AJ30" s="27"/>
      <c r="AK30" s="28"/>
      <c r="AL30" s="27"/>
      <c r="AM30" s="28"/>
      <c r="AN30" s="27"/>
      <c r="AO30" s="28"/>
      <c r="AP30" s="27"/>
      <c r="AQ30" s="28"/>
      <c r="AR30" s="27"/>
      <c r="AS30" s="28"/>
      <c r="AT30" s="9"/>
      <c r="AU30" s="9"/>
      <c r="AV30" s="9"/>
      <c r="AW30" s="9"/>
      <c r="AX30" s="27"/>
      <c r="AY30" s="28"/>
      <c r="AZ30" s="27"/>
      <c r="BA30" s="28"/>
      <c r="BB30" s="27"/>
      <c r="BC30" s="28"/>
      <c r="BD30" s="27"/>
      <c r="BE30" s="28"/>
      <c r="BF30" s="29">
        <f t="shared" si="0"/>
        <v>0</v>
      </c>
      <c r="BG30" s="30">
        <f t="shared" si="1"/>
        <v>0</v>
      </c>
    </row>
    <row r="31" spans="1:59" x14ac:dyDescent="0.25">
      <c r="A31" s="12">
        <f>'PPa2019'!D31</f>
        <v>0</v>
      </c>
      <c r="B31" s="12">
        <f>'PPa2019'!E31</f>
        <v>0</v>
      </c>
      <c r="C31" s="10"/>
      <c r="D31" s="10"/>
      <c r="E31" s="10"/>
      <c r="F31" s="10"/>
      <c r="G31" s="10"/>
      <c r="H31" s="27"/>
      <c r="I31" s="28"/>
      <c r="J31" s="27"/>
      <c r="K31" s="28"/>
      <c r="L31" s="27"/>
      <c r="M31" s="28"/>
      <c r="N31" s="27"/>
      <c r="O31" s="28"/>
      <c r="P31" s="27"/>
      <c r="Q31" s="28"/>
      <c r="R31" s="9"/>
      <c r="S31" s="9"/>
      <c r="T31" s="9"/>
      <c r="U31" s="9"/>
      <c r="V31" s="27"/>
      <c r="W31" s="28"/>
      <c r="X31" s="27"/>
      <c r="Y31" s="28"/>
      <c r="Z31" s="27"/>
      <c r="AA31" s="28"/>
      <c r="AB31" s="27"/>
      <c r="AC31" s="28"/>
      <c r="AD31" s="27"/>
      <c r="AE31" s="28"/>
      <c r="AF31" s="9"/>
      <c r="AG31" s="9"/>
      <c r="AH31" s="9"/>
      <c r="AI31" s="9"/>
      <c r="AJ31" s="27"/>
      <c r="AK31" s="28"/>
      <c r="AL31" s="27"/>
      <c r="AM31" s="28"/>
      <c r="AN31" s="27"/>
      <c r="AO31" s="28"/>
      <c r="AP31" s="27"/>
      <c r="AQ31" s="28"/>
      <c r="AR31" s="27"/>
      <c r="AS31" s="28"/>
      <c r="AT31" s="9"/>
      <c r="AU31" s="9"/>
      <c r="AV31" s="9"/>
      <c r="AW31" s="9"/>
      <c r="AX31" s="27"/>
      <c r="AY31" s="28"/>
      <c r="AZ31" s="27"/>
      <c r="BA31" s="28"/>
      <c r="BB31" s="27"/>
      <c r="BC31" s="28"/>
      <c r="BD31" s="27"/>
      <c r="BE31" s="28"/>
      <c r="BF31" s="29">
        <f t="shared" si="0"/>
        <v>0</v>
      </c>
      <c r="BG31" s="30">
        <f t="shared" si="1"/>
        <v>0</v>
      </c>
    </row>
    <row r="32" spans="1:59" x14ac:dyDescent="0.25">
      <c r="A32" s="12">
        <f>'PPa2019'!D32</f>
        <v>0</v>
      </c>
      <c r="B32" s="12">
        <f>'PPa2019'!E32</f>
        <v>0</v>
      </c>
      <c r="C32" s="10"/>
      <c r="D32" s="10"/>
      <c r="E32" s="10"/>
      <c r="F32" s="10"/>
      <c r="G32" s="10"/>
      <c r="H32" s="27"/>
      <c r="I32" s="28"/>
      <c r="J32" s="27"/>
      <c r="K32" s="28"/>
      <c r="L32" s="27"/>
      <c r="M32" s="28"/>
      <c r="N32" s="27"/>
      <c r="O32" s="28"/>
      <c r="P32" s="27"/>
      <c r="Q32" s="28"/>
      <c r="R32" s="9"/>
      <c r="S32" s="9"/>
      <c r="T32" s="9"/>
      <c r="U32" s="9"/>
      <c r="V32" s="27"/>
      <c r="W32" s="28"/>
      <c r="X32" s="27"/>
      <c r="Y32" s="28"/>
      <c r="Z32" s="27"/>
      <c r="AA32" s="28"/>
      <c r="AB32" s="27"/>
      <c r="AC32" s="28"/>
      <c r="AD32" s="27"/>
      <c r="AE32" s="28"/>
      <c r="AF32" s="9"/>
      <c r="AG32" s="9"/>
      <c r="AH32" s="9"/>
      <c r="AI32" s="9"/>
      <c r="AJ32" s="27"/>
      <c r="AK32" s="28"/>
      <c r="AL32" s="27"/>
      <c r="AM32" s="28"/>
      <c r="AN32" s="27"/>
      <c r="AO32" s="28"/>
      <c r="AP32" s="27"/>
      <c r="AQ32" s="28"/>
      <c r="AR32" s="27"/>
      <c r="AS32" s="28"/>
      <c r="AT32" s="9"/>
      <c r="AU32" s="9"/>
      <c r="AV32" s="9"/>
      <c r="AW32" s="9"/>
      <c r="AX32" s="27"/>
      <c r="AY32" s="28"/>
      <c r="AZ32" s="27"/>
      <c r="BA32" s="28"/>
      <c r="BB32" s="27"/>
      <c r="BC32" s="28"/>
      <c r="BD32" s="27"/>
      <c r="BE32" s="28"/>
      <c r="BF32" s="29">
        <f t="shared" si="0"/>
        <v>0</v>
      </c>
      <c r="BG32" s="30">
        <f t="shared" si="1"/>
        <v>0</v>
      </c>
    </row>
    <row r="33" spans="1:59" x14ac:dyDescent="0.25">
      <c r="A33" s="12">
        <f>'PPa2019'!D33</f>
        <v>0</v>
      </c>
      <c r="B33" s="12">
        <f>'PPa2019'!E33</f>
        <v>0</v>
      </c>
      <c r="C33" s="10"/>
      <c r="D33" s="10"/>
      <c r="E33" s="10"/>
      <c r="F33" s="10"/>
      <c r="G33" s="10"/>
      <c r="H33" s="27"/>
      <c r="I33" s="28"/>
      <c r="J33" s="27"/>
      <c r="K33" s="28"/>
      <c r="L33" s="27"/>
      <c r="M33" s="28"/>
      <c r="N33" s="27"/>
      <c r="O33" s="28"/>
      <c r="P33" s="27"/>
      <c r="Q33" s="28"/>
      <c r="R33" s="9"/>
      <c r="S33" s="9"/>
      <c r="T33" s="9"/>
      <c r="U33" s="9"/>
      <c r="V33" s="27"/>
      <c r="W33" s="28"/>
      <c r="X33" s="27"/>
      <c r="Y33" s="28"/>
      <c r="Z33" s="27"/>
      <c r="AA33" s="28"/>
      <c r="AB33" s="27"/>
      <c r="AC33" s="28"/>
      <c r="AD33" s="27"/>
      <c r="AE33" s="28"/>
      <c r="AF33" s="9"/>
      <c r="AG33" s="9"/>
      <c r="AH33" s="9"/>
      <c r="AI33" s="9"/>
      <c r="AJ33" s="27"/>
      <c r="AK33" s="28"/>
      <c r="AL33" s="27"/>
      <c r="AM33" s="28"/>
      <c r="AN33" s="27"/>
      <c r="AO33" s="28"/>
      <c r="AP33" s="27"/>
      <c r="AQ33" s="28"/>
      <c r="AR33" s="27"/>
      <c r="AS33" s="28"/>
      <c r="AT33" s="9"/>
      <c r="AU33" s="9"/>
      <c r="AV33" s="9"/>
      <c r="AW33" s="9"/>
      <c r="AX33" s="27"/>
      <c r="AY33" s="28"/>
      <c r="AZ33" s="27"/>
      <c r="BA33" s="28"/>
      <c r="BB33" s="27"/>
      <c r="BC33" s="28"/>
      <c r="BD33" s="27"/>
      <c r="BE33" s="28"/>
      <c r="BF33" s="29">
        <f t="shared" si="0"/>
        <v>0</v>
      </c>
      <c r="BG33" s="30">
        <f t="shared" si="1"/>
        <v>0</v>
      </c>
    </row>
    <row r="34" spans="1:59" x14ac:dyDescent="0.25">
      <c r="A34" s="12">
        <f>'PPa2019'!D34</f>
        <v>0</v>
      </c>
      <c r="B34" s="12">
        <f>'PPa2019'!E34</f>
        <v>0</v>
      </c>
      <c r="C34" s="10"/>
      <c r="D34" s="10"/>
      <c r="E34" s="10"/>
      <c r="F34" s="10"/>
      <c r="G34" s="10"/>
      <c r="H34" s="27"/>
      <c r="I34" s="28"/>
      <c r="J34" s="27"/>
      <c r="K34" s="28"/>
      <c r="L34" s="27"/>
      <c r="M34" s="28"/>
      <c r="N34" s="27"/>
      <c r="O34" s="28"/>
      <c r="P34" s="27"/>
      <c r="Q34" s="28"/>
      <c r="R34" s="9"/>
      <c r="S34" s="9"/>
      <c r="T34" s="9"/>
      <c r="U34" s="9"/>
      <c r="V34" s="27"/>
      <c r="W34" s="28"/>
      <c r="X34" s="27"/>
      <c r="Y34" s="28"/>
      <c r="Z34" s="27"/>
      <c r="AA34" s="28"/>
      <c r="AB34" s="27"/>
      <c r="AC34" s="28"/>
      <c r="AD34" s="27"/>
      <c r="AE34" s="28"/>
      <c r="AF34" s="9"/>
      <c r="AG34" s="9"/>
      <c r="AH34" s="9"/>
      <c r="AI34" s="9"/>
      <c r="AJ34" s="27"/>
      <c r="AK34" s="28"/>
      <c r="AL34" s="27"/>
      <c r="AM34" s="28"/>
      <c r="AN34" s="27"/>
      <c r="AO34" s="28"/>
      <c r="AP34" s="27"/>
      <c r="AQ34" s="28"/>
      <c r="AR34" s="27"/>
      <c r="AS34" s="28"/>
      <c r="AT34" s="9"/>
      <c r="AU34" s="9"/>
      <c r="AV34" s="9"/>
      <c r="AW34" s="9"/>
      <c r="AX34" s="27"/>
      <c r="AY34" s="28"/>
      <c r="AZ34" s="27"/>
      <c r="BA34" s="28"/>
      <c r="BB34" s="27"/>
      <c r="BC34" s="28"/>
      <c r="BD34" s="27"/>
      <c r="BE34" s="28"/>
      <c r="BF34" s="29">
        <f t="shared" si="0"/>
        <v>0</v>
      </c>
      <c r="BG34" s="30">
        <f t="shared" si="1"/>
        <v>0</v>
      </c>
    </row>
    <row r="35" spans="1:59" x14ac:dyDescent="0.25">
      <c r="A35" s="12">
        <f>'PPa2019'!D35</f>
        <v>0</v>
      </c>
      <c r="B35" s="12">
        <f>'PPa2019'!E35</f>
        <v>0</v>
      </c>
      <c r="C35" s="10"/>
      <c r="D35" s="10"/>
      <c r="E35" s="10"/>
      <c r="F35" s="10"/>
      <c r="G35" s="10"/>
      <c r="H35" s="27"/>
      <c r="I35" s="28"/>
      <c r="J35" s="27"/>
      <c r="K35" s="28"/>
      <c r="L35" s="27"/>
      <c r="M35" s="28"/>
      <c r="N35" s="27"/>
      <c r="O35" s="28"/>
      <c r="P35" s="27"/>
      <c r="Q35" s="28"/>
      <c r="R35" s="9"/>
      <c r="S35" s="9"/>
      <c r="T35" s="9"/>
      <c r="U35" s="9"/>
      <c r="V35" s="27"/>
      <c r="W35" s="28"/>
      <c r="X35" s="27"/>
      <c r="Y35" s="28"/>
      <c r="Z35" s="27"/>
      <c r="AA35" s="28"/>
      <c r="AB35" s="27"/>
      <c r="AC35" s="28"/>
      <c r="AD35" s="27"/>
      <c r="AE35" s="28"/>
      <c r="AF35" s="9"/>
      <c r="AG35" s="9"/>
      <c r="AH35" s="9"/>
      <c r="AI35" s="9"/>
      <c r="AJ35" s="27"/>
      <c r="AK35" s="28"/>
      <c r="AL35" s="27"/>
      <c r="AM35" s="28"/>
      <c r="AN35" s="27"/>
      <c r="AO35" s="28"/>
      <c r="AP35" s="27"/>
      <c r="AQ35" s="28"/>
      <c r="AR35" s="27"/>
      <c r="AS35" s="28"/>
      <c r="AT35" s="9"/>
      <c r="AU35" s="9"/>
      <c r="AV35" s="9"/>
      <c r="AW35" s="9"/>
      <c r="AX35" s="27"/>
      <c r="AY35" s="28"/>
      <c r="AZ35" s="27"/>
      <c r="BA35" s="28"/>
      <c r="BB35" s="27"/>
      <c r="BC35" s="28"/>
      <c r="BD35" s="27"/>
      <c r="BE35" s="28"/>
      <c r="BF35" s="29">
        <f t="shared" si="0"/>
        <v>0</v>
      </c>
      <c r="BG35" s="30">
        <f t="shared" si="1"/>
        <v>0</v>
      </c>
    </row>
    <row r="36" spans="1:59" x14ac:dyDescent="0.25">
      <c r="A36" s="12">
        <f>'PPa2019'!D36</f>
        <v>0</v>
      </c>
      <c r="B36" s="12">
        <f>'PPa2019'!E36</f>
        <v>0</v>
      </c>
      <c r="C36" s="10"/>
      <c r="D36" s="10"/>
      <c r="E36" s="10"/>
      <c r="F36" s="10"/>
      <c r="G36" s="10"/>
      <c r="H36" s="27"/>
      <c r="I36" s="28"/>
      <c r="J36" s="27"/>
      <c r="K36" s="28"/>
      <c r="L36" s="27"/>
      <c r="M36" s="28"/>
      <c r="N36" s="27"/>
      <c r="O36" s="28"/>
      <c r="P36" s="27"/>
      <c r="Q36" s="28"/>
      <c r="R36" s="9"/>
      <c r="S36" s="9"/>
      <c r="T36" s="9"/>
      <c r="U36" s="9"/>
      <c r="V36" s="27"/>
      <c r="W36" s="28"/>
      <c r="X36" s="27"/>
      <c r="Y36" s="28"/>
      <c r="Z36" s="27"/>
      <c r="AA36" s="28"/>
      <c r="AB36" s="27"/>
      <c r="AC36" s="28"/>
      <c r="AD36" s="27"/>
      <c r="AE36" s="28"/>
      <c r="AF36" s="9"/>
      <c r="AG36" s="9"/>
      <c r="AH36" s="9"/>
      <c r="AI36" s="9"/>
      <c r="AJ36" s="27"/>
      <c r="AK36" s="28"/>
      <c r="AL36" s="27"/>
      <c r="AM36" s="28"/>
      <c r="AN36" s="27"/>
      <c r="AO36" s="28"/>
      <c r="AP36" s="27"/>
      <c r="AQ36" s="28"/>
      <c r="AR36" s="27"/>
      <c r="AS36" s="28"/>
      <c r="AT36" s="9"/>
      <c r="AU36" s="9"/>
      <c r="AV36" s="9"/>
      <c r="AW36" s="9"/>
      <c r="AX36" s="27"/>
      <c r="AY36" s="28"/>
      <c r="AZ36" s="27"/>
      <c r="BA36" s="28"/>
      <c r="BB36" s="27"/>
      <c r="BC36" s="28"/>
      <c r="BD36" s="27"/>
      <c r="BE36" s="28"/>
      <c r="BF36" s="29">
        <f t="shared" si="0"/>
        <v>0</v>
      </c>
      <c r="BG36" s="30">
        <f t="shared" si="1"/>
        <v>0</v>
      </c>
    </row>
    <row r="37" spans="1:59" x14ac:dyDescent="0.25">
      <c r="A37" s="12">
        <f>'PPa2019'!D37</f>
        <v>0</v>
      </c>
      <c r="B37" s="12">
        <f>'PPa2019'!E37</f>
        <v>0</v>
      </c>
      <c r="C37" s="10"/>
      <c r="D37" s="10"/>
      <c r="E37" s="10"/>
      <c r="F37" s="10"/>
      <c r="G37" s="10"/>
      <c r="H37" s="27"/>
      <c r="I37" s="28"/>
      <c r="J37" s="27"/>
      <c r="K37" s="28"/>
      <c r="L37" s="27"/>
      <c r="M37" s="28"/>
      <c r="N37" s="27"/>
      <c r="O37" s="28"/>
      <c r="P37" s="27"/>
      <c r="Q37" s="28"/>
      <c r="R37" s="9"/>
      <c r="S37" s="9"/>
      <c r="T37" s="9"/>
      <c r="U37" s="9"/>
      <c r="V37" s="27"/>
      <c r="W37" s="28"/>
      <c r="X37" s="27"/>
      <c r="Y37" s="28"/>
      <c r="Z37" s="27"/>
      <c r="AA37" s="28"/>
      <c r="AB37" s="27"/>
      <c r="AC37" s="28"/>
      <c r="AD37" s="27"/>
      <c r="AE37" s="28"/>
      <c r="AF37" s="9"/>
      <c r="AG37" s="9"/>
      <c r="AH37" s="9"/>
      <c r="AI37" s="9"/>
      <c r="AJ37" s="27"/>
      <c r="AK37" s="28"/>
      <c r="AL37" s="27"/>
      <c r="AM37" s="28"/>
      <c r="AN37" s="27"/>
      <c r="AO37" s="28"/>
      <c r="AP37" s="27"/>
      <c r="AQ37" s="28"/>
      <c r="AR37" s="27"/>
      <c r="AS37" s="28"/>
      <c r="AT37" s="9"/>
      <c r="AU37" s="9"/>
      <c r="AV37" s="9"/>
      <c r="AW37" s="9"/>
      <c r="AX37" s="27"/>
      <c r="AY37" s="28"/>
      <c r="AZ37" s="27"/>
      <c r="BA37" s="28"/>
      <c r="BB37" s="27"/>
      <c r="BC37" s="28"/>
      <c r="BD37" s="27"/>
      <c r="BE37" s="28"/>
      <c r="BF37" s="29">
        <f t="shared" si="0"/>
        <v>0</v>
      </c>
      <c r="BG37" s="30">
        <f t="shared" si="1"/>
        <v>0</v>
      </c>
    </row>
    <row r="38" spans="1:59" x14ac:dyDescent="0.25">
      <c r="A38" s="12">
        <f>'PPa2019'!D38</f>
        <v>0</v>
      </c>
      <c r="B38" s="12">
        <f>'PPa2019'!E38</f>
        <v>0</v>
      </c>
      <c r="C38" s="10"/>
      <c r="D38" s="10"/>
      <c r="E38" s="10"/>
      <c r="F38" s="10"/>
      <c r="G38" s="10"/>
      <c r="H38" s="27"/>
      <c r="I38" s="28"/>
      <c r="J38" s="27"/>
      <c r="K38" s="28"/>
      <c r="L38" s="27"/>
      <c r="M38" s="28"/>
      <c r="N38" s="27"/>
      <c r="O38" s="28"/>
      <c r="P38" s="27"/>
      <c r="Q38" s="28"/>
      <c r="R38" s="9"/>
      <c r="S38" s="9"/>
      <c r="T38" s="9"/>
      <c r="U38" s="9"/>
      <c r="V38" s="27"/>
      <c r="W38" s="28"/>
      <c r="X38" s="27"/>
      <c r="Y38" s="28"/>
      <c r="Z38" s="27"/>
      <c r="AA38" s="28"/>
      <c r="AB38" s="27"/>
      <c r="AC38" s="28"/>
      <c r="AD38" s="27"/>
      <c r="AE38" s="28"/>
      <c r="AF38" s="9"/>
      <c r="AG38" s="9"/>
      <c r="AH38" s="9"/>
      <c r="AI38" s="9"/>
      <c r="AJ38" s="27"/>
      <c r="AK38" s="28"/>
      <c r="AL38" s="27"/>
      <c r="AM38" s="28"/>
      <c r="AN38" s="27"/>
      <c r="AO38" s="28"/>
      <c r="AP38" s="27"/>
      <c r="AQ38" s="28"/>
      <c r="AR38" s="27"/>
      <c r="AS38" s="28"/>
      <c r="AT38" s="9"/>
      <c r="AU38" s="9"/>
      <c r="AV38" s="9"/>
      <c r="AW38" s="9"/>
      <c r="AX38" s="27"/>
      <c r="AY38" s="28"/>
      <c r="AZ38" s="27"/>
      <c r="BA38" s="28"/>
      <c r="BB38" s="27"/>
      <c r="BC38" s="28"/>
      <c r="BD38" s="27"/>
      <c r="BE38" s="28"/>
      <c r="BF38" s="29">
        <f t="shared" si="0"/>
        <v>0</v>
      </c>
      <c r="BG38" s="30">
        <f t="shared" si="1"/>
        <v>0</v>
      </c>
    </row>
    <row r="39" spans="1:59" x14ac:dyDescent="0.25">
      <c r="A39" s="12">
        <f>'PPa2019'!D39</f>
        <v>0</v>
      </c>
      <c r="B39" s="12">
        <f>'PPa2019'!E39</f>
        <v>0</v>
      </c>
      <c r="C39" s="10"/>
      <c r="D39" s="10"/>
      <c r="E39" s="10"/>
      <c r="F39" s="10"/>
      <c r="G39" s="10"/>
      <c r="H39" s="27"/>
      <c r="I39" s="28"/>
      <c r="J39" s="27"/>
      <c r="K39" s="28"/>
      <c r="L39" s="27"/>
      <c r="M39" s="28"/>
      <c r="N39" s="27"/>
      <c r="O39" s="28"/>
      <c r="P39" s="27"/>
      <c r="Q39" s="28"/>
      <c r="R39" s="9"/>
      <c r="S39" s="9"/>
      <c r="T39" s="9"/>
      <c r="U39" s="9"/>
      <c r="V39" s="27"/>
      <c r="W39" s="28"/>
      <c r="X39" s="27"/>
      <c r="Y39" s="28"/>
      <c r="Z39" s="27"/>
      <c r="AA39" s="28"/>
      <c r="AB39" s="27"/>
      <c r="AC39" s="28"/>
      <c r="AD39" s="27"/>
      <c r="AE39" s="28"/>
      <c r="AF39" s="9"/>
      <c r="AG39" s="9"/>
      <c r="AH39" s="9"/>
      <c r="AI39" s="9"/>
      <c r="AJ39" s="27"/>
      <c r="AK39" s="28"/>
      <c r="AL39" s="27"/>
      <c r="AM39" s="28"/>
      <c r="AN39" s="27"/>
      <c r="AO39" s="28"/>
      <c r="AP39" s="27"/>
      <c r="AQ39" s="28"/>
      <c r="AR39" s="27"/>
      <c r="AS39" s="28"/>
      <c r="AT39" s="9"/>
      <c r="AU39" s="9"/>
      <c r="AV39" s="9"/>
      <c r="AW39" s="9"/>
      <c r="AX39" s="27"/>
      <c r="AY39" s="28"/>
      <c r="AZ39" s="27"/>
      <c r="BA39" s="28"/>
      <c r="BB39" s="27"/>
      <c r="BC39" s="28"/>
      <c r="BD39" s="27"/>
      <c r="BE39" s="28"/>
      <c r="BF39" s="29">
        <f t="shared" si="0"/>
        <v>0</v>
      </c>
      <c r="BG39" s="30">
        <f t="shared" si="1"/>
        <v>0</v>
      </c>
    </row>
    <row r="40" spans="1:59" x14ac:dyDescent="0.25">
      <c r="A40" s="12">
        <f>'PPa2019'!D40</f>
        <v>0</v>
      </c>
      <c r="B40" s="12">
        <f>'PPa2019'!E40</f>
        <v>0</v>
      </c>
      <c r="C40" s="10"/>
      <c r="D40" s="10"/>
      <c r="E40" s="10"/>
      <c r="F40" s="10"/>
      <c r="G40" s="10"/>
      <c r="H40" s="27"/>
      <c r="I40" s="28"/>
      <c r="J40" s="27"/>
      <c r="K40" s="28"/>
      <c r="L40" s="27"/>
      <c r="M40" s="28"/>
      <c r="N40" s="27"/>
      <c r="O40" s="28"/>
      <c r="P40" s="27"/>
      <c r="Q40" s="28"/>
      <c r="R40" s="9"/>
      <c r="S40" s="9"/>
      <c r="T40" s="9"/>
      <c r="U40" s="9"/>
      <c r="V40" s="27"/>
      <c r="W40" s="28"/>
      <c r="X40" s="27"/>
      <c r="Y40" s="28"/>
      <c r="Z40" s="27"/>
      <c r="AA40" s="28"/>
      <c r="AB40" s="27"/>
      <c r="AC40" s="28"/>
      <c r="AD40" s="27"/>
      <c r="AE40" s="28"/>
      <c r="AF40" s="9"/>
      <c r="AG40" s="9"/>
      <c r="AH40" s="9"/>
      <c r="AI40" s="9"/>
      <c r="AJ40" s="27"/>
      <c r="AK40" s="28"/>
      <c r="AL40" s="27"/>
      <c r="AM40" s="28"/>
      <c r="AN40" s="27"/>
      <c r="AO40" s="28"/>
      <c r="AP40" s="27"/>
      <c r="AQ40" s="28"/>
      <c r="AR40" s="27"/>
      <c r="AS40" s="28"/>
      <c r="AT40" s="9"/>
      <c r="AU40" s="9"/>
      <c r="AV40" s="9"/>
      <c r="AW40" s="9"/>
      <c r="AX40" s="27"/>
      <c r="AY40" s="28"/>
      <c r="AZ40" s="27"/>
      <c r="BA40" s="28"/>
      <c r="BB40" s="27"/>
      <c r="BC40" s="28"/>
      <c r="BD40" s="27"/>
      <c r="BE40" s="28"/>
      <c r="BF40" s="29">
        <f t="shared" si="0"/>
        <v>0</v>
      </c>
      <c r="BG40" s="30">
        <f t="shared" si="1"/>
        <v>0</v>
      </c>
    </row>
    <row r="41" spans="1:59" x14ac:dyDescent="0.25">
      <c r="A41" s="12">
        <f>'PPa2019'!D41</f>
        <v>0</v>
      </c>
      <c r="B41" s="12">
        <f>'PPa2019'!E41</f>
        <v>0</v>
      </c>
      <c r="C41" s="10"/>
      <c r="D41" s="10"/>
      <c r="E41" s="10"/>
      <c r="F41" s="10"/>
      <c r="G41" s="10"/>
      <c r="H41" s="27"/>
      <c r="I41" s="28"/>
      <c r="J41" s="27"/>
      <c r="K41" s="28"/>
      <c r="L41" s="27"/>
      <c r="M41" s="28"/>
      <c r="N41" s="27"/>
      <c r="O41" s="28"/>
      <c r="P41" s="27"/>
      <c r="Q41" s="28"/>
      <c r="R41" s="9"/>
      <c r="S41" s="9"/>
      <c r="T41" s="9"/>
      <c r="U41" s="9"/>
      <c r="V41" s="27"/>
      <c r="W41" s="28"/>
      <c r="X41" s="27"/>
      <c r="Y41" s="28"/>
      <c r="Z41" s="27"/>
      <c r="AA41" s="28"/>
      <c r="AB41" s="27"/>
      <c r="AC41" s="28"/>
      <c r="AD41" s="27"/>
      <c r="AE41" s="28"/>
      <c r="AF41" s="9"/>
      <c r="AG41" s="9"/>
      <c r="AH41" s="9"/>
      <c r="AI41" s="9"/>
      <c r="AJ41" s="27"/>
      <c r="AK41" s="28"/>
      <c r="AL41" s="27"/>
      <c r="AM41" s="28"/>
      <c r="AN41" s="27"/>
      <c r="AO41" s="28"/>
      <c r="AP41" s="27"/>
      <c r="AQ41" s="28"/>
      <c r="AR41" s="27"/>
      <c r="AS41" s="28"/>
      <c r="AT41" s="9"/>
      <c r="AU41" s="9"/>
      <c r="AV41" s="9"/>
      <c r="AW41" s="9"/>
      <c r="AX41" s="27"/>
      <c r="AY41" s="28"/>
      <c r="AZ41" s="27"/>
      <c r="BA41" s="28"/>
      <c r="BB41" s="27"/>
      <c r="BC41" s="28"/>
      <c r="BD41" s="27"/>
      <c r="BE41" s="28"/>
      <c r="BF41" s="29">
        <f t="shared" si="0"/>
        <v>0</v>
      </c>
      <c r="BG41" s="30">
        <f t="shared" si="1"/>
        <v>0</v>
      </c>
    </row>
    <row r="42" spans="1:59" x14ac:dyDescent="0.25">
      <c r="A42" s="12">
        <f>'PPa2019'!D42</f>
        <v>0</v>
      </c>
      <c r="B42" s="12">
        <f>'PPa2019'!E42</f>
        <v>0</v>
      </c>
      <c r="C42" s="10"/>
      <c r="D42" s="10"/>
      <c r="E42" s="10"/>
      <c r="F42" s="10"/>
      <c r="G42" s="10"/>
      <c r="H42" s="27"/>
      <c r="I42" s="28"/>
      <c r="J42" s="27"/>
      <c r="K42" s="28"/>
      <c r="L42" s="27"/>
      <c r="M42" s="28"/>
      <c r="N42" s="27"/>
      <c r="O42" s="28"/>
      <c r="P42" s="27"/>
      <c r="Q42" s="28"/>
      <c r="R42" s="9"/>
      <c r="S42" s="9"/>
      <c r="T42" s="9"/>
      <c r="U42" s="9"/>
      <c r="V42" s="27"/>
      <c r="W42" s="28"/>
      <c r="X42" s="27"/>
      <c r="Y42" s="28"/>
      <c r="Z42" s="27"/>
      <c r="AA42" s="28"/>
      <c r="AB42" s="27"/>
      <c r="AC42" s="28"/>
      <c r="AD42" s="27"/>
      <c r="AE42" s="28"/>
      <c r="AF42" s="9"/>
      <c r="AG42" s="9"/>
      <c r="AH42" s="9"/>
      <c r="AI42" s="9"/>
      <c r="AJ42" s="27"/>
      <c r="AK42" s="28"/>
      <c r="AL42" s="27"/>
      <c r="AM42" s="28"/>
      <c r="AN42" s="27"/>
      <c r="AO42" s="28"/>
      <c r="AP42" s="27"/>
      <c r="AQ42" s="28"/>
      <c r="AR42" s="27"/>
      <c r="AS42" s="28"/>
      <c r="AT42" s="9"/>
      <c r="AU42" s="9"/>
      <c r="AV42" s="9"/>
      <c r="AW42" s="9"/>
      <c r="AX42" s="27"/>
      <c r="AY42" s="28"/>
      <c r="AZ42" s="27"/>
      <c r="BA42" s="28"/>
      <c r="BB42" s="27"/>
      <c r="BC42" s="28"/>
      <c r="BD42" s="27"/>
      <c r="BE42" s="28"/>
      <c r="BF42" s="29">
        <f t="shared" si="0"/>
        <v>0</v>
      </c>
      <c r="BG42" s="30">
        <f t="shared" si="1"/>
        <v>0</v>
      </c>
    </row>
    <row r="43" spans="1:59" x14ac:dyDescent="0.25">
      <c r="A43" s="12">
        <f>'PPa2019'!D43</f>
        <v>0</v>
      </c>
      <c r="B43" s="12">
        <f>'PPa2019'!E43</f>
        <v>0</v>
      </c>
      <c r="C43" s="10"/>
      <c r="D43" s="10"/>
      <c r="E43" s="10"/>
      <c r="F43" s="10"/>
      <c r="G43" s="10"/>
      <c r="H43" s="27"/>
      <c r="I43" s="28"/>
      <c r="J43" s="27"/>
      <c r="K43" s="28"/>
      <c r="L43" s="27"/>
      <c r="M43" s="28"/>
      <c r="N43" s="27"/>
      <c r="O43" s="28"/>
      <c r="P43" s="27"/>
      <c r="Q43" s="28"/>
      <c r="R43" s="9"/>
      <c r="S43" s="9"/>
      <c r="T43" s="9"/>
      <c r="U43" s="9"/>
      <c r="V43" s="27"/>
      <c r="W43" s="28"/>
      <c r="X43" s="27"/>
      <c r="Y43" s="28"/>
      <c r="Z43" s="27"/>
      <c r="AA43" s="28"/>
      <c r="AB43" s="27"/>
      <c r="AC43" s="28"/>
      <c r="AD43" s="27"/>
      <c r="AE43" s="28"/>
      <c r="AF43" s="9"/>
      <c r="AG43" s="9"/>
      <c r="AH43" s="9"/>
      <c r="AI43" s="9"/>
      <c r="AJ43" s="27"/>
      <c r="AK43" s="28"/>
      <c r="AL43" s="27"/>
      <c r="AM43" s="28"/>
      <c r="AN43" s="27"/>
      <c r="AO43" s="28"/>
      <c r="AP43" s="27"/>
      <c r="AQ43" s="28"/>
      <c r="AR43" s="27"/>
      <c r="AS43" s="28"/>
      <c r="AT43" s="9"/>
      <c r="AU43" s="9"/>
      <c r="AV43" s="9"/>
      <c r="AW43" s="9"/>
      <c r="AX43" s="27"/>
      <c r="AY43" s="28"/>
      <c r="AZ43" s="27"/>
      <c r="BA43" s="28"/>
      <c r="BB43" s="27"/>
      <c r="BC43" s="28"/>
      <c r="BD43" s="27"/>
      <c r="BE43" s="28"/>
      <c r="BF43" s="29">
        <f t="shared" si="0"/>
        <v>0</v>
      </c>
      <c r="BG43" s="30">
        <f t="shared" si="1"/>
        <v>0</v>
      </c>
    </row>
    <row r="44" spans="1:59" x14ac:dyDescent="0.25">
      <c r="A44" s="12">
        <f>'PPa2019'!D44</f>
        <v>0</v>
      </c>
      <c r="B44" s="12">
        <f>'PPa2019'!E44</f>
        <v>0</v>
      </c>
      <c r="C44" s="10"/>
      <c r="D44" s="10"/>
      <c r="E44" s="10"/>
      <c r="F44" s="10"/>
      <c r="G44" s="10"/>
      <c r="H44" s="27"/>
      <c r="I44" s="28"/>
      <c r="J44" s="27"/>
      <c r="K44" s="28"/>
      <c r="L44" s="27"/>
      <c r="M44" s="28"/>
      <c r="N44" s="27"/>
      <c r="O44" s="28"/>
      <c r="P44" s="27"/>
      <c r="Q44" s="28"/>
      <c r="R44" s="9"/>
      <c r="S44" s="9"/>
      <c r="T44" s="9"/>
      <c r="U44" s="9"/>
      <c r="V44" s="27"/>
      <c r="W44" s="28"/>
      <c r="X44" s="27"/>
      <c r="Y44" s="28"/>
      <c r="Z44" s="27"/>
      <c r="AA44" s="28"/>
      <c r="AB44" s="27"/>
      <c r="AC44" s="28"/>
      <c r="AD44" s="27"/>
      <c r="AE44" s="28"/>
      <c r="AF44" s="9"/>
      <c r="AG44" s="9"/>
      <c r="AH44" s="9"/>
      <c r="AI44" s="9"/>
      <c r="AJ44" s="27"/>
      <c r="AK44" s="28"/>
      <c r="AL44" s="27"/>
      <c r="AM44" s="28"/>
      <c r="AN44" s="27"/>
      <c r="AO44" s="28"/>
      <c r="AP44" s="27"/>
      <c r="AQ44" s="28"/>
      <c r="AR44" s="27"/>
      <c r="AS44" s="28"/>
      <c r="AT44" s="9"/>
      <c r="AU44" s="9"/>
      <c r="AV44" s="9"/>
      <c r="AW44" s="9"/>
      <c r="AX44" s="27"/>
      <c r="AY44" s="28"/>
      <c r="AZ44" s="27"/>
      <c r="BA44" s="28"/>
      <c r="BB44" s="27"/>
      <c r="BC44" s="28"/>
      <c r="BD44" s="27"/>
      <c r="BE44" s="28"/>
      <c r="BF44" s="29">
        <f t="shared" si="0"/>
        <v>0</v>
      </c>
      <c r="BG44" s="30">
        <f t="shared" si="1"/>
        <v>0</v>
      </c>
    </row>
    <row r="45" spans="1:59" x14ac:dyDescent="0.25">
      <c r="A45" s="12">
        <f>'PPa2019'!D45</f>
        <v>0</v>
      </c>
      <c r="B45" s="12">
        <f>'PPa2019'!E45</f>
        <v>0</v>
      </c>
      <c r="C45" s="10"/>
      <c r="D45" s="10"/>
      <c r="E45" s="10"/>
      <c r="F45" s="10"/>
      <c r="G45" s="10"/>
      <c r="H45" s="27"/>
      <c r="I45" s="28"/>
      <c r="J45" s="27"/>
      <c r="K45" s="28"/>
      <c r="L45" s="27"/>
      <c r="M45" s="28"/>
      <c r="N45" s="27"/>
      <c r="O45" s="28"/>
      <c r="P45" s="27"/>
      <c r="Q45" s="28"/>
      <c r="R45" s="9"/>
      <c r="S45" s="9"/>
      <c r="T45" s="9"/>
      <c r="U45" s="9"/>
      <c r="V45" s="27"/>
      <c r="W45" s="28"/>
      <c r="X45" s="27"/>
      <c r="Y45" s="28"/>
      <c r="Z45" s="27"/>
      <c r="AA45" s="28"/>
      <c r="AB45" s="27"/>
      <c r="AC45" s="28"/>
      <c r="AD45" s="27"/>
      <c r="AE45" s="28"/>
      <c r="AF45" s="9"/>
      <c r="AG45" s="9"/>
      <c r="AH45" s="9"/>
      <c r="AI45" s="9"/>
      <c r="AJ45" s="27"/>
      <c r="AK45" s="28"/>
      <c r="AL45" s="27"/>
      <c r="AM45" s="28"/>
      <c r="AN45" s="27"/>
      <c r="AO45" s="28"/>
      <c r="AP45" s="27"/>
      <c r="AQ45" s="28"/>
      <c r="AR45" s="27"/>
      <c r="AS45" s="28"/>
      <c r="AT45" s="9"/>
      <c r="AU45" s="9"/>
      <c r="AV45" s="9"/>
      <c r="AW45" s="9"/>
      <c r="AX45" s="27"/>
      <c r="AY45" s="28"/>
      <c r="AZ45" s="27"/>
      <c r="BA45" s="28"/>
      <c r="BB45" s="27"/>
      <c r="BC45" s="28"/>
      <c r="BD45" s="27"/>
      <c r="BE45" s="28"/>
      <c r="BF45" s="29">
        <f t="shared" si="0"/>
        <v>0</v>
      </c>
      <c r="BG45" s="30">
        <f t="shared" si="1"/>
        <v>0</v>
      </c>
    </row>
    <row r="46" spans="1:59" x14ac:dyDescent="0.25">
      <c r="A46" s="12">
        <f>'PPa2019'!D46</f>
        <v>0</v>
      </c>
      <c r="B46" s="12">
        <f>'PPa2019'!E46</f>
        <v>0</v>
      </c>
      <c r="C46" s="10"/>
      <c r="D46" s="10"/>
      <c r="E46" s="10"/>
      <c r="F46" s="10"/>
      <c r="G46" s="10"/>
      <c r="H46" s="27"/>
      <c r="I46" s="28"/>
      <c r="J46" s="27"/>
      <c r="K46" s="28"/>
      <c r="L46" s="27"/>
      <c r="M46" s="28"/>
      <c r="N46" s="27"/>
      <c r="O46" s="28"/>
      <c r="P46" s="27"/>
      <c r="Q46" s="28"/>
      <c r="R46" s="9"/>
      <c r="S46" s="9"/>
      <c r="T46" s="9"/>
      <c r="U46" s="9"/>
      <c r="V46" s="27"/>
      <c r="W46" s="28"/>
      <c r="X46" s="27"/>
      <c r="Y46" s="28"/>
      <c r="Z46" s="27"/>
      <c r="AA46" s="28"/>
      <c r="AB46" s="27"/>
      <c r="AC46" s="28"/>
      <c r="AD46" s="27"/>
      <c r="AE46" s="28"/>
      <c r="AF46" s="9"/>
      <c r="AG46" s="9"/>
      <c r="AH46" s="9"/>
      <c r="AI46" s="9"/>
      <c r="AJ46" s="27"/>
      <c r="AK46" s="28"/>
      <c r="AL46" s="27"/>
      <c r="AM46" s="28"/>
      <c r="AN46" s="27"/>
      <c r="AO46" s="28"/>
      <c r="AP46" s="27"/>
      <c r="AQ46" s="28"/>
      <c r="AR46" s="27"/>
      <c r="AS46" s="28"/>
      <c r="AT46" s="9"/>
      <c r="AU46" s="9"/>
      <c r="AV46" s="9"/>
      <c r="AW46" s="9"/>
      <c r="AX46" s="27"/>
      <c r="AY46" s="28"/>
      <c r="AZ46" s="27"/>
      <c r="BA46" s="28"/>
      <c r="BB46" s="27"/>
      <c r="BC46" s="28"/>
      <c r="BD46" s="27"/>
      <c r="BE46" s="28"/>
      <c r="BF46" s="29">
        <f t="shared" si="0"/>
        <v>0</v>
      </c>
      <c r="BG46" s="30">
        <f t="shared" si="1"/>
        <v>0</v>
      </c>
    </row>
    <row r="47" spans="1:59" x14ac:dyDescent="0.25">
      <c r="A47" s="12">
        <f>'PPa2019'!D47</f>
        <v>0</v>
      </c>
      <c r="B47" s="12">
        <f>'PPa2019'!E47</f>
        <v>0</v>
      </c>
      <c r="C47" s="10"/>
      <c r="D47" s="10"/>
      <c r="E47" s="10"/>
      <c r="F47" s="10"/>
      <c r="G47" s="10"/>
      <c r="H47" s="27"/>
      <c r="I47" s="28"/>
      <c r="J47" s="27"/>
      <c r="K47" s="28"/>
      <c r="L47" s="27"/>
      <c r="M47" s="28"/>
      <c r="N47" s="27"/>
      <c r="O47" s="28"/>
      <c r="P47" s="27"/>
      <c r="Q47" s="28"/>
      <c r="R47" s="9"/>
      <c r="S47" s="9"/>
      <c r="T47" s="9"/>
      <c r="U47" s="9"/>
      <c r="V47" s="27"/>
      <c r="W47" s="28"/>
      <c r="X47" s="27"/>
      <c r="Y47" s="28"/>
      <c r="Z47" s="27"/>
      <c r="AA47" s="28"/>
      <c r="AB47" s="27"/>
      <c r="AC47" s="28"/>
      <c r="AD47" s="27"/>
      <c r="AE47" s="28"/>
      <c r="AF47" s="9"/>
      <c r="AG47" s="9"/>
      <c r="AH47" s="9"/>
      <c r="AI47" s="9"/>
      <c r="AJ47" s="27"/>
      <c r="AK47" s="28"/>
      <c r="AL47" s="27"/>
      <c r="AM47" s="28"/>
      <c r="AN47" s="27"/>
      <c r="AO47" s="28"/>
      <c r="AP47" s="27"/>
      <c r="AQ47" s="28"/>
      <c r="AR47" s="27"/>
      <c r="AS47" s="28"/>
      <c r="AT47" s="9"/>
      <c r="AU47" s="9"/>
      <c r="AV47" s="9"/>
      <c r="AW47" s="9"/>
      <c r="AX47" s="27"/>
      <c r="AY47" s="28"/>
      <c r="AZ47" s="27"/>
      <c r="BA47" s="28"/>
      <c r="BB47" s="27"/>
      <c r="BC47" s="28"/>
      <c r="BD47" s="27"/>
      <c r="BE47" s="28"/>
      <c r="BF47" s="29">
        <f t="shared" si="0"/>
        <v>0</v>
      </c>
      <c r="BG47" s="30">
        <f t="shared" si="1"/>
        <v>0</v>
      </c>
    </row>
    <row r="48" spans="1:59" x14ac:dyDescent="0.25">
      <c r="A48" s="12">
        <f>'PPa2019'!D48</f>
        <v>0</v>
      </c>
      <c r="B48" s="12">
        <f>'PPa2019'!E48</f>
        <v>0</v>
      </c>
      <c r="C48" s="10"/>
      <c r="D48" s="10"/>
      <c r="E48" s="10"/>
      <c r="F48" s="10"/>
      <c r="G48" s="10"/>
      <c r="H48" s="27"/>
      <c r="I48" s="28"/>
      <c r="J48" s="27"/>
      <c r="K48" s="28"/>
      <c r="L48" s="27"/>
      <c r="M48" s="28"/>
      <c r="N48" s="27"/>
      <c r="O48" s="28"/>
      <c r="P48" s="27"/>
      <c r="Q48" s="28"/>
      <c r="R48" s="9"/>
      <c r="S48" s="9"/>
      <c r="T48" s="9"/>
      <c r="U48" s="9"/>
      <c r="V48" s="27"/>
      <c r="W48" s="28"/>
      <c r="X48" s="27"/>
      <c r="Y48" s="28"/>
      <c r="Z48" s="27"/>
      <c r="AA48" s="28"/>
      <c r="AB48" s="27"/>
      <c r="AC48" s="28"/>
      <c r="AD48" s="27"/>
      <c r="AE48" s="28"/>
      <c r="AF48" s="9"/>
      <c r="AG48" s="9"/>
      <c r="AH48" s="9"/>
      <c r="AI48" s="9"/>
      <c r="AJ48" s="27"/>
      <c r="AK48" s="28"/>
      <c r="AL48" s="27"/>
      <c r="AM48" s="28"/>
      <c r="AN48" s="27"/>
      <c r="AO48" s="28"/>
      <c r="AP48" s="27"/>
      <c r="AQ48" s="28"/>
      <c r="AR48" s="27"/>
      <c r="AS48" s="28"/>
      <c r="AT48" s="9"/>
      <c r="AU48" s="9"/>
      <c r="AV48" s="9"/>
      <c r="AW48" s="9"/>
      <c r="AX48" s="27"/>
      <c r="AY48" s="28"/>
      <c r="AZ48" s="27"/>
      <c r="BA48" s="28"/>
      <c r="BB48" s="27"/>
      <c r="BC48" s="28"/>
      <c r="BD48" s="27"/>
      <c r="BE48" s="28"/>
      <c r="BF48" s="29">
        <f t="shared" si="0"/>
        <v>0</v>
      </c>
      <c r="BG48" s="30">
        <f t="shared" si="1"/>
        <v>0</v>
      </c>
    </row>
    <row r="49" spans="1:59" x14ac:dyDescent="0.25">
      <c r="A49" s="12">
        <f>'PPa2019'!D49</f>
        <v>0</v>
      </c>
      <c r="B49" s="12">
        <f>'PPa2019'!E49</f>
        <v>0</v>
      </c>
      <c r="C49" s="10"/>
      <c r="D49" s="10"/>
      <c r="E49" s="10"/>
      <c r="F49" s="10"/>
      <c r="G49" s="10"/>
      <c r="H49" s="27"/>
      <c r="I49" s="28"/>
      <c r="J49" s="27"/>
      <c r="K49" s="28"/>
      <c r="L49" s="27"/>
      <c r="M49" s="28"/>
      <c r="N49" s="27"/>
      <c r="O49" s="28"/>
      <c r="P49" s="27"/>
      <c r="Q49" s="28"/>
      <c r="R49" s="9"/>
      <c r="S49" s="9"/>
      <c r="T49" s="9"/>
      <c r="U49" s="9"/>
      <c r="V49" s="27"/>
      <c r="W49" s="28"/>
      <c r="X49" s="27"/>
      <c r="Y49" s="28"/>
      <c r="Z49" s="27"/>
      <c r="AA49" s="28"/>
      <c r="AB49" s="27"/>
      <c r="AC49" s="28"/>
      <c r="AD49" s="27"/>
      <c r="AE49" s="28"/>
      <c r="AF49" s="9"/>
      <c r="AG49" s="9"/>
      <c r="AH49" s="9"/>
      <c r="AI49" s="9"/>
      <c r="AJ49" s="27"/>
      <c r="AK49" s="28"/>
      <c r="AL49" s="27"/>
      <c r="AM49" s="28"/>
      <c r="AN49" s="27"/>
      <c r="AO49" s="28"/>
      <c r="AP49" s="27"/>
      <c r="AQ49" s="28"/>
      <c r="AR49" s="27"/>
      <c r="AS49" s="28"/>
      <c r="AT49" s="9"/>
      <c r="AU49" s="9"/>
      <c r="AV49" s="9"/>
      <c r="AW49" s="9"/>
      <c r="AX49" s="27"/>
      <c r="AY49" s="28"/>
      <c r="AZ49" s="27"/>
      <c r="BA49" s="28"/>
      <c r="BB49" s="27"/>
      <c r="BC49" s="28"/>
      <c r="BD49" s="27"/>
      <c r="BE49" s="28"/>
      <c r="BF49" s="29">
        <f t="shared" si="0"/>
        <v>0</v>
      </c>
      <c r="BG49" s="30">
        <f t="shared" si="1"/>
        <v>0</v>
      </c>
    </row>
    <row r="50" spans="1:59" x14ac:dyDescent="0.25">
      <c r="A50" s="12">
        <f>'PPa2019'!D50</f>
        <v>0</v>
      </c>
      <c r="B50" s="12">
        <f>'PPa2019'!E50</f>
        <v>0</v>
      </c>
      <c r="C50" s="10"/>
      <c r="D50" s="10"/>
      <c r="E50" s="10"/>
      <c r="F50" s="10"/>
      <c r="G50" s="10"/>
      <c r="H50" s="27"/>
      <c r="I50" s="28"/>
      <c r="J50" s="27"/>
      <c r="K50" s="28"/>
      <c r="L50" s="27"/>
      <c r="M50" s="28"/>
      <c r="N50" s="27"/>
      <c r="O50" s="28"/>
      <c r="P50" s="27"/>
      <c r="Q50" s="28"/>
      <c r="R50" s="9"/>
      <c r="S50" s="9"/>
      <c r="T50" s="9"/>
      <c r="U50" s="9"/>
      <c r="V50" s="27"/>
      <c r="W50" s="28"/>
      <c r="X50" s="27"/>
      <c r="Y50" s="28"/>
      <c r="Z50" s="27"/>
      <c r="AA50" s="28"/>
      <c r="AB50" s="27"/>
      <c r="AC50" s="28"/>
      <c r="AD50" s="27"/>
      <c r="AE50" s="28"/>
      <c r="AF50" s="9"/>
      <c r="AG50" s="9"/>
      <c r="AH50" s="9"/>
      <c r="AI50" s="9"/>
      <c r="AJ50" s="27"/>
      <c r="AK50" s="28"/>
      <c r="AL50" s="27"/>
      <c r="AM50" s="28"/>
      <c r="AN50" s="27"/>
      <c r="AO50" s="28"/>
      <c r="AP50" s="27"/>
      <c r="AQ50" s="28"/>
      <c r="AR50" s="27"/>
      <c r="AS50" s="28"/>
      <c r="AT50" s="9"/>
      <c r="AU50" s="9"/>
      <c r="AV50" s="9"/>
      <c r="AW50" s="9"/>
      <c r="AX50" s="27"/>
      <c r="AY50" s="28"/>
      <c r="AZ50" s="27"/>
      <c r="BA50" s="28"/>
      <c r="BB50" s="27"/>
      <c r="BC50" s="28"/>
      <c r="BD50" s="27"/>
      <c r="BE50" s="28"/>
      <c r="BF50" s="29">
        <f t="shared" si="0"/>
        <v>0</v>
      </c>
      <c r="BG50" s="30">
        <f t="shared" si="1"/>
        <v>0</v>
      </c>
    </row>
    <row r="51" spans="1:59" x14ac:dyDescent="0.25">
      <c r="A51" s="12">
        <f>'PPa2019'!D51</f>
        <v>0</v>
      </c>
      <c r="B51" s="12">
        <f>'PPa2019'!E51</f>
        <v>0</v>
      </c>
      <c r="C51" s="10"/>
      <c r="D51" s="10"/>
      <c r="E51" s="10"/>
      <c r="F51" s="10"/>
      <c r="G51" s="10"/>
      <c r="H51" s="27"/>
      <c r="I51" s="28"/>
      <c r="J51" s="27"/>
      <c r="K51" s="28"/>
      <c r="L51" s="27"/>
      <c r="M51" s="28"/>
      <c r="N51" s="27"/>
      <c r="O51" s="28"/>
      <c r="P51" s="27"/>
      <c r="Q51" s="28"/>
      <c r="R51" s="9"/>
      <c r="S51" s="9"/>
      <c r="T51" s="9"/>
      <c r="U51" s="9"/>
      <c r="V51" s="27"/>
      <c r="W51" s="28"/>
      <c r="X51" s="27"/>
      <c r="Y51" s="28"/>
      <c r="Z51" s="27"/>
      <c r="AA51" s="28"/>
      <c r="AB51" s="27"/>
      <c r="AC51" s="28"/>
      <c r="AD51" s="27"/>
      <c r="AE51" s="28"/>
      <c r="AF51" s="9"/>
      <c r="AG51" s="9"/>
      <c r="AH51" s="9"/>
      <c r="AI51" s="9"/>
      <c r="AJ51" s="27"/>
      <c r="AK51" s="28"/>
      <c r="AL51" s="27"/>
      <c r="AM51" s="28"/>
      <c r="AN51" s="27"/>
      <c r="AO51" s="28"/>
      <c r="AP51" s="27"/>
      <c r="AQ51" s="28"/>
      <c r="AR51" s="27"/>
      <c r="AS51" s="28"/>
      <c r="AT51" s="9"/>
      <c r="AU51" s="9"/>
      <c r="AV51" s="9"/>
      <c r="AW51" s="9"/>
      <c r="AX51" s="27"/>
      <c r="AY51" s="28"/>
      <c r="AZ51" s="27"/>
      <c r="BA51" s="28"/>
      <c r="BB51" s="27"/>
      <c r="BC51" s="28"/>
      <c r="BD51" s="27"/>
      <c r="BE51" s="28"/>
      <c r="BF51" s="29">
        <f t="shared" si="0"/>
        <v>0</v>
      </c>
      <c r="BG51" s="30">
        <f t="shared" si="1"/>
        <v>0</v>
      </c>
    </row>
    <row r="52" spans="1:59" x14ac:dyDescent="0.25">
      <c r="A52" s="12">
        <f>'PPa2019'!D52</f>
        <v>0</v>
      </c>
      <c r="B52" s="12">
        <f>'PPa2019'!E52</f>
        <v>0</v>
      </c>
      <c r="C52" s="10"/>
      <c r="D52" s="10"/>
      <c r="E52" s="10"/>
      <c r="F52" s="10"/>
      <c r="G52" s="10"/>
      <c r="H52" s="27"/>
      <c r="I52" s="28"/>
      <c r="J52" s="27"/>
      <c r="K52" s="28"/>
      <c r="L52" s="27"/>
      <c r="M52" s="28"/>
      <c r="N52" s="27"/>
      <c r="O52" s="28"/>
      <c r="P52" s="27"/>
      <c r="Q52" s="28"/>
      <c r="R52" s="9"/>
      <c r="S52" s="9"/>
      <c r="T52" s="9"/>
      <c r="U52" s="9"/>
      <c r="V52" s="27"/>
      <c r="W52" s="28"/>
      <c r="X52" s="27"/>
      <c r="Y52" s="28"/>
      <c r="Z52" s="27"/>
      <c r="AA52" s="28"/>
      <c r="AB52" s="27"/>
      <c r="AC52" s="28"/>
      <c r="AD52" s="27"/>
      <c r="AE52" s="28"/>
      <c r="AF52" s="9"/>
      <c r="AG52" s="9"/>
      <c r="AH52" s="9"/>
      <c r="AI52" s="9"/>
      <c r="AJ52" s="27"/>
      <c r="AK52" s="28"/>
      <c r="AL52" s="27"/>
      <c r="AM52" s="28"/>
      <c r="AN52" s="27"/>
      <c r="AO52" s="28"/>
      <c r="AP52" s="27"/>
      <c r="AQ52" s="28"/>
      <c r="AR52" s="27"/>
      <c r="AS52" s="28"/>
      <c r="AT52" s="9"/>
      <c r="AU52" s="9"/>
      <c r="AV52" s="9"/>
      <c r="AW52" s="9"/>
      <c r="AX52" s="27"/>
      <c r="AY52" s="28"/>
      <c r="AZ52" s="27"/>
      <c r="BA52" s="28"/>
      <c r="BB52" s="27"/>
      <c r="BC52" s="28"/>
      <c r="BD52" s="27"/>
      <c r="BE52" s="28"/>
      <c r="BF52" s="29">
        <f t="shared" si="0"/>
        <v>0</v>
      </c>
      <c r="BG52" s="30">
        <f t="shared" si="1"/>
        <v>0</v>
      </c>
    </row>
    <row r="53" spans="1:59" x14ac:dyDescent="0.25">
      <c r="A53" s="12">
        <f>'PPa2019'!D53</f>
        <v>0</v>
      </c>
      <c r="B53" s="12">
        <f>'PPa2019'!E53</f>
        <v>0</v>
      </c>
      <c r="C53" s="10"/>
      <c r="D53" s="10"/>
      <c r="E53" s="10"/>
      <c r="F53" s="10"/>
      <c r="G53" s="10"/>
      <c r="H53" s="27"/>
      <c r="I53" s="28"/>
      <c r="J53" s="27"/>
      <c r="K53" s="28"/>
      <c r="L53" s="27"/>
      <c r="M53" s="28"/>
      <c r="N53" s="27"/>
      <c r="O53" s="28"/>
      <c r="P53" s="27"/>
      <c r="Q53" s="28"/>
      <c r="R53" s="9"/>
      <c r="S53" s="9"/>
      <c r="T53" s="9"/>
      <c r="U53" s="9"/>
      <c r="V53" s="27"/>
      <c r="W53" s="28"/>
      <c r="X53" s="27"/>
      <c r="Y53" s="28"/>
      <c r="Z53" s="27"/>
      <c r="AA53" s="28"/>
      <c r="AB53" s="27"/>
      <c r="AC53" s="28"/>
      <c r="AD53" s="27"/>
      <c r="AE53" s="28"/>
      <c r="AF53" s="9"/>
      <c r="AG53" s="9"/>
      <c r="AH53" s="9"/>
      <c r="AI53" s="9"/>
      <c r="AJ53" s="27"/>
      <c r="AK53" s="28"/>
      <c r="AL53" s="27"/>
      <c r="AM53" s="28"/>
      <c r="AN53" s="27"/>
      <c r="AO53" s="28"/>
      <c r="AP53" s="27"/>
      <c r="AQ53" s="28"/>
      <c r="AR53" s="27"/>
      <c r="AS53" s="28"/>
      <c r="AT53" s="9"/>
      <c r="AU53" s="9"/>
      <c r="AV53" s="9"/>
      <c r="AW53" s="9"/>
      <c r="AX53" s="27"/>
      <c r="AY53" s="28"/>
      <c r="AZ53" s="27"/>
      <c r="BA53" s="28"/>
      <c r="BB53" s="27"/>
      <c r="BC53" s="28"/>
      <c r="BD53" s="27"/>
      <c r="BE53" s="28"/>
      <c r="BF53" s="29">
        <f t="shared" si="0"/>
        <v>0</v>
      </c>
      <c r="BG53" s="30">
        <f t="shared" si="1"/>
        <v>0</v>
      </c>
    </row>
    <row r="54" spans="1:59" x14ac:dyDescent="0.25">
      <c r="A54" s="12">
        <f>'PPa2019'!D54</f>
        <v>0</v>
      </c>
      <c r="B54" s="12">
        <f>'PPa2019'!E54</f>
        <v>0</v>
      </c>
      <c r="C54" s="10"/>
      <c r="D54" s="10"/>
      <c r="E54" s="10"/>
      <c r="F54" s="10"/>
      <c r="G54" s="10"/>
      <c r="H54" s="27"/>
      <c r="I54" s="28"/>
      <c r="J54" s="27"/>
      <c r="K54" s="28"/>
      <c r="L54" s="27"/>
      <c r="M54" s="28"/>
      <c r="N54" s="27"/>
      <c r="O54" s="28"/>
      <c r="P54" s="27"/>
      <c r="Q54" s="28"/>
      <c r="R54" s="9"/>
      <c r="S54" s="9"/>
      <c r="T54" s="9"/>
      <c r="U54" s="9"/>
      <c r="V54" s="27"/>
      <c r="W54" s="28"/>
      <c r="X54" s="27"/>
      <c r="Y54" s="28"/>
      <c r="Z54" s="27"/>
      <c r="AA54" s="28"/>
      <c r="AB54" s="27"/>
      <c r="AC54" s="28"/>
      <c r="AD54" s="27"/>
      <c r="AE54" s="28"/>
      <c r="AF54" s="9"/>
      <c r="AG54" s="9"/>
      <c r="AH54" s="9"/>
      <c r="AI54" s="9"/>
      <c r="AJ54" s="27"/>
      <c r="AK54" s="28"/>
      <c r="AL54" s="27"/>
      <c r="AM54" s="28"/>
      <c r="AN54" s="27"/>
      <c r="AO54" s="28"/>
      <c r="AP54" s="27"/>
      <c r="AQ54" s="28"/>
      <c r="AR54" s="27"/>
      <c r="AS54" s="28"/>
      <c r="AT54" s="9"/>
      <c r="AU54" s="9"/>
      <c r="AV54" s="9"/>
      <c r="AW54" s="9"/>
      <c r="AX54" s="27"/>
      <c r="AY54" s="28"/>
      <c r="AZ54" s="27"/>
      <c r="BA54" s="28"/>
      <c r="BB54" s="27"/>
      <c r="BC54" s="28"/>
      <c r="BD54" s="27"/>
      <c r="BE54" s="28"/>
      <c r="BF54" s="29">
        <f t="shared" si="0"/>
        <v>0</v>
      </c>
      <c r="BG54" s="30">
        <f t="shared" si="1"/>
        <v>0</v>
      </c>
    </row>
    <row r="55" spans="1:59" x14ac:dyDescent="0.25">
      <c r="A55" s="12">
        <f>'PPa2019'!D55</f>
        <v>0</v>
      </c>
      <c r="B55" s="12">
        <f>'PPa2019'!E55</f>
        <v>0</v>
      </c>
      <c r="C55" s="10"/>
      <c r="D55" s="10"/>
      <c r="E55" s="10"/>
      <c r="F55" s="10"/>
      <c r="G55" s="10"/>
      <c r="H55" s="27"/>
      <c r="I55" s="28"/>
      <c r="J55" s="27"/>
      <c r="K55" s="28"/>
      <c r="L55" s="27"/>
      <c r="M55" s="28"/>
      <c r="N55" s="27"/>
      <c r="O55" s="28"/>
      <c r="P55" s="27"/>
      <c r="Q55" s="28"/>
      <c r="R55" s="9"/>
      <c r="S55" s="9"/>
      <c r="T55" s="9"/>
      <c r="U55" s="9"/>
      <c r="V55" s="27"/>
      <c r="W55" s="28"/>
      <c r="X55" s="27"/>
      <c r="Y55" s="28"/>
      <c r="Z55" s="27"/>
      <c r="AA55" s="28"/>
      <c r="AB55" s="27"/>
      <c r="AC55" s="28"/>
      <c r="AD55" s="27"/>
      <c r="AE55" s="28"/>
      <c r="AF55" s="9"/>
      <c r="AG55" s="9"/>
      <c r="AH55" s="9"/>
      <c r="AI55" s="9"/>
      <c r="AJ55" s="27"/>
      <c r="AK55" s="28"/>
      <c r="AL55" s="27"/>
      <c r="AM55" s="28"/>
      <c r="AN55" s="27"/>
      <c r="AO55" s="28"/>
      <c r="AP55" s="27"/>
      <c r="AQ55" s="28"/>
      <c r="AR55" s="27"/>
      <c r="AS55" s="28"/>
      <c r="AT55" s="9"/>
      <c r="AU55" s="9"/>
      <c r="AV55" s="9"/>
      <c r="AW55" s="9"/>
      <c r="AX55" s="27"/>
      <c r="AY55" s="28"/>
      <c r="AZ55" s="27"/>
      <c r="BA55" s="28"/>
      <c r="BB55" s="27"/>
      <c r="BC55" s="28"/>
      <c r="BD55" s="27"/>
      <c r="BE55" s="28"/>
      <c r="BF55" s="29">
        <f t="shared" si="0"/>
        <v>0</v>
      </c>
      <c r="BG55" s="30">
        <f t="shared" si="1"/>
        <v>0</v>
      </c>
    </row>
    <row r="56" spans="1:59" x14ac:dyDescent="0.25">
      <c r="A56" s="12">
        <f>'PPa2019'!D56</f>
        <v>0</v>
      </c>
      <c r="B56" s="12">
        <f>'PPa2019'!E56</f>
        <v>0</v>
      </c>
      <c r="C56" s="10"/>
      <c r="D56" s="10"/>
      <c r="E56" s="10"/>
      <c r="F56" s="10"/>
      <c r="G56" s="10"/>
      <c r="H56" s="27"/>
      <c r="I56" s="28"/>
      <c r="J56" s="27"/>
      <c r="K56" s="28"/>
      <c r="L56" s="27"/>
      <c r="M56" s="28"/>
      <c r="N56" s="27"/>
      <c r="O56" s="28"/>
      <c r="P56" s="27"/>
      <c r="Q56" s="28"/>
      <c r="R56" s="9"/>
      <c r="S56" s="9"/>
      <c r="T56" s="9"/>
      <c r="U56" s="9"/>
      <c r="V56" s="27"/>
      <c r="W56" s="28"/>
      <c r="X56" s="27"/>
      <c r="Y56" s="28"/>
      <c r="Z56" s="27"/>
      <c r="AA56" s="28"/>
      <c r="AB56" s="27"/>
      <c r="AC56" s="28"/>
      <c r="AD56" s="27"/>
      <c r="AE56" s="28"/>
      <c r="AF56" s="9"/>
      <c r="AG56" s="9"/>
      <c r="AH56" s="9"/>
      <c r="AI56" s="9"/>
      <c r="AJ56" s="27"/>
      <c r="AK56" s="28"/>
      <c r="AL56" s="27"/>
      <c r="AM56" s="28"/>
      <c r="AN56" s="27"/>
      <c r="AO56" s="28"/>
      <c r="AP56" s="27"/>
      <c r="AQ56" s="28"/>
      <c r="AR56" s="27"/>
      <c r="AS56" s="28"/>
      <c r="AT56" s="9"/>
      <c r="AU56" s="9"/>
      <c r="AV56" s="9"/>
      <c r="AW56" s="9"/>
      <c r="AX56" s="27"/>
      <c r="AY56" s="28"/>
      <c r="AZ56" s="27"/>
      <c r="BA56" s="28"/>
      <c r="BB56" s="27"/>
      <c r="BC56" s="28"/>
      <c r="BD56" s="27"/>
      <c r="BE56" s="28"/>
      <c r="BF56" s="29">
        <f t="shared" si="0"/>
        <v>0</v>
      </c>
      <c r="BG56" s="30">
        <f t="shared" si="1"/>
        <v>0</v>
      </c>
    </row>
    <row r="57" spans="1:59" x14ac:dyDescent="0.25">
      <c r="A57" s="12">
        <f>'PPa2019'!D57</f>
        <v>0</v>
      </c>
      <c r="B57" s="12">
        <f>'PPa2019'!E57</f>
        <v>0</v>
      </c>
      <c r="C57" s="10"/>
      <c r="D57" s="10"/>
      <c r="E57" s="10"/>
      <c r="F57" s="10"/>
      <c r="G57" s="10"/>
      <c r="H57" s="27"/>
      <c r="I57" s="28"/>
      <c r="J57" s="27"/>
      <c r="K57" s="28"/>
      <c r="L57" s="27"/>
      <c r="M57" s="28"/>
      <c r="N57" s="27"/>
      <c r="O57" s="28"/>
      <c r="P57" s="27"/>
      <c r="Q57" s="28"/>
      <c r="R57" s="9"/>
      <c r="S57" s="9"/>
      <c r="T57" s="9"/>
      <c r="U57" s="9"/>
      <c r="V57" s="27"/>
      <c r="W57" s="28"/>
      <c r="X57" s="27"/>
      <c r="Y57" s="28"/>
      <c r="Z57" s="27"/>
      <c r="AA57" s="28"/>
      <c r="AB57" s="27"/>
      <c r="AC57" s="28"/>
      <c r="AD57" s="27"/>
      <c r="AE57" s="28"/>
      <c r="AF57" s="9"/>
      <c r="AG57" s="9"/>
      <c r="AH57" s="9"/>
      <c r="AI57" s="9"/>
      <c r="AJ57" s="27"/>
      <c r="AK57" s="28"/>
      <c r="AL57" s="27"/>
      <c r="AM57" s="28"/>
      <c r="AN57" s="27"/>
      <c r="AO57" s="28"/>
      <c r="AP57" s="27"/>
      <c r="AQ57" s="28"/>
      <c r="AR57" s="27"/>
      <c r="AS57" s="28"/>
      <c r="AT57" s="9"/>
      <c r="AU57" s="9"/>
      <c r="AV57" s="9"/>
      <c r="AW57" s="9"/>
      <c r="AX57" s="27"/>
      <c r="AY57" s="28"/>
      <c r="AZ57" s="27"/>
      <c r="BA57" s="28"/>
      <c r="BB57" s="27"/>
      <c r="BC57" s="28"/>
      <c r="BD57" s="27"/>
      <c r="BE57" s="28"/>
      <c r="BF57" s="29">
        <f t="shared" si="0"/>
        <v>0</v>
      </c>
      <c r="BG57" s="30">
        <f t="shared" si="1"/>
        <v>0</v>
      </c>
    </row>
    <row r="58" spans="1:59" x14ac:dyDescent="0.25">
      <c r="A58" s="12">
        <f>'PPa2019'!D58</f>
        <v>0</v>
      </c>
      <c r="B58" s="12">
        <f>'PPa2019'!E58</f>
        <v>0</v>
      </c>
      <c r="C58" s="10"/>
      <c r="D58" s="10"/>
      <c r="E58" s="10"/>
      <c r="F58" s="10"/>
      <c r="G58" s="10"/>
      <c r="H58" s="27"/>
      <c r="I58" s="28"/>
      <c r="J58" s="27"/>
      <c r="K58" s="28"/>
      <c r="L58" s="27"/>
      <c r="M58" s="28"/>
      <c r="N58" s="27"/>
      <c r="O58" s="28"/>
      <c r="P58" s="27"/>
      <c r="Q58" s="28"/>
      <c r="R58" s="9"/>
      <c r="S58" s="9"/>
      <c r="T58" s="9"/>
      <c r="U58" s="9"/>
      <c r="V58" s="27"/>
      <c r="W58" s="28"/>
      <c r="X58" s="27"/>
      <c r="Y58" s="28"/>
      <c r="Z58" s="27"/>
      <c r="AA58" s="28"/>
      <c r="AB58" s="27"/>
      <c r="AC58" s="28"/>
      <c r="AD58" s="27"/>
      <c r="AE58" s="28"/>
      <c r="AF58" s="9"/>
      <c r="AG58" s="9"/>
      <c r="AH58" s="9"/>
      <c r="AI58" s="9"/>
      <c r="AJ58" s="27"/>
      <c r="AK58" s="28"/>
      <c r="AL58" s="27"/>
      <c r="AM58" s="28"/>
      <c r="AN58" s="27"/>
      <c r="AO58" s="28"/>
      <c r="AP58" s="27"/>
      <c r="AQ58" s="28"/>
      <c r="AR58" s="27"/>
      <c r="AS58" s="28"/>
      <c r="AT58" s="9"/>
      <c r="AU58" s="9"/>
      <c r="AV58" s="9"/>
      <c r="AW58" s="9"/>
      <c r="AX58" s="27"/>
      <c r="AY58" s="28"/>
      <c r="AZ58" s="27"/>
      <c r="BA58" s="28"/>
      <c r="BB58" s="27"/>
      <c r="BC58" s="28"/>
      <c r="BD58" s="27"/>
      <c r="BE58" s="28"/>
      <c r="BF58" s="29">
        <f t="shared" si="0"/>
        <v>0</v>
      </c>
      <c r="BG58" s="30">
        <f t="shared" si="1"/>
        <v>0</v>
      </c>
    </row>
    <row r="59" spans="1:59" x14ac:dyDescent="0.25">
      <c r="A59" s="12">
        <f>'PPa2019'!D59</f>
        <v>0</v>
      </c>
      <c r="B59" s="12">
        <f>'PPa2019'!E59</f>
        <v>0</v>
      </c>
      <c r="C59" s="10"/>
      <c r="D59" s="10"/>
      <c r="E59" s="10"/>
      <c r="F59" s="10"/>
      <c r="G59" s="10"/>
      <c r="H59" s="27"/>
      <c r="I59" s="28"/>
      <c r="J59" s="27"/>
      <c r="K59" s="28"/>
      <c r="L59" s="27"/>
      <c r="M59" s="28"/>
      <c r="N59" s="27"/>
      <c r="O59" s="28"/>
      <c r="P59" s="27"/>
      <c r="Q59" s="28"/>
      <c r="R59" s="9"/>
      <c r="S59" s="9"/>
      <c r="T59" s="9"/>
      <c r="U59" s="9"/>
      <c r="V59" s="27"/>
      <c r="W59" s="28"/>
      <c r="X59" s="27"/>
      <c r="Y59" s="28"/>
      <c r="Z59" s="27"/>
      <c r="AA59" s="28"/>
      <c r="AB59" s="27"/>
      <c r="AC59" s="28"/>
      <c r="AD59" s="27"/>
      <c r="AE59" s="28"/>
      <c r="AF59" s="9"/>
      <c r="AG59" s="9"/>
      <c r="AH59" s="9"/>
      <c r="AI59" s="9"/>
      <c r="AJ59" s="27"/>
      <c r="AK59" s="28"/>
      <c r="AL59" s="27"/>
      <c r="AM59" s="28"/>
      <c r="AN59" s="27"/>
      <c r="AO59" s="28"/>
      <c r="AP59" s="27"/>
      <c r="AQ59" s="28"/>
      <c r="AR59" s="27"/>
      <c r="AS59" s="28"/>
      <c r="AT59" s="9"/>
      <c r="AU59" s="9"/>
      <c r="AV59" s="9"/>
      <c r="AW59" s="9"/>
      <c r="AX59" s="27"/>
      <c r="AY59" s="28"/>
      <c r="AZ59" s="27"/>
      <c r="BA59" s="28"/>
      <c r="BB59" s="27"/>
      <c r="BC59" s="28"/>
      <c r="BD59" s="27"/>
      <c r="BE59" s="28"/>
      <c r="BF59" s="29">
        <f t="shared" si="0"/>
        <v>0</v>
      </c>
      <c r="BG59" s="30">
        <f t="shared" si="1"/>
        <v>0</v>
      </c>
    </row>
    <row r="60" spans="1:59" x14ac:dyDescent="0.25">
      <c r="A60" s="12">
        <f>'PPa2019'!D60</f>
        <v>0</v>
      </c>
      <c r="B60" s="12">
        <f>'PPa2019'!E60</f>
        <v>0</v>
      </c>
      <c r="C60" s="10"/>
      <c r="D60" s="10"/>
      <c r="E60" s="10"/>
      <c r="F60" s="10"/>
      <c r="G60" s="10"/>
      <c r="H60" s="27"/>
      <c r="I60" s="28"/>
      <c r="J60" s="27"/>
      <c r="K60" s="28"/>
      <c r="L60" s="27"/>
      <c r="M60" s="28"/>
      <c r="N60" s="27"/>
      <c r="O60" s="28"/>
      <c r="P60" s="27"/>
      <c r="Q60" s="28"/>
      <c r="R60" s="9"/>
      <c r="S60" s="9"/>
      <c r="T60" s="9"/>
      <c r="U60" s="9"/>
      <c r="V60" s="27"/>
      <c r="W60" s="28"/>
      <c r="X60" s="27"/>
      <c r="Y60" s="28"/>
      <c r="Z60" s="27"/>
      <c r="AA60" s="28"/>
      <c r="AB60" s="27"/>
      <c r="AC60" s="28"/>
      <c r="AD60" s="27"/>
      <c r="AE60" s="28"/>
      <c r="AF60" s="9"/>
      <c r="AG60" s="9"/>
      <c r="AH60" s="9"/>
      <c r="AI60" s="9"/>
      <c r="AJ60" s="27"/>
      <c r="AK60" s="28"/>
      <c r="AL60" s="27"/>
      <c r="AM60" s="28"/>
      <c r="AN60" s="27"/>
      <c r="AO60" s="28"/>
      <c r="AP60" s="27"/>
      <c r="AQ60" s="28"/>
      <c r="AR60" s="27"/>
      <c r="AS60" s="28"/>
      <c r="AT60" s="9"/>
      <c r="AU60" s="9"/>
      <c r="AV60" s="9"/>
      <c r="AW60" s="9"/>
      <c r="AX60" s="27"/>
      <c r="AY60" s="28"/>
      <c r="AZ60" s="27"/>
      <c r="BA60" s="28"/>
      <c r="BB60" s="27"/>
      <c r="BC60" s="28"/>
      <c r="BD60" s="27"/>
      <c r="BE60" s="28"/>
      <c r="BF60" s="29">
        <f t="shared" si="0"/>
        <v>0</v>
      </c>
      <c r="BG60" s="30">
        <f t="shared" si="1"/>
        <v>0</v>
      </c>
    </row>
    <row r="61" spans="1:59" x14ac:dyDescent="0.25">
      <c r="A61" s="12">
        <f>'PPa2019'!D61</f>
        <v>0</v>
      </c>
      <c r="B61" s="12">
        <f>'PPa2019'!E61</f>
        <v>0</v>
      </c>
      <c r="C61" s="10"/>
      <c r="D61" s="10"/>
      <c r="E61" s="10"/>
      <c r="F61" s="10"/>
      <c r="G61" s="10"/>
      <c r="H61" s="27"/>
      <c r="I61" s="28"/>
      <c r="J61" s="27"/>
      <c r="K61" s="28"/>
      <c r="L61" s="27"/>
      <c r="M61" s="28"/>
      <c r="N61" s="27"/>
      <c r="O61" s="28"/>
      <c r="P61" s="27"/>
      <c r="Q61" s="28"/>
      <c r="R61" s="9"/>
      <c r="S61" s="9"/>
      <c r="T61" s="9"/>
      <c r="U61" s="9"/>
      <c r="V61" s="27"/>
      <c r="W61" s="28"/>
      <c r="X61" s="27"/>
      <c r="Y61" s="28"/>
      <c r="Z61" s="27"/>
      <c r="AA61" s="28"/>
      <c r="AB61" s="27"/>
      <c r="AC61" s="28"/>
      <c r="AD61" s="27"/>
      <c r="AE61" s="28"/>
      <c r="AF61" s="9"/>
      <c r="AG61" s="9"/>
      <c r="AH61" s="9"/>
      <c r="AI61" s="9"/>
      <c r="AJ61" s="27"/>
      <c r="AK61" s="28"/>
      <c r="AL61" s="27"/>
      <c r="AM61" s="28"/>
      <c r="AN61" s="27"/>
      <c r="AO61" s="28"/>
      <c r="AP61" s="27"/>
      <c r="AQ61" s="28"/>
      <c r="AR61" s="27"/>
      <c r="AS61" s="28"/>
      <c r="AT61" s="9"/>
      <c r="AU61" s="9"/>
      <c r="AV61" s="9"/>
      <c r="AW61" s="9"/>
      <c r="AX61" s="27"/>
      <c r="AY61" s="28"/>
      <c r="AZ61" s="27"/>
      <c r="BA61" s="28"/>
      <c r="BB61" s="27"/>
      <c r="BC61" s="28"/>
      <c r="BD61" s="27"/>
      <c r="BE61" s="28"/>
      <c r="BF61" s="29">
        <f t="shared" si="0"/>
        <v>0</v>
      </c>
      <c r="BG61" s="30">
        <f t="shared" si="1"/>
        <v>0</v>
      </c>
    </row>
    <row r="62" spans="1:59" x14ac:dyDescent="0.25">
      <c r="A62" s="12">
        <f>'PPa2019'!D62</f>
        <v>0</v>
      </c>
      <c r="B62" s="12">
        <f>'PPa2019'!E62</f>
        <v>0</v>
      </c>
      <c r="C62" s="10"/>
      <c r="D62" s="10"/>
      <c r="E62" s="10"/>
      <c r="F62" s="10"/>
      <c r="G62" s="10"/>
      <c r="H62" s="27"/>
      <c r="I62" s="28"/>
      <c r="J62" s="27"/>
      <c r="K62" s="28"/>
      <c r="L62" s="27"/>
      <c r="M62" s="28"/>
      <c r="N62" s="27"/>
      <c r="O62" s="28"/>
      <c r="P62" s="27"/>
      <c r="Q62" s="28"/>
      <c r="R62" s="9"/>
      <c r="S62" s="9"/>
      <c r="T62" s="9"/>
      <c r="U62" s="9"/>
      <c r="V62" s="27"/>
      <c r="W62" s="28"/>
      <c r="X62" s="27"/>
      <c r="Y62" s="28"/>
      <c r="Z62" s="27"/>
      <c r="AA62" s="28"/>
      <c r="AB62" s="27"/>
      <c r="AC62" s="28"/>
      <c r="AD62" s="27"/>
      <c r="AE62" s="28"/>
      <c r="AF62" s="9"/>
      <c r="AG62" s="9"/>
      <c r="AH62" s="9"/>
      <c r="AI62" s="9"/>
      <c r="AJ62" s="27"/>
      <c r="AK62" s="28"/>
      <c r="AL62" s="27"/>
      <c r="AM62" s="28"/>
      <c r="AN62" s="27"/>
      <c r="AO62" s="28"/>
      <c r="AP62" s="27"/>
      <c r="AQ62" s="28"/>
      <c r="AR62" s="27"/>
      <c r="AS62" s="28"/>
      <c r="AT62" s="9"/>
      <c r="AU62" s="9"/>
      <c r="AV62" s="9"/>
      <c r="AW62" s="9"/>
      <c r="AX62" s="27"/>
      <c r="AY62" s="28"/>
      <c r="AZ62" s="27"/>
      <c r="BA62" s="28"/>
      <c r="BB62" s="27"/>
      <c r="BC62" s="28"/>
      <c r="BD62" s="27"/>
      <c r="BE62" s="28"/>
      <c r="BF62" s="29">
        <f t="shared" si="0"/>
        <v>0</v>
      </c>
      <c r="BG62" s="30">
        <f t="shared" si="1"/>
        <v>0</v>
      </c>
    </row>
    <row r="63" spans="1:59" x14ac:dyDescent="0.25">
      <c r="A63" s="12">
        <f>'PPa2019'!D63</f>
        <v>0</v>
      </c>
      <c r="B63" s="12">
        <f>'PPa2019'!E63</f>
        <v>0</v>
      </c>
      <c r="C63" s="10"/>
      <c r="D63" s="10"/>
      <c r="E63" s="10"/>
      <c r="F63" s="10"/>
      <c r="G63" s="10"/>
      <c r="H63" s="27"/>
      <c r="I63" s="28"/>
      <c r="J63" s="27"/>
      <c r="K63" s="28"/>
      <c r="L63" s="27"/>
      <c r="M63" s="28"/>
      <c r="N63" s="27"/>
      <c r="O63" s="28"/>
      <c r="P63" s="27"/>
      <c r="Q63" s="28"/>
      <c r="R63" s="9"/>
      <c r="S63" s="9"/>
      <c r="T63" s="9"/>
      <c r="U63" s="9"/>
      <c r="V63" s="27"/>
      <c r="W63" s="28"/>
      <c r="X63" s="27"/>
      <c r="Y63" s="28"/>
      <c r="Z63" s="27"/>
      <c r="AA63" s="28"/>
      <c r="AB63" s="27"/>
      <c r="AC63" s="28"/>
      <c r="AD63" s="27"/>
      <c r="AE63" s="28"/>
      <c r="AF63" s="9"/>
      <c r="AG63" s="9"/>
      <c r="AH63" s="9"/>
      <c r="AI63" s="9"/>
      <c r="AJ63" s="27"/>
      <c r="AK63" s="28"/>
      <c r="AL63" s="27"/>
      <c r="AM63" s="28"/>
      <c r="AN63" s="27"/>
      <c r="AO63" s="28"/>
      <c r="AP63" s="27"/>
      <c r="AQ63" s="28"/>
      <c r="AR63" s="27"/>
      <c r="AS63" s="28"/>
      <c r="AT63" s="9"/>
      <c r="AU63" s="9"/>
      <c r="AV63" s="9"/>
      <c r="AW63" s="9"/>
      <c r="AX63" s="27"/>
      <c r="AY63" s="28"/>
      <c r="AZ63" s="27"/>
      <c r="BA63" s="28"/>
      <c r="BB63" s="27"/>
      <c r="BC63" s="28"/>
      <c r="BD63" s="27"/>
      <c r="BE63" s="28"/>
      <c r="BF63" s="29">
        <f t="shared" si="0"/>
        <v>0</v>
      </c>
      <c r="BG63" s="30">
        <f t="shared" si="1"/>
        <v>0</v>
      </c>
    </row>
    <row r="64" spans="1:59" x14ac:dyDescent="0.25">
      <c r="A64" s="12">
        <f>'PPa2019'!D64</f>
        <v>0</v>
      </c>
      <c r="B64" s="12">
        <f>'PPa2019'!E64</f>
        <v>0</v>
      </c>
      <c r="C64" s="10"/>
      <c r="D64" s="10"/>
      <c r="E64" s="10"/>
      <c r="F64" s="10"/>
      <c r="G64" s="10"/>
      <c r="H64" s="27"/>
      <c r="I64" s="28"/>
      <c r="J64" s="27"/>
      <c r="K64" s="28"/>
      <c r="L64" s="27"/>
      <c r="M64" s="28"/>
      <c r="N64" s="27"/>
      <c r="O64" s="28"/>
      <c r="P64" s="27"/>
      <c r="Q64" s="28"/>
      <c r="R64" s="9"/>
      <c r="S64" s="9"/>
      <c r="T64" s="9"/>
      <c r="U64" s="9"/>
      <c r="V64" s="27"/>
      <c r="W64" s="28"/>
      <c r="X64" s="27"/>
      <c r="Y64" s="28"/>
      <c r="Z64" s="27"/>
      <c r="AA64" s="28"/>
      <c r="AB64" s="27"/>
      <c r="AC64" s="28"/>
      <c r="AD64" s="27"/>
      <c r="AE64" s="28"/>
      <c r="AF64" s="9"/>
      <c r="AG64" s="9"/>
      <c r="AH64" s="9"/>
      <c r="AI64" s="9"/>
      <c r="AJ64" s="27"/>
      <c r="AK64" s="28"/>
      <c r="AL64" s="27"/>
      <c r="AM64" s="28"/>
      <c r="AN64" s="27"/>
      <c r="AO64" s="28"/>
      <c r="AP64" s="27"/>
      <c r="AQ64" s="28"/>
      <c r="AR64" s="27"/>
      <c r="AS64" s="28"/>
      <c r="AT64" s="9"/>
      <c r="AU64" s="9"/>
      <c r="AV64" s="9"/>
      <c r="AW64" s="9"/>
      <c r="AX64" s="27"/>
      <c r="AY64" s="28"/>
      <c r="AZ64" s="27"/>
      <c r="BA64" s="28"/>
      <c r="BB64" s="27"/>
      <c r="BC64" s="28"/>
      <c r="BD64" s="27"/>
      <c r="BE64" s="28"/>
      <c r="BF64" s="29">
        <f t="shared" si="0"/>
        <v>0</v>
      </c>
      <c r="BG64" s="30">
        <f t="shared" si="1"/>
        <v>0</v>
      </c>
    </row>
    <row r="65" spans="1:59" x14ac:dyDescent="0.25">
      <c r="A65" s="12">
        <f>'PPa2019'!D65</f>
        <v>0</v>
      </c>
      <c r="B65" s="12">
        <f>'PPa2019'!E65</f>
        <v>0</v>
      </c>
      <c r="C65" s="10"/>
      <c r="D65" s="10"/>
      <c r="E65" s="10"/>
      <c r="F65" s="10"/>
      <c r="G65" s="10"/>
      <c r="H65" s="27"/>
      <c r="I65" s="28"/>
      <c r="J65" s="27"/>
      <c r="K65" s="28"/>
      <c r="L65" s="27"/>
      <c r="M65" s="28"/>
      <c r="N65" s="27"/>
      <c r="O65" s="28"/>
      <c r="P65" s="27"/>
      <c r="Q65" s="28"/>
      <c r="R65" s="9"/>
      <c r="S65" s="9"/>
      <c r="T65" s="9"/>
      <c r="U65" s="9"/>
      <c r="V65" s="27"/>
      <c r="W65" s="28"/>
      <c r="X65" s="27"/>
      <c r="Y65" s="28"/>
      <c r="Z65" s="27"/>
      <c r="AA65" s="28"/>
      <c r="AB65" s="27"/>
      <c r="AC65" s="28"/>
      <c r="AD65" s="27"/>
      <c r="AE65" s="28"/>
      <c r="AF65" s="9"/>
      <c r="AG65" s="9"/>
      <c r="AH65" s="9"/>
      <c r="AI65" s="9"/>
      <c r="AJ65" s="27"/>
      <c r="AK65" s="28"/>
      <c r="AL65" s="27"/>
      <c r="AM65" s="28"/>
      <c r="AN65" s="27"/>
      <c r="AO65" s="28"/>
      <c r="AP65" s="27"/>
      <c r="AQ65" s="28"/>
      <c r="AR65" s="27"/>
      <c r="AS65" s="28"/>
      <c r="AT65" s="9"/>
      <c r="AU65" s="9"/>
      <c r="AV65" s="9"/>
      <c r="AW65" s="9"/>
      <c r="AX65" s="27"/>
      <c r="AY65" s="28"/>
      <c r="AZ65" s="27"/>
      <c r="BA65" s="28"/>
      <c r="BB65" s="27"/>
      <c r="BC65" s="28"/>
      <c r="BD65" s="27"/>
      <c r="BE65" s="28"/>
      <c r="BF65" s="29">
        <f t="shared" si="0"/>
        <v>0</v>
      </c>
      <c r="BG65" s="30">
        <f t="shared" si="1"/>
        <v>0</v>
      </c>
    </row>
    <row r="66" spans="1:59" x14ac:dyDescent="0.25">
      <c r="A66" s="12">
        <f>'PPa2019'!D66</f>
        <v>0</v>
      </c>
      <c r="B66" s="12">
        <f>'PPa2019'!E66</f>
        <v>0</v>
      </c>
      <c r="C66" s="10"/>
      <c r="D66" s="10"/>
      <c r="E66" s="10"/>
      <c r="F66" s="10"/>
      <c r="G66" s="10"/>
      <c r="H66" s="27"/>
      <c r="I66" s="28"/>
      <c r="J66" s="27"/>
      <c r="K66" s="28"/>
      <c r="L66" s="27"/>
      <c r="M66" s="28"/>
      <c r="N66" s="27"/>
      <c r="O66" s="28"/>
      <c r="P66" s="27"/>
      <c r="Q66" s="28"/>
      <c r="R66" s="9"/>
      <c r="S66" s="9"/>
      <c r="T66" s="9"/>
      <c r="U66" s="9"/>
      <c r="V66" s="27"/>
      <c r="W66" s="28"/>
      <c r="X66" s="27"/>
      <c r="Y66" s="28"/>
      <c r="Z66" s="27"/>
      <c r="AA66" s="28"/>
      <c r="AB66" s="27"/>
      <c r="AC66" s="28"/>
      <c r="AD66" s="27"/>
      <c r="AE66" s="28"/>
      <c r="AF66" s="9"/>
      <c r="AG66" s="9"/>
      <c r="AH66" s="9"/>
      <c r="AI66" s="9"/>
      <c r="AJ66" s="27"/>
      <c r="AK66" s="28"/>
      <c r="AL66" s="27"/>
      <c r="AM66" s="28"/>
      <c r="AN66" s="27"/>
      <c r="AO66" s="28"/>
      <c r="AP66" s="27"/>
      <c r="AQ66" s="28"/>
      <c r="AR66" s="27"/>
      <c r="AS66" s="28"/>
      <c r="AT66" s="9"/>
      <c r="AU66" s="9"/>
      <c r="AV66" s="9"/>
      <c r="AW66" s="9"/>
      <c r="AX66" s="27"/>
      <c r="AY66" s="28"/>
      <c r="AZ66" s="27"/>
      <c r="BA66" s="28"/>
      <c r="BB66" s="27"/>
      <c r="BC66" s="28"/>
      <c r="BD66" s="27"/>
      <c r="BE66" s="28"/>
      <c r="BF66" s="29">
        <f t="shared" si="0"/>
        <v>0</v>
      </c>
      <c r="BG66" s="30">
        <f t="shared" si="1"/>
        <v>0</v>
      </c>
    </row>
    <row r="67" spans="1:59" x14ac:dyDescent="0.25">
      <c r="A67" s="12">
        <f>'PPa2019'!D67</f>
        <v>0</v>
      </c>
      <c r="B67" s="12">
        <f>'PPa2019'!E67</f>
        <v>0</v>
      </c>
      <c r="C67" s="10"/>
      <c r="D67" s="10"/>
      <c r="E67" s="10"/>
      <c r="F67" s="10"/>
      <c r="G67" s="10"/>
      <c r="H67" s="27"/>
      <c r="I67" s="28"/>
      <c r="J67" s="27"/>
      <c r="K67" s="28"/>
      <c r="L67" s="27"/>
      <c r="M67" s="28"/>
      <c r="N67" s="27"/>
      <c r="O67" s="28"/>
      <c r="P67" s="27"/>
      <c r="Q67" s="28"/>
      <c r="R67" s="9"/>
      <c r="S67" s="9"/>
      <c r="T67" s="9"/>
      <c r="U67" s="9"/>
      <c r="V67" s="27"/>
      <c r="W67" s="28"/>
      <c r="X67" s="27"/>
      <c r="Y67" s="28"/>
      <c r="Z67" s="27"/>
      <c r="AA67" s="28"/>
      <c r="AB67" s="27"/>
      <c r="AC67" s="28"/>
      <c r="AD67" s="27"/>
      <c r="AE67" s="28"/>
      <c r="AF67" s="9"/>
      <c r="AG67" s="9"/>
      <c r="AH67" s="9"/>
      <c r="AI67" s="9"/>
      <c r="AJ67" s="27"/>
      <c r="AK67" s="28"/>
      <c r="AL67" s="27"/>
      <c r="AM67" s="28"/>
      <c r="AN67" s="27"/>
      <c r="AO67" s="28"/>
      <c r="AP67" s="27"/>
      <c r="AQ67" s="28"/>
      <c r="AR67" s="27"/>
      <c r="AS67" s="28"/>
      <c r="AT67" s="9"/>
      <c r="AU67" s="9"/>
      <c r="AV67" s="9"/>
      <c r="AW67" s="9"/>
      <c r="AX67" s="27"/>
      <c r="AY67" s="28"/>
      <c r="AZ67" s="27"/>
      <c r="BA67" s="28"/>
      <c r="BB67" s="27"/>
      <c r="BC67" s="28"/>
      <c r="BD67" s="27"/>
      <c r="BE67" s="28"/>
      <c r="BF67" s="29">
        <f t="shared" ref="BF67:BF130" si="2">$H67+$J67+$L67+$N67+$P67+$V67+$X67+$Z67+$AB67+$AD67+$AJ67+$AL67+$AN67+$AP67+$AR67+$AX67+$AZ67+$BB67+$BD67</f>
        <v>0</v>
      </c>
      <c r="BG67" s="30">
        <f t="shared" ref="BG67:BG130" si="3">$I67+$K67+$M67+$O67+$Q67+$W67+$Y67+$AA67+$AC67+$AE67+$AK67+$AM67+$AO67+$AQ67+$AS67+$AY67+$BA67+$BC67+$BE67</f>
        <v>0</v>
      </c>
    </row>
    <row r="68" spans="1:59" x14ac:dyDescent="0.25">
      <c r="A68" s="12">
        <f>'PPa2019'!D68</f>
        <v>0</v>
      </c>
      <c r="B68" s="12">
        <f>'PPa2019'!E68</f>
        <v>0</v>
      </c>
      <c r="C68" s="10"/>
      <c r="D68" s="10"/>
      <c r="E68" s="10"/>
      <c r="F68" s="10"/>
      <c r="G68" s="10"/>
      <c r="H68" s="27"/>
      <c r="I68" s="28"/>
      <c r="J68" s="27"/>
      <c r="K68" s="28"/>
      <c r="L68" s="27"/>
      <c r="M68" s="28"/>
      <c r="N68" s="27"/>
      <c r="O68" s="28"/>
      <c r="P68" s="27"/>
      <c r="Q68" s="28"/>
      <c r="R68" s="9"/>
      <c r="S68" s="9"/>
      <c r="T68" s="9"/>
      <c r="U68" s="9"/>
      <c r="V68" s="27"/>
      <c r="W68" s="28"/>
      <c r="X68" s="27"/>
      <c r="Y68" s="28"/>
      <c r="Z68" s="27"/>
      <c r="AA68" s="28"/>
      <c r="AB68" s="27"/>
      <c r="AC68" s="28"/>
      <c r="AD68" s="27"/>
      <c r="AE68" s="28"/>
      <c r="AF68" s="9"/>
      <c r="AG68" s="9"/>
      <c r="AH68" s="9"/>
      <c r="AI68" s="9"/>
      <c r="AJ68" s="27"/>
      <c r="AK68" s="28"/>
      <c r="AL68" s="27"/>
      <c r="AM68" s="28"/>
      <c r="AN68" s="27"/>
      <c r="AO68" s="28"/>
      <c r="AP68" s="27"/>
      <c r="AQ68" s="28"/>
      <c r="AR68" s="27"/>
      <c r="AS68" s="28"/>
      <c r="AT68" s="9"/>
      <c r="AU68" s="9"/>
      <c r="AV68" s="9"/>
      <c r="AW68" s="9"/>
      <c r="AX68" s="27"/>
      <c r="AY68" s="28"/>
      <c r="AZ68" s="27"/>
      <c r="BA68" s="28"/>
      <c r="BB68" s="27"/>
      <c r="BC68" s="28"/>
      <c r="BD68" s="27"/>
      <c r="BE68" s="28"/>
      <c r="BF68" s="29">
        <f t="shared" si="2"/>
        <v>0</v>
      </c>
      <c r="BG68" s="30">
        <f t="shared" si="3"/>
        <v>0</v>
      </c>
    </row>
    <row r="69" spans="1:59" x14ac:dyDescent="0.25">
      <c r="A69" s="12">
        <f>'PPa2019'!D69</f>
        <v>0</v>
      </c>
      <c r="B69" s="12">
        <f>'PPa2019'!E69</f>
        <v>0</v>
      </c>
      <c r="C69" s="10"/>
      <c r="D69" s="10"/>
      <c r="E69" s="10"/>
      <c r="F69" s="10"/>
      <c r="G69" s="10"/>
      <c r="H69" s="27"/>
      <c r="I69" s="28"/>
      <c r="J69" s="27"/>
      <c r="K69" s="28"/>
      <c r="L69" s="27"/>
      <c r="M69" s="28"/>
      <c r="N69" s="27"/>
      <c r="O69" s="28"/>
      <c r="P69" s="27"/>
      <c r="Q69" s="28"/>
      <c r="R69" s="9"/>
      <c r="S69" s="9"/>
      <c r="T69" s="9"/>
      <c r="U69" s="9"/>
      <c r="V69" s="27"/>
      <c r="W69" s="28"/>
      <c r="X69" s="27"/>
      <c r="Y69" s="28"/>
      <c r="Z69" s="27"/>
      <c r="AA69" s="28"/>
      <c r="AB69" s="27"/>
      <c r="AC69" s="28"/>
      <c r="AD69" s="27"/>
      <c r="AE69" s="28"/>
      <c r="AF69" s="9"/>
      <c r="AG69" s="9"/>
      <c r="AH69" s="9"/>
      <c r="AI69" s="9"/>
      <c r="AJ69" s="27"/>
      <c r="AK69" s="28"/>
      <c r="AL69" s="27"/>
      <c r="AM69" s="28"/>
      <c r="AN69" s="27"/>
      <c r="AO69" s="28"/>
      <c r="AP69" s="27"/>
      <c r="AQ69" s="28"/>
      <c r="AR69" s="27"/>
      <c r="AS69" s="28"/>
      <c r="AT69" s="9"/>
      <c r="AU69" s="9"/>
      <c r="AV69" s="9"/>
      <c r="AW69" s="9"/>
      <c r="AX69" s="27"/>
      <c r="AY69" s="28"/>
      <c r="AZ69" s="27"/>
      <c r="BA69" s="28"/>
      <c r="BB69" s="27"/>
      <c r="BC69" s="28"/>
      <c r="BD69" s="27"/>
      <c r="BE69" s="28"/>
      <c r="BF69" s="29">
        <f t="shared" si="2"/>
        <v>0</v>
      </c>
      <c r="BG69" s="30">
        <f t="shared" si="3"/>
        <v>0</v>
      </c>
    </row>
    <row r="70" spans="1:59" x14ac:dyDescent="0.25">
      <c r="A70" s="12">
        <f>'PPa2019'!D70</f>
        <v>0</v>
      </c>
      <c r="B70" s="12">
        <f>'PPa2019'!E70</f>
        <v>0</v>
      </c>
      <c r="C70" s="10"/>
      <c r="D70" s="10"/>
      <c r="E70" s="10"/>
      <c r="F70" s="10"/>
      <c r="G70" s="10"/>
      <c r="H70" s="27"/>
      <c r="I70" s="28"/>
      <c r="J70" s="27"/>
      <c r="K70" s="28"/>
      <c r="L70" s="27"/>
      <c r="M70" s="28"/>
      <c r="N70" s="27"/>
      <c r="O70" s="28"/>
      <c r="P70" s="27"/>
      <c r="Q70" s="28"/>
      <c r="R70" s="9"/>
      <c r="S70" s="9"/>
      <c r="T70" s="9"/>
      <c r="U70" s="9"/>
      <c r="V70" s="27"/>
      <c r="W70" s="28"/>
      <c r="X70" s="27"/>
      <c r="Y70" s="28"/>
      <c r="Z70" s="27"/>
      <c r="AA70" s="28"/>
      <c r="AB70" s="27"/>
      <c r="AC70" s="28"/>
      <c r="AD70" s="27"/>
      <c r="AE70" s="28"/>
      <c r="AF70" s="9"/>
      <c r="AG70" s="9"/>
      <c r="AH70" s="9"/>
      <c r="AI70" s="9"/>
      <c r="AJ70" s="27"/>
      <c r="AK70" s="28"/>
      <c r="AL70" s="27"/>
      <c r="AM70" s="28"/>
      <c r="AN70" s="27"/>
      <c r="AO70" s="28"/>
      <c r="AP70" s="27"/>
      <c r="AQ70" s="28"/>
      <c r="AR70" s="27"/>
      <c r="AS70" s="28"/>
      <c r="AT70" s="9"/>
      <c r="AU70" s="9"/>
      <c r="AV70" s="9"/>
      <c r="AW70" s="9"/>
      <c r="AX70" s="27"/>
      <c r="AY70" s="28"/>
      <c r="AZ70" s="27"/>
      <c r="BA70" s="28"/>
      <c r="BB70" s="27"/>
      <c r="BC70" s="28"/>
      <c r="BD70" s="27"/>
      <c r="BE70" s="28"/>
      <c r="BF70" s="29">
        <f t="shared" si="2"/>
        <v>0</v>
      </c>
      <c r="BG70" s="30">
        <f t="shared" si="3"/>
        <v>0</v>
      </c>
    </row>
    <row r="71" spans="1:59" x14ac:dyDescent="0.25">
      <c r="A71" s="12">
        <f>'PPa2019'!D71</f>
        <v>0</v>
      </c>
      <c r="B71" s="12">
        <f>'PPa2019'!E71</f>
        <v>0</v>
      </c>
      <c r="C71" s="10"/>
      <c r="D71" s="10"/>
      <c r="E71" s="10"/>
      <c r="F71" s="10"/>
      <c r="G71" s="10"/>
      <c r="H71" s="27"/>
      <c r="I71" s="28"/>
      <c r="J71" s="27"/>
      <c r="K71" s="28"/>
      <c r="L71" s="27"/>
      <c r="M71" s="28"/>
      <c r="N71" s="27"/>
      <c r="O71" s="28"/>
      <c r="P71" s="27"/>
      <c r="Q71" s="28"/>
      <c r="R71" s="9"/>
      <c r="S71" s="9"/>
      <c r="T71" s="9"/>
      <c r="U71" s="9"/>
      <c r="V71" s="27"/>
      <c r="W71" s="28"/>
      <c r="X71" s="27"/>
      <c r="Y71" s="28"/>
      <c r="Z71" s="27"/>
      <c r="AA71" s="28"/>
      <c r="AB71" s="27"/>
      <c r="AC71" s="28"/>
      <c r="AD71" s="27"/>
      <c r="AE71" s="28"/>
      <c r="AF71" s="9"/>
      <c r="AG71" s="9"/>
      <c r="AH71" s="9"/>
      <c r="AI71" s="9"/>
      <c r="AJ71" s="27"/>
      <c r="AK71" s="28"/>
      <c r="AL71" s="27"/>
      <c r="AM71" s="28"/>
      <c r="AN71" s="27"/>
      <c r="AO71" s="28"/>
      <c r="AP71" s="27"/>
      <c r="AQ71" s="28"/>
      <c r="AR71" s="27"/>
      <c r="AS71" s="28"/>
      <c r="AT71" s="9"/>
      <c r="AU71" s="9"/>
      <c r="AV71" s="9"/>
      <c r="AW71" s="9"/>
      <c r="AX71" s="27"/>
      <c r="AY71" s="28"/>
      <c r="AZ71" s="27"/>
      <c r="BA71" s="28"/>
      <c r="BB71" s="27"/>
      <c r="BC71" s="28"/>
      <c r="BD71" s="27"/>
      <c r="BE71" s="28"/>
      <c r="BF71" s="29">
        <f t="shared" si="2"/>
        <v>0</v>
      </c>
      <c r="BG71" s="30">
        <f t="shared" si="3"/>
        <v>0</v>
      </c>
    </row>
    <row r="72" spans="1:59" x14ac:dyDescent="0.25">
      <c r="A72" s="12">
        <f>'PPa2019'!D72</f>
        <v>0</v>
      </c>
      <c r="B72" s="12">
        <f>'PPa2019'!E72</f>
        <v>0</v>
      </c>
      <c r="C72" s="10"/>
      <c r="D72" s="10"/>
      <c r="E72" s="10"/>
      <c r="F72" s="10"/>
      <c r="G72" s="10"/>
      <c r="H72" s="27"/>
      <c r="I72" s="28"/>
      <c r="J72" s="27"/>
      <c r="K72" s="28"/>
      <c r="L72" s="27"/>
      <c r="M72" s="28"/>
      <c r="N72" s="27"/>
      <c r="O72" s="28"/>
      <c r="P72" s="27"/>
      <c r="Q72" s="28"/>
      <c r="R72" s="9"/>
      <c r="S72" s="9"/>
      <c r="T72" s="9"/>
      <c r="U72" s="9"/>
      <c r="V72" s="27"/>
      <c r="W72" s="28"/>
      <c r="X72" s="27"/>
      <c r="Y72" s="28"/>
      <c r="Z72" s="27"/>
      <c r="AA72" s="28"/>
      <c r="AB72" s="27"/>
      <c r="AC72" s="28"/>
      <c r="AD72" s="27"/>
      <c r="AE72" s="28"/>
      <c r="AF72" s="9"/>
      <c r="AG72" s="9"/>
      <c r="AH72" s="9"/>
      <c r="AI72" s="9"/>
      <c r="AJ72" s="27"/>
      <c r="AK72" s="28"/>
      <c r="AL72" s="27"/>
      <c r="AM72" s="28"/>
      <c r="AN72" s="27"/>
      <c r="AO72" s="28"/>
      <c r="AP72" s="27"/>
      <c r="AQ72" s="28"/>
      <c r="AR72" s="27"/>
      <c r="AS72" s="28"/>
      <c r="AT72" s="9"/>
      <c r="AU72" s="9"/>
      <c r="AV72" s="9"/>
      <c r="AW72" s="9"/>
      <c r="AX72" s="27"/>
      <c r="AY72" s="28"/>
      <c r="AZ72" s="27"/>
      <c r="BA72" s="28"/>
      <c r="BB72" s="27"/>
      <c r="BC72" s="28"/>
      <c r="BD72" s="27"/>
      <c r="BE72" s="28"/>
      <c r="BF72" s="29">
        <f t="shared" si="2"/>
        <v>0</v>
      </c>
      <c r="BG72" s="30">
        <f t="shared" si="3"/>
        <v>0</v>
      </c>
    </row>
    <row r="73" spans="1:59" x14ac:dyDescent="0.25">
      <c r="A73" s="12">
        <f>'PPa2019'!D73</f>
        <v>0</v>
      </c>
      <c r="B73" s="12">
        <f>'PPa2019'!E73</f>
        <v>0</v>
      </c>
      <c r="C73" s="10"/>
      <c r="D73" s="10"/>
      <c r="E73" s="10"/>
      <c r="F73" s="10"/>
      <c r="G73" s="10"/>
      <c r="H73" s="27"/>
      <c r="I73" s="28"/>
      <c r="J73" s="27"/>
      <c r="K73" s="28"/>
      <c r="L73" s="27"/>
      <c r="M73" s="28"/>
      <c r="N73" s="27"/>
      <c r="O73" s="28"/>
      <c r="P73" s="27"/>
      <c r="Q73" s="28"/>
      <c r="R73" s="9"/>
      <c r="S73" s="9"/>
      <c r="T73" s="9"/>
      <c r="U73" s="9"/>
      <c r="V73" s="27"/>
      <c r="W73" s="28"/>
      <c r="X73" s="27"/>
      <c r="Y73" s="28"/>
      <c r="Z73" s="27"/>
      <c r="AA73" s="28"/>
      <c r="AB73" s="27"/>
      <c r="AC73" s="28"/>
      <c r="AD73" s="27"/>
      <c r="AE73" s="28"/>
      <c r="AF73" s="9"/>
      <c r="AG73" s="9"/>
      <c r="AH73" s="9"/>
      <c r="AI73" s="9"/>
      <c r="AJ73" s="27"/>
      <c r="AK73" s="28"/>
      <c r="AL73" s="27"/>
      <c r="AM73" s="28"/>
      <c r="AN73" s="27"/>
      <c r="AO73" s="28"/>
      <c r="AP73" s="27"/>
      <c r="AQ73" s="28"/>
      <c r="AR73" s="27"/>
      <c r="AS73" s="28"/>
      <c r="AT73" s="9"/>
      <c r="AU73" s="9"/>
      <c r="AV73" s="9"/>
      <c r="AW73" s="9"/>
      <c r="AX73" s="27"/>
      <c r="AY73" s="28"/>
      <c r="AZ73" s="27"/>
      <c r="BA73" s="28"/>
      <c r="BB73" s="27"/>
      <c r="BC73" s="28"/>
      <c r="BD73" s="27"/>
      <c r="BE73" s="28"/>
      <c r="BF73" s="29">
        <f t="shared" si="2"/>
        <v>0</v>
      </c>
      <c r="BG73" s="30">
        <f t="shared" si="3"/>
        <v>0</v>
      </c>
    </row>
    <row r="74" spans="1:59" x14ac:dyDescent="0.25">
      <c r="A74" s="12">
        <f>'PPa2019'!D74</f>
        <v>0</v>
      </c>
      <c r="B74" s="12">
        <f>'PPa2019'!E74</f>
        <v>0</v>
      </c>
      <c r="C74" s="10"/>
      <c r="D74" s="10"/>
      <c r="E74" s="10"/>
      <c r="F74" s="10"/>
      <c r="G74" s="10"/>
      <c r="H74" s="27"/>
      <c r="I74" s="28"/>
      <c r="J74" s="27"/>
      <c r="K74" s="28"/>
      <c r="L74" s="27"/>
      <c r="M74" s="28"/>
      <c r="N74" s="27"/>
      <c r="O74" s="28"/>
      <c r="P74" s="27"/>
      <c r="Q74" s="28"/>
      <c r="R74" s="9"/>
      <c r="S74" s="9"/>
      <c r="T74" s="9"/>
      <c r="U74" s="9"/>
      <c r="V74" s="27"/>
      <c r="W74" s="28"/>
      <c r="X74" s="27"/>
      <c r="Y74" s="28"/>
      <c r="Z74" s="27"/>
      <c r="AA74" s="28"/>
      <c r="AB74" s="27"/>
      <c r="AC74" s="28"/>
      <c r="AD74" s="27"/>
      <c r="AE74" s="28"/>
      <c r="AF74" s="9"/>
      <c r="AG74" s="9"/>
      <c r="AH74" s="9"/>
      <c r="AI74" s="9"/>
      <c r="AJ74" s="27"/>
      <c r="AK74" s="28"/>
      <c r="AL74" s="27"/>
      <c r="AM74" s="28"/>
      <c r="AN74" s="27"/>
      <c r="AO74" s="28"/>
      <c r="AP74" s="27"/>
      <c r="AQ74" s="28"/>
      <c r="AR74" s="27"/>
      <c r="AS74" s="28"/>
      <c r="AT74" s="9"/>
      <c r="AU74" s="9"/>
      <c r="AV74" s="9"/>
      <c r="AW74" s="9"/>
      <c r="AX74" s="27"/>
      <c r="AY74" s="28"/>
      <c r="AZ74" s="27"/>
      <c r="BA74" s="28"/>
      <c r="BB74" s="27"/>
      <c r="BC74" s="28"/>
      <c r="BD74" s="27"/>
      <c r="BE74" s="28"/>
      <c r="BF74" s="29">
        <f t="shared" si="2"/>
        <v>0</v>
      </c>
      <c r="BG74" s="30">
        <f t="shared" si="3"/>
        <v>0</v>
      </c>
    </row>
    <row r="75" spans="1:59" x14ac:dyDescent="0.25">
      <c r="A75" s="12">
        <f>'PPa2019'!D75</f>
        <v>0</v>
      </c>
      <c r="B75" s="12">
        <f>'PPa2019'!E75</f>
        <v>0</v>
      </c>
      <c r="C75" s="10"/>
      <c r="D75" s="10"/>
      <c r="E75" s="10"/>
      <c r="F75" s="10"/>
      <c r="G75" s="10"/>
      <c r="H75" s="27"/>
      <c r="I75" s="28"/>
      <c r="J75" s="27"/>
      <c r="K75" s="28"/>
      <c r="L75" s="27"/>
      <c r="M75" s="28"/>
      <c r="N75" s="27"/>
      <c r="O75" s="28"/>
      <c r="P75" s="27"/>
      <c r="Q75" s="28"/>
      <c r="R75" s="9"/>
      <c r="S75" s="9"/>
      <c r="T75" s="9"/>
      <c r="U75" s="9"/>
      <c r="V75" s="27"/>
      <c r="W75" s="28"/>
      <c r="X75" s="27"/>
      <c r="Y75" s="28"/>
      <c r="Z75" s="27"/>
      <c r="AA75" s="28"/>
      <c r="AB75" s="27"/>
      <c r="AC75" s="28"/>
      <c r="AD75" s="27"/>
      <c r="AE75" s="28"/>
      <c r="AF75" s="9"/>
      <c r="AG75" s="9"/>
      <c r="AH75" s="9"/>
      <c r="AI75" s="9"/>
      <c r="AJ75" s="27"/>
      <c r="AK75" s="28"/>
      <c r="AL75" s="27"/>
      <c r="AM75" s="28"/>
      <c r="AN75" s="27"/>
      <c r="AO75" s="28"/>
      <c r="AP75" s="27"/>
      <c r="AQ75" s="28"/>
      <c r="AR75" s="27"/>
      <c r="AS75" s="28"/>
      <c r="AT75" s="9"/>
      <c r="AU75" s="9"/>
      <c r="AV75" s="9"/>
      <c r="AW75" s="9"/>
      <c r="AX75" s="27"/>
      <c r="AY75" s="28"/>
      <c r="AZ75" s="27"/>
      <c r="BA75" s="28"/>
      <c r="BB75" s="27"/>
      <c r="BC75" s="28"/>
      <c r="BD75" s="27"/>
      <c r="BE75" s="28"/>
      <c r="BF75" s="29">
        <f t="shared" si="2"/>
        <v>0</v>
      </c>
      <c r="BG75" s="30">
        <f t="shared" si="3"/>
        <v>0</v>
      </c>
    </row>
    <row r="76" spans="1:59" x14ac:dyDescent="0.25">
      <c r="A76" s="12">
        <f>'PPa2019'!D76</f>
        <v>0</v>
      </c>
      <c r="B76" s="12">
        <f>'PPa2019'!E76</f>
        <v>0</v>
      </c>
      <c r="C76" s="10"/>
      <c r="D76" s="10"/>
      <c r="E76" s="10"/>
      <c r="F76" s="10"/>
      <c r="G76" s="10"/>
      <c r="H76" s="27"/>
      <c r="I76" s="28"/>
      <c r="J76" s="27"/>
      <c r="K76" s="28"/>
      <c r="L76" s="27"/>
      <c r="M76" s="28"/>
      <c r="N76" s="27"/>
      <c r="O76" s="28"/>
      <c r="P76" s="27"/>
      <c r="Q76" s="28"/>
      <c r="R76" s="9"/>
      <c r="S76" s="9"/>
      <c r="T76" s="9"/>
      <c r="U76" s="9"/>
      <c r="V76" s="27"/>
      <c r="W76" s="28"/>
      <c r="X76" s="27"/>
      <c r="Y76" s="28"/>
      <c r="Z76" s="27"/>
      <c r="AA76" s="28"/>
      <c r="AB76" s="27"/>
      <c r="AC76" s="28"/>
      <c r="AD76" s="27"/>
      <c r="AE76" s="28"/>
      <c r="AF76" s="9"/>
      <c r="AG76" s="9"/>
      <c r="AH76" s="9"/>
      <c r="AI76" s="9"/>
      <c r="AJ76" s="27"/>
      <c r="AK76" s="28"/>
      <c r="AL76" s="27"/>
      <c r="AM76" s="28"/>
      <c r="AN76" s="27"/>
      <c r="AO76" s="28"/>
      <c r="AP76" s="27"/>
      <c r="AQ76" s="28"/>
      <c r="AR76" s="27"/>
      <c r="AS76" s="28"/>
      <c r="AT76" s="9"/>
      <c r="AU76" s="9"/>
      <c r="AV76" s="9"/>
      <c r="AW76" s="9"/>
      <c r="AX76" s="27"/>
      <c r="AY76" s="28"/>
      <c r="AZ76" s="27"/>
      <c r="BA76" s="28"/>
      <c r="BB76" s="27"/>
      <c r="BC76" s="28"/>
      <c r="BD76" s="27"/>
      <c r="BE76" s="28"/>
      <c r="BF76" s="29">
        <f t="shared" si="2"/>
        <v>0</v>
      </c>
      <c r="BG76" s="30">
        <f t="shared" si="3"/>
        <v>0</v>
      </c>
    </row>
    <row r="77" spans="1:59" x14ac:dyDescent="0.25">
      <c r="A77" s="12">
        <f>'PPa2019'!D77</f>
        <v>0</v>
      </c>
      <c r="B77" s="12">
        <f>'PPa2019'!E77</f>
        <v>0</v>
      </c>
      <c r="C77" s="10"/>
      <c r="D77" s="10"/>
      <c r="E77" s="10"/>
      <c r="F77" s="10"/>
      <c r="G77" s="10"/>
      <c r="H77" s="27"/>
      <c r="I77" s="28"/>
      <c r="J77" s="27"/>
      <c r="K77" s="28"/>
      <c r="L77" s="27"/>
      <c r="M77" s="28"/>
      <c r="N77" s="27"/>
      <c r="O77" s="28"/>
      <c r="P77" s="27"/>
      <c r="Q77" s="28"/>
      <c r="R77" s="9"/>
      <c r="S77" s="9"/>
      <c r="T77" s="9"/>
      <c r="U77" s="9"/>
      <c r="V77" s="27"/>
      <c r="W77" s="28"/>
      <c r="X77" s="27"/>
      <c r="Y77" s="28"/>
      <c r="Z77" s="27"/>
      <c r="AA77" s="28"/>
      <c r="AB77" s="27"/>
      <c r="AC77" s="28"/>
      <c r="AD77" s="27"/>
      <c r="AE77" s="28"/>
      <c r="AF77" s="9"/>
      <c r="AG77" s="9"/>
      <c r="AH77" s="9"/>
      <c r="AI77" s="9"/>
      <c r="AJ77" s="27"/>
      <c r="AK77" s="28"/>
      <c r="AL77" s="27"/>
      <c r="AM77" s="28"/>
      <c r="AN77" s="27"/>
      <c r="AO77" s="28"/>
      <c r="AP77" s="27"/>
      <c r="AQ77" s="28"/>
      <c r="AR77" s="27"/>
      <c r="AS77" s="28"/>
      <c r="AT77" s="9"/>
      <c r="AU77" s="9"/>
      <c r="AV77" s="9"/>
      <c r="AW77" s="9"/>
      <c r="AX77" s="27"/>
      <c r="AY77" s="28"/>
      <c r="AZ77" s="27"/>
      <c r="BA77" s="28"/>
      <c r="BB77" s="27"/>
      <c r="BC77" s="28"/>
      <c r="BD77" s="27"/>
      <c r="BE77" s="28"/>
      <c r="BF77" s="29">
        <f t="shared" si="2"/>
        <v>0</v>
      </c>
      <c r="BG77" s="30">
        <f t="shared" si="3"/>
        <v>0</v>
      </c>
    </row>
    <row r="78" spans="1:59" x14ac:dyDescent="0.25">
      <c r="A78" s="12">
        <f>'PPa2019'!D78</f>
        <v>0</v>
      </c>
      <c r="B78" s="12">
        <f>'PPa2019'!E78</f>
        <v>0</v>
      </c>
      <c r="C78" s="10"/>
      <c r="D78" s="10"/>
      <c r="E78" s="10"/>
      <c r="F78" s="10"/>
      <c r="G78" s="10"/>
      <c r="H78" s="27"/>
      <c r="I78" s="28"/>
      <c r="J78" s="27"/>
      <c r="K78" s="28"/>
      <c r="L78" s="27"/>
      <c r="M78" s="28"/>
      <c r="N78" s="27"/>
      <c r="O78" s="28"/>
      <c r="P78" s="27"/>
      <c r="Q78" s="28"/>
      <c r="R78" s="9"/>
      <c r="S78" s="9"/>
      <c r="T78" s="9"/>
      <c r="U78" s="9"/>
      <c r="V78" s="27"/>
      <c r="W78" s="28"/>
      <c r="X78" s="27"/>
      <c r="Y78" s="28"/>
      <c r="Z78" s="27"/>
      <c r="AA78" s="28"/>
      <c r="AB78" s="27"/>
      <c r="AC78" s="28"/>
      <c r="AD78" s="27"/>
      <c r="AE78" s="28"/>
      <c r="AF78" s="9"/>
      <c r="AG78" s="9"/>
      <c r="AH78" s="9"/>
      <c r="AI78" s="9"/>
      <c r="AJ78" s="27"/>
      <c r="AK78" s="28"/>
      <c r="AL78" s="27"/>
      <c r="AM78" s="28"/>
      <c r="AN78" s="27"/>
      <c r="AO78" s="28"/>
      <c r="AP78" s="27"/>
      <c r="AQ78" s="28"/>
      <c r="AR78" s="27"/>
      <c r="AS78" s="28"/>
      <c r="AT78" s="9"/>
      <c r="AU78" s="9"/>
      <c r="AV78" s="9"/>
      <c r="AW78" s="9"/>
      <c r="AX78" s="27"/>
      <c r="AY78" s="28"/>
      <c r="AZ78" s="27"/>
      <c r="BA78" s="28"/>
      <c r="BB78" s="27"/>
      <c r="BC78" s="28"/>
      <c r="BD78" s="27"/>
      <c r="BE78" s="28"/>
      <c r="BF78" s="29">
        <f t="shared" si="2"/>
        <v>0</v>
      </c>
      <c r="BG78" s="30">
        <f t="shared" si="3"/>
        <v>0</v>
      </c>
    </row>
    <row r="79" spans="1:59" x14ac:dyDescent="0.25">
      <c r="A79" s="12">
        <f>'PPa2019'!D79</f>
        <v>0</v>
      </c>
      <c r="B79" s="12">
        <f>'PPa2019'!E79</f>
        <v>0</v>
      </c>
      <c r="C79" s="10"/>
      <c r="D79" s="10"/>
      <c r="E79" s="10"/>
      <c r="F79" s="10"/>
      <c r="G79" s="10"/>
      <c r="H79" s="27"/>
      <c r="I79" s="28"/>
      <c r="J79" s="27"/>
      <c r="K79" s="28"/>
      <c r="L79" s="27"/>
      <c r="M79" s="28"/>
      <c r="N79" s="27"/>
      <c r="O79" s="28"/>
      <c r="P79" s="27"/>
      <c r="Q79" s="28"/>
      <c r="R79" s="9"/>
      <c r="S79" s="9"/>
      <c r="T79" s="9"/>
      <c r="U79" s="9"/>
      <c r="V79" s="27"/>
      <c r="W79" s="28"/>
      <c r="X79" s="27"/>
      <c r="Y79" s="28"/>
      <c r="Z79" s="27"/>
      <c r="AA79" s="28"/>
      <c r="AB79" s="27"/>
      <c r="AC79" s="28"/>
      <c r="AD79" s="27"/>
      <c r="AE79" s="28"/>
      <c r="AF79" s="9"/>
      <c r="AG79" s="9"/>
      <c r="AH79" s="9"/>
      <c r="AI79" s="9"/>
      <c r="AJ79" s="27"/>
      <c r="AK79" s="28"/>
      <c r="AL79" s="27"/>
      <c r="AM79" s="28"/>
      <c r="AN79" s="27"/>
      <c r="AO79" s="28"/>
      <c r="AP79" s="27"/>
      <c r="AQ79" s="28"/>
      <c r="AR79" s="27"/>
      <c r="AS79" s="28"/>
      <c r="AT79" s="9"/>
      <c r="AU79" s="9"/>
      <c r="AV79" s="9"/>
      <c r="AW79" s="9"/>
      <c r="AX79" s="27"/>
      <c r="AY79" s="28"/>
      <c r="AZ79" s="27"/>
      <c r="BA79" s="28"/>
      <c r="BB79" s="27"/>
      <c r="BC79" s="28"/>
      <c r="BD79" s="27"/>
      <c r="BE79" s="28"/>
      <c r="BF79" s="29">
        <f t="shared" si="2"/>
        <v>0</v>
      </c>
      <c r="BG79" s="30">
        <f t="shared" si="3"/>
        <v>0</v>
      </c>
    </row>
    <row r="80" spans="1:59" x14ac:dyDescent="0.25">
      <c r="A80" s="12">
        <f>'PPa2019'!D80</f>
        <v>0</v>
      </c>
      <c r="B80" s="12">
        <f>'PPa2019'!E80</f>
        <v>0</v>
      </c>
      <c r="C80" s="10"/>
      <c r="D80" s="10"/>
      <c r="E80" s="10"/>
      <c r="F80" s="10"/>
      <c r="G80" s="10"/>
      <c r="H80" s="27"/>
      <c r="I80" s="28"/>
      <c r="J80" s="27"/>
      <c r="K80" s="28"/>
      <c r="L80" s="27"/>
      <c r="M80" s="28"/>
      <c r="N80" s="27"/>
      <c r="O80" s="28"/>
      <c r="P80" s="27"/>
      <c r="Q80" s="28"/>
      <c r="R80" s="9"/>
      <c r="S80" s="9"/>
      <c r="T80" s="9"/>
      <c r="U80" s="9"/>
      <c r="V80" s="27"/>
      <c r="W80" s="28"/>
      <c r="X80" s="27"/>
      <c r="Y80" s="28"/>
      <c r="Z80" s="27"/>
      <c r="AA80" s="28"/>
      <c r="AB80" s="27"/>
      <c r="AC80" s="28"/>
      <c r="AD80" s="27"/>
      <c r="AE80" s="28"/>
      <c r="AF80" s="9"/>
      <c r="AG80" s="9"/>
      <c r="AH80" s="9"/>
      <c r="AI80" s="9"/>
      <c r="AJ80" s="27"/>
      <c r="AK80" s="28"/>
      <c r="AL80" s="27"/>
      <c r="AM80" s="28"/>
      <c r="AN80" s="27"/>
      <c r="AO80" s="28"/>
      <c r="AP80" s="27"/>
      <c r="AQ80" s="28"/>
      <c r="AR80" s="27"/>
      <c r="AS80" s="28"/>
      <c r="AT80" s="9"/>
      <c r="AU80" s="9"/>
      <c r="AV80" s="9"/>
      <c r="AW80" s="9"/>
      <c r="AX80" s="27"/>
      <c r="AY80" s="28"/>
      <c r="AZ80" s="27"/>
      <c r="BA80" s="28"/>
      <c r="BB80" s="27"/>
      <c r="BC80" s="28"/>
      <c r="BD80" s="27"/>
      <c r="BE80" s="28"/>
      <c r="BF80" s="29">
        <f t="shared" si="2"/>
        <v>0</v>
      </c>
      <c r="BG80" s="30">
        <f t="shared" si="3"/>
        <v>0</v>
      </c>
    </row>
    <row r="81" spans="1:59" x14ac:dyDescent="0.25">
      <c r="A81" s="12">
        <f>'PPa2019'!D81</f>
        <v>0</v>
      </c>
      <c r="B81" s="12">
        <f>'PPa2019'!E81</f>
        <v>0</v>
      </c>
      <c r="C81" s="10"/>
      <c r="D81" s="10"/>
      <c r="E81" s="10"/>
      <c r="F81" s="10"/>
      <c r="G81" s="10"/>
      <c r="H81" s="27"/>
      <c r="I81" s="28"/>
      <c r="J81" s="27"/>
      <c r="K81" s="28"/>
      <c r="L81" s="27"/>
      <c r="M81" s="28"/>
      <c r="N81" s="27"/>
      <c r="O81" s="28"/>
      <c r="P81" s="27"/>
      <c r="Q81" s="28"/>
      <c r="R81" s="9"/>
      <c r="S81" s="9"/>
      <c r="T81" s="9"/>
      <c r="U81" s="9"/>
      <c r="V81" s="27"/>
      <c r="W81" s="28"/>
      <c r="X81" s="27"/>
      <c r="Y81" s="28"/>
      <c r="Z81" s="27"/>
      <c r="AA81" s="28"/>
      <c r="AB81" s="27"/>
      <c r="AC81" s="28"/>
      <c r="AD81" s="27"/>
      <c r="AE81" s="28"/>
      <c r="AF81" s="9"/>
      <c r="AG81" s="9"/>
      <c r="AH81" s="9"/>
      <c r="AI81" s="9"/>
      <c r="AJ81" s="27"/>
      <c r="AK81" s="28"/>
      <c r="AL81" s="27"/>
      <c r="AM81" s="28"/>
      <c r="AN81" s="27"/>
      <c r="AO81" s="28"/>
      <c r="AP81" s="27"/>
      <c r="AQ81" s="28"/>
      <c r="AR81" s="27"/>
      <c r="AS81" s="28"/>
      <c r="AT81" s="9"/>
      <c r="AU81" s="9"/>
      <c r="AV81" s="9"/>
      <c r="AW81" s="9"/>
      <c r="AX81" s="27"/>
      <c r="AY81" s="28"/>
      <c r="AZ81" s="27"/>
      <c r="BA81" s="28"/>
      <c r="BB81" s="27"/>
      <c r="BC81" s="28"/>
      <c r="BD81" s="27"/>
      <c r="BE81" s="28"/>
      <c r="BF81" s="29">
        <f t="shared" si="2"/>
        <v>0</v>
      </c>
      <c r="BG81" s="30">
        <f t="shared" si="3"/>
        <v>0</v>
      </c>
    </row>
    <row r="82" spans="1:59" x14ac:dyDescent="0.25">
      <c r="A82" s="12">
        <f>'PPa2019'!D82</f>
        <v>0</v>
      </c>
      <c r="B82" s="12">
        <f>'PPa2019'!E82</f>
        <v>0</v>
      </c>
      <c r="C82" s="10"/>
      <c r="D82" s="10"/>
      <c r="E82" s="10"/>
      <c r="F82" s="10"/>
      <c r="G82" s="10"/>
      <c r="H82" s="27"/>
      <c r="I82" s="28"/>
      <c r="J82" s="27"/>
      <c r="K82" s="28"/>
      <c r="L82" s="27"/>
      <c r="M82" s="28"/>
      <c r="N82" s="27"/>
      <c r="O82" s="28"/>
      <c r="P82" s="27"/>
      <c r="Q82" s="28"/>
      <c r="R82" s="9"/>
      <c r="S82" s="9"/>
      <c r="T82" s="9"/>
      <c r="U82" s="9"/>
      <c r="V82" s="27"/>
      <c r="W82" s="28"/>
      <c r="X82" s="27"/>
      <c r="Y82" s="28"/>
      <c r="Z82" s="27"/>
      <c r="AA82" s="28"/>
      <c r="AB82" s="27"/>
      <c r="AC82" s="28"/>
      <c r="AD82" s="27"/>
      <c r="AE82" s="28"/>
      <c r="AF82" s="9"/>
      <c r="AG82" s="9"/>
      <c r="AH82" s="9"/>
      <c r="AI82" s="9"/>
      <c r="AJ82" s="27"/>
      <c r="AK82" s="28"/>
      <c r="AL82" s="27"/>
      <c r="AM82" s="28"/>
      <c r="AN82" s="27"/>
      <c r="AO82" s="28"/>
      <c r="AP82" s="27"/>
      <c r="AQ82" s="28"/>
      <c r="AR82" s="27"/>
      <c r="AS82" s="28"/>
      <c r="AT82" s="9"/>
      <c r="AU82" s="9"/>
      <c r="AV82" s="9"/>
      <c r="AW82" s="9"/>
      <c r="AX82" s="27"/>
      <c r="AY82" s="28"/>
      <c r="AZ82" s="27"/>
      <c r="BA82" s="28"/>
      <c r="BB82" s="27"/>
      <c r="BC82" s="28"/>
      <c r="BD82" s="27"/>
      <c r="BE82" s="28"/>
      <c r="BF82" s="29">
        <f t="shared" si="2"/>
        <v>0</v>
      </c>
      <c r="BG82" s="30">
        <f t="shared" si="3"/>
        <v>0</v>
      </c>
    </row>
    <row r="83" spans="1:59" x14ac:dyDescent="0.25">
      <c r="A83" s="12">
        <f>'PPa2019'!D83</f>
        <v>0</v>
      </c>
      <c r="B83" s="12">
        <f>'PPa2019'!E83</f>
        <v>0</v>
      </c>
      <c r="C83" s="10"/>
      <c r="D83" s="10"/>
      <c r="E83" s="10"/>
      <c r="F83" s="10"/>
      <c r="G83" s="10"/>
      <c r="H83" s="27"/>
      <c r="I83" s="28"/>
      <c r="J83" s="27"/>
      <c r="K83" s="28"/>
      <c r="L83" s="27"/>
      <c r="M83" s="28"/>
      <c r="N83" s="27"/>
      <c r="O83" s="28"/>
      <c r="P83" s="27"/>
      <c r="Q83" s="28"/>
      <c r="R83" s="9"/>
      <c r="S83" s="9"/>
      <c r="T83" s="9"/>
      <c r="U83" s="9"/>
      <c r="V83" s="27"/>
      <c r="W83" s="28"/>
      <c r="X83" s="27"/>
      <c r="Y83" s="28"/>
      <c r="Z83" s="27"/>
      <c r="AA83" s="28"/>
      <c r="AB83" s="27"/>
      <c r="AC83" s="28"/>
      <c r="AD83" s="27"/>
      <c r="AE83" s="28"/>
      <c r="AF83" s="9"/>
      <c r="AG83" s="9"/>
      <c r="AH83" s="9"/>
      <c r="AI83" s="9"/>
      <c r="AJ83" s="27"/>
      <c r="AK83" s="28"/>
      <c r="AL83" s="27"/>
      <c r="AM83" s="28"/>
      <c r="AN83" s="27"/>
      <c r="AO83" s="28"/>
      <c r="AP83" s="27"/>
      <c r="AQ83" s="28"/>
      <c r="AR83" s="27"/>
      <c r="AS83" s="28"/>
      <c r="AT83" s="9"/>
      <c r="AU83" s="9"/>
      <c r="AV83" s="9"/>
      <c r="AW83" s="9"/>
      <c r="AX83" s="27"/>
      <c r="AY83" s="28"/>
      <c r="AZ83" s="27"/>
      <c r="BA83" s="28"/>
      <c r="BB83" s="27"/>
      <c r="BC83" s="28"/>
      <c r="BD83" s="27"/>
      <c r="BE83" s="28"/>
      <c r="BF83" s="29">
        <f t="shared" si="2"/>
        <v>0</v>
      </c>
      <c r="BG83" s="30">
        <f t="shared" si="3"/>
        <v>0</v>
      </c>
    </row>
    <row r="84" spans="1:59" x14ac:dyDescent="0.25">
      <c r="A84" s="12">
        <f>'PPa2019'!D84</f>
        <v>0</v>
      </c>
      <c r="B84" s="12">
        <f>'PPa2019'!E84</f>
        <v>0</v>
      </c>
      <c r="C84" s="10"/>
      <c r="D84" s="10"/>
      <c r="E84" s="10"/>
      <c r="F84" s="10"/>
      <c r="G84" s="10"/>
      <c r="H84" s="27"/>
      <c r="I84" s="28"/>
      <c r="J84" s="27"/>
      <c r="K84" s="28"/>
      <c r="L84" s="27"/>
      <c r="M84" s="28"/>
      <c r="N84" s="27"/>
      <c r="O84" s="28"/>
      <c r="P84" s="27"/>
      <c r="Q84" s="28"/>
      <c r="R84" s="9"/>
      <c r="S84" s="9"/>
      <c r="T84" s="9"/>
      <c r="U84" s="9"/>
      <c r="V84" s="27"/>
      <c r="W84" s="28"/>
      <c r="X84" s="27"/>
      <c r="Y84" s="28"/>
      <c r="Z84" s="27"/>
      <c r="AA84" s="28"/>
      <c r="AB84" s="27"/>
      <c r="AC84" s="28"/>
      <c r="AD84" s="27"/>
      <c r="AE84" s="28"/>
      <c r="AF84" s="9"/>
      <c r="AG84" s="9"/>
      <c r="AH84" s="9"/>
      <c r="AI84" s="9"/>
      <c r="AJ84" s="27"/>
      <c r="AK84" s="28"/>
      <c r="AL84" s="27"/>
      <c r="AM84" s="28"/>
      <c r="AN84" s="27"/>
      <c r="AO84" s="28"/>
      <c r="AP84" s="27"/>
      <c r="AQ84" s="28"/>
      <c r="AR84" s="27"/>
      <c r="AS84" s="28"/>
      <c r="AT84" s="9"/>
      <c r="AU84" s="9"/>
      <c r="AV84" s="9"/>
      <c r="AW84" s="9"/>
      <c r="AX84" s="27"/>
      <c r="AY84" s="28"/>
      <c r="AZ84" s="27"/>
      <c r="BA84" s="28"/>
      <c r="BB84" s="27"/>
      <c r="BC84" s="28"/>
      <c r="BD84" s="27"/>
      <c r="BE84" s="28"/>
      <c r="BF84" s="29">
        <f t="shared" si="2"/>
        <v>0</v>
      </c>
      <c r="BG84" s="30">
        <f t="shared" si="3"/>
        <v>0</v>
      </c>
    </row>
    <row r="85" spans="1:59" x14ac:dyDescent="0.25">
      <c r="A85" s="12">
        <f>'PPa2019'!D85</f>
        <v>0</v>
      </c>
      <c r="B85" s="12">
        <f>'PPa2019'!E85</f>
        <v>0</v>
      </c>
      <c r="C85" s="10"/>
      <c r="D85" s="10"/>
      <c r="E85" s="10"/>
      <c r="F85" s="10"/>
      <c r="G85" s="10"/>
      <c r="H85" s="27"/>
      <c r="I85" s="28"/>
      <c r="J85" s="27"/>
      <c r="K85" s="28"/>
      <c r="L85" s="27"/>
      <c r="M85" s="28"/>
      <c r="N85" s="27"/>
      <c r="O85" s="28"/>
      <c r="P85" s="27"/>
      <c r="Q85" s="28"/>
      <c r="R85" s="9"/>
      <c r="S85" s="9"/>
      <c r="T85" s="9"/>
      <c r="U85" s="9"/>
      <c r="V85" s="27"/>
      <c r="W85" s="28"/>
      <c r="X85" s="27"/>
      <c r="Y85" s="28"/>
      <c r="Z85" s="27"/>
      <c r="AA85" s="28"/>
      <c r="AB85" s="27"/>
      <c r="AC85" s="28"/>
      <c r="AD85" s="27"/>
      <c r="AE85" s="28"/>
      <c r="AF85" s="9"/>
      <c r="AG85" s="9"/>
      <c r="AH85" s="9"/>
      <c r="AI85" s="9"/>
      <c r="AJ85" s="27"/>
      <c r="AK85" s="28"/>
      <c r="AL85" s="27"/>
      <c r="AM85" s="28"/>
      <c r="AN85" s="27"/>
      <c r="AO85" s="28"/>
      <c r="AP85" s="27"/>
      <c r="AQ85" s="28"/>
      <c r="AR85" s="27"/>
      <c r="AS85" s="28"/>
      <c r="AT85" s="9"/>
      <c r="AU85" s="9"/>
      <c r="AV85" s="9"/>
      <c r="AW85" s="9"/>
      <c r="AX85" s="27"/>
      <c r="AY85" s="28"/>
      <c r="AZ85" s="27"/>
      <c r="BA85" s="28"/>
      <c r="BB85" s="27"/>
      <c r="BC85" s="28"/>
      <c r="BD85" s="27"/>
      <c r="BE85" s="28"/>
      <c r="BF85" s="29">
        <f t="shared" si="2"/>
        <v>0</v>
      </c>
      <c r="BG85" s="30">
        <f t="shared" si="3"/>
        <v>0</v>
      </c>
    </row>
    <row r="86" spans="1:59" x14ac:dyDescent="0.25">
      <c r="A86" s="12">
        <f>'PPa2019'!D86</f>
        <v>0</v>
      </c>
      <c r="B86" s="12">
        <f>'PPa2019'!E86</f>
        <v>0</v>
      </c>
      <c r="C86" s="10"/>
      <c r="D86" s="10"/>
      <c r="E86" s="10"/>
      <c r="F86" s="10"/>
      <c r="G86" s="10"/>
      <c r="H86" s="27"/>
      <c r="I86" s="28"/>
      <c r="J86" s="27"/>
      <c r="K86" s="28"/>
      <c r="L86" s="27"/>
      <c r="M86" s="28"/>
      <c r="N86" s="27"/>
      <c r="O86" s="28"/>
      <c r="P86" s="27"/>
      <c r="Q86" s="28"/>
      <c r="R86" s="9"/>
      <c r="S86" s="9"/>
      <c r="T86" s="9"/>
      <c r="U86" s="9"/>
      <c r="V86" s="27"/>
      <c r="W86" s="28"/>
      <c r="X86" s="27"/>
      <c r="Y86" s="28"/>
      <c r="Z86" s="27"/>
      <c r="AA86" s="28"/>
      <c r="AB86" s="27"/>
      <c r="AC86" s="28"/>
      <c r="AD86" s="27"/>
      <c r="AE86" s="28"/>
      <c r="AF86" s="9"/>
      <c r="AG86" s="9"/>
      <c r="AH86" s="9"/>
      <c r="AI86" s="9"/>
      <c r="AJ86" s="27"/>
      <c r="AK86" s="28"/>
      <c r="AL86" s="27"/>
      <c r="AM86" s="28"/>
      <c r="AN86" s="27"/>
      <c r="AO86" s="28"/>
      <c r="AP86" s="27"/>
      <c r="AQ86" s="28"/>
      <c r="AR86" s="27"/>
      <c r="AS86" s="28"/>
      <c r="AT86" s="9"/>
      <c r="AU86" s="9"/>
      <c r="AV86" s="9"/>
      <c r="AW86" s="9"/>
      <c r="AX86" s="27"/>
      <c r="AY86" s="28"/>
      <c r="AZ86" s="27"/>
      <c r="BA86" s="28"/>
      <c r="BB86" s="27"/>
      <c r="BC86" s="28"/>
      <c r="BD86" s="27"/>
      <c r="BE86" s="28"/>
      <c r="BF86" s="29">
        <f t="shared" si="2"/>
        <v>0</v>
      </c>
      <c r="BG86" s="30">
        <f t="shared" si="3"/>
        <v>0</v>
      </c>
    </row>
    <row r="87" spans="1:59" x14ac:dyDescent="0.25">
      <c r="A87" s="12">
        <f>'PPa2019'!D87</f>
        <v>0</v>
      </c>
      <c r="B87" s="12">
        <f>'PPa2019'!E87</f>
        <v>0</v>
      </c>
      <c r="C87" s="10"/>
      <c r="D87" s="10"/>
      <c r="E87" s="10"/>
      <c r="F87" s="10"/>
      <c r="G87" s="10"/>
      <c r="H87" s="27"/>
      <c r="I87" s="28"/>
      <c r="J87" s="27"/>
      <c r="K87" s="28"/>
      <c r="L87" s="27"/>
      <c r="M87" s="28"/>
      <c r="N87" s="27"/>
      <c r="O87" s="28"/>
      <c r="P87" s="27"/>
      <c r="Q87" s="28"/>
      <c r="R87" s="9"/>
      <c r="S87" s="9"/>
      <c r="T87" s="9"/>
      <c r="U87" s="9"/>
      <c r="V87" s="27"/>
      <c r="W87" s="28"/>
      <c r="X87" s="27"/>
      <c r="Y87" s="28"/>
      <c r="Z87" s="27"/>
      <c r="AA87" s="28"/>
      <c r="AB87" s="27"/>
      <c r="AC87" s="28"/>
      <c r="AD87" s="27"/>
      <c r="AE87" s="28"/>
      <c r="AF87" s="9"/>
      <c r="AG87" s="9"/>
      <c r="AH87" s="9"/>
      <c r="AI87" s="9"/>
      <c r="AJ87" s="27"/>
      <c r="AK87" s="28"/>
      <c r="AL87" s="27"/>
      <c r="AM87" s="28"/>
      <c r="AN87" s="27"/>
      <c r="AO87" s="28"/>
      <c r="AP87" s="27"/>
      <c r="AQ87" s="28"/>
      <c r="AR87" s="27"/>
      <c r="AS87" s="28"/>
      <c r="AT87" s="9"/>
      <c r="AU87" s="9"/>
      <c r="AV87" s="9"/>
      <c r="AW87" s="9"/>
      <c r="AX87" s="27"/>
      <c r="AY87" s="28"/>
      <c r="AZ87" s="27"/>
      <c r="BA87" s="28"/>
      <c r="BB87" s="27"/>
      <c r="BC87" s="28"/>
      <c r="BD87" s="27"/>
      <c r="BE87" s="28"/>
      <c r="BF87" s="29">
        <f t="shared" si="2"/>
        <v>0</v>
      </c>
      <c r="BG87" s="30">
        <f t="shared" si="3"/>
        <v>0</v>
      </c>
    </row>
    <row r="88" spans="1:59" x14ac:dyDescent="0.25">
      <c r="A88" s="12">
        <f>'PPa2019'!D88</f>
        <v>0</v>
      </c>
      <c r="B88" s="12">
        <f>'PPa2019'!E88</f>
        <v>0</v>
      </c>
      <c r="C88" s="10"/>
      <c r="D88" s="10"/>
      <c r="E88" s="10"/>
      <c r="F88" s="10"/>
      <c r="G88" s="10"/>
      <c r="H88" s="27"/>
      <c r="I88" s="28"/>
      <c r="J88" s="27"/>
      <c r="K88" s="28"/>
      <c r="L88" s="27"/>
      <c r="M88" s="28"/>
      <c r="N88" s="27"/>
      <c r="O88" s="28"/>
      <c r="P88" s="27"/>
      <c r="Q88" s="28"/>
      <c r="R88" s="9"/>
      <c r="S88" s="9"/>
      <c r="T88" s="9"/>
      <c r="U88" s="9"/>
      <c r="V88" s="27"/>
      <c r="W88" s="28"/>
      <c r="X88" s="27"/>
      <c r="Y88" s="28"/>
      <c r="Z88" s="27"/>
      <c r="AA88" s="28"/>
      <c r="AB88" s="27"/>
      <c r="AC88" s="28"/>
      <c r="AD88" s="27"/>
      <c r="AE88" s="28"/>
      <c r="AF88" s="9"/>
      <c r="AG88" s="9"/>
      <c r="AH88" s="9"/>
      <c r="AI88" s="9"/>
      <c r="AJ88" s="27"/>
      <c r="AK88" s="28"/>
      <c r="AL88" s="27"/>
      <c r="AM88" s="28"/>
      <c r="AN88" s="27"/>
      <c r="AO88" s="28"/>
      <c r="AP88" s="27"/>
      <c r="AQ88" s="28"/>
      <c r="AR88" s="27"/>
      <c r="AS88" s="28"/>
      <c r="AT88" s="9"/>
      <c r="AU88" s="9"/>
      <c r="AV88" s="9"/>
      <c r="AW88" s="9"/>
      <c r="AX88" s="27"/>
      <c r="AY88" s="28"/>
      <c r="AZ88" s="27"/>
      <c r="BA88" s="28"/>
      <c r="BB88" s="27"/>
      <c r="BC88" s="28"/>
      <c r="BD88" s="27"/>
      <c r="BE88" s="28"/>
      <c r="BF88" s="29">
        <f t="shared" si="2"/>
        <v>0</v>
      </c>
      <c r="BG88" s="30">
        <f t="shared" si="3"/>
        <v>0</v>
      </c>
    </row>
    <row r="89" spans="1:59" x14ac:dyDescent="0.25">
      <c r="A89" s="12">
        <f>'PPa2019'!D89</f>
        <v>0</v>
      </c>
      <c r="B89" s="12">
        <f>'PPa2019'!E89</f>
        <v>0</v>
      </c>
      <c r="C89" s="10"/>
      <c r="D89" s="10"/>
      <c r="E89" s="10"/>
      <c r="F89" s="10"/>
      <c r="G89" s="10"/>
      <c r="H89" s="27"/>
      <c r="I89" s="28"/>
      <c r="J89" s="27"/>
      <c r="K89" s="28"/>
      <c r="L89" s="27"/>
      <c r="M89" s="28"/>
      <c r="N89" s="27"/>
      <c r="O89" s="28"/>
      <c r="P89" s="27"/>
      <c r="Q89" s="28"/>
      <c r="R89" s="9"/>
      <c r="S89" s="9"/>
      <c r="T89" s="9"/>
      <c r="U89" s="9"/>
      <c r="V89" s="27"/>
      <c r="W89" s="28"/>
      <c r="X89" s="27"/>
      <c r="Y89" s="28"/>
      <c r="Z89" s="27"/>
      <c r="AA89" s="28"/>
      <c r="AB89" s="27"/>
      <c r="AC89" s="28"/>
      <c r="AD89" s="27"/>
      <c r="AE89" s="28"/>
      <c r="AF89" s="9"/>
      <c r="AG89" s="9"/>
      <c r="AH89" s="9"/>
      <c r="AI89" s="9"/>
      <c r="AJ89" s="27"/>
      <c r="AK89" s="28"/>
      <c r="AL89" s="27"/>
      <c r="AM89" s="28"/>
      <c r="AN89" s="27"/>
      <c r="AO89" s="28"/>
      <c r="AP89" s="27"/>
      <c r="AQ89" s="28"/>
      <c r="AR89" s="27"/>
      <c r="AS89" s="28"/>
      <c r="AT89" s="9"/>
      <c r="AU89" s="9"/>
      <c r="AV89" s="9"/>
      <c r="AW89" s="9"/>
      <c r="AX89" s="27"/>
      <c r="AY89" s="28"/>
      <c r="AZ89" s="27"/>
      <c r="BA89" s="28"/>
      <c r="BB89" s="27"/>
      <c r="BC89" s="28"/>
      <c r="BD89" s="27"/>
      <c r="BE89" s="28"/>
      <c r="BF89" s="29">
        <f t="shared" si="2"/>
        <v>0</v>
      </c>
      <c r="BG89" s="30">
        <f t="shared" si="3"/>
        <v>0</v>
      </c>
    </row>
    <row r="90" spans="1:59" x14ac:dyDescent="0.25">
      <c r="A90" s="12">
        <f>'PPa2019'!D90</f>
        <v>0</v>
      </c>
      <c r="B90" s="12">
        <f>'PPa2019'!E90</f>
        <v>0</v>
      </c>
      <c r="C90" s="10"/>
      <c r="D90" s="10"/>
      <c r="E90" s="10"/>
      <c r="F90" s="10"/>
      <c r="G90" s="10"/>
      <c r="H90" s="27"/>
      <c r="I90" s="28"/>
      <c r="J90" s="27"/>
      <c r="K90" s="28"/>
      <c r="L90" s="27"/>
      <c r="M90" s="28"/>
      <c r="N90" s="27"/>
      <c r="O90" s="28"/>
      <c r="P90" s="27"/>
      <c r="Q90" s="28"/>
      <c r="R90" s="9"/>
      <c r="S90" s="9"/>
      <c r="T90" s="9"/>
      <c r="U90" s="9"/>
      <c r="V90" s="27"/>
      <c r="W90" s="28"/>
      <c r="X90" s="27"/>
      <c r="Y90" s="28"/>
      <c r="Z90" s="27"/>
      <c r="AA90" s="28"/>
      <c r="AB90" s="27"/>
      <c r="AC90" s="28"/>
      <c r="AD90" s="27"/>
      <c r="AE90" s="28"/>
      <c r="AF90" s="9"/>
      <c r="AG90" s="9"/>
      <c r="AH90" s="9"/>
      <c r="AI90" s="9"/>
      <c r="AJ90" s="27"/>
      <c r="AK90" s="28"/>
      <c r="AL90" s="27"/>
      <c r="AM90" s="28"/>
      <c r="AN90" s="27"/>
      <c r="AO90" s="28"/>
      <c r="AP90" s="27"/>
      <c r="AQ90" s="28"/>
      <c r="AR90" s="27"/>
      <c r="AS90" s="28"/>
      <c r="AT90" s="9"/>
      <c r="AU90" s="9"/>
      <c r="AV90" s="9"/>
      <c r="AW90" s="9"/>
      <c r="AX90" s="27"/>
      <c r="AY90" s="28"/>
      <c r="AZ90" s="27"/>
      <c r="BA90" s="28"/>
      <c r="BB90" s="27"/>
      <c r="BC90" s="28"/>
      <c r="BD90" s="27"/>
      <c r="BE90" s="28"/>
      <c r="BF90" s="29">
        <f t="shared" si="2"/>
        <v>0</v>
      </c>
      <c r="BG90" s="30">
        <f t="shared" si="3"/>
        <v>0</v>
      </c>
    </row>
    <row r="91" spans="1:59" x14ac:dyDescent="0.25">
      <c r="A91" s="12">
        <f>'PPa2019'!D91</f>
        <v>0</v>
      </c>
      <c r="B91" s="12">
        <f>'PPa2019'!E91</f>
        <v>0</v>
      </c>
      <c r="C91" s="10"/>
      <c r="D91" s="10"/>
      <c r="E91" s="10"/>
      <c r="F91" s="10"/>
      <c r="G91" s="10"/>
      <c r="H91" s="27"/>
      <c r="I91" s="28"/>
      <c r="J91" s="27"/>
      <c r="K91" s="28"/>
      <c r="L91" s="27"/>
      <c r="M91" s="28"/>
      <c r="N91" s="27"/>
      <c r="O91" s="28"/>
      <c r="P91" s="27"/>
      <c r="Q91" s="28"/>
      <c r="R91" s="9"/>
      <c r="S91" s="9"/>
      <c r="T91" s="9"/>
      <c r="U91" s="9"/>
      <c r="V91" s="27"/>
      <c r="W91" s="28"/>
      <c r="X91" s="27"/>
      <c r="Y91" s="28"/>
      <c r="Z91" s="27"/>
      <c r="AA91" s="28"/>
      <c r="AB91" s="27"/>
      <c r="AC91" s="28"/>
      <c r="AD91" s="27"/>
      <c r="AE91" s="28"/>
      <c r="AF91" s="9"/>
      <c r="AG91" s="9"/>
      <c r="AH91" s="9"/>
      <c r="AI91" s="9"/>
      <c r="AJ91" s="27"/>
      <c r="AK91" s="28"/>
      <c r="AL91" s="27"/>
      <c r="AM91" s="28"/>
      <c r="AN91" s="27"/>
      <c r="AO91" s="28"/>
      <c r="AP91" s="27"/>
      <c r="AQ91" s="28"/>
      <c r="AR91" s="27"/>
      <c r="AS91" s="28"/>
      <c r="AT91" s="9"/>
      <c r="AU91" s="9"/>
      <c r="AV91" s="9"/>
      <c r="AW91" s="9"/>
      <c r="AX91" s="27"/>
      <c r="AY91" s="28"/>
      <c r="AZ91" s="27"/>
      <c r="BA91" s="28"/>
      <c r="BB91" s="27"/>
      <c r="BC91" s="28"/>
      <c r="BD91" s="27"/>
      <c r="BE91" s="28"/>
      <c r="BF91" s="29">
        <f t="shared" si="2"/>
        <v>0</v>
      </c>
      <c r="BG91" s="30">
        <f t="shared" si="3"/>
        <v>0</v>
      </c>
    </row>
    <row r="92" spans="1:59" x14ac:dyDescent="0.25">
      <c r="A92" s="12">
        <f>'PPa2019'!D92</f>
        <v>0</v>
      </c>
      <c r="B92" s="12">
        <f>'PPa2019'!E92</f>
        <v>0</v>
      </c>
      <c r="C92" s="10"/>
      <c r="D92" s="10"/>
      <c r="E92" s="10"/>
      <c r="F92" s="10"/>
      <c r="G92" s="10"/>
      <c r="H92" s="27"/>
      <c r="I92" s="28"/>
      <c r="J92" s="27"/>
      <c r="K92" s="28"/>
      <c r="L92" s="27"/>
      <c r="M92" s="28"/>
      <c r="N92" s="27"/>
      <c r="O92" s="28"/>
      <c r="P92" s="27"/>
      <c r="Q92" s="28"/>
      <c r="R92" s="9"/>
      <c r="S92" s="9"/>
      <c r="T92" s="9"/>
      <c r="U92" s="9"/>
      <c r="V92" s="27"/>
      <c r="W92" s="28"/>
      <c r="X92" s="27"/>
      <c r="Y92" s="28"/>
      <c r="Z92" s="27"/>
      <c r="AA92" s="28"/>
      <c r="AB92" s="27"/>
      <c r="AC92" s="28"/>
      <c r="AD92" s="27"/>
      <c r="AE92" s="28"/>
      <c r="AF92" s="9"/>
      <c r="AG92" s="9"/>
      <c r="AH92" s="9"/>
      <c r="AI92" s="9"/>
      <c r="AJ92" s="27"/>
      <c r="AK92" s="28"/>
      <c r="AL92" s="27"/>
      <c r="AM92" s="28"/>
      <c r="AN92" s="27"/>
      <c r="AO92" s="28"/>
      <c r="AP92" s="27"/>
      <c r="AQ92" s="28"/>
      <c r="AR92" s="27"/>
      <c r="AS92" s="28"/>
      <c r="AT92" s="9"/>
      <c r="AU92" s="9"/>
      <c r="AV92" s="9"/>
      <c r="AW92" s="9"/>
      <c r="AX92" s="27"/>
      <c r="AY92" s="28"/>
      <c r="AZ92" s="27"/>
      <c r="BA92" s="28"/>
      <c r="BB92" s="27"/>
      <c r="BC92" s="28"/>
      <c r="BD92" s="27"/>
      <c r="BE92" s="28"/>
      <c r="BF92" s="29">
        <f t="shared" si="2"/>
        <v>0</v>
      </c>
      <c r="BG92" s="30">
        <f t="shared" si="3"/>
        <v>0</v>
      </c>
    </row>
    <row r="93" spans="1:59" x14ac:dyDescent="0.25">
      <c r="A93" s="12">
        <f>'PPa2019'!D93</f>
        <v>0</v>
      </c>
      <c r="B93" s="12">
        <f>'PPa2019'!E93</f>
        <v>0</v>
      </c>
      <c r="C93" s="10"/>
      <c r="D93" s="10"/>
      <c r="E93" s="10"/>
      <c r="F93" s="10"/>
      <c r="G93" s="10"/>
      <c r="H93" s="27"/>
      <c r="I93" s="28"/>
      <c r="J93" s="27"/>
      <c r="K93" s="28"/>
      <c r="L93" s="27"/>
      <c r="M93" s="28"/>
      <c r="N93" s="27"/>
      <c r="O93" s="28"/>
      <c r="P93" s="27"/>
      <c r="Q93" s="28"/>
      <c r="R93" s="9"/>
      <c r="S93" s="9"/>
      <c r="T93" s="9"/>
      <c r="U93" s="9"/>
      <c r="V93" s="27"/>
      <c r="W93" s="28"/>
      <c r="X93" s="27"/>
      <c r="Y93" s="28"/>
      <c r="Z93" s="27"/>
      <c r="AA93" s="28"/>
      <c r="AB93" s="27"/>
      <c r="AC93" s="28"/>
      <c r="AD93" s="27"/>
      <c r="AE93" s="28"/>
      <c r="AF93" s="9"/>
      <c r="AG93" s="9"/>
      <c r="AH93" s="9"/>
      <c r="AI93" s="9"/>
      <c r="AJ93" s="27"/>
      <c r="AK93" s="28"/>
      <c r="AL93" s="27"/>
      <c r="AM93" s="28"/>
      <c r="AN93" s="27"/>
      <c r="AO93" s="28"/>
      <c r="AP93" s="27"/>
      <c r="AQ93" s="28"/>
      <c r="AR93" s="27"/>
      <c r="AS93" s="28"/>
      <c r="AT93" s="9"/>
      <c r="AU93" s="9"/>
      <c r="AV93" s="9"/>
      <c r="AW93" s="9"/>
      <c r="AX93" s="27"/>
      <c r="AY93" s="28"/>
      <c r="AZ93" s="27"/>
      <c r="BA93" s="28"/>
      <c r="BB93" s="27"/>
      <c r="BC93" s="28"/>
      <c r="BD93" s="27"/>
      <c r="BE93" s="28"/>
      <c r="BF93" s="29">
        <f t="shared" si="2"/>
        <v>0</v>
      </c>
      <c r="BG93" s="30">
        <f t="shared" si="3"/>
        <v>0</v>
      </c>
    </row>
    <row r="94" spans="1:59" x14ac:dyDescent="0.25">
      <c r="A94" s="12">
        <f>'PPa2019'!D94</f>
        <v>0</v>
      </c>
      <c r="B94" s="12">
        <f>'PPa2019'!E94</f>
        <v>0</v>
      </c>
      <c r="C94" s="10"/>
      <c r="D94" s="10"/>
      <c r="E94" s="10"/>
      <c r="F94" s="10"/>
      <c r="G94" s="10"/>
      <c r="H94" s="27"/>
      <c r="I94" s="28"/>
      <c r="J94" s="27"/>
      <c r="K94" s="28"/>
      <c r="L94" s="27"/>
      <c r="M94" s="28"/>
      <c r="N94" s="27"/>
      <c r="O94" s="28"/>
      <c r="P94" s="27"/>
      <c r="Q94" s="28"/>
      <c r="R94" s="9"/>
      <c r="S94" s="9"/>
      <c r="T94" s="9"/>
      <c r="U94" s="9"/>
      <c r="V94" s="27"/>
      <c r="W94" s="28"/>
      <c r="X94" s="27"/>
      <c r="Y94" s="28"/>
      <c r="Z94" s="27"/>
      <c r="AA94" s="28"/>
      <c r="AB94" s="27"/>
      <c r="AC94" s="28"/>
      <c r="AD94" s="27"/>
      <c r="AE94" s="28"/>
      <c r="AF94" s="9"/>
      <c r="AG94" s="9"/>
      <c r="AH94" s="9"/>
      <c r="AI94" s="9"/>
      <c r="AJ94" s="27"/>
      <c r="AK94" s="28"/>
      <c r="AL94" s="27"/>
      <c r="AM94" s="28"/>
      <c r="AN94" s="27"/>
      <c r="AO94" s="28"/>
      <c r="AP94" s="27"/>
      <c r="AQ94" s="28"/>
      <c r="AR94" s="27"/>
      <c r="AS94" s="28"/>
      <c r="AT94" s="9"/>
      <c r="AU94" s="9"/>
      <c r="AV94" s="9"/>
      <c r="AW94" s="9"/>
      <c r="AX94" s="27"/>
      <c r="AY94" s="28"/>
      <c r="AZ94" s="27"/>
      <c r="BA94" s="28"/>
      <c r="BB94" s="27"/>
      <c r="BC94" s="28"/>
      <c r="BD94" s="27"/>
      <c r="BE94" s="28"/>
      <c r="BF94" s="29">
        <f t="shared" si="2"/>
        <v>0</v>
      </c>
      <c r="BG94" s="30">
        <f t="shared" si="3"/>
        <v>0</v>
      </c>
    </row>
    <row r="95" spans="1:59" x14ac:dyDescent="0.25">
      <c r="A95" s="12">
        <f>'PPa2019'!D95</f>
        <v>0</v>
      </c>
      <c r="B95" s="12">
        <f>'PPa2019'!E95</f>
        <v>0</v>
      </c>
      <c r="C95" s="10"/>
      <c r="D95" s="10"/>
      <c r="E95" s="10"/>
      <c r="F95" s="10"/>
      <c r="G95" s="10"/>
      <c r="H95" s="27"/>
      <c r="I95" s="28"/>
      <c r="J95" s="27"/>
      <c r="K95" s="28"/>
      <c r="L95" s="27"/>
      <c r="M95" s="28"/>
      <c r="N95" s="27"/>
      <c r="O95" s="28"/>
      <c r="P95" s="27"/>
      <c r="Q95" s="28"/>
      <c r="R95" s="9"/>
      <c r="S95" s="9"/>
      <c r="T95" s="9"/>
      <c r="U95" s="9"/>
      <c r="V95" s="27"/>
      <c r="W95" s="28"/>
      <c r="X95" s="27"/>
      <c r="Y95" s="28"/>
      <c r="Z95" s="27"/>
      <c r="AA95" s="28"/>
      <c r="AB95" s="27"/>
      <c r="AC95" s="28"/>
      <c r="AD95" s="27"/>
      <c r="AE95" s="28"/>
      <c r="AF95" s="9"/>
      <c r="AG95" s="9"/>
      <c r="AH95" s="9"/>
      <c r="AI95" s="9"/>
      <c r="AJ95" s="27"/>
      <c r="AK95" s="28"/>
      <c r="AL95" s="27"/>
      <c r="AM95" s="28"/>
      <c r="AN95" s="27"/>
      <c r="AO95" s="28"/>
      <c r="AP95" s="27"/>
      <c r="AQ95" s="28"/>
      <c r="AR95" s="27"/>
      <c r="AS95" s="28"/>
      <c r="AT95" s="9"/>
      <c r="AU95" s="9"/>
      <c r="AV95" s="9"/>
      <c r="AW95" s="9"/>
      <c r="AX95" s="27"/>
      <c r="AY95" s="28"/>
      <c r="AZ95" s="27"/>
      <c r="BA95" s="28"/>
      <c r="BB95" s="27"/>
      <c r="BC95" s="28"/>
      <c r="BD95" s="27"/>
      <c r="BE95" s="28"/>
      <c r="BF95" s="29">
        <f t="shared" si="2"/>
        <v>0</v>
      </c>
      <c r="BG95" s="30">
        <f t="shared" si="3"/>
        <v>0</v>
      </c>
    </row>
    <row r="96" spans="1:59" x14ac:dyDescent="0.25">
      <c r="A96" s="12">
        <f>'PPa2019'!D96</f>
        <v>0</v>
      </c>
      <c r="B96" s="12">
        <f>'PPa2019'!E96</f>
        <v>0</v>
      </c>
      <c r="C96" s="10"/>
      <c r="D96" s="10"/>
      <c r="E96" s="10"/>
      <c r="F96" s="10"/>
      <c r="G96" s="10"/>
      <c r="H96" s="27"/>
      <c r="I96" s="28"/>
      <c r="J96" s="27"/>
      <c r="K96" s="28"/>
      <c r="L96" s="27"/>
      <c r="M96" s="28"/>
      <c r="N96" s="27"/>
      <c r="O96" s="28"/>
      <c r="P96" s="27"/>
      <c r="Q96" s="28"/>
      <c r="R96" s="9"/>
      <c r="S96" s="9"/>
      <c r="T96" s="9"/>
      <c r="U96" s="9"/>
      <c r="V96" s="27"/>
      <c r="W96" s="28"/>
      <c r="X96" s="27"/>
      <c r="Y96" s="28"/>
      <c r="Z96" s="27"/>
      <c r="AA96" s="28"/>
      <c r="AB96" s="27"/>
      <c r="AC96" s="28"/>
      <c r="AD96" s="27"/>
      <c r="AE96" s="28"/>
      <c r="AF96" s="9"/>
      <c r="AG96" s="9"/>
      <c r="AH96" s="9"/>
      <c r="AI96" s="9"/>
      <c r="AJ96" s="27"/>
      <c r="AK96" s="28"/>
      <c r="AL96" s="27"/>
      <c r="AM96" s="28"/>
      <c r="AN96" s="27"/>
      <c r="AO96" s="28"/>
      <c r="AP96" s="27"/>
      <c r="AQ96" s="28"/>
      <c r="AR96" s="27"/>
      <c r="AS96" s="28"/>
      <c r="AT96" s="9"/>
      <c r="AU96" s="9"/>
      <c r="AV96" s="9"/>
      <c r="AW96" s="9"/>
      <c r="AX96" s="27"/>
      <c r="AY96" s="28"/>
      <c r="AZ96" s="27"/>
      <c r="BA96" s="28"/>
      <c r="BB96" s="27"/>
      <c r="BC96" s="28"/>
      <c r="BD96" s="27"/>
      <c r="BE96" s="28"/>
      <c r="BF96" s="29">
        <f t="shared" si="2"/>
        <v>0</v>
      </c>
      <c r="BG96" s="30">
        <f t="shared" si="3"/>
        <v>0</v>
      </c>
    </row>
    <row r="97" spans="1:59" x14ac:dyDescent="0.25">
      <c r="A97" s="12">
        <f>'PPa2019'!D97</f>
        <v>0</v>
      </c>
      <c r="B97" s="12">
        <f>'PPa2019'!E97</f>
        <v>0</v>
      </c>
      <c r="C97" s="10"/>
      <c r="D97" s="10"/>
      <c r="E97" s="10"/>
      <c r="F97" s="10"/>
      <c r="G97" s="10"/>
      <c r="H97" s="27"/>
      <c r="I97" s="28"/>
      <c r="J97" s="27"/>
      <c r="K97" s="28"/>
      <c r="L97" s="27"/>
      <c r="M97" s="28"/>
      <c r="N97" s="27"/>
      <c r="O97" s="28"/>
      <c r="P97" s="27"/>
      <c r="Q97" s="28"/>
      <c r="R97" s="9"/>
      <c r="S97" s="9"/>
      <c r="T97" s="9"/>
      <c r="U97" s="9"/>
      <c r="V97" s="27"/>
      <c r="W97" s="28"/>
      <c r="X97" s="27"/>
      <c r="Y97" s="28"/>
      <c r="Z97" s="27"/>
      <c r="AA97" s="28"/>
      <c r="AB97" s="27"/>
      <c r="AC97" s="28"/>
      <c r="AD97" s="27"/>
      <c r="AE97" s="28"/>
      <c r="AF97" s="9"/>
      <c r="AG97" s="9"/>
      <c r="AH97" s="9"/>
      <c r="AI97" s="9"/>
      <c r="AJ97" s="27"/>
      <c r="AK97" s="28"/>
      <c r="AL97" s="27"/>
      <c r="AM97" s="28"/>
      <c r="AN97" s="27"/>
      <c r="AO97" s="28"/>
      <c r="AP97" s="27"/>
      <c r="AQ97" s="28"/>
      <c r="AR97" s="27"/>
      <c r="AS97" s="28"/>
      <c r="AT97" s="9"/>
      <c r="AU97" s="9"/>
      <c r="AV97" s="9"/>
      <c r="AW97" s="9"/>
      <c r="AX97" s="27"/>
      <c r="AY97" s="28"/>
      <c r="AZ97" s="27"/>
      <c r="BA97" s="28"/>
      <c r="BB97" s="27"/>
      <c r="BC97" s="28"/>
      <c r="BD97" s="27"/>
      <c r="BE97" s="28"/>
      <c r="BF97" s="29">
        <f t="shared" si="2"/>
        <v>0</v>
      </c>
      <c r="BG97" s="30">
        <f t="shared" si="3"/>
        <v>0</v>
      </c>
    </row>
    <row r="98" spans="1:59" x14ac:dyDescent="0.25">
      <c r="A98" s="12">
        <f>'PPa2019'!D98</f>
        <v>0</v>
      </c>
      <c r="B98" s="12">
        <f>'PPa2019'!E98</f>
        <v>0</v>
      </c>
      <c r="C98" s="10"/>
      <c r="D98" s="10"/>
      <c r="E98" s="10"/>
      <c r="F98" s="10"/>
      <c r="G98" s="10"/>
      <c r="H98" s="27"/>
      <c r="I98" s="28"/>
      <c r="J98" s="27"/>
      <c r="K98" s="28"/>
      <c r="L98" s="27"/>
      <c r="M98" s="28"/>
      <c r="N98" s="27"/>
      <c r="O98" s="28"/>
      <c r="P98" s="27"/>
      <c r="Q98" s="28"/>
      <c r="R98" s="9"/>
      <c r="S98" s="9"/>
      <c r="T98" s="9"/>
      <c r="U98" s="9"/>
      <c r="V98" s="27"/>
      <c r="W98" s="28"/>
      <c r="X98" s="27"/>
      <c r="Y98" s="28"/>
      <c r="Z98" s="27"/>
      <c r="AA98" s="28"/>
      <c r="AB98" s="27"/>
      <c r="AC98" s="28"/>
      <c r="AD98" s="27"/>
      <c r="AE98" s="28"/>
      <c r="AF98" s="9"/>
      <c r="AG98" s="9"/>
      <c r="AH98" s="9"/>
      <c r="AI98" s="9"/>
      <c r="AJ98" s="27"/>
      <c r="AK98" s="28"/>
      <c r="AL98" s="27"/>
      <c r="AM98" s="28"/>
      <c r="AN98" s="27"/>
      <c r="AO98" s="28"/>
      <c r="AP98" s="27"/>
      <c r="AQ98" s="28"/>
      <c r="AR98" s="27"/>
      <c r="AS98" s="28"/>
      <c r="AT98" s="9"/>
      <c r="AU98" s="9"/>
      <c r="AV98" s="9"/>
      <c r="AW98" s="9"/>
      <c r="AX98" s="27"/>
      <c r="AY98" s="28"/>
      <c r="AZ98" s="27"/>
      <c r="BA98" s="28"/>
      <c r="BB98" s="27"/>
      <c r="BC98" s="28"/>
      <c r="BD98" s="27"/>
      <c r="BE98" s="28"/>
      <c r="BF98" s="29">
        <f t="shared" si="2"/>
        <v>0</v>
      </c>
      <c r="BG98" s="30">
        <f t="shared" si="3"/>
        <v>0</v>
      </c>
    </row>
    <row r="99" spans="1:59" x14ac:dyDescent="0.25">
      <c r="A99" s="12">
        <f>'PPa2019'!D99</f>
        <v>0</v>
      </c>
      <c r="B99" s="12">
        <f>'PPa2019'!E99</f>
        <v>0</v>
      </c>
      <c r="C99" s="10"/>
      <c r="D99" s="10"/>
      <c r="E99" s="10"/>
      <c r="F99" s="10"/>
      <c r="G99" s="10"/>
      <c r="H99" s="27"/>
      <c r="I99" s="28"/>
      <c r="J99" s="27"/>
      <c r="K99" s="28"/>
      <c r="L99" s="27"/>
      <c r="M99" s="28"/>
      <c r="N99" s="27"/>
      <c r="O99" s="28"/>
      <c r="P99" s="27"/>
      <c r="Q99" s="28"/>
      <c r="R99" s="9"/>
      <c r="S99" s="9"/>
      <c r="T99" s="9"/>
      <c r="U99" s="9"/>
      <c r="V99" s="27"/>
      <c r="W99" s="28"/>
      <c r="X99" s="27"/>
      <c r="Y99" s="28"/>
      <c r="Z99" s="27"/>
      <c r="AA99" s="28"/>
      <c r="AB99" s="27"/>
      <c r="AC99" s="28"/>
      <c r="AD99" s="27"/>
      <c r="AE99" s="28"/>
      <c r="AF99" s="9"/>
      <c r="AG99" s="9"/>
      <c r="AH99" s="9"/>
      <c r="AI99" s="9"/>
      <c r="AJ99" s="27"/>
      <c r="AK99" s="28"/>
      <c r="AL99" s="27"/>
      <c r="AM99" s="28"/>
      <c r="AN99" s="27"/>
      <c r="AO99" s="28"/>
      <c r="AP99" s="27"/>
      <c r="AQ99" s="28"/>
      <c r="AR99" s="27"/>
      <c r="AS99" s="28"/>
      <c r="AT99" s="9"/>
      <c r="AU99" s="9"/>
      <c r="AV99" s="9"/>
      <c r="AW99" s="9"/>
      <c r="AX99" s="27"/>
      <c r="AY99" s="28"/>
      <c r="AZ99" s="27"/>
      <c r="BA99" s="28"/>
      <c r="BB99" s="27"/>
      <c r="BC99" s="28"/>
      <c r="BD99" s="27"/>
      <c r="BE99" s="28"/>
      <c r="BF99" s="29">
        <f t="shared" si="2"/>
        <v>0</v>
      </c>
      <c r="BG99" s="30">
        <f t="shared" si="3"/>
        <v>0</v>
      </c>
    </row>
    <row r="100" spans="1:59" x14ac:dyDescent="0.25">
      <c r="A100" s="12">
        <f>'PPa2019'!D100</f>
        <v>0</v>
      </c>
      <c r="B100" s="12">
        <f>'PPa2019'!E100</f>
        <v>0</v>
      </c>
      <c r="C100" s="10"/>
      <c r="D100" s="10"/>
      <c r="E100" s="10"/>
      <c r="F100" s="10"/>
      <c r="G100" s="10"/>
      <c r="H100" s="27"/>
      <c r="I100" s="28"/>
      <c r="J100" s="27"/>
      <c r="K100" s="28"/>
      <c r="L100" s="27"/>
      <c r="M100" s="28"/>
      <c r="N100" s="27"/>
      <c r="O100" s="28"/>
      <c r="P100" s="27"/>
      <c r="Q100" s="28"/>
      <c r="R100" s="9"/>
      <c r="S100" s="9"/>
      <c r="T100" s="9"/>
      <c r="U100" s="9"/>
      <c r="V100" s="27"/>
      <c r="W100" s="28"/>
      <c r="X100" s="27"/>
      <c r="Y100" s="28"/>
      <c r="Z100" s="27"/>
      <c r="AA100" s="28"/>
      <c r="AB100" s="27"/>
      <c r="AC100" s="28"/>
      <c r="AD100" s="27"/>
      <c r="AE100" s="28"/>
      <c r="AF100" s="9"/>
      <c r="AG100" s="9"/>
      <c r="AH100" s="9"/>
      <c r="AI100" s="9"/>
      <c r="AJ100" s="27"/>
      <c r="AK100" s="28"/>
      <c r="AL100" s="27"/>
      <c r="AM100" s="28"/>
      <c r="AN100" s="27"/>
      <c r="AO100" s="28"/>
      <c r="AP100" s="27"/>
      <c r="AQ100" s="28"/>
      <c r="AR100" s="27"/>
      <c r="AS100" s="28"/>
      <c r="AT100" s="9"/>
      <c r="AU100" s="9"/>
      <c r="AV100" s="9"/>
      <c r="AW100" s="9"/>
      <c r="AX100" s="27"/>
      <c r="AY100" s="28"/>
      <c r="AZ100" s="27"/>
      <c r="BA100" s="28"/>
      <c r="BB100" s="27"/>
      <c r="BC100" s="28"/>
      <c r="BD100" s="27"/>
      <c r="BE100" s="28"/>
      <c r="BF100" s="29">
        <f t="shared" si="2"/>
        <v>0</v>
      </c>
      <c r="BG100" s="30">
        <f t="shared" si="3"/>
        <v>0</v>
      </c>
    </row>
    <row r="101" spans="1:59" x14ac:dyDescent="0.25">
      <c r="A101" s="12">
        <f>'PPa2019'!D101</f>
        <v>0</v>
      </c>
      <c r="B101" s="12">
        <f>'PPa2019'!E101</f>
        <v>0</v>
      </c>
      <c r="C101" s="10"/>
      <c r="D101" s="10"/>
      <c r="E101" s="10"/>
      <c r="F101" s="10"/>
      <c r="G101" s="10"/>
      <c r="H101" s="27"/>
      <c r="I101" s="28"/>
      <c r="J101" s="27"/>
      <c r="K101" s="28"/>
      <c r="L101" s="27"/>
      <c r="M101" s="28"/>
      <c r="N101" s="27"/>
      <c r="O101" s="28"/>
      <c r="P101" s="27"/>
      <c r="Q101" s="28"/>
      <c r="R101" s="9"/>
      <c r="S101" s="9"/>
      <c r="T101" s="9"/>
      <c r="U101" s="9"/>
      <c r="V101" s="27"/>
      <c r="W101" s="28"/>
      <c r="X101" s="27"/>
      <c r="Y101" s="28"/>
      <c r="Z101" s="27"/>
      <c r="AA101" s="28"/>
      <c r="AB101" s="27"/>
      <c r="AC101" s="28"/>
      <c r="AD101" s="27"/>
      <c r="AE101" s="28"/>
      <c r="AF101" s="9"/>
      <c r="AG101" s="9"/>
      <c r="AH101" s="9"/>
      <c r="AI101" s="9"/>
      <c r="AJ101" s="27"/>
      <c r="AK101" s="28"/>
      <c r="AL101" s="27"/>
      <c r="AM101" s="28"/>
      <c r="AN101" s="27"/>
      <c r="AO101" s="28"/>
      <c r="AP101" s="27"/>
      <c r="AQ101" s="28"/>
      <c r="AR101" s="27"/>
      <c r="AS101" s="28"/>
      <c r="AT101" s="9"/>
      <c r="AU101" s="9"/>
      <c r="AV101" s="9"/>
      <c r="AW101" s="9"/>
      <c r="AX101" s="27"/>
      <c r="AY101" s="28"/>
      <c r="AZ101" s="27"/>
      <c r="BA101" s="28"/>
      <c r="BB101" s="27"/>
      <c r="BC101" s="28"/>
      <c r="BD101" s="27"/>
      <c r="BE101" s="28"/>
      <c r="BF101" s="29">
        <f t="shared" si="2"/>
        <v>0</v>
      </c>
      <c r="BG101" s="30">
        <f t="shared" si="3"/>
        <v>0</v>
      </c>
    </row>
    <row r="102" spans="1:59" x14ac:dyDescent="0.25">
      <c r="A102" s="12">
        <f>'PPa2019'!D102</f>
        <v>0</v>
      </c>
      <c r="B102" s="12">
        <f>'PPa2019'!E102</f>
        <v>0</v>
      </c>
      <c r="C102" s="10"/>
      <c r="D102" s="10"/>
      <c r="E102" s="10"/>
      <c r="F102" s="10"/>
      <c r="G102" s="10"/>
      <c r="H102" s="27"/>
      <c r="I102" s="28"/>
      <c r="J102" s="27"/>
      <c r="K102" s="28"/>
      <c r="L102" s="27"/>
      <c r="M102" s="28"/>
      <c r="N102" s="27"/>
      <c r="O102" s="28"/>
      <c r="P102" s="27"/>
      <c r="Q102" s="28"/>
      <c r="R102" s="9"/>
      <c r="S102" s="9"/>
      <c r="T102" s="9"/>
      <c r="U102" s="9"/>
      <c r="V102" s="27"/>
      <c r="W102" s="28"/>
      <c r="X102" s="27"/>
      <c r="Y102" s="28"/>
      <c r="Z102" s="27"/>
      <c r="AA102" s="28"/>
      <c r="AB102" s="27"/>
      <c r="AC102" s="28"/>
      <c r="AD102" s="27"/>
      <c r="AE102" s="28"/>
      <c r="AF102" s="9"/>
      <c r="AG102" s="9"/>
      <c r="AH102" s="9"/>
      <c r="AI102" s="9"/>
      <c r="AJ102" s="27"/>
      <c r="AK102" s="28"/>
      <c r="AL102" s="27"/>
      <c r="AM102" s="28"/>
      <c r="AN102" s="27"/>
      <c r="AO102" s="28"/>
      <c r="AP102" s="27"/>
      <c r="AQ102" s="28"/>
      <c r="AR102" s="27"/>
      <c r="AS102" s="28"/>
      <c r="AT102" s="9"/>
      <c r="AU102" s="9"/>
      <c r="AV102" s="9"/>
      <c r="AW102" s="9"/>
      <c r="AX102" s="27"/>
      <c r="AY102" s="28"/>
      <c r="AZ102" s="27"/>
      <c r="BA102" s="28"/>
      <c r="BB102" s="27"/>
      <c r="BC102" s="28"/>
      <c r="BD102" s="27"/>
      <c r="BE102" s="28"/>
      <c r="BF102" s="29">
        <f t="shared" si="2"/>
        <v>0</v>
      </c>
      <c r="BG102" s="30">
        <f t="shared" si="3"/>
        <v>0</v>
      </c>
    </row>
    <row r="103" spans="1:59" x14ac:dyDescent="0.25">
      <c r="A103" s="12">
        <f>'PPa2019'!D103</f>
        <v>0</v>
      </c>
      <c r="B103" s="12">
        <f>'PPa2019'!E103</f>
        <v>0</v>
      </c>
      <c r="C103" s="10"/>
      <c r="D103" s="10"/>
      <c r="E103" s="10"/>
      <c r="F103" s="10"/>
      <c r="G103" s="10"/>
      <c r="H103" s="27"/>
      <c r="I103" s="28"/>
      <c r="J103" s="27"/>
      <c r="K103" s="28"/>
      <c r="L103" s="27"/>
      <c r="M103" s="28"/>
      <c r="N103" s="27"/>
      <c r="O103" s="28"/>
      <c r="P103" s="27"/>
      <c r="Q103" s="28"/>
      <c r="R103" s="9"/>
      <c r="S103" s="9"/>
      <c r="T103" s="9"/>
      <c r="U103" s="9"/>
      <c r="V103" s="27"/>
      <c r="W103" s="28"/>
      <c r="X103" s="27"/>
      <c r="Y103" s="28"/>
      <c r="Z103" s="27"/>
      <c r="AA103" s="28"/>
      <c r="AB103" s="27"/>
      <c r="AC103" s="28"/>
      <c r="AD103" s="27"/>
      <c r="AE103" s="28"/>
      <c r="AF103" s="9"/>
      <c r="AG103" s="9"/>
      <c r="AH103" s="9"/>
      <c r="AI103" s="9"/>
      <c r="AJ103" s="27"/>
      <c r="AK103" s="28"/>
      <c r="AL103" s="27"/>
      <c r="AM103" s="28"/>
      <c r="AN103" s="27"/>
      <c r="AO103" s="28"/>
      <c r="AP103" s="27"/>
      <c r="AQ103" s="28"/>
      <c r="AR103" s="27"/>
      <c r="AS103" s="28"/>
      <c r="AT103" s="9"/>
      <c r="AU103" s="9"/>
      <c r="AV103" s="9"/>
      <c r="AW103" s="9"/>
      <c r="AX103" s="27"/>
      <c r="AY103" s="28"/>
      <c r="AZ103" s="27"/>
      <c r="BA103" s="28"/>
      <c r="BB103" s="27"/>
      <c r="BC103" s="28"/>
      <c r="BD103" s="27"/>
      <c r="BE103" s="28"/>
      <c r="BF103" s="29">
        <f t="shared" si="2"/>
        <v>0</v>
      </c>
      <c r="BG103" s="30">
        <f t="shared" si="3"/>
        <v>0</v>
      </c>
    </row>
    <row r="104" spans="1:59" x14ac:dyDescent="0.25">
      <c r="A104" s="12">
        <f>'PPa2019'!D104</f>
        <v>0</v>
      </c>
      <c r="B104" s="12">
        <f>'PPa2019'!E104</f>
        <v>0</v>
      </c>
      <c r="C104" s="10"/>
      <c r="D104" s="10"/>
      <c r="E104" s="10"/>
      <c r="F104" s="10"/>
      <c r="G104" s="10"/>
      <c r="H104" s="27"/>
      <c r="I104" s="28"/>
      <c r="J104" s="27"/>
      <c r="K104" s="28"/>
      <c r="L104" s="27"/>
      <c r="M104" s="28"/>
      <c r="N104" s="27"/>
      <c r="O104" s="28"/>
      <c r="P104" s="27"/>
      <c r="Q104" s="28"/>
      <c r="R104" s="9"/>
      <c r="S104" s="9"/>
      <c r="T104" s="9"/>
      <c r="U104" s="9"/>
      <c r="V104" s="27"/>
      <c r="W104" s="28"/>
      <c r="X104" s="27"/>
      <c r="Y104" s="28"/>
      <c r="Z104" s="27"/>
      <c r="AA104" s="28"/>
      <c r="AB104" s="27"/>
      <c r="AC104" s="28"/>
      <c r="AD104" s="27"/>
      <c r="AE104" s="28"/>
      <c r="AF104" s="9"/>
      <c r="AG104" s="9"/>
      <c r="AH104" s="9"/>
      <c r="AI104" s="9"/>
      <c r="AJ104" s="27"/>
      <c r="AK104" s="28"/>
      <c r="AL104" s="27"/>
      <c r="AM104" s="28"/>
      <c r="AN104" s="27"/>
      <c r="AO104" s="28"/>
      <c r="AP104" s="27"/>
      <c r="AQ104" s="28"/>
      <c r="AR104" s="27"/>
      <c r="AS104" s="28"/>
      <c r="AT104" s="9"/>
      <c r="AU104" s="9"/>
      <c r="AV104" s="9"/>
      <c r="AW104" s="9"/>
      <c r="AX104" s="27"/>
      <c r="AY104" s="28"/>
      <c r="AZ104" s="27"/>
      <c r="BA104" s="28"/>
      <c r="BB104" s="27"/>
      <c r="BC104" s="28"/>
      <c r="BD104" s="27"/>
      <c r="BE104" s="28"/>
      <c r="BF104" s="29">
        <f t="shared" si="2"/>
        <v>0</v>
      </c>
      <c r="BG104" s="30">
        <f t="shared" si="3"/>
        <v>0</v>
      </c>
    </row>
    <row r="105" spans="1:59" x14ac:dyDescent="0.25">
      <c r="A105" s="12">
        <f>'PPa2019'!D105</f>
        <v>0</v>
      </c>
      <c r="B105" s="12">
        <f>'PPa2019'!E105</f>
        <v>0</v>
      </c>
      <c r="C105" s="10"/>
      <c r="D105" s="10"/>
      <c r="E105" s="10"/>
      <c r="F105" s="10"/>
      <c r="G105" s="10"/>
      <c r="H105" s="27"/>
      <c r="I105" s="28"/>
      <c r="J105" s="27"/>
      <c r="K105" s="28"/>
      <c r="L105" s="27"/>
      <c r="M105" s="28"/>
      <c r="N105" s="27"/>
      <c r="O105" s="28"/>
      <c r="P105" s="27"/>
      <c r="Q105" s="28"/>
      <c r="R105" s="9"/>
      <c r="S105" s="9"/>
      <c r="T105" s="9"/>
      <c r="U105" s="9"/>
      <c r="V105" s="27"/>
      <c r="W105" s="28"/>
      <c r="X105" s="27"/>
      <c r="Y105" s="28"/>
      <c r="Z105" s="27"/>
      <c r="AA105" s="28"/>
      <c r="AB105" s="27"/>
      <c r="AC105" s="28"/>
      <c r="AD105" s="27"/>
      <c r="AE105" s="28"/>
      <c r="AF105" s="9"/>
      <c r="AG105" s="9"/>
      <c r="AH105" s="9"/>
      <c r="AI105" s="9"/>
      <c r="AJ105" s="27"/>
      <c r="AK105" s="28"/>
      <c r="AL105" s="27"/>
      <c r="AM105" s="28"/>
      <c r="AN105" s="27"/>
      <c r="AO105" s="28"/>
      <c r="AP105" s="27"/>
      <c r="AQ105" s="28"/>
      <c r="AR105" s="27"/>
      <c r="AS105" s="28"/>
      <c r="AT105" s="9"/>
      <c r="AU105" s="9"/>
      <c r="AV105" s="9"/>
      <c r="AW105" s="9"/>
      <c r="AX105" s="27"/>
      <c r="AY105" s="28"/>
      <c r="AZ105" s="27"/>
      <c r="BA105" s="28"/>
      <c r="BB105" s="27"/>
      <c r="BC105" s="28"/>
      <c r="BD105" s="27"/>
      <c r="BE105" s="28"/>
      <c r="BF105" s="29">
        <f t="shared" si="2"/>
        <v>0</v>
      </c>
      <c r="BG105" s="30">
        <f t="shared" si="3"/>
        <v>0</v>
      </c>
    </row>
    <row r="106" spans="1:59" x14ac:dyDescent="0.25">
      <c r="A106" s="12">
        <f>'PPa2019'!D106</f>
        <v>0</v>
      </c>
      <c r="B106" s="12">
        <f>'PPa2019'!E106</f>
        <v>0</v>
      </c>
      <c r="C106" s="10"/>
      <c r="D106" s="10"/>
      <c r="E106" s="10"/>
      <c r="F106" s="10"/>
      <c r="G106" s="10"/>
      <c r="H106" s="27"/>
      <c r="I106" s="28"/>
      <c r="J106" s="27"/>
      <c r="K106" s="28"/>
      <c r="L106" s="27"/>
      <c r="M106" s="28"/>
      <c r="N106" s="27"/>
      <c r="O106" s="28"/>
      <c r="P106" s="27"/>
      <c r="Q106" s="28"/>
      <c r="R106" s="9"/>
      <c r="S106" s="9"/>
      <c r="T106" s="9"/>
      <c r="U106" s="9"/>
      <c r="V106" s="27"/>
      <c r="W106" s="28"/>
      <c r="X106" s="27"/>
      <c r="Y106" s="28"/>
      <c r="Z106" s="27"/>
      <c r="AA106" s="28"/>
      <c r="AB106" s="27"/>
      <c r="AC106" s="28"/>
      <c r="AD106" s="27"/>
      <c r="AE106" s="28"/>
      <c r="AF106" s="9"/>
      <c r="AG106" s="9"/>
      <c r="AH106" s="9"/>
      <c r="AI106" s="9"/>
      <c r="AJ106" s="27"/>
      <c r="AK106" s="28"/>
      <c r="AL106" s="27"/>
      <c r="AM106" s="28"/>
      <c r="AN106" s="27"/>
      <c r="AO106" s="28"/>
      <c r="AP106" s="27"/>
      <c r="AQ106" s="28"/>
      <c r="AR106" s="27"/>
      <c r="AS106" s="28"/>
      <c r="AT106" s="9"/>
      <c r="AU106" s="9"/>
      <c r="AV106" s="9"/>
      <c r="AW106" s="9"/>
      <c r="AX106" s="27"/>
      <c r="AY106" s="28"/>
      <c r="AZ106" s="27"/>
      <c r="BA106" s="28"/>
      <c r="BB106" s="27"/>
      <c r="BC106" s="28"/>
      <c r="BD106" s="27"/>
      <c r="BE106" s="28"/>
      <c r="BF106" s="29">
        <f t="shared" si="2"/>
        <v>0</v>
      </c>
      <c r="BG106" s="30">
        <f t="shared" si="3"/>
        <v>0</v>
      </c>
    </row>
    <row r="107" spans="1:59" x14ac:dyDescent="0.25">
      <c r="A107" s="12">
        <f>'PPa2019'!D107</f>
        <v>0</v>
      </c>
      <c r="B107" s="12">
        <f>'PPa2019'!E107</f>
        <v>0</v>
      </c>
      <c r="C107" s="10"/>
      <c r="D107" s="10"/>
      <c r="E107" s="10"/>
      <c r="F107" s="10"/>
      <c r="G107" s="10"/>
      <c r="H107" s="27"/>
      <c r="I107" s="28"/>
      <c r="J107" s="27"/>
      <c r="K107" s="28"/>
      <c r="L107" s="27"/>
      <c r="M107" s="28"/>
      <c r="N107" s="27"/>
      <c r="O107" s="28"/>
      <c r="P107" s="27"/>
      <c r="Q107" s="28"/>
      <c r="R107" s="9"/>
      <c r="S107" s="9"/>
      <c r="T107" s="9"/>
      <c r="U107" s="9"/>
      <c r="V107" s="27"/>
      <c r="W107" s="28"/>
      <c r="X107" s="27"/>
      <c r="Y107" s="28"/>
      <c r="Z107" s="27"/>
      <c r="AA107" s="28"/>
      <c r="AB107" s="27"/>
      <c r="AC107" s="28"/>
      <c r="AD107" s="27"/>
      <c r="AE107" s="28"/>
      <c r="AF107" s="9"/>
      <c r="AG107" s="9"/>
      <c r="AH107" s="9"/>
      <c r="AI107" s="9"/>
      <c r="AJ107" s="27"/>
      <c r="AK107" s="28"/>
      <c r="AL107" s="27"/>
      <c r="AM107" s="28"/>
      <c r="AN107" s="27"/>
      <c r="AO107" s="28"/>
      <c r="AP107" s="27"/>
      <c r="AQ107" s="28"/>
      <c r="AR107" s="27"/>
      <c r="AS107" s="28"/>
      <c r="AT107" s="9"/>
      <c r="AU107" s="9"/>
      <c r="AV107" s="9"/>
      <c r="AW107" s="9"/>
      <c r="AX107" s="27"/>
      <c r="AY107" s="28"/>
      <c r="AZ107" s="27"/>
      <c r="BA107" s="28"/>
      <c r="BB107" s="27"/>
      <c r="BC107" s="28"/>
      <c r="BD107" s="27"/>
      <c r="BE107" s="28"/>
      <c r="BF107" s="29">
        <f t="shared" si="2"/>
        <v>0</v>
      </c>
      <c r="BG107" s="30">
        <f t="shared" si="3"/>
        <v>0</v>
      </c>
    </row>
    <row r="108" spans="1:59" x14ac:dyDescent="0.25">
      <c r="A108" s="12">
        <f>'PPa2019'!D108</f>
        <v>0</v>
      </c>
      <c r="B108" s="12">
        <f>'PPa2019'!E108</f>
        <v>0</v>
      </c>
      <c r="C108" s="10"/>
      <c r="D108" s="10"/>
      <c r="E108" s="10"/>
      <c r="F108" s="10"/>
      <c r="G108" s="10"/>
      <c r="H108" s="27"/>
      <c r="I108" s="28"/>
      <c r="J108" s="27"/>
      <c r="K108" s="28"/>
      <c r="L108" s="27"/>
      <c r="M108" s="28"/>
      <c r="N108" s="27"/>
      <c r="O108" s="28"/>
      <c r="P108" s="27"/>
      <c r="Q108" s="28"/>
      <c r="R108" s="9"/>
      <c r="S108" s="9"/>
      <c r="T108" s="9"/>
      <c r="U108" s="9"/>
      <c r="V108" s="27"/>
      <c r="W108" s="28"/>
      <c r="X108" s="27"/>
      <c r="Y108" s="28"/>
      <c r="Z108" s="27"/>
      <c r="AA108" s="28"/>
      <c r="AB108" s="27"/>
      <c r="AC108" s="28"/>
      <c r="AD108" s="27"/>
      <c r="AE108" s="28"/>
      <c r="AF108" s="9"/>
      <c r="AG108" s="9"/>
      <c r="AH108" s="9"/>
      <c r="AI108" s="9"/>
      <c r="AJ108" s="27"/>
      <c r="AK108" s="28"/>
      <c r="AL108" s="27"/>
      <c r="AM108" s="28"/>
      <c r="AN108" s="27"/>
      <c r="AO108" s="28"/>
      <c r="AP108" s="27"/>
      <c r="AQ108" s="28"/>
      <c r="AR108" s="27"/>
      <c r="AS108" s="28"/>
      <c r="AT108" s="9"/>
      <c r="AU108" s="9"/>
      <c r="AV108" s="9"/>
      <c r="AW108" s="9"/>
      <c r="AX108" s="27"/>
      <c r="AY108" s="28"/>
      <c r="AZ108" s="27"/>
      <c r="BA108" s="28"/>
      <c r="BB108" s="27"/>
      <c r="BC108" s="28"/>
      <c r="BD108" s="27"/>
      <c r="BE108" s="28"/>
      <c r="BF108" s="29">
        <f t="shared" si="2"/>
        <v>0</v>
      </c>
      <c r="BG108" s="30">
        <f t="shared" si="3"/>
        <v>0</v>
      </c>
    </row>
    <row r="109" spans="1:59" x14ac:dyDescent="0.25">
      <c r="A109" s="12">
        <f>'PPa2019'!D109</f>
        <v>0</v>
      </c>
      <c r="B109" s="12">
        <f>'PPa2019'!E109</f>
        <v>0</v>
      </c>
      <c r="C109" s="10"/>
      <c r="D109" s="10"/>
      <c r="E109" s="10"/>
      <c r="F109" s="10"/>
      <c r="G109" s="10"/>
      <c r="H109" s="27"/>
      <c r="I109" s="28"/>
      <c r="J109" s="27"/>
      <c r="K109" s="28"/>
      <c r="L109" s="27"/>
      <c r="M109" s="28"/>
      <c r="N109" s="27"/>
      <c r="O109" s="28"/>
      <c r="P109" s="27"/>
      <c r="Q109" s="28"/>
      <c r="R109" s="9"/>
      <c r="S109" s="9"/>
      <c r="T109" s="9"/>
      <c r="U109" s="9"/>
      <c r="V109" s="27"/>
      <c r="W109" s="28"/>
      <c r="X109" s="27"/>
      <c r="Y109" s="28"/>
      <c r="Z109" s="27"/>
      <c r="AA109" s="28"/>
      <c r="AB109" s="27"/>
      <c r="AC109" s="28"/>
      <c r="AD109" s="27"/>
      <c r="AE109" s="28"/>
      <c r="AF109" s="9"/>
      <c r="AG109" s="9"/>
      <c r="AH109" s="9"/>
      <c r="AI109" s="9"/>
      <c r="AJ109" s="27"/>
      <c r="AK109" s="28"/>
      <c r="AL109" s="27"/>
      <c r="AM109" s="28"/>
      <c r="AN109" s="27"/>
      <c r="AO109" s="28"/>
      <c r="AP109" s="27"/>
      <c r="AQ109" s="28"/>
      <c r="AR109" s="27"/>
      <c r="AS109" s="28"/>
      <c r="AT109" s="9"/>
      <c r="AU109" s="9"/>
      <c r="AV109" s="9"/>
      <c r="AW109" s="9"/>
      <c r="AX109" s="27"/>
      <c r="AY109" s="28"/>
      <c r="AZ109" s="27"/>
      <c r="BA109" s="28"/>
      <c r="BB109" s="27"/>
      <c r="BC109" s="28"/>
      <c r="BD109" s="27"/>
      <c r="BE109" s="28"/>
      <c r="BF109" s="29">
        <f t="shared" si="2"/>
        <v>0</v>
      </c>
      <c r="BG109" s="30">
        <f t="shared" si="3"/>
        <v>0</v>
      </c>
    </row>
    <row r="110" spans="1:59" x14ac:dyDescent="0.25">
      <c r="A110" s="12">
        <f>'PPa2019'!D110</f>
        <v>0</v>
      </c>
      <c r="B110" s="12">
        <f>'PPa2019'!E110</f>
        <v>0</v>
      </c>
      <c r="C110" s="10"/>
      <c r="D110" s="10"/>
      <c r="E110" s="10"/>
      <c r="F110" s="10"/>
      <c r="G110" s="10"/>
      <c r="H110" s="27"/>
      <c r="I110" s="28"/>
      <c r="J110" s="27"/>
      <c r="K110" s="28"/>
      <c r="L110" s="27"/>
      <c r="M110" s="28"/>
      <c r="N110" s="27"/>
      <c r="O110" s="28"/>
      <c r="P110" s="27"/>
      <c r="Q110" s="28"/>
      <c r="R110" s="9"/>
      <c r="S110" s="9"/>
      <c r="T110" s="9"/>
      <c r="U110" s="9"/>
      <c r="V110" s="27"/>
      <c r="W110" s="28"/>
      <c r="X110" s="27"/>
      <c r="Y110" s="28"/>
      <c r="Z110" s="27"/>
      <c r="AA110" s="28"/>
      <c r="AB110" s="27"/>
      <c r="AC110" s="28"/>
      <c r="AD110" s="27"/>
      <c r="AE110" s="28"/>
      <c r="AF110" s="9"/>
      <c r="AG110" s="9"/>
      <c r="AH110" s="9"/>
      <c r="AI110" s="9"/>
      <c r="AJ110" s="27"/>
      <c r="AK110" s="28"/>
      <c r="AL110" s="27"/>
      <c r="AM110" s="28"/>
      <c r="AN110" s="27"/>
      <c r="AO110" s="28"/>
      <c r="AP110" s="27"/>
      <c r="AQ110" s="28"/>
      <c r="AR110" s="27"/>
      <c r="AS110" s="28"/>
      <c r="AT110" s="9"/>
      <c r="AU110" s="9"/>
      <c r="AV110" s="9"/>
      <c r="AW110" s="9"/>
      <c r="AX110" s="27"/>
      <c r="AY110" s="28"/>
      <c r="AZ110" s="27"/>
      <c r="BA110" s="28"/>
      <c r="BB110" s="27"/>
      <c r="BC110" s="28"/>
      <c r="BD110" s="27"/>
      <c r="BE110" s="28"/>
      <c r="BF110" s="29">
        <f t="shared" si="2"/>
        <v>0</v>
      </c>
      <c r="BG110" s="30">
        <f t="shared" si="3"/>
        <v>0</v>
      </c>
    </row>
    <row r="111" spans="1:59" x14ac:dyDescent="0.25">
      <c r="A111" s="12">
        <f>'PPa2019'!D111</f>
        <v>0</v>
      </c>
      <c r="B111" s="12">
        <f>'PPa2019'!E111</f>
        <v>0</v>
      </c>
      <c r="C111" s="10"/>
      <c r="D111" s="10"/>
      <c r="E111" s="10"/>
      <c r="F111" s="10"/>
      <c r="G111" s="10"/>
      <c r="H111" s="27"/>
      <c r="I111" s="28"/>
      <c r="J111" s="27"/>
      <c r="K111" s="28"/>
      <c r="L111" s="27"/>
      <c r="M111" s="28"/>
      <c r="N111" s="27"/>
      <c r="O111" s="28"/>
      <c r="P111" s="27"/>
      <c r="Q111" s="28"/>
      <c r="R111" s="9"/>
      <c r="S111" s="9"/>
      <c r="T111" s="9"/>
      <c r="U111" s="9"/>
      <c r="V111" s="27"/>
      <c r="W111" s="28"/>
      <c r="X111" s="27"/>
      <c r="Y111" s="28"/>
      <c r="Z111" s="27"/>
      <c r="AA111" s="28"/>
      <c r="AB111" s="27"/>
      <c r="AC111" s="28"/>
      <c r="AD111" s="27"/>
      <c r="AE111" s="28"/>
      <c r="AF111" s="9"/>
      <c r="AG111" s="9"/>
      <c r="AH111" s="9"/>
      <c r="AI111" s="9"/>
      <c r="AJ111" s="27"/>
      <c r="AK111" s="28"/>
      <c r="AL111" s="27"/>
      <c r="AM111" s="28"/>
      <c r="AN111" s="27"/>
      <c r="AO111" s="28"/>
      <c r="AP111" s="27"/>
      <c r="AQ111" s="28"/>
      <c r="AR111" s="27"/>
      <c r="AS111" s="28"/>
      <c r="AT111" s="9"/>
      <c r="AU111" s="9"/>
      <c r="AV111" s="9"/>
      <c r="AW111" s="9"/>
      <c r="AX111" s="27"/>
      <c r="AY111" s="28"/>
      <c r="AZ111" s="27"/>
      <c r="BA111" s="28"/>
      <c r="BB111" s="27"/>
      <c r="BC111" s="28"/>
      <c r="BD111" s="27"/>
      <c r="BE111" s="28"/>
      <c r="BF111" s="29">
        <f t="shared" si="2"/>
        <v>0</v>
      </c>
      <c r="BG111" s="30">
        <f t="shared" si="3"/>
        <v>0</v>
      </c>
    </row>
    <row r="112" spans="1:59" x14ac:dyDescent="0.25">
      <c r="A112" s="12">
        <f>'PPa2019'!D112</f>
        <v>0</v>
      </c>
      <c r="B112" s="12">
        <f>'PPa2019'!E112</f>
        <v>0</v>
      </c>
      <c r="C112" s="10"/>
      <c r="D112" s="10"/>
      <c r="E112" s="10"/>
      <c r="F112" s="10"/>
      <c r="G112" s="10"/>
      <c r="H112" s="27"/>
      <c r="I112" s="28"/>
      <c r="J112" s="27"/>
      <c r="K112" s="28"/>
      <c r="L112" s="27"/>
      <c r="M112" s="28"/>
      <c r="N112" s="27"/>
      <c r="O112" s="28"/>
      <c r="P112" s="27"/>
      <c r="Q112" s="28"/>
      <c r="R112" s="9"/>
      <c r="S112" s="9"/>
      <c r="T112" s="9"/>
      <c r="U112" s="9"/>
      <c r="V112" s="27"/>
      <c r="W112" s="28"/>
      <c r="X112" s="27"/>
      <c r="Y112" s="28"/>
      <c r="Z112" s="27"/>
      <c r="AA112" s="28"/>
      <c r="AB112" s="27"/>
      <c r="AC112" s="28"/>
      <c r="AD112" s="27"/>
      <c r="AE112" s="28"/>
      <c r="AF112" s="9"/>
      <c r="AG112" s="9"/>
      <c r="AH112" s="9"/>
      <c r="AI112" s="9"/>
      <c r="AJ112" s="27"/>
      <c r="AK112" s="28"/>
      <c r="AL112" s="27"/>
      <c r="AM112" s="28"/>
      <c r="AN112" s="27"/>
      <c r="AO112" s="28"/>
      <c r="AP112" s="27"/>
      <c r="AQ112" s="28"/>
      <c r="AR112" s="27"/>
      <c r="AS112" s="28"/>
      <c r="AT112" s="9"/>
      <c r="AU112" s="9"/>
      <c r="AV112" s="9"/>
      <c r="AW112" s="9"/>
      <c r="AX112" s="27"/>
      <c r="AY112" s="28"/>
      <c r="AZ112" s="27"/>
      <c r="BA112" s="28"/>
      <c r="BB112" s="27"/>
      <c r="BC112" s="28"/>
      <c r="BD112" s="27"/>
      <c r="BE112" s="28"/>
      <c r="BF112" s="29">
        <f t="shared" si="2"/>
        <v>0</v>
      </c>
      <c r="BG112" s="30">
        <f t="shared" si="3"/>
        <v>0</v>
      </c>
    </row>
    <row r="113" spans="1:59" x14ac:dyDescent="0.25">
      <c r="A113" s="12">
        <f>'PPa2019'!D113</f>
        <v>0</v>
      </c>
      <c r="B113" s="12">
        <f>'PPa2019'!E113</f>
        <v>0</v>
      </c>
      <c r="C113" s="10"/>
      <c r="D113" s="10"/>
      <c r="E113" s="10"/>
      <c r="F113" s="10"/>
      <c r="G113" s="10"/>
      <c r="H113" s="27"/>
      <c r="I113" s="28"/>
      <c r="J113" s="27"/>
      <c r="K113" s="28"/>
      <c r="L113" s="27"/>
      <c r="M113" s="28"/>
      <c r="N113" s="27"/>
      <c r="O113" s="28"/>
      <c r="P113" s="27"/>
      <c r="Q113" s="28"/>
      <c r="R113" s="9"/>
      <c r="S113" s="9"/>
      <c r="T113" s="9"/>
      <c r="U113" s="9"/>
      <c r="V113" s="27"/>
      <c r="W113" s="28"/>
      <c r="X113" s="27"/>
      <c r="Y113" s="28"/>
      <c r="Z113" s="27"/>
      <c r="AA113" s="28"/>
      <c r="AB113" s="27"/>
      <c r="AC113" s="28"/>
      <c r="AD113" s="27"/>
      <c r="AE113" s="28"/>
      <c r="AF113" s="9"/>
      <c r="AG113" s="9"/>
      <c r="AH113" s="9"/>
      <c r="AI113" s="9"/>
      <c r="AJ113" s="27"/>
      <c r="AK113" s="28"/>
      <c r="AL113" s="27"/>
      <c r="AM113" s="28"/>
      <c r="AN113" s="27"/>
      <c r="AO113" s="28"/>
      <c r="AP113" s="27"/>
      <c r="AQ113" s="28"/>
      <c r="AR113" s="27"/>
      <c r="AS113" s="28"/>
      <c r="AT113" s="9"/>
      <c r="AU113" s="9"/>
      <c r="AV113" s="9"/>
      <c r="AW113" s="9"/>
      <c r="AX113" s="27"/>
      <c r="AY113" s="28"/>
      <c r="AZ113" s="27"/>
      <c r="BA113" s="28"/>
      <c r="BB113" s="27"/>
      <c r="BC113" s="28"/>
      <c r="BD113" s="27"/>
      <c r="BE113" s="28"/>
      <c r="BF113" s="29">
        <f t="shared" si="2"/>
        <v>0</v>
      </c>
      <c r="BG113" s="30">
        <f t="shared" si="3"/>
        <v>0</v>
      </c>
    </row>
    <row r="114" spans="1:59" x14ac:dyDescent="0.25">
      <c r="A114" s="12">
        <f>'PPa2019'!D114</f>
        <v>0</v>
      </c>
      <c r="B114" s="12">
        <f>'PPa2019'!E114</f>
        <v>0</v>
      </c>
      <c r="C114" s="10"/>
      <c r="D114" s="10"/>
      <c r="E114" s="10"/>
      <c r="F114" s="10"/>
      <c r="G114" s="10"/>
      <c r="H114" s="27"/>
      <c r="I114" s="28"/>
      <c r="J114" s="27"/>
      <c r="K114" s="28"/>
      <c r="L114" s="27"/>
      <c r="M114" s="28"/>
      <c r="N114" s="27"/>
      <c r="O114" s="28"/>
      <c r="P114" s="27"/>
      <c r="Q114" s="28"/>
      <c r="R114" s="9"/>
      <c r="S114" s="9"/>
      <c r="T114" s="9"/>
      <c r="U114" s="9"/>
      <c r="V114" s="27"/>
      <c r="W114" s="28"/>
      <c r="X114" s="27"/>
      <c r="Y114" s="28"/>
      <c r="Z114" s="27"/>
      <c r="AA114" s="28"/>
      <c r="AB114" s="27"/>
      <c r="AC114" s="28"/>
      <c r="AD114" s="27"/>
      <c r="AE114" s="28"/>
      <c r="AF114" s="9"/>
      <c r="AG114" s="9"/>
      <c r="AH114" s="9"/>
      <c r="AI114" s="9"/>
      <c r="AJ114" s="27"/>
      <c r="AK114" s="28"/>
      <c r="AL114" s="27"/>
      <c r="AM114" s="28"/>
      <c r="AN114" s="27"/>
      <c r="AO114" s="28"/>
      <c r="AP114" s="27"/>
      <c r="AQ114" s="28"/>
      <c r="AR114" s="27"/>
      <c r="AS114" s="28"/>
      <c r="AT114" s="9"/>
      <c r="AU114" s="9"/>
      <c r="AV114" s="9"/>
      <c r="AW114" s="9"/>
      <c r="AX114" s="27"/>
      <c r="AY114" s="28"/>
      <c r="AZ114" s="27"/>
      <c r="BA114" s="28"/>
      <c r="BB114" s="27"/>
      <c r="BC114" s="28"/>
      <c r="BD114" s="27"/>
      <c r="BE114" s="28"/>
      <c r="BF114" s="29">
        <f t="shared" si="2"/>
        <v>0</v>
      </c>
      <c r="BG114" s="30">
        <f t="shared" si="3"/>
        <v>0</v>
      </c>
    </row>
    <row r="115" spans="1:59" x14ac:dyDescent="0.25">
      <c r="A115" s="12">
        <f>'PPa2019'!D115</f>
        <v>0</v>
      </c>
      <c r="B115" s="12">
        <f>'PPa2019'!E115</f>
        <v>0</v>
      </c>
      <c r="C115" s="10"/>
      <c r="D115" s="10"/>
      <c r="E115" s="10"/>
      <c r="F115" s="10"/>
      <c r="G115" s="10"/>
      <c r="H115" s="27"/>
      <c r="I115" s="28"/>
      <c r="J115" s="27"/>
      <c r="K115" s="28"/>
      <c r="L115" s="27"/>
      <c r="M115" s="28"/>
      <c r="N115" s="27"/>
      <c r="O115" s="28"/>
      <c r="P115" s="27"/>
      <c r="Q115" s="28"/>
      <c r="R115" s="9"/>
      <c r="S115" s="9"/>
      <c r="T115" s="9"/>
      <c r="U115" s="9"/>
      <c r="V115" s="27"/>
      <c r="W115" s="28"/>
      <c r="X115" s="27"/>
      <c r="Y115" s="28"/>
      <c r="Z115" s="27"/>
      <c r="AA115" s="28"/>
      <c r="AB115" s="27"/>
      <c r="AC115" s="28"/>
      <c r="AD115" s="27"/>
      <c r="AE115" s="28"/>
      <c r="AF115" s="9"/>
      <c r="AG115" s="9"/>
      <c r="AH115" s="9"/>
      <c r="AI115" s="9"/>
      <c r="AJ115" s="27"/>
      <c r="AK115" s="28"/>
      <c r="AL115" s="27"/>
      <c r="AM115" s="28"/>
      <c r="AN115" s="27"/>
      <c r="AO115" s="28"/>
      <c r="AP115" s="27"/>
      <c r="AQ115" s="28"/>
      <c r="AR115" s="27"/>
      <c r="AS115" s="28"/>
      <c r="AT115" s="9"/>
      <c r="AU115" s="9"/>
      <c r="AV115" s="9"/>
      <c r="AW115" s="9"/>
      <c r="AX115" s="27"/>
      <c r="AY115" s="28"/>
      <c r="AZ115" s="27"/>
      <c r="BA115" s="28"/>
      <c r="BB115" s="27"/>
      <c r="BC115" s="28"/>
      <c r="BD115" s="27"/>
      <c r="BE115" s="28"/>
      <c r="BF115" s="29">
        <f t="shared" si="2"/>
        <v>0</v>
      </c>
      <c r="BG115" s="30">
        <f t="shared" si="3"/>
        <v>0</v>
      </c>
    </row>
    <row r="116" spans="1:59" x14ac:dyDescent="0.25">
      <c r="A116" s="12">
        <f>'PPa2019'!D116</f>
        <v>0</v>
      </c>
      <c r="B116" s="12">
        <f>'PPa2019'!E116</f>
        <v>0</v>
      </c>
      <c r="C116" s="10"/>
      <c r="D116" s="10"/>
      <c r="E116" s="10"/>
      <c r="F116" s="10"/>
      <c r="G116" s="10"/>
      <c r="H116" s="27"/>
      <c r="I116" s="28"/>
      <c r="J116" s="27"/>
      <c r="K116" s="28"/>
      <c r="L116" s="27"/>
      <c r="M116" s="28"/>
      <c r="N116" s="27"/>
      <c r="O116" s="28"/>
      <c r="P116" s="27"/>
      <c r="Q116" s="28"/>
      <c r="R116" s="9"/>
      <c r="S116" s="9"/>
      <c r="T116" s="9"/>
      <c r="U116" s="9"/>
      <c r="V116" s="27"/>
      <c r="W116" s="28"/>
      <c r="X116" s="27"/>
      <c r="Y116" s="28"/>
      <c r="Z116" s="27"/>
      <c r="AA116" s="28"/>
      <c r="AB116" s="27"/>
      <c r="AC116" s="28"/>
      <c r="AD116" s="27"/>
      <c r="AE116" s="28"/>
      <c r="AF116" s="9"/>
      <c r="AG116" s="9"/>
      <c r="AH116" s="9"/>
      <c r="AI116" s="9"/>
      <c r="AJ116" s="27"/>
      <c r="AK116" s="28"/>
      <c r="AL116" s="27"/>
      <c r="AM116" s="28"/>
      <c r="AN116" s="27"/>
      <c r="AO116" s="28"/>
      <c r="AP116" s="27"/>
      <c r="AQ116" s="28"/>
      <c r="AR116" s="27"/>
      <c r="AS116" s="28"/>
      <c r="AT116" s="9"/>
      <c r="AU116" s="9"/>
      <c r="AV116" s="9"/>
      <c r="AW116" s="9"/>
      <c r="AX116" s="27"/>
      <c r="AY116" s="28"/>
      <c r="AZ116" s="27"/>
      <c r="BA116" s="28"/>
      <c r="BB116" s="27"/>
      <c r="BC116" s="28"/>
      <c r="BD116" s="27"/>
      <c r="BE116" s="28"/>
      <c r="BF116" s="29">
        <f t="shared" si="2"/>
        <v>0</v>
      </c>
      <c r="BG116" s="30">
        <f t="shared" si="3"/>
        <v>0</v>
      </c>
    </row>
    <row r="117" spans="1:59" x14ac:dyDescent="0.25">
      <c r="A117" s="12">
        <f>'PPa2019'!D117</f>
        <v>0</v>
      </c>
      <c r="B117" s="12">
        <f>'PPa2019'!E117</f>
        <v>0</v>
      </c>
      <c r="C117" s="10"/>
      <c r="D117" s="10"/>
      <c r="E117" s="10"/>
      <c r="F117" s="10"/>
      <c r="G117" s="10"/>
      <c r="H117" s="27"/>
      <c r="I117" s="28"/>
      <c r="J117" s="27"/>
      <c r="K117" s="28"/>
      <c r="L117" s="27"/>
      <c r="M117" s="28"/>
      <c r="N117" s="27"/>
      <c r="O117" s="28"/>
      <c r="P117" s="27"/>
      <c r="Q117" s="28"/>
      <c r="R117" s="9"/>
      <c r="S117" s="9"/>
      <c r="T117" s="9"/>
      <c r="U117" s="9"/>
      <c r="V117" s="27"/>
      <c r="W117" s="28"/>
      <c r="X117" s="27"/>
      <c r="Y117" s="28"/>
      <c r="Z117" s="27"/>
      <c r="AA117" s="28"/>
      <c r="AB117" s="27"/>
      <c r="AC117" s="28"/>
      <c r="AD117" s="27"/>
      <c r="AE117" s="28"/>
      <c r="AF117" s="9"/>
      <c r="AG117" s="9"/>
      <c r="AH117" s="9"/>
      <c r="AI117" s="9"/>
      <c r="AJ117" s="27"/>
      <c r="AK117" s="28"/>
      <c r="AL117" s="27"/>
      <c r="AM117" s="28"/>
      <c r="AN117" s="27"/>
      <c r="AO117" s="28"/>
      <c r="AP117" s="27"/>
      <c r="AQ117" s="28"/>
      <c r="AR117" s="27"/>
      <c r="AS117" s="28"/>
      <c r="AT117" s="9"/>
      <c r="AU117" s="9"/>
      <c r="AV117" s="9"/>
      <c r="AW117" s="9"/>
      <c r="AX117" s="27"/>
      <c r="AY117" s="28"/>
      <c r="AZ117" s="27"/>
      <c r="BA117" s="28"/>
      <c r="BB117" s="27"/>
      <c r="BC117" s="28"/>
      <c r="BD117" s="27"/>
      <c r="BE117" s="28"/>
      <c r="BF117" s="29">
        <f t="shared" si="2"/>
        <v>0</v>
      </c>
      <c r="BG117" s="30">
        <f t="shared" si="3"/>
        <v>0</v>
      </c>
    </row>
    <row r="118" spans="1:59" x14ac:dyDescent="0.25">
      <c r="A118" s="12">
        <f>'PPa2019'!D118</f>
        <v>0</v>
      </c>
      <c r="B118" s="12">
        <f>'PPa2019'!E118</f>
        <v>0</v>
      </c>
      <c r="C118" s="10"/>
      <c r="D118" s="10"/>
      <c r="E118" s="10"/>
      <c r="F118" s="10"/>
      <c r="G118" s="10"/>
      <c r="H118" s="27"/>
      <c r="I118" s="28"/>
      <c r="J118" s="27"/>
      <c r="K118" s="28"/>
      <c r="L118" s="27"/>
      <c r="M118" s="28"/>
      <c r="N118" s="27"/>
      <c r="O118" s="28"/>
      <c r="P118" s="27"/>
      <c r="Q118" s="28"/>
      <c r="R118" s="9"/>
      <c r="S118" s="9"/>
      <c r="T118" s="9"/>
      <c r="U118" s="9"/>
      <c r="V118" s="27"/>
      <c r="W118" s="28"/>
      <c r="X118" s="27"/>
      <c r="Y118" s="28"/>
      <c r="Z118" s="27"/>
      <c r="AA118" s="28"/>
      <c r="AB118" s="27"/>
      <c r="AC118" s="28"/>
      <c r="AD118" s="27"/>
      <c r="AE118" s="28"/>
      <c r="AF118" s="9"/>
      <c r="AG118" s="9"/>
      <c r="AH118" s="9"/>
      <c r="AI118" s="9"/>
      <c r="AJ118" s="27"/>
      <c r="AK118" s="28"/>
      <c r="AL118" s="27"/>
      <c r="AM118" s="28"/>
      <c r="AN118" s="27"/>
      <c r="AO118" s="28"/>
      <c r="AP118" s="27"/>
      <c r="AQ118" s="28"/>
      <c r="AR118" s="27"/>
      <c r="AS118" s="28"/>
      <c r="AT118" s="9"/>
      <c r="AU118" s="9"/>
      <c r="AV118" s="9"/>
      <c r="AW118" s="9"/>
      <c r="AX118" s="27"/>
      <c r="AY118" s="28"/>
      <c r="AZ118" s="27"/>
      <c r="BA118" s="28"/>
      <c r="BB118" s="27"/>
      <c r="BC118" s="28"/>
      <c r="BD118" s="27"/>
      <c r="BE118" s="28"/>
      <c r="BF118" s="29">
        <f t="shared" si="2"/>
        <v>0</v>
      </c>
      <c r="BG118" s="30">
        <f t="shared" si="3"/>
        <v>0</v>
      </c>
    </row>
    <row r="119" spans="1:59" x14ac:dyDescent="0.25">
      <c r="A119" s="12">
        <f>'PPa2019'!D119</f>
        <v>0</v>
      </c>
      <c r="B119" s="12">
        <f>'PPa2019'!E119</f>
        <v>0</v>
      </c>
      <c r="C119" s="10"/>
      <c r="D119" s="10"/>
      <c r="E119" s="10"/>
      <c r="F119" s="10"/>
      <c r="G119" s="10"/>
      <c r="H119" s="27"/>
      <c r="I119" s="28"/>
      <c r="J119" s="27"/>
      <c r="K119" s="28"/>
      <c r="L119" s="27"/>
      <c r="M119" s="28"/>
      <c r="N119" s="27"/>
      <c r="O119" s="28"/>
      <c r="P119" s="27"/>
      <c r="Q119" s="28"/>
      <c r="R119" s="9"/>
      <c r="S119" s="9"/>
      <c r="T119" s="9"/>
      <c r="U119" s="9"/>
      <c r="V119" s="27"/>
      <c r="W119" s="28"/>
      <c r="X119" s="27"/>
      <c r="Y119" s="28"/>
      <c r="Z119" s="27"/>
      <c r="AA119" s="28"/>
      <c r="AB119" s="27"/>
      <c r="AC119" s="28"/>
      <c r="AD119" s="27"/>
      <c r="AE119" s="28"/>
      <c r="AF119" s="9"/>
      <c r="AG119" s="9"/>
      <c r="AH119" s="9"/>
      <c r="AI119" s="9"/>
      <c r="AJ119" s="27"/>
      <c r="AK119" s="28"/>
      <c r="AL119" s="27"/>
      <c r="AM119" s="28"/>
      <c r="AN119" s="27"/>
      <c r="AO119" s="28"/>
      <c r="AP119" s="27"/>
      <c r="AQ119" s="28"/>
      <c r="AR119" s="27"/>
      <c r="AS119" s="28"/>
      <c r="AT119" s="9"/>
      <c r="AU119" s="9"/>
      <c r="AV119" s="9"/>
      <c r="AW119" s="9"/>
      <c r="AX119" s="27"/>
      <c r="AY119" s="28"/>
      <c r="AZ119" s="27"/>
      <c r="BA119" s="28"/>
      <c r="BB119" s="27"/>
      <c r="BC119" s="28"/>
      <c r="BD119" s="27"/>
      <c r="BE119" s="28"/>
      <c r="BF119" s="29">
        <f t="shared" si="2"/>
        <v>0</v>
      </c>
      <c r="BG119" s="30">
        <f t="shared" si="3"/>
        <v>0</v>
      </c>
    </row>
    <row r="120" spans="1:59" x14ac:dyDescent="0.25">
      <c r="A120" s="12">
        <f>'PPa2019'!D120</f>
        <v>0</v>
      </c>
      <c r="B120" s="12">
        <f>'PPa2019'!E120</f>
        <v>0</v>
      </c>
      <c r="C120" s="10"/>
      <c r="D120" s="10"/>
      <c r="E120" s="10"/>
      <c r="F120" s="10"/>
      <c r="G120" s="10"/>
      <c r="H120" s="27"/>
      <c r="I120" s="28"/>
      <c r="J120" s="27"/>
      <c r="K120" s="28"/>
      <c r="L120" s="27"/>
      <c r="M120" s="28"/>
      <c r="N120" s="27"/>
      <c r="O120" s="28"/>
      <c r="P120" s="27"/>
      <c r="Q120" s="28"/>
      <c r="R120" s="9"/>
      <c r="S120" s="9"/>
      <c r="T120" s="9"/>
      <c r="U120" s="9"/>
      <c r="V120" s="27"/>
      <c r="W120" s="28"/>
      <c r="X120" s="27"/>
      <c r="Y120" s="28"/>
      <c r="Z120" s="27"/>
      <c r="AA120" s="28"/>
      <c r="AB120" s="27"/>
      <c r="AC120" s="28"/>
      <c r="AD120" s="27"/>
      <c r="AE120" s="28"/>
      <c r="AF120" s="9"/>
      <c r="AG120" s="9"/>
      <c r="AH120" s="9"/>
      <c r="AI120" s="9"/>
      <c r="AJ120" s="27"/>
      <c r="AK120" s="28"/>
      <c r="AL120" s="27"/>
      <c r="AM120" s="28"/>
      <c r="AN120" s="27"/>
      <c r="AO120" s="28"/>
      <c r="AP120" s="27"/>
      <c r="AQ120" s="28"/>
      <c r="AR120" s="27"/>
      <c r="AS120" s="28"/>
      <c r="AT120" s="9"/>
      <c r="AU120" s="9"/>
      <c r="AV120" s="9"/>
      <c r="AW120" s="9"/>
      <c r="AX120" s="27"/>
      <c r="AY120" s="28"/>
      <c r="AZ120" s="27"/>
      <c r="BA120" s="28"/>
      <c r="BB120" s="27"/>
      <c r="BC120" s="28"/>
      <c r="BD120" s="27"/>
      <c r="BE120" s="28"/>
      <c r="BF120" s="29">
        <f t="shared" si="2"/>
        <v>0</v>
      </c>
      <c r="BG120" s="30">
        <f t="shared" si="3"/>
        <v>0</v>
      </c>
    </row>
    <row r="121" spans="1:59" x14ac:dyDescent="0.25">
      <c r="A121" s="12">
        <f>'PPa2019'!D121</f>
        <v>0</v>
      </c>
      <c r="B121" s="12">
        <f>'PPa2019'!E121</f>
        <v>0</v>
      </c>
      <c r="C121" s="10"/>
      <c r="D121" s="10"/>
      <c r="E121" s="10"/>
      <c r="F121" s="10"/>
      <c r="G121" s="10"/>
      <c r="H121" s="27"/>
      <c r="I121" s="28"/>
      <c r="J121" s="27"/>
      <c r="K121" s="28"/>
      <c r="L121" s="27"/>
      <c r="M121" s="28"/>
      <c r="N121" s="27"/>
      <c r="O121" s="28"/>
      <c r="P121" s="27"/>
      <c r="Q121" s="28"/>
      <c r="R121" s="9"/>
      <c r="S121" s="9"/>
      <c r="T121" s="9"/>
      <c r="U121" s="9"/>
      <c r="V121" s="27"/>
      <c r="W121" s="28"/>
      <c r="X121" s="27"/>
      <c r="Y121" s="28"/>
      <c r="Z121" s="27"/>
      <c r="AA121" s="28"/>
      <c r="AB121" s="27"/>
      <c r="AC121" s="28"/>
      <c r="AD121" s="27"/>
      <c r="AE121" s="28"/>
      <c r="AF121" s="9"/>
      <c r="AG121" s="9"/>
      <c r="AH121" s="9"/>
      <c r="AI121" s="9"/>
      <c r="AJ121" s="27"/>
      <c r="AK121" s="28"/>
      <c r="AL121" s="27"/>
      <c r="AM121" s="28"/>
      <c r="AN121" s="27"/>
      <c r="AO121" s="28"/>
      <c r="AP121" s="27"/>
      <c r="AQ121" s="28"/>
      <c r="AR121" s="27"/>
      <c r="AS121" s="28"/>
      <c r="AT121" s="9"/>
      <c r="AU121" s="9"/>
      <c r="AV121" s="9"/>
      <c r="AW121" s="9"/>
      <c r="AX121" s="27"/>
      <c r="AY121" s="28"/>
      <c r="AZ121" s="27"/>
      <c r="BA121" s="28"/>
      <c r="BB121" s="27"/>
      <c r="BC121" s="28"/>
      <c r="BD121" s="27"/>
      <c r="BE121" s="28"/>
      <c r="BF121" s="29">
        <f t="shared" si="2"/>
        <v>0</v>
      </c>
      <c r="BG121" s="30">
        <f t="shared" si="3"/>
        <v>0</v>
      </c>
    </row>
    <row r="122" spans="1:59" x14ac:dyDescent="0.25">
      <c r="A122" s="12">
        <f>'PPa2019'!D122</f>
        <v>0</v>
      </c>
      <c r="B122" s="12">
        <f>'PPa2019'!E122</f>
        <v>0</v>
      </c>
      <c r="C122" s="10"/>
      <c r="D122" s="10"/>
      <c r="E122" s="10"/>
      <c r="F122" s="10"/>
      <c r="G122" s="10"/>
      <c r="H122" s="27"/>
      <c r="I122" s="28"/>
      <c r="J122" s="27"/>
      <c r="K122" s="28"/>
      <c r="L122" s="27"/>
      <c r="M122" s="28"/>
      <c r="N122" s="27"/>
      <c r="O122" s="28"/>
      <c r="P122" s="27"/>
      <c r="Q122" s="28"/>
      <c r="R122" s="9"/>
      <c r="S122" s="9"/>
      <c r="T122" s="9"/>
      <c r="U122" s="9"/>
      <c r="V122" s="27"/>
      <c r="W122" s="28"/>
      <c r="X122" s="27"/>
      <c r="Y122" s="28"/>
      <c r="Z122" s="27"/>
      <c r="AA122" s="28"/>
      <c r="AB122" s="27"/>
      <c r="AC122" s="28"/>
      <c r="AD122" s="27"/>
      <c r="AE122" s="28"/>
      <c r="AF122" s="9"/>
      <c r="AG122" s="9"/>
      <c r="AH122" s="9"/>
      <c r="AI122" s="9"/>
      <c r="AJ122" s="27"/>
      <c r="AK122" s="28"/>
      <c r="AL122" s="27"/>
      <c r="AM122" s="28"/>
      <c r="AN122" s="27"/>
      <c r="AO122" s="28"/>
      <c r="AP122" s="27"/>
      <c r="AQ122" s="28"/>
      <c r="AR122" s="27"/>
      <c r="AS122" s="28"/>
      <c r="AT122" s="9"/>
      <c r="AU122" s="9"/>
      <c r="AV122" s="9"/>
      <c r="AW122" s="9"/>
      <c r="AX122" s="27"/>
      <c r="AY122" s="28"/>
      <c r="AZ122" s="27"/>
      <c r="BA122" s="28"/>
      <c r="BB122" s="27"/>
      <c r="BC122" s="28"/>
      <c r="BD122" s="27"/>
      <c r="BE122" s="28"/>
      <c r="BF122" s="29">
        <f t="shared" si="2"/>
        <v>0</v>
      </c>
      <c r="BG122" s="30">
        <f t="shared" si="3"/>
        <v>0</v>
      </c>
    </row>
    <row r="123" spans="1:59" x14ac:dyDescent="0.25">
      <c r="A123" s="12">
        <f>'PPa2019'!D123</f>
        <v>0</v>
      </c>
      <c r="B123" s="12">
        <f>'PPa2019'!E123</f>
        <v>0</v>
      </c>
      <c r="C123" s="10"/>
      <c r="D123" s="10"/>
      <c r="E123" s="10"/>
      <c r="F123" s="10"/>
      <c r="G123" s="10"/>
      <c r="H123" s="27"/>
      <c r="I123" s="28"/>
      <c r="J123" s="27"/>
      <c r="K123" s="28"/>
      <c r="L123" s="27"/>
      <c r="M123" s="28"/>
      <c r="N123" s="27"/>
      <c r="O123" s="28"/>
      <c r="P123" s="27"/>
      <c r="Q123" s="28"/>
      <c r="R123" s="9"/>
      <c r="S123" s="9"/>
      <c r="T123" s="9"/>
      <c r="U123" s="9"/>
      <c r="V123" s="27"/>
      <c r="W123" s="28"/>
      <c r="X123" s="27"/>
      <c r="Y123" s="28"/>
      <c r="Z123" s="27"/>
      <c r="AA123" s="28"/>
      <c r="AB123" s="27"/>
      <c r="AC123" s="28"/>
      <c r="AD123" s="27"/>
      <c r="AE123" s="28"/>
      <c r="AF123" s="9"/>
      <c r="AG123" s="9"/>
      <c r="AH123" s="9"/>
      <c r="AI123" s="9"/>
      <c r="AJ123" s="27"/>
      <c r="AK123" s="28"/>
      <c r="AL123" s="27"/>
      <c r="AM123" s="28"/>
      <c r="AN123" s="27"/>
      <c r="AO123" s="28"/>
      <c r="AP123" s="27"/>
      <c r="AQ123" s="28"/>
      <c r="AR123" s="27"/>
      <c r="AS123" s="28"/>
      <c r="AT123" s="9"/>
      <c r="AU123" s="9"/>
      <c r="AV123" s="9"/>
      <c r="AW123" s="9"/>
      <c r="AX123" s="27"/>
      <c r="AY123" s="28"/>
      <c r="AZ123" s="27"/>
      <c r="BA123" s="28"/>
      <c r="BB123" s="27"/>
      <c r="BC123" s="28"/>
      <c r="BD123" s="27"/>
      <c r="BE123" s="28"/>
      <c r="BF123" s="29">
        <f t="shared" si="2"/>
        <v>0</v>
      </c>
      <c r="BG123" s="30">
        <f t="shared" si="3"/>
        <v>0</v>
      </c>
    </row>
    <row r="124" spans="1:59" x14ac:dyDescent="0.25">
      <c r="A124" s="12">
        <f>'PPa2019'!D124</f>
        <v>0</v>
      </c>
      <c r="B124" s="12">
        <f>'PPa2019'!E124</f>
        <v>0</v>
      </c>
      <c r="C124" s="10"/>
      <c r="D124" s="10"/>
      <c r="E124" s="10"/>
      <c r="F124" s="10"/>
      <c r="G124" s="10"/>
      <c r="H124" s="27"/>
      <c r="I124" s="28"/>
      <c r="J124" s="27"/>
      <c r="K124" s="28"/>
      <c r="L124" s="27"/>
      <c r="M124" s="28"/>
      <c r="N124" s="27"/>
      <c r="O124" s="28"/>
      <c r="P124" s="27"/>
      <c r="Q124" s="28"/>
      <c r="R124" s="9"/>
      <c r="S124" s="9"/>
      <c r="T124" s="9"/>
      <c r="U124" s="9"/>
      <c r="V124" s="27"/>
      <c r="W124" s="28"/>
      <c r="X124" s="27"/>
      <c r="Y124" s="28"/>
      <c r="Z124" s="27"/>
      <c r="AA124" s="28"/>
      <c r="AB124" s="27"/>
      <c r="AC124" s="28"/>
      <c r="AD124" s="27"/>
      <c r="AE124" s="28"/>
      <c r="AF124" s="9"/>
      <c r="AG124" s="9"/>
      <c r="AH124" s="9"/>
      <c r="AI124" s="9"/>
      <c r="AJ124" s="27"/>
      <c r="AK124" s="28"/>
      <c r="AL124" s="27"/>
      <c r="AM124" s="28"/>
      <c r="AN124" s="27"/>
      <c r="AO124" s="28"/>
      <c r="AP124" s="27"/>
      <c r="AQ124" s="28"/>
      <c r="AR124" s="27"/>
      <c r="AS124" s="28"/>
      <c r="AT124" s="9"/>
      <c r="AU124" s="9"/>
      <c r="AV124" s="9"/>
      <c r="AW124" s="9"/>
      <c r="AX124" s="27"/>
      <c r="AY124" s="28"/>
      <c r="AZ124" s="27"/>
      <c r="BA124" s="28"/>
      <c r="BB124" s="27"/>
      <c r="BC124" s="28"/>
      <c r="BD124" s="27"/>
      <c r="BE124" s="28"/>
      <c r="BF124" s="29">
        <f t="shared" si="2"/>
        <v>0</v>
      </c>
      <c r="BG124" s="30">
        <f t="shared" si="3"/>
        <v>0</v>
      </c>
    </row>
    <row r="125" spans="1:59" x14ac:dyDescent="0.25">
      <c r="A125" s="12">
        <f>'PPa2019'!D125</f>
        <v>0</v>
      </c>
      <c r="B125" s="12">
        <f>'PPa2019'!E125</f>
        <v>0</v>
      </c>
      <c r="C125" s="10"/>
      <c r="D125" s="10"/>
      <c r="E125" s="10"/>
      <c r="F125" s="10"/>
      <c r="G125" s="10"/>
      <c r="H125" s="27"/>
      <c r="I125" s="28"/>
      <c r="J125" s="27"/>
      <c r="K125" s="28"/>
      <c r="L125" s="27"/>
      <c r="M125" s="28"/>
      <c r="N125" s="27"/>
      <c r="O125" s="28"/>
      <c r="P125" s="27"/>
      <c r="Q125" s="28"/>
      <c r="R125" s="9"/>
      <c r="S125" s="9"/>
      <c r="T125" s="9"/>
      <c r="U125" s="9"/>
      <c r="V125" s="27"/>
      <c r="W125" s="28"/>
      <c r="X125" s="27"/>
      <c r="Y125" s="28"/>
      <c r="Z125" s="27"/>
      <c r="AA125" s="28"/>
      <c r="AB125" s="27"/>
      <c r="AC125" s="28"/>
      <c r="AD125" s="27"/>
      <c r="AE125" s="28"/>
      <c r="AF125" s="9"/>
      <c r="AG125" s="9"/>
      <c r="AH125" s="9"/>
      <c r="AI125" s="9"/>
      <c r="AJ125" s="27"/>
      <c r="AK125" s="28"/>
      <c r="AL125" s="27"/>
      <c r="AM125" s="28"/>
      <c r="AN125" s="27"/>
      <c r="AO125" s="28"/>
      <c r="AP125" s="27"/>
      <c r="AQ125" s="28"/>
      <c r="AR125" s="27"/>
      <c r="AS125" s="28"/>
      <c r="AT125" s="9"/>
      <c r="AU125" s="9"/>
      <c r="AV125" s="9"/>
      <c r="AW125" s="9"/>
      <c r="AX125" s="27"/>
      <c r="AY125" s="28"/>
      <c r="AZ125" s="27"/>
      <c r="BA125" s="28"/>
      <c r="BB125" s="27"/>
      <c r="BC125" s="28"/>
      <c r="BD125" s="27"/>
      <c r="BE125" s="28"/>
      <c r="BF125" s="29">
        <f t="shared" si="2"/>
        <v>0</v>
      </c>
      <c r="BG125" s="30">
        <f t="shared" si="3"/>
        <v>0</v>
      </c>
    </row>
    <row r="126" spans="1:59" x14ac:dyDescent="0.25">
      <c r="A126" s="12">
        <f>'PPa2019'!D126</f>
        <v>0</v>
      </c>
      <c r="B126" s="12">
        <f>'PPa2019'!E126</f>
        <v>0</v>
      </c>
      <c r="C126" s="10"/>
      <c r="D126" s="10"/>
      <c r="E126" s="10"/>
      <c r="F126" s="10"/>
      <c r="G126" s="10"/>
      <c r="H126" s="27"/>
      <c r="I126" s="28"/>
      <c r="J126" s="27"/>
      <c r="K126" s="28"/>
      <c r="L126" s="27"/>
      <c r="M126" s="28"/>
      <c r="N126" s="27"/>
      <c r="O126" s="28"/>
      <c r="P126" s="27"/>
      <c r="Q126" s="28"/>
      <c r="R126" s="9"/>
      <c r="S126" s="9"/>
      <c r="T126" s="9"/>
      <c r="U126" s="9"/>
      <c r="V126" s="27"/>
      <c r="W126" s="28"/>
      <c r="X126" s="27"/>
      <c r="Y126" s="28"/>
      <c r="Z126" s="27"/>
      <c r="AA126" s="28"/>
      <c r="AB126" s="27"/>
      <c r="AC126" s="28"/>
      <c r="AD126" s="27"/>
      <c r="AE126" s="28"/>
      <c r="AF126" s="9"/>
      <c r="AG126" s="9"/>
      <c r="AH126" s="9"/>
      <c r="AI126" s="9"/>
      <c r="AJ126" s="27"/>
      <c r="AK126" s="28"/>
      <c r="AL126" s="27"/>
      <c r="AM126" s="28"/>
      <c r="AN126" s="27"/>
      <c r="AO126" s="28"/>
      <c r="AP126" s="27"/>
      <c r="AQ126" s="28"/>
      <c r="AR126" s="27"/>
      <c r="AS126" s="28"/>
      <c r="AT126" s="9"/>
      <c r="AU126" s="9"/>
      <c r="AV126" s="9"/>
      <c r="AW126" s="9"/>
      <c r="AX126" s="27"/>
      <c r="AY126" s="28"/>
      <c r="AZ126" s="27"/>
      <c r="BA126" s="28"/>
      <c r="BB126" s="27"/>
      <c r="BC126" s="28"/>
      <c r="BD126" s="27"/>
      <c r="BE126" s="28"/>
      <c r="BF126" s="29">
        <f t="shared" si="2"/>
        <v>0</v>
      </c>
      <c r="BG126" s="30">
        <f t="shared" si="3"/>
        <v>0</v>
      </c>
    </row>
    <row r="127" spans="1:59" x14ac:dyDescent="0.25">
      <c r="A127" s="12">
        <f>'PPa2019'!D127</f>
        <v>0</v>
      </c>
      <c r="B127" s="12">
        <f>'PPa2019'!E127</f>
        <v>0</v>
      </c>
      <c r="C127" s="10"/>
      <c r="D127" s="10"/>
      <c r="E127" s="10"/>
      <c r="F127" s="10"/>
      <c r="G127" s="10"/>
      <c r="H127" s="27"/>
      <c r="I127" s="28"/>
      <c r="J127" s="27"/>
      <c r="K127" s="28"/>
      <c r="L127" s="27"/>
      <c r="M127" s="28"/>
      <c r="N127" s="27"/>
      <c r="O127" s="28"/>
      <c r="P127" s="27"/>
      <c r="Q127" s="28"/>
      <c r="R127" s="9"/>
      <c r="S127" s="9"/>
      <c r="T127" s="9"/>
      <c r="U127" s="9"/>
      <c r="V127" s="27"/>
      <c r="W127" s="28"/>
      <c r="X127" s="27"/>
      <c r="Y127" s="28"/>
      <c r="Z127" s="27"/>
      <c r="AA127" s="28"/>
      <c r="AB127" s="27"/>
      <c r="AC127" s="28"/>
      <c r="AD127" s="27"/>
      <c r="AE127" s="28"/>
      <c r="AF127" s="9"/>
      <c r="AG127" s="9"/>
      <c r="AH127" s="9"/>
      <c r="AI127" s="9"/>
      <c r="AJ127" s="27"/>
      <c r="AK127" s="28"/>
      <c r="AL127" s="27"/>
      <c r="AM127" s="28"/>
      <c r="AN127" s="27"/>
      <c r="AO127" s="28"/>
      <c r="AP127" s="27"/>
      <c r="AQ127" s="28"/>
      <c r="AR127" s="27"/>
      <c r="AS127" s="28"/>
      <c r="AT127" s="9"/>
      <c r="AU127" s="9"/>
      <c r="AV127" s="9"/>
      <c r="AW127" s="9"/>
      <c r="AX127" s="27"/>
      <c r="AY127" s="28"/>
      <c r="AZ127" s="27"/>
      <c r="BA127" s="28"/>
      <c r="BB127" s="27"/>
      <c r="BC127" s="28"/>
      <c r="BD127" s="27"/>
      <c r="BE127" s="28"/>
      <c r="BF127" s="29">
        <f t="shared" si="2"/>
        <v>0</v>
      </c>
      <c r="BG127" s="30">
        <f t="shared" si="3"/>
        <v>0</v>
      </c>
    </row>
    <row r="128" spans="1:59" x14ac:dyDescent="0.25">
      <c r="A128" s="12">
        <f>'PPa2019'!D128</f>
        <v>0</v>
      </c>
      <c r="B128" s="12">
        <f>'PPa2019'!E128</f>
        <v>0</v>
      </c>
      <c r="C128" s="10"/>
      <c r="D128" s="10"/>
      <c r="E128" s="10"/>
      <c r="F128" s="10"/>
      <c r="G128" s="10"/>
      <c r="H128" s="27"/>
      <c r="I128" s="28"/>
      <c r="J128" s="27"/>
      <c r="K128" s="28"/>
      <c r="L128" s="27"/>
      <c r="M128" s="28"/>
      <c r="N128" s="27"/>
      <c r="O128" s="28"/>
      <c r="P128" s="27"/>
      <c r="Q128" s="28"/>
      <c r="R128" s="9"/>
      <c r="S128" s="9"/>
      <c r="T128" s="9"/>
      <c r="U128" s="9"/>
      <c r="V128" s="27"/>
      <c r="W128" s="28"/>
      <c r="X128" s="27"/>
      <c r="Y128" s="28"/>
      <c r="Z128" s="27"/>
      <c r="AA128" s="28"/>
      <c r="AB128" s="27"/>
      <c r="AC128" s="28"/>
      <c r="AD128" s="27"/>
      <c r="AE128" s="28"/>
      <c r="AF128" s="9"/>
      <c r="AG128" s="9"/>
      <c r="AH128" s="9"/>
      <c r="AI128" s="9"/>
      <c r="AJ128" s="27"/>
      <c r="AK128" s="28"/>
      <c r="AL128" s="27"/>
      <c r="AM128" s="28"/>
      <c r="AN128" s="27"/>
      <c r="AO128" s="28"/>
      <c r="AP128" s="27"/>
      <c r="AQ128" s="28"/>
      <c r="AR128" s="27"/>
      <c r="AS128" s="28"/>
      <c r="AT128" s="9"/>
      <c r="AU128" s="9"/>
      <c r="AV128" s="9"/>
      <c r="AW128" s="9"/>
      <c r="AX128" s="27"/>
      <c r="AY128" s="28"/>
      <c r="AZ128" s="27"/>
      <c r="BA128" s="28"/>
      <c r="BB128" s="27"/>
      <c r="BC128" s="28"/>
      <c r="BD128" s="27"/>
      <c r="BE128" s="28"/>
      <c r="BF128" s="29">
        <f t="shared" si="2"/>
        <v>0</v>
      </c>
      <c r="BG128" s="30">
        <f t="shared" si="3"/>
        <v>0</v>
      </c>
    </row>
    <row r="129" spans="1:59" x14ac:dyDescent="0.25">
      <c r="A129" s="12">
        <f>'PPa2019'!D129</f>
        <v>0</v>
      </c>
      <c r="B129" s="12">
        <f>'PPa2019'!E129</f>
        <v>0</v>
      </c>
      <c r="C129" s="10"/>
      <c r="D129" s="10"/>
      <c r="E129" s="10"/>
      <c r="F129" s="10"/>
      <c r="G129" s="10"/>
      <c r="H129" s="27"/>
      <c r="I129" s="28"/>
      <c r="J129" s="27"/>
      <c r="K129" s="28"/>
      <c r="L129" s="27"/>
      <c r="M129" s="28"/>
      <c r="N129" s="27"/>
      <c r="O129" s="28"/>
      <c r="P129" s="27"/>
      <c r="Q129" s="28"/>
      <c r="R129" s="9"/>
      <c r="S129" s="9"/>
      <c r="T129" s="9"/>
      <c r="U129" s="9"/>
      <c r="V129" s="27"/>
      <c r="W129" s="28"/>
      <c r="X129" s="27"/>
      <c r="Y129" s="28"/>
      <c r="Z129" s="27"/>
      <c r="AA129" s="28"/>
      <c r="AB129" s="27"/>
      <c r="AC129" s="28"/>
      <c r="AD129" s="27"/>
      <c r="AE129" s="28"/>
      <c r="AF129" s="9"/>
      <c r="AG129" s="9"/>
      <c r="AH129" s="9"/>
      <c r="AI129" s="9"/>
      <c r="AJ129" s="27"/>
      <c r="AK129" s="28"/>
      <c r="AL129" s="27"/>
      <c r="AM129" s="28"/>
      <c r="AN129" s="27"/>
      <c r="AO129" s="28"/>
      <c r="AP129" s="27"/>
      <c r="AQ129" s="28"/>
      <c r="AR129" s="27"/>
      <c r="AS129" s="28"/>
      <c r="AT129" s="9"/>
      <c r="AU129" s="9"/>
      <c r="AV129" s="9"/>
      <c r="AW129" s="9"/>
      <c r="AX129" s="27"/>
      <c r="AY129" s="28"/>
      <c r="AZ129" s="27"/>
      <c r="BA129" s="28"/>
      <c r="BB129" s="27"/>
      <c r="BC129" s="28"/>
      <c r="BD129" s="27"/>
      <c r="BE129" s="28"/>
      <c r="BF129" s="29">
        <f t="shared" si="2"/>
        <v>0</v>
      </c>
      <c r="BG129" s="30">
        <f t="shared" si="3"/>
        <v>0</v>
      </c>
    </row>
    <row r="130" spans="1:59" x14ac:dyDescent="0.25">
      <c r="A130" s="12">
        <f>'PPa2019'!D130</f>
        <v>0</v>
      </c>
      <c r="B130" s="12">
        <f>'PPa2019'!E130</f>
        <v>0</v>
      </c>
      <c r="C130" s="10"/>
      <c r="D130" s="10"/>
      <c r="E130" s="10"/>
      <c r="F130" s="10"/>
      <c r="G130" s="10"/>
      <c r="H130" s="27"/>
      <c r="I130" s="28"/>
      <c r="J130" s="27"/>
      <c r="K130" s="28"/>
      <c r="L130" s="27"/>
      <c r="M130" s="28"/>
      <c r="N130" s="27"/>
      <c r="O130" s="28"/>
      <c r="P130" s="27"/>
      <c r="Q130" s="28"/>
      <c r="R130" s="9"/>
      <c r="S130" s="9"/>
      <c r="T130" s="9"/>
      <c r="U130" s="9"/>
      <c r="V130" s="27"/>
      <c r="W130" s="28"/>
      <c r="X130" s="27"/>
      <c r="Y130" s="28"/>
      <c r="Z130" s="27"/>
      <c r="AA130" s="28"/>
      <c r="AB130" s="27"/>
      <c r="AC130" s="28"/>
      <c r="AD130" s="27"/>
      <c r="AE130" s="28"/>
      <c r="AF130" s="9"/>
      <c r="AG130" s="9"/>
      <c r="AH130" s="9"/>
      <c r="AI130" s="9"/>
      <c r="AJ130" s="27"/>
      <c r="AK130" s="28"/>
      <c r="AL130" s="27"/>
      <c r="AM130" s="28"/>
      <c r="AN130" s="27"/>
      <c r="AO130" s="28"/>
      <c r="AP130" s="27"/>
      <c r="AQ130" s="28"/>
      <c r="AR130" s="27"/>
      <c r="AS130" s="28"/>
      <c r="AT130" s="9"/>
      <c r="AU130" s="9"/>
      <c r="AV130" s="9"/>
      <c r="AW130" s="9"/>
      <c r="AX130" s="27"/>
      <c r="AY130" s="28"/>
      <c r="AZ130" s="27"/>
      <c r="BA130" s="28"/>
      <c r="BB130" s="27"/>
      <c r="BC130" s="28"/>
      <c r="BD130" s="27"/>
      <c r="BE130" s="28"/>
      <c r="BF130" s="29">
        <f t="shared" si="2"/>
        <v>0</v>
      </c>
      <c r="BG130" s="30">
        <f t="shared" si="3"/>
        <v>0</v>
      </c>
    </row>
    <row r="131" spans="1:59" x14ac:dyDescent="0.25">
      <c r="A131" s="12">
        <f>'PPa2019'!D131</f>
        <v>0</v>
      </c>
      <c r="B131" s="12">
        <f>'PPa2019'!E131</f>
        <v>0</v>
      </c>
      <c r="C131" s="10"/>
      <c r="D131" s="10"/>
      <c r="E131" s="10"/>
      <c r="F131" s="10"/>
      <c r="G131" s="10"/>
      <c r="H131" s="27"/>
      <c r="I131" s="28"/>
      <c r="J131" s="27"/>
      <c r="K131" s="28"/>
      <c r="L131" s="27"/>
      <c r="M131" s="28"/>
      <c r="N131" s="27"/>
      <c r="O131" s="28"/>
      <c r="P131" s="27"/>
      <c r="Q131" s="28"/>
      <c r="R131" s="9"/>
      <c r="S131" s="9"/>
      <c r="T131" s="9"/>
      <c r="U131" s="9"/>
      <c r="V131" s="27"/>
      <c r="W131" s="28"/>
      <c r="X131" s="27"/>
      <c r="Y131" s="28"/>
      <c r="Z131" s="27"/>
      <c r="AA131" s="28"/>
      <c r="AB131" s="27"/>
      <c r="AC131" s="28"/>
      <c r="AD131" s="27"/>
      <c r="AE131" s="28"/>
      <c r="AF131" s="9"/>
      <c r="AG131" s="9"/>
      <c r="AH131" s="9"/>
      <c r="AI131" s="9"/>
      <c r="AJ131" s="27"/>
      <c r="AK131" s="28"/>
      <c r="AL131" s="27"/>
      <c r="AM131" s="28"/>
      <c r="AN131" s="27"/>
      <c r="AO131" s="28"/>
      <c r="AP131" s="27"/>
      <c r="AQ131" s="28"/>
      <c r="AR131" s="27"/>
      <c r="AS131" s="28"/>
      <c r="AT131" s="9"/>
      <c r="AU131" s="9"/>
      <c r="AV131" s="9"/>
      <c r="AW131" s="9"/>
      <c r="AX131" s="27"/>
      <c r="AY131" s="28"/>
      <c r="AZ131" s="27"/>
      <c r="BA131" s="28"/>
      <c r="BB131" s="27"/>
      <c r="BC131" s="28"/>
      <c r="BD131" s="27"/>
      <c r="BE131" s="28"/>
      <c r="BF131" s="29">
        <f>$H131+$J131+$L131+$N131+$P131+$V131+$X131+$Z131+$AB131+$AD131+$AJ131+$AL131+$AN131+$AP131+$AR131+$AX131+$AZ131+$BB131+$BD131</f>
        <v>0</v>
      </c>
      <c r="BG131" s="30">
        <f>$I131+$K131+$M131+$O131+$Q131+$W131+$Y131+$AA131+$AC131+$AE131+$AK131+$AM131+$AO131+$AQ131+$AS131+$AY131+$BA131+$BC131+$BE131</f>
        <v>0</v>
      </c>
    </row>
  </sheetData>
  <mergeCells count="332">
    <mergeCell ref="H1:I1"/>
    <mergeCell ref="J1:K1"/>
    <mergeCell ref="L1:M1"/>
    <mergeCell ref="N1:O1"/>
    <mergeCell ref="P1:Q1"/>
    <mergeCell ref="R1:S1"/>
    <mergeCell ref="AF1:AG1"/>
    <mergeCell ref="AH1:AI1"/>
    <mergeCell ref="AJ1:AK1"/>
    <mergeCell ref="AL1:AM1"/>
    <mergeCell ref="AN1:AO1"/>
    <mergeCell ref="AP1:AQ1"/>
    <mergeCell ref="T1:U1"/>
    <mergeCell ref="V1:W1"/>
    <mergeCell ref="X1:Y1"/>
    <mergeCell ref="Z1:AA1"/>
    <mergeCell ref="AB1:AC1"/>
    <mergeCell ref="AD1:AE1"/>
    <mergeCell ref="BD1:BE1"/>
    <mergeCell ref="BF1:BG1"/>
    <mergeCell ref="BH1:BI1"/>
    <mergeCell ref="BJ1:BK1"/>
    <mergeCell ref="BL1:BM1"/>
    <mergeCell ref="BN1:BO1"/>
    <mergeCell ref="AR1:AS1"/>
    <mergeCell ref="AT1:AU1"/>
    <mergeCell ref="AV1:AW1"/>
    <mergeCell ref="AX1:AY1"/>
    <mergeCell ref="AZ1:BA1"/>
    <mergeCell ref="BB1:BC1"/>
    <mergeCell ref="CB1:CC1"/>
    <mergeCell ref="CD1:CE1"/>
    <mergeCell ref="CF1:CG1"/>
    <mergeCell ref="CH1:CI1"/>
    <mergeCell ref="CJ1:CK1"/>
    <mergeCell ref="CL1:CM1"/>
    <mergeCell ref="BP1:BQ1"/>
    <mergeCell ref="BR1:BS1"/>
    <mergeCell ref="BT1:BU1"/>
    <mergeCell ref="BV1:BW1"/>
    <mergeCell ref="BX1:BY1"/>
    <mergeCell ref="BZ1:CA1"/>
    <mergeCell ref="CZ1:DA1"/>
    <mergeCell ref="DB1:DC1"/>
    <mergeCell ref="DD1:DE1"/>
    <mergeCell ref="DF1:DG1"/>
    <mergeCell ref="DH1:DI1"/>
    <mergeCell ref="DJ1:DK1"/>
    <mergeCell ref="CN1:CO1"/>
    <mergeCell ref="CP1:CQ1"/>
    <mergeCell ref="CR1:CS1"/>
    <mergeCell ref="CT1:CU1"/>
    <mergeCell ref="CV1:CW1"/>
    <mergeCell ref="CX1:CY1"/>
    <mergeCell ref="DY1:DZ1"/>
    <mergeCell ref="EA1:EB1"/>
    <mergeCell ref="EC1:ED1"/>
    <mergeCell ref="EE1:EF1"/>
    <mergeCell ref="EG1:EH1"/>
    <mergeCell ref="EI1:EJ1"/>
    <mergeCell ref="DL1:DM1"/>
    <mergeCell ref="DN1:DO1"/>
    <mergeCell ref="DP1:DQ1"/>
    <mergeCell ref="DS1:DT1"/>
    <mergeCell ref="DU1:DV1"/>
    <mergeCell ref="DW1:DX1"/>
    <mergeCell ref="EW1:EX1"/>
    <mergeCell ref="EY1:EZ1"/>
    <mergeCell ref="FA1:FB1"/>
    <mergeCell ref="FC1:FD1"/>
    <mergeCell ref="FE1:FF1"/>
    <mergeCell ref="FG1:FH1"/>
    <mergeCell ref="EK1:EL1"/>
    <mergeCell ref="EM1:EN1"/>
    <mergeCell ref="EO1:EP1"/>
    <mergeCell ref="EQ1:ER1"/>
    <mergeCell ref="ES1:ET1"/>
    <mergeCell ref="EU1:EV1"/>
    <mergeCell ref="FU1:FV1"/>
    <mergeCell ref="FW1:FX1"/>
    <mergeCell ref="FY1:FZ1"/>
    <mergeCell ref="GB1:GC1"/>
    <mergeCell ref="GD1:GE1"/>
    <mergeCell ref="GF1:GG1"/>
    <mergeCell ref="FI1:FJ1"/>
    <mergeCell ref="FK1:FL1"/>
    <mergeCell ref="FM1:FN1"/>
    <mergeCell ref="FO1:FP1"/>
    <mergeCell ref="FQ1:FR1"/>
    <mergeCell ref="FS1:FT1"/>
    <mergeCell ref="GT1:GU1"/>
    <mergeCell ref="GV1:GW1"/>
    <mergeCell ref="GX1:GY1"/>
    <mergeCell ref="GZ1:HA1"/>
    <mergeCell ref="HB1:HC1"/>
    <mergeCell ref="HD1:HE1"/>
    <mergeCell ref="GH1:GI1"/>
    <mergeCell ref="GJ1:GK1"/>
    <mergeCell ref="GL1:GM1"/>
    <mergeCell ref="GN1:GO1"/>
    <mergeCell ref="GP1:GQ1"/>
    <mergeCell ref="GR1:GS1"/>
    <mergeCell ref="HR1:HS1"/>
    <mergeCell ref="HT1:HU1"/>
    <mergeCell ref="HV1:HW1"/>
    <mergeCell ref="HX1:HY1"/>
    <mergeCell ref="HZ1:IA1"/>
    <mergeCell ref="IB1:IC1"/>
    <mergeCell ref="HF1:HG1"/>
    <mergeCell ref="HH1:HI1"/>
    <mergeCell ref="HJ1:HK1"/>
    <mergeCell ref="HL1:HM1"/>
    <mergeCell ref="HN1:HO1"/>
    <mergeCell ref="HP1:HQ1"/>
    <mergeCell ref="IQ1:IR1"/>
    <mergeCell ref="IS1:IT1"/>
    <mergeCell ref="IU1:IV1"/>
    <mergeCell ref="IW1:IX1"/>
    <mergeCell ref="IY1:IZ1"/>
    <mergeCell ref="JA1:JB1"/>
    <mergeCell ref="ID1:IE1"/>
    <mergeCell ref="IF1:IG1"/>
    <mergeCell ref="IH1:II1"/>
    <mergeCell ref="IJ1:IK1"/>
    <mergeCell ref="IM1:IN1"/>
    <mergeCell ref="IO1:IP1"/>
    <mergeCell ref="JO1:JP1"/>
    <mergeCell ref="JQ1:JR1"/>
    <mergeCell ref="JS1:JT1"/>
    <mergeCell ref="JU1:JV1"/>
    <mergeCell ref="JW1:JX1"/>
    <mergeCell ref="JY1:JZ1"/>
    <mergeCell ref="JC1:JD1"/>
    <mergeCell ref="JE1:JF1"/>
    <mergeCell ref="JG1:JH1"/>
    <mergeCell ref="JI1:JJ1"/>
    <mergeCell ref="JK1:JL1"/>
    <mergeCell ref="JM1:JN1"/>
    <mergeCell ref="KM1:KN1"/>
    <mergeCell ref="KO1:KP1"/>
    <mergeCell ref="KQ1:KR1"/>
    <mergeCell ref="KS1:KT1"/>
    <mergeCell ref="KV1:KW1"/>
    <mergeCell ref="KX1:KY1"/>
    <mergeCell ref="KA1:KB1"/>
    <mergeCell ref="KC1:KD1"/>
    <mergeCell ref="KE1:KF1"/>
    <mergeCell ref="KG1:KH1"/>
    <mergeCell ref="KI1:KJ1"/>
    <mergeCell ref="KK1:KL1"/>
    <mergeCell ref="LL1:LM1"/>
    <mergeCell ref="LN1:LO1"/>
    <mergeCell ref="LP1:LQ1"/>
    <mergeCell ref="LR1:LS1"/>
    <mergeCell ref="LT1:LU1"/>
    <mergeCell ref="LV1:LW1"/>
    <mergeCell ref="KZ1:LA1"/>
    <mergeCell ref="LB1:LC1"/>
    <mergeCell ref="LD1:LE1"/>
    <mergeCell ref="LF1:LG1"/>
    <mergeCell ref="LH1:LI1"/>
    <mergeCell ref="LJ1:LK1"/>
    <mergeCell ref="MJ1:MK1"/>
    <mergeCell ref="ML1:MM1"/>
    <mergeCell ref="MN1:MO1"/>
    <mergeCell ref="MP1:MQ1"/>
    <mergeCell ref="MR1:MS1"/>
    <mergeCell ref="MT1:MU1"/>
    <mergeCell ref="LX1:LY1"/>
    <mergeCell ref="LZ1:MA1"/>
    <mergeCell ref="MB1:MC1"/>
    <mergeCell ref="MD1:ME1"/>
    <mergeCell ref="MF1:MG1"/>
    <mergeCell ref="MH1:MI1"/>
    <mergeCell ref="NI1:NJ1"/>
    <mergeCell ref="NK1:NL1"/>
    <mergeCell ref="NM1:NN1"/>
    <mergeCell ref="NO1:NP1"/>
    <mergeCell ref="NQ1:NR1"/>
    <mergeCell ref="NS1:NT1"/>
    <mergeCell ref="MV1:MW1"/>
    <mergeCell ref="MX1:MY1"/>
    <mergeCell ref="MZ1:NA1"/>
    <mergeCell ref="NB1:NC1"/>
    <mergeCell ref="ND1:NE1"/>
    <mergeCell ref="NG1:NH1"/>
    <mergeCell ref="OG1:OH1"/>
    <mergeCell ref="OI1:OJ1"/>
    <mergeCell ref="OK1:OL1"/>
    <mergeCell ref="OM1:ON1"/>
    <mergeCell ref="OO1:OP1"/>
    <mergeCell ref="OQ1:OR1"/>
    <mergeCell ref="NU1:NV1"/>
    <mergeCell ref="NW1:NX1"/>
    <mergeCell ref="NY1:NZ1"/>
    <mergeCell ref="OA1:OB1"/>
    <mergeCell ref="OC1:OD1"/>
    <mergeCell ref="OE1:OF1"/>
    <mergeCell ref="PE1:PF1"/>
    <mergeCell ref="PG1:PH1"/>
    <mergeCell ref="PI1:PJ1"/>
    <mergeCell ref="PK1:PL1"/>
    <mergeCell ref="PM1:PN1"/>
    <mergeCell ref="PO1:PP1"/>
    <mergeCell ref="OS1:OT1"/>
    <mergeCell ref="OU1:OV1"/>
    <mergeCell ref="OW1:OX1"/>
    <mergeCell ref="OY1:OZ1"/>
    <mergeCell ref="PA1:PB1"/>
    <mergeCell ref="PC1:PD1"/>
    <mergeCell ref="QD1:QE1"/>
    <mergeCell ref="QF1:QG1"/>
    <mergeCell ref="QH1:QI1"/>
    <mergeCell ref="QJ1:QK1"/>
    <mergeCell ref="QL1:QM1"/>
    <mergeCell ref="QN1:QO1"/>
    <mergeCell ref="PR1:PS1"/>
    <mergeCell ref="PT1:PU1"/>
    <mergeCell ref="PV1:PW1"/>
    <mergeCell ref="PX1:PY1"/>
    <mergeCell ref="PZ1:QA1"/>
    <mergeCell ref="QB1:QC1"/>
    <mergeCell ref="RB1:RC1"/>
    <mergeCell ref="RD1:RE1"/>
    <mergeCell ref="RF1:RG1"/>
    <mergeCell ref="RH1:RI1"/>
    <mergeCell ref="RJ1:RK1"/>
    <mergeCell ref="RL1:RM1"/>
    <mergeCell ref="QP1:QQ1"/>
    <mergeCell ref="QR1:QS1"/>
    <mergeCell ref="QT1:QU1"/>
    <mergeCell ref="QV1:QW1"/>
    <mergeCell ref="QX1:QY1"/>
    <mergeCell ref="QZ1:RA1"/>
    <mergeCell ref="SA1:SB1"/>
    <mergeCell ref="SC1:SD1"/>
    <mergeCell ref="SE1:SF1"/>
    <mergeCell ref="SG1:SH1"/>
    <mergeCell ref="SI1:SJ1"/>
    <mergeCell ref="SK1:SL1"/>
    <mergeCell ref="RN1:RO1"/>
    <mergeCell ref="RP1:RQ1"/>
    <mergeCell ref="RR1:RS1"/>
    <mergeCell ref="RT1:RU1"/>
    <mergeCell ref="RV1:RW1"/>
    <mergeCell ref="RX1:RY1"/>
    <mergeCell ref="SY1:SZ1"/>
    <mergeCell ref="TA1:TB1"/>
    <mergeCell ref="TC1:TD1"/>
    <mergeCell ref="TE1:TF1"/>
    <mergeCell ref="TG1:TH1"/>
    <mergeCell ref="TI1:TJ1"/>
    <mergeCell ref="SM1:SN1"/>
    <mergeCell ref="SO1:SP1"/>
    <mergeCell ref="SQ1:SR1"/>
    <mergeCell ref="SS1:ST1"/>
    <mergeCell ref="SU1:SV1"/>
    <mergeCell ref="SW1:SX1"/>
    <mergeCell ref="TW1:TX1"/>
    <mergeCell ref="TY1:TZ1"/>
    <mergeCell ref="UA1:UB1"/>
    <mergeCell ref="UC1:UD1"/>
    <mergeCell ref="UE1:UF1"/>
    <mergeCell ref="UG1:UH1"/>
    <mergeCell ref="TK1:TL1"/>
    <mergeCell ref="TM1:TN1"/>
    <mergeCell ref="TO1:TP1"/>
    <mergeCell ref="TQ1:TR1"/>
    <mergeCell ref="TS1:TT1"/>
    <mergeCell ref="TU1:TV1"/>
    <mergeCell ref="UV1:UW1"/>
    <mergeCell ref="UX1:UY1"/>
    <mergeCell ref="UZ1:VA1"/>
    <mergeCell ref="VB1:VC1"/>
    <mergeCell ref="VD1:VE1"/>
    <mergeCell ref="VF1:VG1"/>
    <mergeCell ref="UI1:UJ1"/>
    <mergeCell ref="UL1:UM1"/>
    <mergeCell ref="UN1:UO1"/>
    <mergeCell ref="UP1:UQ1"/>
    <mergeCell ref="UR1:US1"/>
    <mergeCell ref="UT1:UU1"/>
    <mergeCell ref="VT1:VU1"/>
    <mergeCell ref="VV1:VW1"/>
    <mergeCell ref="VX1:VY1"/>
    <mergeCell ref="VZ1:WA1"/>
    <mergeCell ref="WB1:WC1"/>
    <mergeCell ref="WD1:WE1"/>
    <mergeCell ref="VH1:VI1"/>
    <mergeCell ref="VJ1:VK1"/>
    <mergeCell ref="VL1:VM1"/>
    <mergeCell ref="VN1:VO1"/>
    <mergeCell ref="VP1:VQ1"/>
    <mergeCell ref="VR1:VS1"/>
    <mergeCell ref="WR1:WS1"/>
    <mergeCell ref="WU1:WV1"/>
    <mergeCell ref="WW1:WX1"/>
    <mergeCell ref="WY1:WZ1"/>
    <mergeCell ref="XA1:XB1"/>
    <mergeCell ref="XC1:XD1"/>
    <mergeCell ref="WF1:WG1"/>
    <mergeCell ref="WH1:WI1"/>
    <mergeCell ref="WJ1:WK1"/>
    <mergeCell ref="WL1:WM1"/>
    <mergeCell ref="WN1:WO1"/>
    <mergeCell ref="WP1:WQ1"/>
    <mergeCell ref="XQ1:XR1"/>
    <mergeCell ref="XS1:XT1"/>
    <mergeCell ref="XU1:XV1"/>
    <mergeCell ref="XW1:XX1"/>
    <mergeCell ref="XY1:XZ1"/>
    <mergeCell ref="YA1:YB1"/>
    <mergeCell ref="XE1:XF1"/>
    <mergeCell ref="XG1:XH1"/>
    <mergeCell ref="XI1:XJ1"/>
    <mergeCell ref="XK1:XL1"/>
    <mergeCell ref="XM1:XN1"/>
    <mergeCell ref="XO1:XP1"/>
    <mergeCell ref="ZA1:ZB1"/>
    <mergeCell ref="ZC1:ZD1"/>
    <mergeCell ref="YO1:YP1"/>
    <mergeCell ref="YQ1:YR1"/>
    <mergeCell ref="YS1:YT1"/>
    <mergeCell ref="YU1:YV1"/>
    <mergeCell ref="YW1:YX1"/>
    <mergeCell ref="YY1:YZ1"/>
    <mergeCell ref="YC1:YD1"/>
    <mergeCell ref="YE1:YF1"/>
    <mergeCell ref="YG1:YH1"/>
    <mergeCell ref="YI1:YJ1"/>
    <mergeCell ref="YK1:YL1"/>
    <mergeCell ref="YM1:YN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Z46"/>
  <sheetViews>
    <sheetView showGridLines="0" tabSelected="1" view="pageBreakPreview" zoomScale="70" zoomScaleNormal="55" zoomScaleSheetLayoutView="70" workbookViewId="0">
      <selection activeCell="I6" sqref="I6:L6"/>
    </sheetView>
  </sheetViews>
  <sheetFormatPr baseColWidth="10" defaultRowHeight="15" x14ac:dyDescent="0.25"/>
  <cols>
    <col min="1" max="1" width="28.140625" customWidth="1"/>
    <col min="2" max="2" width="10.140625" customWidth="1"/>
    <col min="3" max="11" width="7.85546875" customWidth="1"/>
    <col min="12" max="12" width="28.42578125" customWidth="1"/>
    <col min="13" max="14" width="1.5703125" customWidth="1"/>
    <col min="15" max="15" width="28.140625" customWidth="1"/>
    <col min="16" max="16" width="10.140625" customWidth="1"/>
    <col min="17" max="25" width="7.85546875" customWidth="1"/>
    <col min="26" max="26" width="28.42578125" customWidth="1"/>
    <col min="27" max="27" width="0.7109375" customWidth="1"/>
  </cols>
  <sheetData>
    <row r="1" spans="1:26" ht="5.25" customHeight="1" thickBot="1" x14ac:dyDescent="0.3"/>
    <row r="2" spans="1:26" ht="20.25" thickTop="1" thickBot="1" x14ac:dyDescent="0.3">
      <c r="L2" s="135">
        <v>1</v>
      </c>
      <c r="Z2" s="257"/>
    </row>
    <row r="3" spans="1:26" ht="5.25" customHeight="1" thickTop="1" x14ac:dyDescent="0.25">
      <c r="L3" s="257"/>
      <c r="Z3" s="257"/>
    </row>
    <row r="4" spans="1:26" ht="15.75" thickBot="1" x14ac:dyDescent="0.3">
      <c r="A4" s="125"/>
      <c r="O4" s="125"/>
    </row>
    <row r="5" spans="1:26" ht="22.5" customHeight="1" thickBot="1" x14ac:dyDescent="0.3">
      <c r="A5" s="132" t="s">
        <v>263</v>
      </c>
      <c r="B5" s="316" t="s">
        <v>264</v>
      </c>
      <c r="C5" s="317"/>
      <c r="D5" s="317"/>
      <c r="E5" s="317"/>
      <c r="G5" s="320" t="s">
        <v>21</v>
      </c>
      <c r="H5" s="321"/>
      <c r="I5" s="307" t="str">
        <f>IF(VLOOKUP($L$2,'PPa2019'!$A$1:$AP$201,4,0)="","",VLOOKUP($L$2,'PPa2019'!$A$1:$AP$201,4,0))</f>
        <v>mmm</v>
      </c>
      <c r="J5" s="308"/>
      <c r="K5" s="308"/>
      <c r="L5" s="308"/>
      <c r="O5" s="132" t="s">
        <v>263</v>
      </c>
      <c r="P5" s="316" t="s">
        <v>264</v>
      </c>
      <c r="Q5" s="317"/>
      <c r="R5" s="317"/>
      <c r="S5" s="317"/>
      <c r="U5" s="320" t="s">
        <v>21</v>
      </c>
      <c r="V5" s="321"/>
      <c r="W5" s="307" t="str">
        <f>IF(VLOOKUP($L$2,'PPa2019'!$A$1:$AP$201,4,0)="","",VLOOKUP($L$2,'PPa2019'!$A$1:$AP$201,4,0))</f>
        <v>mmm</v>
      </c>
      <c r="X5" s="308"/>
      <c r="Y5" s="308"/>
      <c r="Z5" s="308"/>
    </row>
    <row r="6" spans="1:26" ht="22.5" customHeight="1" thickBot="1" x14ac:dyDescent="0.3">
      <c r="A6" s="133" t="s">
        <v>265</v>
      </c>
      <c r="B6" s="309" t="s">
        <v>251</v>
      </c>
      <c r="C6" s="310"/>
      <c r="D6" s="310"/>
      <c r="E6" s="310"/>
      <c r="G6" s="322" t="s">
        <v>22</v>
      </c>
      <c r="H6" s="323"/>
      <c r="I6" s="309" t="str">
        <f>IF(VLOOKUP($L$2,'PPa2019'!$A$1:$AP$201,5,0)="","",VLOOKUP($L$2,'PPa2019'!$A$1:$AP$201,5,0))</f>
        <v>mm</v>
      </c>
      <c r="J6" s="310"/>
      <c r="K6" s="310"/>
      <c r="L6" s="310"/>
      <c r="O6" s="133" t="s">
        <v>265</v>
      </c>
      <c r="P6" s="309" t="s">
        <v>251</v>
      </c>
      <c r="Q6" s="310"/>
      <c r="R6" s="310"/>
      <c r="S6" s="310"/>
      <c r="U6" s="322" t="s">
        <v>22</v>
      </c>
      <c r="V6" s="323"/>
      <c r="W6" s="309" t="str">
        <f>IF(VLOOKUP($L$2,'PPa2019'!$A$1:$AP$201,5,0)="","",VLOOKUP($L$2,'PPa2019'!$A$1:$AP$201,5,0))</f>
        <v>mm</v>
      </c>
      <c r="X6" s="310"/>
      <c r="Y6" s="310"/>
      <c r="Z6" s="310"/>
    </row>
    <row r="7" spans="1:26" ht="22.5" customHeight="1" thickBot="1" x14ac:dyDescent="0.3">
      <c r="A7" s="133" t="s">
        <v>266</v>
      </c>
      <c r="B7" s="318" t="str">
        <f>VLOOKUP(FEC!$B$9,Feuil1!$A$1:$C$5,3,0)</f>
        <v>2018-90563-00</v>
      </c>
      <c r="C7" s="319"/>
      <c r="D7" s="319"/>
      <c r="E7" s="319"/>
      <c r="G7" s="324" t="s">
        <v>267</v>
      </c>
      <c r="H7" s="325"/>
      <c r="I7" s="311" t="str">
        <f>IF(VLOOKUP($L$2,'PPa2019'!$A$1:$AP$201,42,0)="","",VLOOKUP($L$2,'PPa2019'!$A$1:$AP$201,42,0))</f>
        <v/>
      </c>
      <c r="J7" s="312"/>
      <c r="K7" s="312"/>
      <c r="L7" s="312"/>
      <c r="O7" s="133" t="s">
        <v>266</v>
      </c>
      <c r="P7" s="318" t="str">
        <f>VLOOKUP(FEC!$B$9,Feuil1!$A$1:$C$5,3,0)</f>
        <v>2018-90563-00</v>
      </c>
      <c r="Q7" s="319"/>
      <c r="R7" s="319"/>
      <c r="S7" s="319"/>
      <c r="U7" s="324" t="s">
        <v>267</v>
      </c>
      <c r="V7" s="325"/>
      <c r="W7" s="311" t="str">
        <f>IF(VLOOKUP($L$2,'PPa2019'!$A$1:$AP$201,42,0)="","",VLOOKUP($L$2,'PPa2019'!$A$1:$AP$201,42,0))</f>
        <v/>
      </c>
      <c r="X7" s="312"/>
      <c r="Y7" s="312"/>
      <c r="Z7" s="312"/>
    </row>
    <row r="8" spans="1:26" ht="22.5" customHeight="1" thickBot="1" x14ac:dyDescent="0.3">
      <c r="A8" s="133" t="s">
        <v>268</v>
      </c>
      <c r="B8" s="318" t="str">
        <f>VLOOKUP($D$10,Feuil1!$B$7:$C$10,2,0)</f>
        <v>01/01/2019 - 31/12/2019</v>
      </c>
      <c r="C8" s="319"/>
      <c r="D8" s="319"/>
      <c r="E8" s="319"/>
      <c r="F8" s="130"/>
      <c r="G8" s="313" t="s">
        <v>275</v>
      </c>
      <c r="H8" s="314"/>
      <c r="I8" s="314"/>
      <c r="J8" s="314"/>
      <c r="K8" s="314"/>
      <c r="L8" s="314"/>
      <c r="O8" s="133" t="s">
        <v>268</v>
      </c>
      <c r="P8" s="318" t="str">
        <f>VLOOKUP($D$10,Feuil1!$B$7:$C$10,2,0)</f>
        <v>01/01/2019 - 31/12/2019</v>
      </c>
      <c r="Q8" s="319"/>
      <c r="R8" s="319"/>
      <c r="S8" s="319"/>
      <c r="T8" s="130"/>
      <c r="U8" s="313" t="s">
        <v>275</v>
      </c>
      <c r="V8" s="314"/>
      <c r="W8" s="314"/>
      <c r="X8" s="314"/>
      <c r="Y8" s="314"/>
      <c r="Z8" s="314"/>
    </row>
    <row r="9" spans="1:26" ht="22.5" customHeight="1" thickBot="1" x14ac:dyDescent="0.3">
      <c r="A9" s="133" t="s">
        <v>270</v>
      </c>
      <c r="B9" s="318" t="s">
        <v>278</v>
      </c>
      <c r="C9" s="319"/>
      <c r="D9" s="319"/>
      <c r="E9" s="319"/>
      <c r="G9" s="315" t="s">
        <v>343</v>
      </c>
      <c r="H9" s="314"/>
      <c r="I9" s="314"/>
      <c r="J9" s="314"/>
      <c r="K9" s="314"/>
      <c r="L9" s="314"/>
      <c r="O9" s="133" t="s">
        <v>270</v>
      </c>
      <c r="P9" s="318" t="s">
        <v>278</v>
      </c>
      <c r="Q9" s="319"/>
      <c r="R9" s="319"/>
      <c r="S9" s="319"/>
      <c r="U9" s="315" t="s">
        <v>343</v>
      </c>
      <c r="V9" s="314"/>
      <c r="W9" s="314"/>
      <c r="X9" s="314"/>
      <c r="Y9" s="314"/>
      <c r="Z9" s="314"/>
    </row>
    <row r="10" spans="1:26" ht="22.5" customHeight="1" thickBot="1" x14ac:dyDescent="0.3">
      <c r="A10" s="133" t="s">
        <v>272</v>
      </c>
      <c r="B10" s="333" t="s">
        <v>78</v>
      </c>
      <c r="C10" s="334"/>
      <c r="D10" s="306">
        <v>2019</v>
      </c>
      <c r="E10" s="306"/>
      <c r="G10" s="128"/>
      <c r="H10" s="129"/>
      <c r="I10" s="126"/>
      <c r="O10" s="133" t="s">
        <v>272</v>
      </c>
      <c r="P10" s="330" t="str">
        <f>B10</f>
        <v>Mai</v>
      </c>
      <c r="Q10" s="331"/>
      <c r="R10" s="332">
        <f>D10</f>
        <v>2019</v>
      </c>
      <c r="S10" s="332"/>
      <c r="U10" s="128"/>
      <c r="V10" s="129"/>
      <c r="W10" s="126"/>
    </row>
    <row r="11" spans="1:26" ht="7.5" customHeight="1" x14ac:dyDescent="0.25">
      <c r="A11" s="127"/>
      <c r="B11" s="127"/>
      <c r="C11" s="127"/>
      <c r="D11" s="127"/>
      <c r="E11" s="127"/>
      <c r="F11" s="127"/>
      <c r="G11" s="127"/>
      <c r="H11" s="127"/>
      <c r="O11" s="127"/>
      <c r="P11" s="127"/>
      <c r="Q11" s="127"/>
      <c r="R11" s="127"/>
      <c r="S11" s="127"/>
      <c r="T11" s="127"/>
      <c r="U11" s="127"/>
      <c r="V11" s="127"/>
    </row>
    <row r="12" spans="1:26" ht="7.5" customHeight="1" x14ac:dyDescent="0.25">
      <c r="A12" s="125"/>
      <c r="O12" s="125"/>
    </row>
    <row r="13" spans="1:26" x14ac:dyDescent="0.25">
      <c r="A13" s="329" t="s">
        <v>373</v>
      </c>
      <c r="B13" s="329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O13" s="329" t="s">
        <v>373</v>
      </c>
      <c r="P13" s="329"/>
      <c r="Q13" s="329"/>
      <c r="R13" s="329"/>
      <c r="S13" s="329"/>
      <c r="T13" s="329"/>
      <c r="U13" s="329"/>
      <c r="V13" s="329"/>
      <c r="W13" s="329"/>
      <c r="X13" s="329"/>
      <c r="Y13" s="329"/>
      <c r="Z13" s="329"/>
    </row>
    <row r="14" spans="1:26" ht="8.25" customHeight="1" x14ac:dyDescent="0.25"/>
    <row r="15" spans="1:26" ht="20.100000000000001" customHeight="1" x14ac:dyDescent="0.25">
      <c r="A15" s="276" t="s">
        <v>273</v>
      </c>
      <c r="B15" s="131"/>
      <c r="C15" s="276" t="s">
        <v>188</v>
      </c>
      <c r="D15" s="276" t="s">
        <v>1</v>
      </c>
      <c r="E15" s="276" t="s">
        <v>2</v>
      </c>
      <c r="F15" s="276" t="s">
        <v>3</v>
      </c>
      <c r="G15" s="276" t="s">
        <v>4</v>
      </c>
      <c r="H15" s="276" t="s">
        <v>5</v>
      </c>
      <c r="I15" s="276" t="s">
        <v>6</v>
      </c>
      <c r="J15" s="276" t="s">
        <v>7</v>
      </c>
      <c r="K15" s="276" t="s">
        <v>8</v>
      </c>
      <c r="L15" s="276" t="s">
        <v>274</v>
      </c>
      <c r="O15" s="276" t="s">
        <v>273</v>
      </c>
      <c r="P15" s="131"/>
      <c r="Q15" s="276" t="s">
        <v>188</v>
      </c>
      <c r="R15" s="276" t="s">
        <v>1</v>
      </c>
      <c r="S15" s="276" t="s">
        <v>2</v>
      </c>
      <c r="T15" s="276" t="s">
        <v>3</v>
      </c>
      <c r="U15" s="276" t="s">
        <v>4</v>
      </c>
      <c r="V15" s="276" t="s">
        <v>5</v>
      </c>
      <c r="W15" s="276" t="s">
        <v>6</v>
      </c>
      <c r="X15" s="276" t="s">
        <v>7</v>
      </c>
      <c r="Y15" s="276" t="s">
        <v>8</v>
      </c>
      <c r="Z15" s="276" t="s">
        <v>274</v>
      </c>
    </row>
    <row r="16" spans="1:26" ht="31.5" customHeight="1" x14ac:dyDescent="0.25">
      <c r="A16" s="269"/>
      <c r="B16" s="277" t="s">
        <v>316</v>
      </c>
      <c r="C16" s="254"/>
      <c r="D16" s="254"/>
      <c r="E16" s="254"/>
      <c r="F16" s="254"/>
      <c r="G16" s="254"/>
      <c r="H16" s="254"/>
      <c r="I16" s="254"/>
      <c r="J16" s="254"/>
      <c r="K16" s="254"/>
      <c r="L16" s="255"/>
      <c r="O16" s="269"/>
      <c r="P16" s="277" t="s">
        <v>316</v>
      </c>
      <c r="Q16" s="254"/>
      <c r="R16" s="254"/>
      <c r="S16" s="254"/>
      <c r="T16" s="254"/>
      <c r="U16" s="254"/>
      <c r="V16" s="254"/>
      <c r="W16" s="254"/>
      <c r="X16" s="254"/>
      <c r="Y16" s="254"/>
      <c r="Z16" s="255"/>
    </row>
    <row r="17" spans="1:26" ht="32.1" customHeight="1" x14ac:dyDescent="0.25">
      <c r="A17" s="270"/>
      <c r="B17" s="277" t="s">
        <v>317</v>
      </c>
      <c r="C17" s="254"/>
      <c r="D17" s="254"/>
      <c r="E17" s="254"/>
      <c r="F17" s="254"/>
      <c r="G17" s="254"/>
      <c r="H17" s="254"/>
      <c r="I17" s="254"/>
      <c r="J17" s="254"/>
      <c r="K17" s="254"/>
      <c r="L17" s="256"/>
      <c r="O17" s="270"/>
      <c r="P17" s="277" t="s">
        <v>317</v>
      </c>
      <c r="Q17" s="254"/>
      <c r="R17" s="254"/>
      <c r="S17" s="254"/>
      <c r="T17" s="254"/>
      <c r="U17" s="254"/>
      <c r="V17" s="254"/>
      <c r="W17" s="254"/>
      <c r="X17" s="254"/>
      <c r="Y17" s="254"/>
      <c r="Z17" s="256"/>
    </row>
    <row r="18" spans="1:26" ht="32.1" customHeight="1" x14ac:dyDescent="0.25">
      <c r="A18" s="284"/>
      <c r="B18" s="285" t="s">
        <v>316</v>
      </c>
      <c r="C18" s="286"/>
      <c r="D18" s="286"/>
      <c r="E18" s="286"/>
      <c r="F18" s="286"/>
      <c r="G18" s="286"/>
      <c r="H18" s="286"/>
      <c r="I18" s="286"/>
      <c r="J18" s="286"/>
      <c r="K18" s="286"/>
      <c r="L18" s="284"/>
      <c r="O18" s="284"/>
      <c r="P18" s="285" t="s">
        <v>316</v>
      </c>
      <c r="Q18" s="286"/>
      <c r="R18" s="286"/>
      <c r="S18" s="286"/>
      <c r="T18" s="286"/>
      <c r="U18" s="286"/>
      <c r="V18" s="286"/>
      <c r="W18" s="286"/>
      <c r="X18" s="286"/>
      <c r="Y18" s="286"/>
      <c r="Z18" s="284"/>
    </row>
    <row r="19" spans="1:26" ht="32.1" customHeight="1" x14ac:dyDescent="0.25">
      <c r="A19" s="287"/>
      <c r="B19" s="285" t="s">
        <v>317</v>
      </c>
      <c r="C19" s="286"/>
      <c r="D19" s="286"/>
      <c r="E19" s="286"/>
      <c r="F19" s="286"/>
      <c r="G19" s="286"/>
      <c r="H19" s="286"/>
      <c r="I19" s="286"/>
      <c r="J19" s="286"/>
      <c r="K19" s="286"/>
      <c r="L19" s="287"/>
      <c r="O19" s="287"/>
      <c r="P19" s="285" t="s">
        <v>317</v>
      </c>
      <c r="Q19" s="286"/>
      <c r="R19" s="286"/>
      <c r="S19" s="286"/>
      <c r="T19" s="286"/>
      <c r="U19" s="286"/>
      <c r="V19" s="286"/>
      <c r="W19" s="286"/>
      <c r="X19" s="286"/>
      <c r="Y19" s="286"/>
      <c r="Z19" s="287"/>
    </row>
    <row r="20" spans="1:26" ht="32.1" customHeight="1" x14ac:dyDescent="0.25">
      <c r="A20" s="255"/>
      <c r="B20" s="277" t="s">
        <v>316</v>
      </c>
      <c r="C20" s="254"/>
      <c r="D20" s="254"/>
      <c r="E20" s="254"/>
      <c r="F20" s="254"/>
      <c r="G20" s="254"/>
      <c r="H20" s="254"/>
      <c r="I20" s="254"/>
      <c r="J20" s="254"/>
      <c r="K20" s="254"/>
      <c r="L20" s="255"/>
      <c r="O20" s="255"/>
      <c r="P20" s="277" t="s">
        <v>316</v>
      </c>
      <c r="Q20" s="254"/>
      <c r="R20" s="254"/>
      <c r="S20" s="254"/>
      <c r="T20" s="254"/>
      <c r="U20" s="254"/>
      <c r="V20" s="254"/>
      <c r="W20" s="254"/>
      <c r="X20" s="254"/>
      <c r="Y20" s="254"/>
      <c r="Z20" s="255"/>
    </row>
    <row r="21" spans="1:26" ht="32.1" customHeight="1" x14ac:dyDescent="0.25">
      <c r="A21" s="256"/>
      <c r="B21" s="277" t="s">
        <v>317</v>
      </c>
      <c r="C21" s="254"/>
      <c r="D21" s="254"/>
      <c r="E21" s="254"/>
      <c r="F21" s="254"/>
      <c r="G21" s="254"/>
      <c r="H21" s="254"/>
      <c r="I21" s="254"/>
      <c r="J21" s="254"/>
      <c r="K21" s="254"/>
      <c r="L21" s="256"/>
      <c r="O21" s="256"/>
      <c r="P21" s="277" t="s">
        <v>317</v>
      </c>
      <c r="Q21" s="254"/>
      <c r="R21" s="254"/>
      <c r="S21" s="254"/>
      <c r="T21" s="254"/>
      <c r="U21" s="254"/>
      <c r="V21" s="254"/>
      <c r="W21" s="254"/>
      <c r="X21" s="254"/>
      <c r="Y21" s="254"/>
      <c r="Z21" s="256"/>
    </row>
    <row r="22" spans="1:26" ht="32.1" customHeight="1" x14ac:dyDescent="0.25">
      <c r="A22" s="284"/>
      <c r="B22" s="285" t="s">
        <v>316</v>
      </c>
      <c r="C22" s="286"/>
      <c r="D22" s="286"/>
      <c r="E22" s="286"/>
      <c r="F22" s="286"/>
      <c r="G22" s="286"/>
      <c r="H22" s="286"/>
      <c r="I22" s="286"/>
      <c r="J22" s="286"/>
      <c r="K22" s="286"/>
      <c r="L22" s="284"/>
      <c r="O22" s="284"/>
      <c r="P22" s="285" t="s">
        <v>316</v>
      </c>
      <c r="Q22" s="286"/>
      <c r="R22" s="286"/>
      <c r="S22" s="286"/>
      <c r="T22" s="286"/>
      <c r="U22" s="286"/>
      <c r="V22" s="286"/>
      <c r="W22" s="286"/>
      <c r="X22" s="286"/>
      <c r="Y22" s="286"/>
      <c r="Z22" s="284"/>
    </row>
    <row r="23" spans="1:26" ht="32.1" customHeight="1" x14ac:dyDescent="0.25">
      <c r="A23" s="287"/>
      <c r="B23" s="285" t="s">
        <v>317</v>
      </c>
      <c r="C23" s="286"/>
      <c r="D23" s="286"/>
      <c r="E23" s="286"/>
      <c r="F23" s="286"/>
      <c r="G23" s="286"/>
      <c r="H23" s="286"/>
      <c r="I23" s="286"/>
      <c r="J23" s="286"/>
      <c r="K23" s="286"/>
      <c r="L23" s="287"/>
      <c r="O23" s="287"/>
      <c r="P23" s="285" t="s">
        <v>317</v>
      </c>
      <c r="Q23" s="286"/>
      <c r="R23" s="286"/>
      <c r="S23" s="286"/>
      <c r="T23" s="286"/>
      <c r="U23" s="286"/>
      <c r="V23" s="286"/>
      <c r="W23" s="286"/>
      <c r="X23" s="286"/>
      <c r="Y23" s="286"/>
      <c r="Z23" s="287"/>
    </row>
    <row r="24" spans="1:26" ht="32.1" customHeight="1" x14ac:dyDescent="0.25">
      <c r="A24" s="255"/>
      <c r="B24" s="277" t="s">
        <v>316</v>
      </c>
      <c r="C24" s="254"/>
      <c r="D24" s="254"/>
      <c r="E24" s="254"/>
      <c r="F24" s="254"/>
      <c r="G24" s="254"/>
      <c r="H24" s="254"/>
      <c r="I24" s="254"/>
      <c r="J24" s="254"/>
      <c r="K24" s="254"/>
      <c r="L24" s="255"/>
      <c r="O24" s="255"/>
      <c r="P24" s="277" t="s">
        <v>316</v>
      </c>
      <c r="Q24" s="254"/>
      <c r="R24" s="254"/>
      <c r="S24" s="254"/>
      <c r="T24" s="254"/>
      <c r="U24" s="254"/>
      <c r="V24" s="254"/>
      <c r="W24" s="254"/>
      <c r="X24" s="254"/>
      <c r="Y24" s="254"/>
      <c r="Z24" s="255"/>
    </row>
    <row r="25" spans="1:26" ht="32.1" customHeight="1" x14ac:dyDescent="0.25">
      <c r="A25" s="256"/>
      <c r="B25" s="277" t="s">
        <v>317</v>
      </c>
      <c r="C25" s="254"/>
      <c r="D25" s="254"/>
      <c r="E25" s="254"/>
      <c r="F25" s="254"/>
      <c r="G25" s="254"/>
      <c r="H25" s="254"/>
      <c r="I25" s="254"/>
      <c r="J25" s="254"/>
      <c r="K25" s="254"/>
      <c r="L25" s="256"/>
      <c r="O25" s="256"/>
      <c r="P25" s="277" t="s">
        <v>317</v>
      </c>
      <c r="Q25" s="254"/>
      <c r="R25" s="254"/>
      <c r="S25" s="254"/>
      <c r="T25" s="254"/>
      <c r="U25" s="254"/>
      <c r="V25" s="254"/>
      <c r="W25" s="254"/>
      <c r="X25" s="254"/>
      <c r="Y25" s="254"/>
      <c r="Z25" s="256"/>
    </row>
    <row r="26" spans="1:26" ht="32.1" customHeight="1" x14ac:dyDescent="0.25">
      <c r="A26" s="284"/>
      <c r="B26" s="285" t="s">
        <v>316</v>
      </c>
      <c r="C26" s="286"/>
      <c r="D26" s="286"/>
      <c r="E26" s="286"/>
      <c r="F26" s="286"/>
      <c r="G26" s="286"/>
      <c r="H26" s="286"/>
      <c r="I26" s="286"/>
      <c r="J26" s="286"/>
      <c r="K26" s="286"/>
      <c r="L26" s="284"/>
      <c r="O26" s="284"/>
      <c r="P26" s="285" t="s">
        <v>316</v>
      </c>
      <c r="Q26" s="286"/>
      <c r="R26" s="286"/>
      <c r="S26" s="286"/>
      <c r="T26" s="286"/>
      <c r="U26" s="286"/>
      <c r="V26" s="286"/>
      <c r="W26" s="286"/>
      <c r="X26" s="286"/>
      <c r="Y26" s="286"/>
      <c r="Z26" s="284"/>
    </row>
    <row r="27" spans="1:26" ht="32.1" customHeight="1" x14ac:dyDescent="0.25">
      <c r="A27" s="287"/>
      <c r="B27" s="285" t="s">
        <v>317</v>
      </c>
      <c r="C27" s="286"/>
      <c r="D27" s="286"/>
      <c r="E27" s="286"/>
      <c r="F27" s="286"/>
      <c r="G27" s="286"/>
      <c r="H27" s="286"/>
      <c r="I27" s="286"/>
      <c r="J27" s="286"/>
      <c r="K27" s="286"/>
      <c r="L27" s="287"/>
      <c r="O27" s="287"/>
      <c r="P27" s="285" t="s">
        <v>317</v>
      </c>
      <c r="Q27" s="286"/>
      <c r="R27" s="286"/>
      <c r="S27" s="286"/>
      <c r="T27" s="286"/>
      <c r="U27" s="286"/>
      <c r="V27" s="286"/>
      <c r="W27" s="286"/>
      <c r="X27" s="286"/>
      <c r="Y27" s="286"/>
      <c r="Z27" s="287"/>
    </row>
    <row r="28" spans="1:26" ht="32.1" customHeight="1" x14ac:dyDescent="0.25">
      <c r="A28" s="255"/>
      <c r="B28" s="277" t="s">
        <v>316</v>
      </c>
      <c r="C28" s="254"/>
      <c r="D28" s="254"/>
      <c r="E28" s="254"/>
      <c r="F28" s="254"/>
      <c r="G28" s="254"/>
      <c r="H28" s="254"/>
      <c r="I28" s="254"/>
      <c r="J28" s="254"/>
      <c r="K28" s="254"/>
      <c r="L28" s="255"/>
      <c r="O28" s="255"/>
      <c r="P28" s="277" t="s">
        <v>316</v>
      </c>
      <c r="Q28" s="254"/>
      <c r="R28" s="254"/>
      <c r="S28" s="254"/>
      <c r="T28" s="254"/>
      <c r="U28" s="254"/>
      <c r="V28" s="254"/>
      <c r="W28" s="254"/>
      <c r="X28" s="254"/>
      <c r="Y28" s="254"/>
      <c r="Z28" s="255"/>
    </row>
    <row r="29" spans="1:26" ht="32.1" customHeight="1" x14ac:dyDescent="0.25">
      <c r="A29" s="256"/>
      <c r="B29" s="277" t="s">
        <v>317</v>
      </c>
      <c r="C29" s="254"/>
      <c r="D29" s="254"/>
      <c r="E29" s="254"/>
      <c r="F29" s="254"/>
      <c r="G29" s="254"/>
      <c r="H29" s="254"/>
      <c r="I29" s="254"/>
      <c r="J29" s="254"/>
      <c r="K29" s="254"/>
      <c r="L29" s="256"/>
      <c r="O29" s="256"/>
      <c r="P29" s="277" t="s">
        <v>317</v>
      </c>
      <c r="Q29" s="254"/>
      <c r="R29" s="254"/>
      <c r="S29" s="254"/>
      <c r="T29" s="254"/>
      <c r="U29" s="254"/>
      <c r="V29" s="254"/>
      <c r="W29" s="254"/>
      <c r="X29" s="254"/>
      <c r="Y29" s="254"/>
      <c r="Z29" s="256"/>
    </row>
    <row r="30" spans="1:26" ht="32.1" customHeight="1" x14ac:dyDescent="0.25">
      <c r="A30" s="284"/>
      <c r="B30" s="285" t="s">
        <v>316</v>
      </c>
      <c r="C30" s="286"/>
      <c r="D30" s="286"/>
      <c r="E30" s="286"/>
      <c r="F30" s="286"/>
      <c r="G30" s="286"/>
      <c r="H30" s="286"/>
      <c r="I30" s="286"/>
      <c r="J30" s="286"/>
      <c r="K30" s="286"/>
      <c r="L30" s="284"/>
      <c r="O30" s="284"/>
      <c r="P30" s="285" t="s">
        <v>316</v>
      </c>
      <c r="Q30" s="286"/>
      <c r="R30" s="286"/>
      <c r="S30" s="286"/>
      <c r="T30" s="286"/>
      <c r="U30" s="286"/>
      <c r="V30" s="286"/>
      <c r="W30" s="286"/>
      <c r="X30" s="286"/>
      <c r="Y30" s="286"/>
      <c r="Z30" s="284"/>
    </row>
    <row r="31" spans="1:26" ht="32.1" customHeight="1" x14ac:dyDescent="0.25">
      <c r="A31" s="287"/>
      <c r="B31" s="285" t="s">
        <v>317</v>
      </c>
      <c r="C31" s="286"/>
      <c r="D31" s="286"/>
      <c r="E31" s="286"/>
      <c r="F31" s="286"/>
      <c r="G31" s="286"/>
      <c r="H31" s="286"/>
      <c r="I31" s="286"/>
      <c r="J31" s="286"/>
      <c r="K31" s="286"/>
      <c r="L31" s="287"/>
      <c r="O31" s="287"/>
      <c r="P31" s="285" t="s">
        <v>317</v>
      </c>
      <c r="Q31" s="286"/>
      <c r="R31" s="286"/>
      <c r="S31" s="286"/>
      <c r="T31" s="286"/>
      <c r="U31" s="286"/>
      <c r="V31" s="286"/>
      <c r="W31" s="286"/>
      <c r="X31" s="286"/>
      <c r="Y31" s="286"/>
      <c r="Z31" s="287"/>
    </row>
    <row r="32" spans="1:26" ht="32.1" customHeight="1" x14ac:dyDescent="0.25">
      <c r="A32" s="255"/>
      <c r="B32" s="277" t="s">
        <v>316</v>
      </c>
      <c r="C32" s="254"/>
      <c r="D32" s="254"/>
      <c r="E32" s="254"/>
      <c r="F32" s="254"/>
      <c r="G32" s="254"/>
      <c r="H32" s="254"/>
      <c r="I32" s="254"/>
      <c r="J32" s="254"/>
      <c r="K32" s="254"/>
      <c r="L32" s="255"/>
      <c r="O32" s="255"/>
      <c r="P32" s="277" t="s">
        <v>316</v>
      </c>
      <c r="Q32" s="254"/>
      <c r="R32" s="254"/>
      <c r="S32" s="254"/>
      <c r="T32" s="254"/>
      <c r="U32" s="254"/>
      <c r="V32" s="254"/>
      <c r="W32" s="254"/>
      <c r="X32" s="254"/>
      <c r="Y32" s="254"/>
      <c r="Z32" s="255"/>
    </row>
    <row r="33" spans="1:26" ht="32.1" customHeight="1" x14ac:dyDescent="0.25">
      <c r="A33" s="256"/>
      <c r="B33" s="277" t="s">
        <v>317</v>
      </c>
      <c r="C33" s="254"/>
      <c r="D33" s="254"/>
      <c r="E33" s="254"/>
      <c r="F33" s="254"/>
      <c r="G33" s="254"/>
      <c r="H33" s="254"/>
      <c r="I33" s="254"/>
      <c r="J33" s="254"/>
      <c r="K33" s="254"/>
      <c r="L33" s="256"/>
      <c r="O33" s="256"/>
      <c r="P33" s="277" t="s">
        <v>317</v>
      </c>
      <c r="Q33" s="254"/>
      <c r="R33" s="254"/>
      <c r="S33" s="254"/>
      <c r="T33" s="254"/>
      <c r="U33" s="254"/>
      <c r="V33" s="254"/>
      <c r="W33" s="254"/>
      <c r="X33" s="254"/>
      <c r="Y33" s="254"/>
      <c r="Z33" s="256"/>
    </row>
    <row r="34" spans="1:26" ht="32.1" customHeight="1" x14ac:dyDescent="0.25">
      <c r="A34" s="284"/>
      <c r="B34" s="285" t="s">
        <v>316</v>
      </c>
      <c r="C34" s="286"/>
      <c r="D34" s="286"/>
      <c r="E34" s="286"/>
      <c r="F34" s="286"/>
      <c r="G34" s="286"/>
      <c r="H34" s="286"/>
      <c r="I34" s="286"/>
      <c r="J34" s="286"/>
      <c r="K34" s="286"/>
      <c r="L34" s="284"/>
      <c r="O34" s="284"/>
      <c r="P34" s="285" t="s">
        <v>316</v>
      </c>
      <c r="Q34" s="286"/>
      <c r="R34" s="286"/>
      <c r="S34" s="286"/>
      <c r="T34" s="286"/>
      <c r="U34" s="286"/>
      <c r="V34" s="286"/>
      <c r="W34" s="286"/>
      <c r="X34" s="286"/>
      <c r="Y34" s="286"/>
      <c r="Z34" s="284"/>
    </row>
    <row r="35" spans="1:26" ht="32.1" customHeight="1" x14ac:dyDescent="0.25">
      <c r="A35" s="287"/>
      <c r="B35" s="285" t="s">
        <v>317</v>
      </c>
      <c r="C35" s="286"/>
      <c r="D35" s="286"/>
      <c r="E35" s="286"/>
      <c r="F35" s="286"/>
      <c r="G35" s="286"/>
      <c r="H35" s="286"/>
      <c r="I35" s="286"/>
      <c r="J35" s="286"/>
      <c r="K35" s="286"/>
      <c r="L35" s="287"/>
      <c r="O35" s="287"/>
      <c r="P35" s="285" t="s">
        <v>317</v>
      </c>
      <c r="Q35" s="286"/>
      <c r="R35" s="286"/>
      <c r="S35" s="286"/>
      <c r="T35" s="286"/>
      <c r="U35" s="286"/>
      <c r="V35" s="286"/>
      <c r="W35" s="286"/>
      <c r="X35" s="286"/>
      <c r="Y35" s="286"/>
      <c r="Z35" s="287"/>
    </row>
    <row r="36" spans="1:26" ht="32.1" customHeight="1" x14ac:dyDescent="0.25">
      <c r="A36" s="255"/>
      <c r="B36" s="277" t="s">
        <v>316</v>
      </c>
      <c r="C36" s="254"/>
      <c r="D36" s="254"/>
      <c r="E36" s="254"/>
      <c r="F36" s="254"/>
      <c r="G36" s="254"/>
      <c r="H36" s="254"/>
      <c r="I36" s="254"/>
      <c r="J36" s="254"/>
      <c r="K36" s="254"/>
      <c r="L36" s="255"/>
      <c r="O36" s="255"/>
      <c r="P36" s="277" t="s">
        <v>316</v>
      </c>
      <c r="Q36" s="254"/>
      <c r="R36" s="254"/>
      <c r="S36" s="254"/>
      <c r="T36" s="254"/>
      <c r="U36" s="254"/>
      <c r="V36" s="254"/>
      <c r="W36" s="254"/>
      <c r="X36" s="254"/>
      <c r="Y36" s="254"/>
      <c r="Z36" s="255"/>
    </row>
    <row r="37" spans="1:26" ht="32.1" customHeight="1" x14ac:dyDescent="0.25">
      <c r="A37" s="256"/>
      <c r="B37" s="277" t="s">
        <v>317</v>
      </c>
      <c r="C37" s="254"/>
      <c r="D37" s="254"/>
      <c r="E37" s="254"/>
      <c r="F37" s="254"/>
      <c r="G37" s="254"/>
      <c r="H37" s="254"/>
      <c r="I37" s="254"/>
      <c r="J37" s="254"/>
      <c r="K37" s="254"/>
      <c r="L37" s="256"/>
      <c r="O37" s="256"/>
      <c r="P37" s="277" t="s">
        <v>317</v>
      </c>
      <c r="Q37" s="254"/>
      <c r="R37" s="254"/>
      <c r="S37" s="254"/>
      <c r="T37" s="254"/>
      <c r="U37" s="254"/>
      <c r="V37" s="254"/>
      <c r="W37" s="254"/>
      <c r="X37" s="254"/>
      <c r="Y37" s="254"/>
      <c r="Z37" s="256"/>
    </row>
    <row r="38" spans="1:26" ht="32.1" customHeight="1" x14ac:dyDescent="0.25">
      <c r="A38" s="284"/>
      <c r="B38" s="285" t="s">
        <v>316</v>
      </c>
      <c r="C38" s="286"/>
      <c r="D38" s="286"/>
      <c r="E38" s="286"/>
      <c r="F38" s="286"/>
      <c r="G38" s="286"/>
      <c r="H38" s="286"/>
      <c r="I38" s="286"/>
      <c r="J38" s="286"/>
      <c r="K38" s="286"/>
      <c r="L38" s="28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</row>
    <row r="39" spans="1:26" ht="32.1" customHeight="1" x14ac:dyDescent="0.25">
      <c r="A39" s="287"/>
      <c r="B39" s="285" t="s">
        <v>317</v>
      </c>
      <c r="C39" s="286"/>
      <c r="D39" s="286"/>
      <c r="E39" s="286"/>
      <c r="F39" s="286"/>
      <c r="G39" s="286"/>
      <c r="H39" s="286"/>
      <c r="I39" s="286"/>
      <c r="J39" s="286"/>
      <c r="K39" s="286"/>
      <c r="L39" s="287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</row>
    <row r="40" spans="1:26" ht="32.1" customHeight="1" x14ac:dyDescent="0.25">
      <c r="A40" s="255"/>
      <c r="B40" s="277" t="s">
        <v>316</v>
      </c>
      <c r="C40" s="254"/>
      <c r="D40" s="254"/>
      <c r="E40" s="254"/>
      <c r="F40" s="254"/>
      <c r="G40" s="254"/>
      <c r="H40" s="254"/>
      <c r="I40" s="254"/>
      <c r="J40" s="254"/>
      <c r="K40" s="254"/>
      <c r="L40" s="255"/>
      <c r="O40" s="265"/>
      <c r="P40" s="265"/>
      <c r="Q40" s="275"/>
      <c r="R40" s="275"/>
      <c r="S40" s="275"/>
      <c r="T40" s="275"/>
      <c r="U40" s="275"/>
      <c r="V40" s="275"/>
      <c r="W40" s="275"/>
      <c r="X40" s="275"/>
      <c r="Y40" s="275"/>
      <c r="Z40" s="275"/>
    </row>
    <row r="41" spans="1:26" ht="32.1" customHeight="1" x14ac:dyDescent="0.25">
      <c r="A41" s="256"/>
      <c r="B41" s="277" t="s">
        <v>317</v>
      </c>
      <c r="C41" s="254"/>
      <c r="D41" s="254"/>
      <c r="E41" s="254"/>
      <c r="F41" s="254"/>
      <c r="G41" s="254"/>
      <c r="H41" s="254"/>
      <c r="I41" s="254"/>
      <c r="J41" s="254"/>
      <c r="K41" s="254"/>
      <c r="L41" s="256"/>
      <c r="O41" s="265"/>
      <c r="P41" s="265"/>
      <c r="Q41" s="275"/>
      <c r="R41" s="275"/>
      <c r="S41" s="275"/>
      <c r="T41" s="275"/>
      <c r="U41" s="275"/>
      <c r="V41" s="275"/>
      <c r="W41" s="275"/>
      <c r="X41" s="275"/>
      <c r="Y41" s="275"/>
      <c r="Z41" s="275"/>
    </row>
    <row r="42" spans="1:26" ht="32.1" customHeight="1" x14ac:dyDescent="0.25">
      <c r="A42" s="284"/>
      <c r="B42" s="285" t="s">
        <v>316</v>
      </c>
      <c r="C42" s="286"/>
      <c r="D42" s="286"/>
      <c r="E42" s="286"/>
      <c r="F42" s="286"/>
      <c r="G42" s="286"/>
      <c r="H42" s="286"/>
      <c r="I42" s="286"/>
      <c r="J42" s="286"/>
      <c r="K42" s="286"/>
      <c r="L42" s="284"/>
      <c r="O42" s="328" t="s">
        <v>276</v>
      </c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</row>
    <row r="43" spans="1:26" ht="32.1" customHeight="1" x14ac:dyDescent="0.25">
      <c r="A43" s="287"/>
      <c r="B43" s="285" t="s">
        <v>317</v>
      </c>
      <c r="C43" s="286"/>
      <c r="D43" s="286"/>
      <c r="E43" s="286"/>
      <c r="F43" s="286"/>
      <c r="G43" s="286"/>
      <c r="H43" s="286"/>
      <c r="I43" s="286"/>
      <c r="J43" s="286"/>
      <c r="K43" s="286"/>
      <c r="L43" s="287"/>
      <c r="O43" s="326" t="s">
        <v>376</v>
      </c>
      <c r="P43" s="326"/>
      <c r="Q43" s="327" t="s">
        <v>374</v>
      </c>
      <c r="R43" s="327"/>
      <c r="S43" s="327"/>
      <c r="T43" s="327"/>
      <c r="U43" s="327"/>
      <c r="V43" s="327"/>
      <c r="W43" s="327" t="s">
        <v>375</v>
      </c>
      <c r="X43" s="327"/>
      <c r="Y43" s="327"/>
      <c r="Z43" s="327"/>
    </row>
    <row r="44" spans="1:26" ht="32.1" customHeight="1" x14ac:dyDescent="0.25">
      <c r="A44" s="255"/>
      <c r="B44" s="277" t="s">
        <v>316</v>
      </c>
      <c r="C44" s="254"/>
      <c r="D44" s="254"/>
      <c r="E44" s="254"/>
      <c r="F44" s="254"/>
      <c r="G44" s="254"/>
      <c r="H44" s="254"/>
      <c r="I44" s="254"/>
      <c r="J44" s="254"/>
      <c r="K44" s="254"/>
      <c r="L44" s="255"/>
      <c r="O44" s="326"/>
      <c r="P44" s="326"/>
      <c r="Q44" s="327"/>
      <c r="R44" s="327"/>
      <c r="S44" s="327"/>
      <c r="T44" s="327"/>
      <c r="U44" s="327"/>
      <c r="V44" s="327"/>
      <c r="W44" s="327"/>
      <c r="X44" s="327"/>
      <c r="Y44" s="327"/>
      <c r="Z44" s="327"/>
    </row>
    <row r="45" spans="1:26" ht="32.1" customHeight="1" x14ac:dyDescent="0.25">
      <c r="A45" s="256"/>
      <c r="B45" s="277" t="s">
        <v>317</v>
      </c>
      <c r="C45" s="254"/>
      <c r="D45" s="254"/>
      <c r="E45" s="254"/>
      <c r="F45" s="254"/>
      <c r="G45" s="254"/>
      <c r="H45" s="254"/>
      <c r="I45" s="254"/>
      <c r="J45" s="254"/>
      <c r="K45" s="254"/>
      <c r="L45" s="256"/>
      <c r="O45" s="326"/>
      <c r="P45" s="326"/>
      <c r="Q45" s="327"/>
      <c r="R45" s="327"/>
      <c r="S45" s="327"/>
      <c r="T45" s="327"/>
      <c r="U45" s="327"/>
      <c r="V45" s="327"/>
      <c r="W45" s="327"/>
      <c r="X45" s="327"/>
      <c r="Y45" s="327"/>
      <c r="Z45" s="327"/>
    </row>
    <row r="46" spans="1:26" ht="17.25" customHeight="1" x14ac:dyDescent="0.25">
      <c r="A46" s="263"/>
      <c r="B46" s="262"/>
      <c r="C46" s="259"/>
      <c r="D46" s="259"/>
      <c r="E46" s="259"/>
      <c r="F46" s="259"/>
      <c r="G46" s="259"/>
      <c r="H46" s="259"/>
      <c r="I46" s="259"/>
      <c r="J46" s="259"/>
      <c r="K46" s="259"/>
      <c r="L46" s="263"/>
      <c r="O46" s="263"/>
      <c r="P46" s="263"/>
      <c r="Q46" s="327"/>
      <c r="R46" s="327"/>
      <c r="S46" s="327"/>
      <c r="T46" s="327"/>
      <c r="U46" s="327"/>
      <c r="V46" s="327"/>
      <c r="W46" s="327"/>
      <c r="X46" s="327"/>
      <c r="Y46" s="327"/>
      <c r="Z46" s="327"/>
    </row>
  </sheetData>
  <mergeCells count="36">
    <mergeCell ref="A13:L13"/>
    <mergeCell ref="U5:V5"/>
    <mergeCell ref="W5:Z5"/>
    <mergeCell ref="U6:V6"/>
    <mergeCell ref="W6:Z6"/>
    <mergeCell ref="P7:S7"/>
    <mergeCell ref="U7:V7"/>
    <mergeCell ref="W7:Z7"/>
    <mergeCell ref="P8:S8"/>
    <mergeCell ref="U8:Z8"/>
    <mergeCell ref="P9:S9"/>
    <mergeCell ref="U9:Z9"/>
    <mergeCell ref="P10:Q10"/>
    <mergeCell ref="R10:S10"/>
    <mergeCell ref="O13:Z13"/>
    <mergeCell ref="B10:C10"/>
    <mergeCell ref="O43:P45"/>
    <mergeCell ref="W43:Z46"/>
    <mergeCell ref="Q43:V46"/>
    <mergeCell ref="O42:Z42"/>
    <mergeCell ref="P5:S5"/>
    <mergeCell ref="P6:S6"/>
    <mergeCell ref="D10:E10"/>
    <mergeCell ref="I5:L5"/>
    <mergeCell ref="I6:L6"/>
    <mergeCell ref="I7:L7"/>
    <mergeCell ref="G8:L8"/>
    <mergeCell ref="G9:L9"/>
    <mergeCell ref="B5:E5"/>
    <mergeCell ref="B6:E6"/>
    <mergeCell ref="B7:E7"/>
    <mergeCell ref="B8:E8"/>
    <mergeCell ref="B9:E9"/>
    <mergeCell ref="G5:H5"/>
    <mergeCell ref="G6:H6"/>
    <mergeCell ref="G7:H7"/>
  </mergeCells>
  <conditionalFormatting sqref="I5:L5">
    <cfRule type="expression" dxfId="11" priority="1">
      <formula>"nb.si.ens(PPa2019'!$C$2:$C$201;+FEC!+FEC!$I$5;'PPa2019'!$E$2:$E$201;+FEC!+FEC!$I$6;'PPa2019'!$AR$2:$AR$201;""&lt;&gt;0"")"</formula>
    </cfRule>
  </conditionalFormatting>
  <printOptions horizontalCentered="1"/>
  <pageMargins left="0.39370078740157483" right="0.39370078740157483" top="0.78740157480314965" bottom="0.19685039370078741" header="0.39370078740157483" footer="0.19685039370078741"/>
  <pageSetup paperSize="9" scale="63" orientation="portrait" r:id="rId1"/>
  <headerFooter>
    <oddHeader>&amp;L&amp;G&amp;R&amp;G</oddHeader>
    <oddFooter>&amp;C&amp;G</oddFooter>
  </headerFooter>
  <colBreaks count="1" manualBreakCount="1">
    <brk id="13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Feuil1!$A$1:$A$5</xm:f>
          </x14:formula1>
          <xm:sqref>B9:E9 P9:S9</xm:sqref>
        </x14:dataValidation>
        <x14:dataValidation type="list" allowBlank="1" showInputMessage="1" showErrorMessage="1">
          <x14:formula1>
            <xm:f>Feuil1!$B$7:$B$10</xm:f>
          </x14:formula1>
          <xm:sqref>D10:E10</xm:sqref>
        </x14:dataValidation>
        <x14:dataValidation type="list" allowBlank="1" showInputMessage="1" showErrorMessage="1">
          <x14:formula1>
            <xm:f>Feuil1!$A$7:$A$18</xm:f>
          </x14:formula1>
          <xm:sqref>B10:C10</xm:sqref>
        </x14:dataValidation>
        <x14:dataValidation type="list" allowBlank="1" showInputMessage="1" showErrorMessage="1">
          <x14:formula1>
            <xm:f>'PPa2019'!$A$2:$A$201</xm:f>
          </x14:formula1>
          <xm:sqref>L2:L3 Z3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499984740745262"/>
  </sheetPr>
  <dimension ref="B1:AA51"/>
  <sheetViews>
    <sheetView showGridLines="0" view="pageBreakPreview" zoomScale="80" zoomScaleNormal="100" zoomScaleSheetLayoutView="80" workbookViewId="0">
      <selection activeCell="C11" sqref="C11:M11"/>
    </sheetView>
  </sheetViews>
  <sheetFormatPr baseColWidth="10" defaultRowHeight="15" x14ac:dyDescent="0.25"/>
  <cols>
    <col min="1" max="1" width="2" customWidth="1"/>
    <col min="2" max="2" width="27.140625" customWidth="1"/>
    <col min="3" max="12" width="9.28515625" customWidth="1"/>
    <col min="13" max="13" width="19.28515625" customWidth="1"/>
    <col min="14" max="14" width="2" customWidth="1"/>
    <col min="15" max="15" width="2.28515625" customWidth="1"/>
  </cols>
  <sheetData>
    <row r="1" spans="2:27" ht="5.25" customHeight="1" x14ac:dyDescent="0.25">
      <c r="M1" s="257"/>
      <c r="AA1" s="261"/>
    </row>
    <row r="2" spans="2:27" ht="15.75" thickBot="1" x14ac:dyDescent="0.3">
      <c r="B2" s="125"/>
      <c r="AA2" s="261"/>
    </row>
    <row r="3" spans="2:27" ht="22.5" customHeight="1" thickTop="1" thickBot="1" x14ac:dyDescent="0.3">
      <c r="B3" s="132" t="s">
        <v>263</v>
      </c>
      <c r="C3" s="335" t="s">
        <v>264</v>
      </c>
      <c r="D3" s="336"/>
      <c r="E3" s="336"/>
      <c r="F3" s="336"/>
      <c r="H3" s="320" t="s">
        <v>21</v>
      </c>
      <c r="I3" s="321"/>
      <c r="J3" s="337" t="str">
        <f>IF(VLOOKUP($P$3,'PPa2019'!$A$1:$AP$201,4,0)="","",VLOOKUP($P$3,'PPa2019'!$A$1:$AP$201,4,0))</f>
        <v/>
      </c>
      <c r="K3" s="338"/>
      <c r="L3" s="338"/>
      <c r="M3" s="338"/>
      <c r="P3" s="135">
        <v>23</v>
      </c>
      <c r="AA3" s="261"/>
    </row>
    <row r="4" spans="2:27" ht="22.5" customHeight="1" thickBot="1" x14ac:dyDescent="0.3">
      <c r="B4" s="133" t="s">
        <v>265</v>
      </c>
      <c r="C4" s="343" t="s">
        <v>251</v>
      </c>
      <c r="D4" s="344"/>
      <c r="E4" s="344"/>
      <c r="F4" s="344"/>
      <c r="H4" s="322" t="s">
        <v>22</v>
      </c>
      <c r="I4" s="323"/>
      <c r="J4" s="343" t="str">
        <f>IF(VLOOKUP($P$3,'PPa2019'!$A$1:$AP$201,5,0)="","",VLOOKUP($P$3,'PPa2019'!$A$1:$AP$201,5,0))</f>
        <v/>
      </c>
      <c r="K4" s="344"/>
      <c r="L4" s="344"/>
      <c r="M4" s="344"/>
      <c r="AA4" s="261"/>
    </row>
    <row r="5" spans="2:27" ht="22.5" customHeight="1" thickBot="1" x14ac:dyDescent="0.3">
      <c r="B5" s="133" t="s">
        <v>266</v>
      </c>
      <c r="C5" s="339" t="str">
        <f>VLOOKUP($C$7,Feuil1!$A$1:$C$5,3,0)</f>
        <v>2018-90563-00</v>
      </c>
      <c r="D5" s="340"/>
      <c r="E5" s="340"/>
      <c r="F5" s="340"/>
      <c r="H5" s="324" t="s">
        <v>267</v>
      </c>
      <c r="I5" s="325"/>
      <c r="J5" s="341">
        <f>IF(VLOOKUP($P$3,'PPa2019'!$A$1:$AP$201,42,0)="","",VLOOKUP($P$3,'PPa2019'!$A$1:$AP$201,42,0))</f>
        <v>43563</v>
      </c>
      <c r="K5" s="342"/>
      <c r="L5" s="342"/>
      <c r="M5" s="342"/>
      <c r="AA5" s="261"/>
    </row>
    <row r="6" spans="2:27" ht="22.5" customHeight="1" thickBot="1" x14ac:dyDescent="0.3">
      <c r="B6" s="133" t="s">
        <v>268</v>
      </c>
      <c r="C6" s="339" t="str">
        <f>TEXT(VLOOKUP($P$3,'PPa2019'!$A$2:$DB$201,42,0),"jj/MM/aaaa")&amp;" - "&amp;TEXT(VLOOKUP($P$3,'PPa2019'!$A$2:$DB$201,43,0),"jj/MM/aaaa")</f>
        <v>08/04/2019 - 15/07/2019</v>
      </c>
      <c r="D6" s="340"/>
      <c r="E6" s="340"/>
      <c r="F6" s="340"/>
      <c r="G6" s="130"/>
      <c r="H6" s="313" t="s">
        <v>275</v>
      </c>
      <c r="I6" s="314"/>
      <c r="J6" s="314"/>
      <c r="K6" s="314"/>
      <c r="L6" s="314"/>
      <c r="M6" s="314"/>
      <c r="AA6" s="261"/>
    </row>
    <row r="7" spans="2:27" ht="22.5" customHeight="1" thickBot="1" x14ac:dyDescent="0.3">
      <c r="B7" s="133" t="s">
        <v>270</v>
      </c>
      <c r="C7" s="339" t="s">
        <v>278</v>
      </c>
      <c r="D7" s="340"/>
      <c r="E7" s="340"/>
      <c r="F7" s="340"/>
      <c r="H7" s="315" t="s">
        <v>343</v>
      </c>
      <c r="I7" s="314"/>
      <c r="J7" s="314"/>
      <c r="K7" s="314"/>
      <c r="L7" s="314"/>
      <c r="M7" s="314"/>
      <c r="AA7" s="261"/>
    </row>
    <row r="8" spans="2:27" ht="22.5" customHeight="1" thickBot="1" x14ac:dyDescent="0.3">
      <c r="B8" s="133" t="s">
        <v>272</v>
      </c>
      <c r="C8" s="345" t="s">
        <v>76</v>
      </c>
      <c r="D8" s="346"/>
      <c r="E8" s="347">
        <v>2019</v>
      </c>
      <c r="F8" s="347"/>
      <c r="H8" s="128"/>
      <c r="I8" s="129"/>
      <c r="J8" s="126"/>
      <c r="AA8" s="261"/>
    </row>
    <row r="9" spans="2:27" ht="7.5" customHeight="1" x14ac:dyDescent="0.25">
      <c r="B9" s="127"/>
      <c r="C9" s="127"/>
      <c r="D9" s="127"/>
      <c r="E9" s="127"/>
      <c r="F9" s="127"/>
      <c r="G9" s="127"/>
      <c r="H9" s="127"/>
      <c r="I9" s="127"/>
      <c r="AA9" s="261"/>
    </row>
    <row r="10" spans="2:27" ht="7.5" customHeight="1" x14ac:dyDescent="0.25">
      <c r="B10" s="125"/>
    </row>
    <row r="11" spans="2:27" s="264" customFormat="1" ht="24" customHeight="1" x14ac:dyDescent="0.25">
      <c r="B11" s="271" t="s">
        <v>371</v>
      </c>
      <c r="C11" s="348" t="s">
        <v>384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</row>
    <row r="12" spans="2:27" s="264" customFormat="1" ht="24" customHeight="1" x14ac:dyDescent="0.25">
      <c r="B12" s="271" t="s">
        <v>370</v>
      </c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</row>
    <row r="13" spans="2:27" s="264" customFormat="1" ht="8.25" customHeight="1" x14ac:dyDescent="0.25">
      <c r="B13" s="271"/>
      <c r="C13" s="272"/>
      <c r="D13" s="272"/>
      <c r="E13" s="272"/>
      <c r="F13" s="272"/>
      <c r="G13" s="353"/>
      <c r="H13" s="353"/>
      <c r="I13" s="353"/>
      <c r="J13" s="353"/>
      <c r="K13" s="353"/>
      <c r="L13" s="353"/>
      <c r="M13" s="353"/>
    </row>
    <row r="14" spans="2:27" s="264" customFormat="1" ht="20.100000000000001" customHeight="1" x14ac:dyDescent="0.25">
      <c r="B14" s="268" t="s">
        <v>273</v>
      </c>
      <c r="C14" s="354" t="s">
        <v>107</v>
      </c>
      <c r="D14" s="354"/>
      <c r="E14" s="354" t="s">
        <v>372</v>
      </c>
      <c r="F14" s="354"/>
      <c r="G14" s="354" t="s">
        <v>274</v>
      </c>
      <c r="H14" s="354"/>
      <c r="I14" s="354"/>
      <c r="J14" s="354"/>
      <c r="K14" s="354"/>
      <c r="L14" s="354"/>
      <c r="M14" s="354"/>
    </row>
    <row r="15" spans="2:27" ht="48" customHeight="1" x14ac:dyDescent="0.25">
      <c r="B15" s="278"/>
      <c r="C15" s="350"/>
      <c r="D15" s="350"/>
      <c r="E15" s="350"/>
      <c r="F15" s="350"/>
      <c r="G15" s="351"/>
      <c r="H15" s="351"/>
      <c r="I15" s="351"/>
      <c r="J15" s="351"/>
      <c r="K15" s="351"/>
      <c r="L15" s="351"/>
      <c r="M15" s="351"/>
    </row>
    <row r="16" spans="2:27" ht="48" customHeight="1" x14ac:dyDescent="0.25">
      <c r="B16" s="279"/>
      <c r="C16" s="352"/>
      <c r="D16" s="352"/>
      <c r="E16" s="352"/>
      <c r="F16" s="352"/>
      <c r="G16" s="355"/>
      <c r="H16" s="355"/>
      <c r="I16" s="355"/>
      <c r="J16" s="355"/>
      <c r="K16" s="355"/>
      <c r="L16" s="355"/>
      <c r="M16" s="355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</row>
    <row r="17" spans="2:26" ht="48" customHeight="1" x14ac:dyDescent="0.25">
      <c r="B17" s="280"/>
      <c r="C17" s="352"/>
      <c r="D17" s="352"/>
      <c r="E17" s="352"/>
      <c r="F17" s="352"/>
      <c r="G17" s="355"/>
      <c r="H17" s="355"/>
      <c r="I17" s="355"/>
      <c r="J17" s="355"/>
      <c r="K17" s="355"/>
      <c r="L17" s="355"/>
      <c r="M17" s="355"/>
      <c r="P17" s="258"/>
      <c r="Q17" s="134"/>
      <c r="R17" s="261"/>
      <c r="S17" s="261"/>
      <c r="T17" s="261"/>
      <c r="U17" s="261"/>
      <c r="V17" s="261"/>
      <c r="W17" s="134"/>
      <c r="X17" s="261"/>
      <c r="Y17" s="261"/>
      <c r="Z17" s="261"/>
    </row>
    <row r="18" spans="2:26" ht="48" customHeight="1" x14ac:dyDescent="0.25">
      <c r="B18" s="279"/>
      <c r="C18" s="352"/>
      <c r="D18" s="352"/>
      <c r="E18" s="352"/>
      <c r="F18" s="352"/>
      <c r="G18" s="355"/>
      <c r="H18" s="355"/>
      <c r="I18" s="355"/>
      <c r="J18" s="355"/>
      <c r="K18" s="355"/>
      <c r="L18" s="355"/>
      <c r="M18" s="355"/>
      <c r="P18" s="258"/>
      <c r="Q18" s="134"/>
      <c r="R18" s="261"/>
      <c r="S18" s="261"/>
      <c r="T18" s="261"/>
      <c r="U18" s="261"/>
      <c r="V18" s="261"/>
      <c r="W18" s="134"/>
      <c r="X18" s="261"/>
      <c r="Y18" s="261"/>
      <c r="Z18" s="261"/>
    </row>
    <row r="19" spans="2:26" ht="48" customHeight="1" x14ac:dyDescent="0.25">
      <c r="B19" s="279"/>
      <c r="C19" s="352"/>
      <c r="D19" s="352"/>
      <c r="E19" s="352"/>
      <c r="F19" s="352"/>
      <c r="G19" s="355"/>
      <c r="H19" s="355"/>
      <c r="I19" s="355"/>
      <c r="J19" s="355"/>
      <c r="K19" s="355"/>
      <c r="L19" s="355"/>
      <c r="M19" s="355"/>
      <c r="P19" s="258"/>
      <c r="Q19" s="134"/>
      <c r="R19" s="261"/>
      <c r="S19" s="261"/>
      <c r="T19" s="261"/>
      <c r="U19" s="261"/>
      <c r="V19" s="261"/>
      <c r="W19" s="134"/>
      <c r="X19" s="261"/>
      <c r="Y19" s="261"/>
      <c r="Z19" s="261"/>
    </row>
    <row r="20" spans="2:26" ht="48" customHeight="1" x14ac:dyDescent="0.25">
      <c r="B20" s="279"/>
      <c r="C20" s="352"/>
      <c r="D20" s="352"/>
      <c r="E20" s="352"/>
      <c r="F20" s="352"/>
      <c r="G20" s="355"/>
      <c r="H20" s="355"/>
      <c r="I20" s="355"/>
      <c r="J20" s="355"/>
      <c r="K20" s="355"/>
      <c r="L20" s="355"/>
      <c r="M20" s="355"/>
      <c r="P20" s="258"/>
      <c r="Q20" s="134"/>
      <c r="R20" s="261"/>
      <c r="S20" s="261"/>
      <c r="T20" s="261"/>
      <c r="U20" s="261"/>
      <c r="V20" s="261"/>
      <c r="W20" s="134"/>
      <c r="X20" s="261"/>
      <c r="Y20" s="261"/>
      <c r="Z20" s="261"/>
    </row>
    <row r="21" spans="2:26" ht="48" customHeight="1" x14ac:dyDescent="0.25">
      <c r="B21" s="279"/>
      <c r="C21" s="352"/>
      <c r="D21" s="352"/>
      <c r="E21" s="352"/>
      <c r="F21" s="352"/>
      <c r="G21" s="355"/>
      <c r="H21" s="355"/>
      <c r="I21" s="355"/>
      <c r="J21" s="355"/>
      <c r="K21" s="355"/>
      <c r="L21" s="355"/>
      <c r="M21" s="355"/>
      <c r="P21" s="258"/>
      <c r="Q21" s="134"/>
      <c r="R21" s="261"/>
      <c r="S21" s="261"/>
      <c r="T21" s="261"/>
      <c r="U21" s="261"/>
      <c r="V21" s="261"/>
      <c r="W21" s="134"/>
      <c r="X21" s="261"/>
      <c r="Y21" s="261"/>
      <c r="Z21" s="261"/>
    </row>
    <row r="22" spans="2:26" ht="48" customHeight="1" x14ac:dyDescent="0.25">
      <c r="B22" s="279"/>
      <c r="C22" s="352"/>
      <c r="D22" s="352"/>
      <c r="E22" s="352"/>
      <c r="F22" s="352"/>
      <c r="G22" s="355"/>
      <c r="H22" s="355"/>
      <c r="I22" s="355"/>
      <c r="J22" s="355"/>
      <c r="K22" s="355"/>
      <c r="L22" s="355"/>
      <c r="M22" s="355"/>
      <c r="P22" s="258"/>
      <c r="Q22" s="134"/>
      <c r="R22" s="261"/>
      <c r="S22" s="261"/>
      <c r="T22" s="261"/>
      <c r="U22" s="261"/>
      <c r="V22" s="261"/>
      <c r="W22" s="134"/>
      <c r="X22" s="261"/>
      <c r="Y22" s="261"/>
      <c r="Z22" s="261"/>
    </row>
    <row r="23" spans="2:26" ht="48" customHeight="1" x14ac:dyDescent="0.25">
      <c r="B23" s="279"/>
      <c r="C23" s="352"/>
      <c r="D23" s="352"/>
      <c r="E23" s="352"/>
      <c r="F23" s="352"/>
      <c r="G23" s="355"/>
      <c r="H23" s="355"/>
      <c r="I23" s="355"/>
      <c r="J23" s="355"/>
      <c r="K23" s="355"/>
      <c r="L23" s="355"/>
      <c r="M23" s="355"/>
      <c r="P23" s="258"/>
      <c r="Q23" s="134"/>
      <c r="R23" s="261"/>
      <c r="S23" s="261"/>
      <c r="T23" s="261"/>
      <c r="U23" s="261"/>
      <c r="V23" s="261"/>
      <c r="W23" s="134"/>
      <c r="X23" s="261"/>
      <c r="Y23" s="261"/>
      <c r="Z23" s="261"/>
    </row>
    <row r="24" spans="2:26" ht="48" customHeight="1" x14ac:dyDescent="0.25">
      <c r="B24" s="279"/>
      <c r="C24" s="352"/>
      <c r="D24" s="352"/>
      <c r="E24" s="352"/>
      <c r="F24" s="352"/>
      <c r="G24" s="355"/>
      <c r="H24" s="355"/>
      <c r="I24" s="355"/>
      <c r="J24" s="355"/>
      <c r="K24" s="355"/>
      <c r="L24" s="355"/>
      <c r="M24" s="355"/>
      <c r="P24" s="258"/>
      <c r="Q24" s="134"/>
      <c r="R24" s="261"/>
      <c r="S24" s="261"/>
      <c r="T24" s="261"/>
      <c r="U24" s="261"/>
      <c r="V24" s="261"/>
      <c r="W24" s="134"/>
      <c r="X24" s="261"/>
      <c r="Y24" s="261"/>
      <c r="Z24" s="261"/>
    </row>
    <row r="25" spans="2:26" ht="48" customHeight="1" x14ac:dyDescent="0.25">
      <c r="B25" s="279"/>
      <c r="C25" s="352"/>
      <c r="D25" s="352"/>
      <c r="E25" s="352"/>
      <c r="F25" s="352"/>
      <c r="G25" s="355"/>
      <c r="H25" s="355"/>
      <c r="I25" s="355"/>
      <c r="J25" s="355"/>
      <c r="K25" s="355"/>
      <c r="L25" s="355"/>
      <c r="M25" s="355"/>
      <c r="Q25" s="134"/>
      <c r="R25" s="261"/>
      <c r="S25" s="261"/>
      <c r="T25" s="261"/>
      <c r="U25" s="261"/>
      <c r="V25" s="261"/>
      <c r="W25" s="134"/>
      <c r="X25" s="261"/>
      <c r="Y25" s="261"/>
      <c r="Z25" s="261"/>
    </row>
    <row r="26" spans="2:26" ht="48" customHeight="1" x14ac:dyDescent="0.25">
      <c r="B26" s="279"/>
      <c r="C26" s="352"/>
      <c r="D26" s="352"/>
      <c r="E26" s="352"/>
      <c r="F26" s="352"/>
      <c r="G26" s="355"/>
      <c r="H26" s="355"/>
      <c r="I26" s="355"/>
      <c r="J26" s="355"/>
      <c r="K26" s="355"/>
      <c r="L26" s="355"/>
      <c r="M26" s="355"/>
    </row>
    <row r="27" spans="2:26" ht="48" customHeight="1" x14ac:dyDescent="0.25">
      <c r="B27" s="279"/>
      <c r="C27" s="352"/>
      <c r="D27" s="352"/>
      <c r="E27" s="352"/>
      <c r="F27" s="352"/>
      <c r="G27" s="355"/>
      <c r="H27" s="355"/>
      <c r="I27" s="355"/>
      <c r="J27" s="355"/>
      <c r="K27" s="355"/>
      <c r="L27" s="355"/>
      <c r="M27" s="355"/>
    </row>
    <row r="28" spans="2:26" ht="48" customHeight="1" x14ac:dyDescent="0.25">
      <c r="B28" s="279"/>
      <c r="C28" s="352"/>
      <c r="D28" s="352"/>
      <c r="E28" s="352"/>
      <c r="F28" s="352"/>
      <c r="G28" s="355"/>
      <c r="H28" s="355"/>
      <c r="I28" s="355"/>
      <c r="J28" s="355"/>
      <c r="K28" s="355"/>
      <c r="L28" s="355"/>
      <c r="M28" s="355"/>
    </row>
    <row r="29" spans="2:26" ht="48" customHeight="1" x14ac:dyDescent="0.25">
      <c r="B29" s="279"/>
      <c r="C29" s="352"/>
      <c r="D29" s="352"/>
      <c r="E29" s="352"/>
      <c r="F29" s="352"/>
      <c r="G29" s="355"/>
      <c r="H29" s="355"/>
      <c r="I29" s="355"/>
      <c r="J29" s="355"/>
      <c r="K29" s="355"/>
      <c r="L29" s="355"/>
      <c r="M29" s="355"/>
    </row>
    <row r="30" spans="2:26" ht="48" customHeight="1" x14ac:dyDescent="0.25">
      <c r="B30" s="279"/>
      <c r="C30" s="352"/>
      <c r="D30" s="352"/>
      <c r="E30" s="352"/>
      <c r="F30" s="352"/>
      <c r="G30" s="355"/>
      <c r="H30" s="355"/>
      <c r="I30" s="355"/>
      <c r="J30" s="355"/>
      <c r="K30" s="355"/>
      <c r="L30" s="355"/>
      <c r="M30" s="355"/>
    </row>
    <row r="31" spans="2:26" ht="48" customHeight="1" x14ac:dyDescent="0.25">
      <c r="B31" s="279"/>
      <c r="C31" s="352"/>
      <c r="D31" s="352"/>
      <c r="E31" s="352"/>
      <c r="F31" s="352"/>
      <c r="G31" s="355"/>
      <c r="H31" s="355"/>
      <c r="I31" s="355"/>
      <c r="J31" s="355"/>
      <c r="K31" s="355"/>
      <c r="L31" s="355"/>
      <c r="M31" s="355"/>
    </row>
    <row r="32" spans="2:26" ht="48" customHeight="1" x14ac:dyDescent="0.25">
      <c r="B32" s="279"/>
      <c r="C32" s="352"/>
      <c r="D32" s="352"/>
      <c r="E32" s="352"/>
      <c r="F32" s="352"/>
      <c r="G32" s="355"/>
      <c r="H32" s="355"/>
      <c r="I32" s="355"/>
      <c r="J32" s="355"/>
      <c r="K32" s="355"/>
      <c r="L32" s="355"/>
      <c r="M32" s="355"/>
    </row>
    <row r="33" spans="2:13" s="264" customFormat="1" ht="48" customHeight="1" x14ac:dyDescent="0.25">
      <c r="B33" s="279"/>
      <c r="C33" s="352"/>
      <c r="D33" s="352"/>
      <c r="E33" s="352"/>
      <c r="F33" s="352"/>
      <c r="G33" s="355"/>
      <c r="H33" s="355"/>
      <c r="I33" s="355"/>
      <c r="J33" s="355"/>
      <c r="K33" s="355"/>
      <c r="L33" s="355"/>
      <c r="M33" s="355"/>
    </row>
    <row r="34" spans="2:13" s="264" customFormat="1" ht="48" customHeight="1" x14ac:dyDescent="0.25">
      <c r="B34" s="279"/>
      <c r="C34" s="352"/>
      <c r="D34" s="352"/>
      <c r="E34" s="352"/>
      <c r="F34" s="352"/>
      <c r="G34" s="355"/>
      <c r="H34" s="355"/>
      <c r="I34" s="355"/>
      <c r="J34" s="355"/>
      <c r="K34" s="355"/>
      <c r="L34" s="355"/>
      <c r="M34" s="355"/>
    </row>
    <row r="35" spans="2:13" s="264" customFormat="1" ht="11.25" customHeight="1" x14ac:dyDescent="0.25">
      <c r="B35" s="267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</row>
    <row r="36" spans="2:13" s="264" customFormat="1" ht="20.100000000000001" customHeight="1" x14ac:dyDescent="0.25">
      <c r="B36" s="268" t="s">
        <v>273</v>
      </c>
      <c r="C36" s="354" t="s">
        <v>107</v>
      </c>
      <c r="D36" s="354"/>
      <c r="E36" s="354" t="s">
        <v>372</v>
      </c>
      <c r="F36" s="354"/>
      <c r="G36" s="354" t="s">
        <v>274</v>
      </c>
      <c r="H36" s="354"/>
      <c r="I36" s="354"/>
      <c r="J36" s="354"/>
      <c r="K36" s="354"/>
      <c r="L36" s="354"/>
      <c r="M36" s="354"/>
    </row>
    <row r="37" spans="2:13" s="264" customFormat="1" ht="48" customHeight="1" x14ac:dyDescent="0.25">
      <c r="B37" s="279"/>
      <c r="C37" s="352"/>
      <c r="D37" s="352"/>
      <c r="E37" s="352"/>
      <c r="F37" s="352"/>
      <c r="G37" s="355"/>
      <c r="H37" s="355"/>
      <c r="I37" s="355"/>
      <c r="J37" s="355"/>
      <c r="K37" s="355"/>
      <c r="L37" s="355"/>
      <c r="M37" s="355"/>
    </row>
    <row r="38" spans="2:13" s="264" customFormat="1" ht="48" customHeight="1" x14ac:dyDescent="0.25">
      <c r="B38" s="279"/>
      <c r="C38" s="352"/>
      <c r="D38" s="352"/>
      <c r="E38" s="352"/>
      <c r="F38" s="352"/>
      <c r="G38" s="355"/>
      <c r="H38" s="355"/>
      <c r="I38" s="355"/>
      <c r="J38" s="355"/>
      <c r="K38" s="355"/>
      <c r="L38" s="355"/>
      <c r="M38" s="355"/>
    </row>
    <row r="39" spans="2:13" s="264" customFormat="1" ht="48" customHeight="1" x14ac:dyDescent="0.25">
      <c r="B39" s="279"/>
      <c r="C39" s="352"/>
      <c r="D39" s="352"/>
      <c r="E39" s="352"/>
      <c r="F39" s="352"/>
      <c r="G39" s="355"/>
      <c r="H39" s="355"/>
      <c r="I39" s="355"/>
      <c r="J39" s="355"/>
      <c r="K39" s="355"/>
      <c r="L39" s="355"/>
      <c r="M39" s="355"/>
    </row>
    <row r="40" spans="2:13" ht="48" customHeight="1" x14ac:dyDescent="0.25">
      <c r="B40" s="279"/>
      <c r="C40" s="352"/>
      <c r="D40" s="352"/>
      <c r="E40" s="352"/>
      <c r="F40" s="352"/>
      <c r="G40" s="355"/>
      <c r="H40" s="355"/>
      <c r="I40" s="355"/>
      <c r="J40" s="355"/>
      <c r="K40" s="355"/>
      <c r="L40" s="355"/>
      <c r="M40" s="355"/>
    </row>
    <row r="41" spans="2:13" ht="48" customHeight="1" x14ac:dyDescent="0.25">
      <c r="B41" s="279"/>
      <c r="C41" s="352"/>
      <c r="D41" s="352"/>
      <c r="E41" s="352"/>
      <c r="F41" s="352"/>
      <c r="G41" s="355"/>
      <c r="H41" s="355"/>
      <c r="I41" s="355"/>
      <c r="J41" s="355"/>
      <c r="K41" s="355"/>
      <c r="L41" s="355"/>
      <c r="M41" s="355"/>
    </row>
    <row r="42" spans="2:13" ht="48" customHeight="1" x14ac:dyDescent="0.25">
      <c r="B42" s="279"/>
      <c r="C42" s="352"/>
      <c r="D42" s="352"/>
      <c r="E42" s="352"/>
      <c r="F42" s="352"/>
      <c r="G42" s="355"/>
      <c r="H42" s="355"/>
      <c r="I42" s="355"/>
      <c r="J42" s="355"/>
      <c r="K42" s="355"/>
      <c r="L42" s="355"/>
      <c r="M42" s="355"/>
    </row>
    <row r="43" spans="2:13" ht="48" customHeight="1" x14ac:dyDescent="0.25">
      <c r="B43" s="279"/>
      <c r="C43" s="352"/>
      <c r="D43" s="352"/>
      <c r="E43" s="352"/>
      <c r="F43" s="352"/>
      <c r="G43" s="355"/>
      <c r="H43" s="355"/>
      <c r="I43" s="355"/>
      <c r="J43" s="355"/>
      <c r="K43" s="355"/>
      <c r="L43" s="355"/>
      <c r="M43" s="355"/>
    </row>
    <row r="44" spans="2:13" ht="48" customHeight="1" x14ac:dyDescent="0.25">
      <c r="B44" s="279"/>
      <c r="C44" s="352"/>
      <c r="D44" s="352"/>
      <c r="E44" s="352"/>
      <c r="F44" s="352"/>
      <c r="G44" s="355"/>
      <c r="H44" s="355"/>
      <c r="I44" s="355"/>
      <c r="J44" s="355"/>
      <c r="K44" s="355"/>
      <c r="L44" s="355"/>
      <c r="M44" s="355"/>
    </row>
    <row r="45" spans="2:13" ht="48" customHeight="1" x14ac:dyDescent="0.25">
      <c r="B45" s="279"/>
      <c r="C45" s="352"/>
      <c r="D45" s="352"/>
      <c r="E45" s="352"/>
      <c r="F45" s="352"/>
      <c r="G45" s="355"/>
      <c r="H45" s="355"/>
      <c r="I45" s="355"/>
      <c r="J45" s="355"/>
      <c r="K45" s="355"/>
      <c r="L45" s="355"/>
      <c r="M45" s="355"/>
    </row>
    <row r="46" spans="2:13" ht="48" customHeight="1" x14ac:dyDescent="0.25">
      <c r="B46" s="279"/>
      <c r="C46" s="352"/>
      <c r="D46" s="352"/>
      <c r="E46" s="352"/>
      <c r="F46" s="352"/>
      <c r="G46" s="355"/>
      <c r="H46" s="355"/>
      <c r="I46" s="355"/>
      <c r="J46" s="355"/>
      <c r="K46" s="355"/>
      <c r="L46" s="355"/>
      <c r="M46" s="355"/>
    </row>
    <row r="47" spans="2:13" ht="48" customHeight="1" x14ac:dyDescent="0.25">
      <c r="B47" s="279"/>
      <c r="C47" s="352"/>
      <c r="D47" s="352"/>
      <c r="E47" s="352"/>
      <c r="F47" s="352"/>
      <c r="G47" s="355"/>
      <c r="H47" s="355"/>
      <c r="I47" s="355"/>
      <c r="J47" s="355"/>
      <c r="K47" s="355"/>
      <c r="L47" s="355"/>
      <c r="M47" s="355"/>
    </row>
    <row r="48" spans="2:13" ht="48" customHeight="1" x14ac:dyDescent="0.25">
      <c r="B48" s="279"/>
      <c r="C48" s="352"/>
      <c r="D48" s="352"/>
      <c r="E48" s="352"/>
      <c r="F48" s="352"/>
      <c r="G48" s="355"/>
      <c r="H48" s="355"/>
      <c r="I48" s="355"/>
      <c r="J48" s="355"/>
      <c r="K48" s="355"/>
      <c r="L48" s="355"/>
      <c r="M48" s="355"/>
    </row>
    <row r="49" spans="2:13" ht="48" customHeight="1" x14ac:dyDescent="0.25">
      <c r="B49" s="279"/>
      <c r="C49" s="352"/>
      <c r="D49" s="352"/>
      <c r="E49" s="352"/>
      <c r="F49" s="352"/>
      <c r="G49" s="355"/>
      <c r="H49" s="355"/>
      <c r="I49" s="355"/>
      <c r="J49" s="355"/>
      <c r="K49" s="355"/>
      <c r="L49" s="355"/>
      <c r="M49" s="355"/>
    </row>
    <row r="50" spans="2:13" ht="48" customHeight="1" x14ac:dyDescent="0.25">
      <c r="B50" s="279"/>
      <c r="C50" s="352"/>
      <c r="D50" s="352"/>
      <c r="E50" s="352"/>
      <c r="F50" s="352"/>
      <c r="G50" s="355"/>
      <c r="H50" s="355"/>
      <c r="I50" s="355"/>
      <c r="J50" s="355"/>
      <c r="K50" s="355"/>
      <c r="L50" s="355"/>
      <c r="M50" s="355"/>
    </row>
    <row r="51" spans="2:13" ht="48" customHeight="1" x14ac:dyDescent="0.25">
      <c r="B51" s="279"/>
      <c r="C51" s="352"/>
      <c r="D51" s="352"/>
      <c r="E51" s="352"/>
      <c r="F51" s="352"/>
      <c r="G51" s="355"/>
      <c r="H51" s="355"/>
      <c r="I51" s="355"/>
      <c r="J51" s="355"/>
      <c r="K51" s="355"/>
      <c r="L51" s="355"/>
      <c r="M51" s="355"/>
    </row>
  </sheetData>
  <mergeCells count="129">
    <mergeCell ref="C51:D51"/>
    <mergeCell ref="E51:F51"/>
    <mergeCell ref="G51:M51"/>
    <mergeCell ref="G47:M47"/>
    <mergeCell ref="C48:D48"/>
    <mergeCell ref="E48:F48"/>
    <mergeCell ref="G48:M48"/>
    <mergeCell ref="C49:D49"/>
    <mergeCell ref="E49:F49"/>
    <mergeCell ref="G49:M49"/>
    <mergeCell ref="G41:M41"/>
    <mergeCell ref="C42:D42"/>
    <mergeCell ref="E42:F42"/>
    <mergeCell ref="G42:M42"/>
    <mergeCell ref="C38:D38"/>
    <mergeCell ref="E38:F38"/>
    <mergeCell ref="G38:M38"/>
    <mergeCell ref="C39:D39"/>
    <mergeCell ref="C50:D50"/>
    <mergeCell ref="E50:F50"/>
    <mergeCell ref="G50:M50"/>
    <mergeCell ref="G39:M39"/>
    <mergeCell ref="C47:D47"/>
    <mergeCell ref="E47:F47"/>
    <mergeCell ref="E43:F43"/>
    <mergeCell ref="C40:D40"/>
    <mergeCell ref="E40:F40"/>
    <mergeCell ref="G33:M33"/>
    <mergeCell ref="C34:D34"/>
    <mergeCell ref="E34:F34"/>
    <mergeCell ref="G34:M34"/>
    <mergeCell ref="C37:D37"/>
    <mergeCell ref="E37:F37"/>
    <mergeCell ref="G37:M37"/>
    <mergeCell ref="C46:D46"/>
    <mergeCell ref="E46:F46"/>
    <mergeCell ref="G46:M46"/>
    <mergeCell ref="C36:D36"/>
    <mergeCell ref="E36:F36"/>
    <mergeCell ref="G36:M36"/>
    <mergeCell ref="G43:M43"/>
    <mergeCell ref="C44:D44"/>
    <mergeCell ref="E44:F44"/>
    <mergeCell ref="G44:M44"/>
    <mergeCell ref="C45:D45"/>
    <mergeCell ref="E45:F45"/>
    <mergeCell ref="G45:M45"/>
    <mergeCell ref="G40:M40"/>
    <mergeCell ref="C41:D41"/>
    <mergeCell ref="E41:F41"/>
    <mergeCell ref="C43:D43"/>
    <mergeCell ref="G30:M30"/>
    <mergeCell ref="C31:D31"/>
    <mergeCell ref="E31:F31"/>
    <mergeCell ref="G31:M31"/>
    <mergeCell ref="C32:D32"/>
    <mergeCell ref="E32:F32"/>
    <mergeCell ref="G32:M32"/>
    <mergeCell ref="C28:D28"/>
    <mergeCell ref="E28:F28"/>
    <mergeCell ref="G28:M28"/>
    <mergeCell ref="C29:D29"/>
    <mergeCell ref="E29:F29"/>
    <mergeCell ref="G29:M29"/>
    <mergeCell ref="G19:M19"/>
    <mergeCell ref="C26:D26"/>
    <mergeCell ref="E26:F26"/>
    <mergeCell ref="G26:M26"/>
    <mergeCell ref="C27:D27"/>
    <mergeCell ref="E27:F27"/>
    <mergeCell ref="G27:M27"/>
    <mergeCell ref="G22:M22"/>
    <mergeCell ref="C23:D23"/>
    <mergeCell ref="E23:F23"/>
    <mergeCell ref="G23:M23"/>
    <mergeCell ref="C24:D24"/>
    <mergeCell ref="E24:F24"/>
    <mergeCell ref="G24:M24"/>
    <mergeCell ref="C25:D25"/>
    <mergeCell ref="E25:F25"/>
    <mergeCell ref="C22:D22"/>
    <mergeCell ref="E22:F22"/>
    <mergeCell ref="G25:M25"/>
    <mergeCell ref="C33:D33"/>
    <mergeCell ref="E33:F33"/>
    <mergeCell ref="C30:D30"/>
    <mergeCell ref="E30:F30"/>
    <mergeCell ref="E39:F39"/>
    <mergeCell ref="G13:M13"/>
    <mergeCell ref="C14:D14"/>
    <mergeCell ref="E14:F14"/>
    <mergeCell ref="G14:M14"/>
    <mergeCell ref="G16:M16"/>
    <mergeCell ref="C17:D17"/>
    <mergeCell ref="E17:F17"/>
    <mergeCell ref="C20:D20"/>
    <mergeCell ref="E20:F20"/>
    <mergeCell ref="G20:M20"/>
    <mergeCell ref="C21:D21"/>
    <mergeCell ref="E21:F21"/>
    <mergeCell ref="G21:M21"/>
    <mergeCell ref="G17:M17"/>
    <mergeCell ref="C18:D18"/>
    <mergeCell ref="E18:F18"/>
    <mergeCell ref="G18:M18"/>
    <mergeCell ref="C19:D19"/>
    <mergeCell ref="E19:F19"/>
    <mergeCell ref="C8:D8"/>
    <mergeCell ref="E8:F8"/>
    <mergeCell ref="C11:M11"/>
    <mergeCell ref="C12:M12"/>
    <mergeCell ref="C15:D15"/>
    <mergeCell ref="E15:F15"/>
    <mergeCell ref="G15:M15"/>
    <mergeCell ref="C16:D16"/>
    <mergeCell ref="E16:F16"/>
    <mergeCell ref="C3:F3"/>
    <mergeCell ref="H3:I3"/>
    <mergeCell ref="J3:M3"/>
    <mergeCell ref="C6:F6"/>
    <mergeCell ref="H6:M6"/>
    <mergeCell ref="C7:F7"/>
    <mergeCell ref="H7:M7"/>
    <mergeCell ref="C5:F5"/>
    <mergeCell ref="H5:I5"/>
    <mergeCell ref="J5:M5"/>
    <mergeCell ref="C4:F4"/>
    <mergeCell ref="H4:I4"/>
    <mergeCell ref="J4:M4"/>
  </mergeCells>
  <printOptions horizontalCentered="1"/>
  <pageMargins left="0.59055118110236227" right="0.59055118110236227" top="0.98425196850393704" bottom="0.19685039370078741" header="0.39370078740157483" footer="0.19685039370078741"/>
  <pageSetup paperSize="9" scale="60" orientation="portrait" r:id="rId1"/>
  <headerFooter>
    <oddHeader>&amp;L&amp;G&amp;R&amp;G</oddHeader>
    <oddFooter>&amp;C&amp;G</oddFooter>
  </headerFooter>
  <rowBreaks count="1" manualBreakCount="1">
    <brk id="35" max="12" man="1"/>
  </row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Feuil1!$A$7:$A$18</xm:f>
          </x14:formula1>
          <xm:sqref>C8:D8</xm:sqref>
        </x14:dataValidation>
        <x14:dataValidation type="list" allowBlank="1" showInputMessage="1" showErrorMessage="1">
          <x14:formula1>
            <xm:f>Feuil1!$B$7:$B$10</xm:f>
          </x14:formula1>
          <xm:sqref>E8:F8</xm:sqref>
        </x14:dataValidation>
        <x14:dataValidation type="list" allowBlank="1" showInputMessage="1" showErrorMessage="1">
          <x14:formula1>
            <xm:f>Feuil1!$A$1:$A$5</xm:f>
          </x14:formula1>
          <xm:sqref>C7:F7</xm:sqref>
        </x14:dataValidation>
        <x14:dataValidation type="list" allowBlank="1" showInputMessage="1" showErrorMessage="1">
          <x14:formula1>
            <xm:f>'PPa2019'!$A$2:$A$201</xm:f>
          </x14:formula1>
          <xm:sqref>M1 P3</xm:sqref>
        </x14:dataValidation>
        <x14:dataValidation type="list" allowBlank="1" showInputMessage="1" showErrorMessage="1">
          <x14:formula1>
            <xm:f>LISTES!$AF$9:$AF$17</xm:f>
          </x14:formula1>
          <xm:sqref>C11:M11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CL71"/>
  <sheetViews>
    <sheetView showGridLines="0" workbookViewId="0">
      <selection activeCell="S21" sqref="S21"/>
    </sheetView>
  </sheetViews>
  <sheetFormatPr baseColWidth="10" defaultRowHeight="15" x14ac:dyDescent="0.25"/>
  <cols>
    <col min="1" max="1" width="9.85546875" customWidth="1"/>
    <col min="2" max="90" width="6.28515625" customWidth="1"/>
  </cols>
  <sheetData>
    <row r="1" spans="1:90" s="42" customFormat="1" ht="19.5" customHeight="1" x14ac:dyDescent="0.2">
      <c r="A1" s="40"/>
      <c r="B1" s="41" t="s">
        <v>18</v>
      </c>
      <c r="C1" s="137">
        <f>AVERAGE(D4:D15)</f>
        <v>0</v>
      </c>
      <c r="D1" s="1" t="s">
        <v>100</v>
      </c>
      <c r="E1" s="87" t="s">
        <v>30</v>
      </c>
      <c r="F1" s="94" t="e">
        <f>IF(AVERAGE('PPa2019'!$O$2:$O$1048576)&lt;18,"&lt; 18 ans",IF(AND(AVERAGE('PPa2019'!$O$2:$O$1048576)&gt;18,AVERAGE('PPa2019'!$O$2:$O$1048576)&lt;25),"18-25",IF(AND(AVERAGE('PPa2019'!$O$2:$O$1048576)&gt;25,AVERAGE('PPa2019'!$O$2:$O$1048576)&lt;30),"26-30",IF(AND(AVERAGE('PPa2019'!$O$2:$O$1048576)&gt;30,AVERAGE('PPa2019'!$O$2:$O$1048576)&lt;35),"31-35",IF(AND(AVERAGE('PPa2019'!$O$2:$O$1048576)&gt;35,AVERAGE('PPa2019'!$O$2:$O$1048576)&lt;40),"36-40",IF(AVERAGE('PPa2019'!$O$2:$O$1048576)&gt;40,"&gt; 40",""))))))</f>
        <v>#DIV/0!</v>
      </c>
      <c r="G1" s="95" t="s">
        <v>100</v>
      </c>
      <c r="H1" s="1"/>
      <c r="R1" s="87" t="s">
        <v>43</v>
      </c>
      <c r="S1" s="169"/>
      <c r="T1" s="168" t="s">
        <v>100</v>
      </c>
      <c r="U1" s="89"/>
      <c r="AE1" s="87" t="s">
        <v>181</v>
      </c>
      <c r="AF1" s="88"/>
      <c r="AG1" s="89"/>
      <c r="AH1" s="89"/>
      <c r="AI1" s="92"/>
      <c r="AJ1" s="92"/>
      <c r="AK1" s="92"/>
      <c r="AL1" s="92"/>
      <c r="AM1" s="92"/>
      <c r="AN1" s="92"/>
      <c r="AO1" s="92"/>
      <c r="AP1" s="87" t="s">
        <v>92</v>
      </c>
      <c r="AQ1" s="88"/>
      <c r="AR1" s="89"/>
      <c r="AS1" s="89"/>
      <c r="AT1" s="92"/>
      <c r="AU1" s="92"/>
      <c r="AV1" s="92"/>
      <c r="AW1" s="92"/>
      <c r="AX1" s="92"/>
      <c r="AY1" s="93" t="s">
        <v>51</v>
      </c>
      <c r="AZ1" s="88"/>
      <c r="BA1" s="89"/>
      <c r="BB1" s="89"/>
      <c r="BC1" s="89"/>
      <c r="BD1" s="89"/>
      <c r="BE1" s="89"/>
      <c r="BF1" s="89"/>
      <c r="BG1" s="89"/>
      <c r="BH1" s="89"/>
      <c r="BI1" s="92"/>
      <c r="BJ1" s="92"/>
      <c r="BK1" s="92"/>
      <c r="BL1" s="92"/>
      <c r="BM1" s="92"/>
      <c r="BN1" s="92"/>
      <c r="BO1" s="92"/>
      <c r="BP1" s="93" t="s">
        <v>182</v>
      </c>
      <c r="BQ1" s="88"/>
      <c r="BR1" s="89"/>
      <c r="BS1" s="89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</row>
    <row r="2" spans="1:90" x14ac:dyDescent="0.25">
      <c r="A2" s="80"/>
      <c r="B2" s="78"/>
      <c r="C2" s="78"/>
      <c r="D2" s="79"/>
      <c r="E2" s="358" t="s">
        <v>68</v>
      </c>
      <c r="F2" s="359"/>
      <c r="G2" s="358" t="s">
        <v>69</v>
      </c>
      <c r="H2" s="359"/>
      <c r="I2" s="358" t="s">
        <v>70</v>
      </c>
      <c r="J2" s="359"/>
      <c r="K2" s="358" t="s">
        <v>71</v>
      </c>
      <c r="L2" s="359"/>
      <c r="M2" s="358" t="s">
        <v>72</v>
      </c>
      <c r="N2" s="359"/>
      <c r="O2" s="358" t="s">
        <v>73</v>
      </c>
      <c r="P2" s="359"/>
      <c r="Q2" s="360" t="s">
        <v>86</v>
      </c>
      <c r="R2" s="358">
        <v>6</v>
      </c>
      <c r="S2" s="359"/>
      <c r="T2" s="358">
        <v>5</v>
      </c>
      <c r="U2" s="359"/>
      <c r="V2" s="358">
        <v>4</v>
      </c>
      <c r="W2" s="359"/>
      <c r="X2" s="358">
        <v>3</v>
      </c>
      <c r="Y2" s="359"/>
      <c r="Z2" s="358">
        <v>2</v>
      </c>
      <c r="AA2" s="359"/>
      <c r="AB2" s="358">
        <v>1</v>
      </c>
      <c r="AC2" s="359"/>
      <c r="AD2" s="360" t="s">
        <v>86</v>
      </c>
      <c r="AE2" s="358" t="s">
        <v>87</v>
      </c>
      <c r="AF2" s="359"/>
      <c r="AG2" s="358" t="s">
        <v>88</v>
      </c>
      <c r="AH2" s="359"/>
      <c r="AI2" s="358" t="s">
        <v>89</v>
      </c>
      <c r="AJ2" s="359"/>
      <c r="AK2" s="358" t="s">
        <v>261</v>
      </c>
      <c r="AL2" s="359"/>
      <c r="AM2" s="358" t="s">
        <v>123</v>
      </c>
      <c r="AN2" s="359"/>
      <c r="AO2" s="360" t="s">
        <v>86</v>
      </c>
      <c r="AP2" s="358" t="s">
        <v>95</v>
      </c>
      <c r="AQ2" s="359"/>
      <c r="AR2" s="358" t="s">
        <v>96</v>
      </c>
      <c r="AS2" s="359"/>
      <c r="AT2" s="358" t="s">
        <v>97</v>
      </c>
      <c r="AU2" s="359"/>
      <c r="AV2" s="358" t="s">
        <v>94</v>
      </c>
      <c r="AW2" s="359"/>
      <c r="AX2" s="360" t="s">
        <v>86</v>
      </c>
      <c r="AY2" s="358" t="s">
        <v>101</v>
      </c>
      <c r="AZ2" s="359"/>
      <c r="BA2" s="358" t="s">
        <v>117</v>
      </c>
      <c r="BB2" s="359"/>
      <c r="BC2" s="358" t="s">
        <v>118</v>
      </c>
      <c r="BD2" s="359"/>
      <c r="BE2" s="358" t="s">
        <v>119</v>
      </c>
      <c r="BF2" s="359"/>
      <c r="BG2" s="358" t="s">
        <v>102</v>
      </c>
      <c r="BH2" s="359"/>
      <c r="BI2" s="358" t="s">
        <v>103</v>
      </c>
      <c r="BJ2" s="359"/>
      <c r="BK2" s="358" t="s">
        <v>120</v>
      </c>
      <c r="BL2" s="359"/>
      <c r="BM2" s="358" t="s">
        <v>104</v>
      </c>
      <c r="BN2" s="359"/>
      <c r="BO2" s="360" t="s">
        <v>86</v>
      </c>
      <c r="BP2" s="358" t="s">
        <v>143</v>
      </c>
      <c r="BQ2" s="359"/>
      <c r="BR2" s="358" t="s">
        <v>141</v>
      </c>
      <c r="BS2" s="359"/>
      <c r="BT2" s="358" t="s">
        <v>140</v>
      </c>
      <c r="BU2" s="359"/>
      <c r="BV2" s="358" t="s">
        <v>183</v>
      </c>
      <c r="BW2" s="359"/>
      <c r="BX2" s="358" t="s">
        <v>179</v>
      </c>
      <c r="BY2" s="359"/>
      <c r="BZ2" s="358" t="s">
        <v>184</v>
      </c>
      <c r="CA2" s="359"/>
      <c r="CB2" s="358" t="s">
        <v>180</v>
      </c>
      <c r="CC2" s="359"/>
      <c r="CD2" s="358" t="s">
        <v>170</v>
      </c>
      <c r="CE2" s="359"/>
      <c r="CF2" s="358" t="s">
        <v>185</v>
      </c>
      <c r="CG2" s="359"/>
      <c r="CH2" s="358" t="s">
        <v>59</v>
      </c>
      <c r="CI2" s="359"/>
      <c r="CJ2" s="358" t="s">
        <v>123</v>
      </c>
      <c r="CK2" s="359"/>
      <c r="CL2" s="360" t="s">
        <v>86</v>
      </c>
    </row>
    <row r="3" spans="1:90" x14ac:dyDescent="0.25">
      <c r="A3" s="39"/>
      <c r="B3" s="33" t="s">
        <v>90</v>
      </c>
      <c r="C3" s="33" t="s">
        <v>91</v>
      </c>
      <c r="D3" s="36" t="s">
        <v>86</v>
      </c>
      <c r="E3" s="33" t="s">
        <v>90</v>
      </c>
      <c r="F3" s="33" t="s">
        <v>91</v>
      </c>
      <c r="G3" s="33" t="s">
        <v>90</v>
      </c>
      <c r="H3" s="33" t="s">
        <v>91</v>
      </c>
      <c r="I3" s="33" t="s">
        <v>90</v>
      </c>
      <c r="J3" s="33" t="s">
        <v>91</v>
      </c>
      <c r="K3" s="33" t="s">
        <v>90</v>
      </c>
      <c r="L3" s="33" t="s">
        <v>91</v>
      </c>
      <c r="M3" s="33" t="s">
        <v>90</v>
      </c>
      <c r="N3" s="33" t="s">
        <v>91</v>
      </c>
      <c r="O3" s="33" t="s">
        <v>90</v>
      </c>
      <c r="P3" s="33" t="s">
        <v>91</v>
      </c>
      <c r="Q3" s="361"/>
      <c r="R3" s="33" t="s">
        <v>90</v>
      </c>
      <c r="S3" s="33" t="s">
        <v>91</v>
      </c>
      <c r="T3" s="33" t="s">
        <v>90</v>
      </c>
      <c r="U3" s="33" t="s">
        <v>91</v>
      </c>
      <c r="V3" s="33" t="s">
        <v>90</v>
      </c>
      <c r="W3" s="33" t="s">
        <v>91</v>
      </c>
      <c r="X3" s="33" t="s">
        <v>90</v>
      </c>
      <c r="Y3" s="33" t="s">
        <v>91</v>
      </c>
      <c r="Z3" s="33" t="s">
        <v>90</v>
      </c>
      <c r="AA3" s="33" t="s">
        <v>91</v>
      </c>
      <c r="AB3" s="33" t="s">
        <v>90</v>
      </c>
      <c r="AC3" s="33" t="s">
        <v>91</v>
      </c>
      <c r="AD3" s="361"/>
      <c r="AE3" s="33" t="s">
        <v>90</v>
      </c>
      <c r="AF3" s="33" t="s">
        <v>91</v>
      </c>
      <c r="AG3" s="33" t="s">
        <v>90</v>
      </c>
      <c r="AH3" s="33" t="s">
        <v>91</v>
      </c>
      <c r="AI3" s="33" t="s">
        <v>90</v>
      </c>
      <c r="AJ3" s="33" t="s">
        <v>91</v>
      </c>
      <c r="AK3" s="102" t="s">
        <v>90</v>
      </c>
      <c r="AL3" s="102" t="s">
        <v>91</v>
      </c>
      <c r="AM3" s="102" t="s">
        <v>90</v>
      </c>
      <c r="AN3" s="102" t="s">
        <v>91</v>
      </c>
      <c r="AO3" s="361"/>
      <c r="AP3" s="33" t="s">
        <v>90</v>
      </c>
      <c r="AQ3" s="33" t="s">
        <v>91</v>
      </c>
      <c r="AR3" s="33" t="s">
        <v>90</v>
      </c>
      <c r="AS3" s="33" t="s">
        <v>91</v>
      </c>
      <c r="AT3" s="33" t="s">
        <v>90</v>
      </c>
      <c r="AU3" s="33" t="s">
        <v>91</v>
      </c>
      <c r="AV3" s="33" t="s">
        <v>90</v>
      </c>
      <c r="AW3" s="33" t="s">
        <v>91</v>
      </c>
      <c r="AX3" s="361"/>
      <c r="AY3" s="33" t="s">
        <v>90</v>
      </c>
      <c r="AZ3" s="33" t="s">
        <v>91</v>
      </c>
      <c r="BA3" s="102" t="s">
        <v>90</v>
      </c>
      <c r="BB3" s="102" t="s">
        <v>91</v>
      </c>
      <c r="BC3" s="102" t="s">
        <v>90</v>
      </c>
      <c r="BD3" s="102" t="s">
        <v>91</v>
      </c>
      <c r="BE3" s="102" t="s">
        <v>90</v>
      </c>
      <c r="BF3" s="102" t="s">
        <v>91</v>
      </c>
      <c r="BG3" s="33" t="s">
        <v>90</v>
      </c>
      <c r="BH3" s="33" t="s">
        <v>91</v>
      </c>
      <c r="BI3" s="33" t="s">
        <v>90</v>
      </c>
      <c r="BJ3" s="33" t="s">
        <v>91</v>
      </c>
      <c r="BK3" s="102" t="s">
        <v>90</v>
      </c>
      <c r="BL3" s="102" t="s">
        <v>91</v>
      </c>
      <c r="BM3" s="33" t="s">
        <v>90</v>
      </c>
      <c r="BN3" s="33" t="s">
        <v>91</v>
      </c>
      <c r="BO3" s="361"/>
      <c r="BP3" s="33" t="s">
        <v>90</v>
      </c>
      <c r="BQ3" s="33" t="s">
        <v>91</v>
      </c>
      <c r="BR3" s="33" t="s">
        <v>90</v>
      </c>
      <c r="BS3" s="33" t="s">
        <v>91</v>
      </c>
      <c r="BT3" s="33" t="s">
        <v>90</v>
      </c>
      <c r="BU3" s="33" t="s">
        <v>91</v>
      </c>
      <c r="BV3" s="33" t="s">
        <v>90</v>
      </c>
      <c r="BW3" s="33" t="s">
        <v>91</v>
      </c>
      <c r="BX3" s="33" t="s">
        <v>90</v>
      </c>
      <c r="BY3" s="33" t="s">
        <v>91</v>
      </c>
      <c r="BZ3" s="33" t="s">
        <v>90</v>
      </c>
      <c r="CA3" s="33" t="s">
        <v>91</v>
      </c>
      <c r="CB3" s="33" t="s">
        <v>90</v>
      </c>
      <c r="CC3" s="33" t="s">
        <v>91</v>
      </c>
      <c r="CD3" s="33" t="s">
        <v>90</v>
      </c>
      <c r="CE3" s="33" t="s">
        <v>91</v>
      </c>
      <c r="CF3" s="33" t="s">
        <v>90</v>
      </c>
      <c r="CG3" s="33" t="s">
        <v>91</v>
      </c>
      <c r="CH3" s="33" t="s">
        <v>90</v>
      </c>
      <c r="CI3" s="33" t="s">
        <v>91</v>
      </c>
      <c r="CJ3" s="33" t="s">
        <v>90</v>
      </c>
      <c r="CK3" s="33" t="s">
        <v>91</v>
      </c>
      <c r="CL3" s="361"/>
    </row>
    <row r="4" spans="1:90" x14ac:dyDescent="0.25">
      <c r="A4" s="31" t="s">
        <v>74</v>
      </c>
      <c r="B4" s="118">
        <f>COUNTIFS('PPa2019'!$AP$2:$AP$201,"&gt;31/12/2018",'PPa2019'!$AP$2:$AP$201,"&lt;01/02/2019",'PPa2019'!$P$2:$P$201,"H")</f>
        <v>0</v>
      </c>
      <c r="C4" s="118">
        <f>COUNTIFS('PPa2019'!$AP$2:$AP$201,"&gt;31/12/2018",'PPa2019'!$AP$2:$AP$201,"&lt;01/02/2019",'PPa2019'!$P$2:$P$201,"F")</f>
        <v>0</v>
      </c>
      <c r="D4" s="38">
        <f>SUM(B4,C4)</f>
        <v>0</v>
      </c>
      <c r="E4" s="118">
        <f>COUNTIFS('PPa2019'!$AP$2:$AP$201,"&gt;31/12/2018",'PPa2019'!$AP$2:$AP$201,"&lt;01/02/2019",'PPa2019'!$P$2:$P$201,"H",'PPa2019'!$O$2:$O$201,"&lt;18")</f>
        <v>0</v>
      </c>
      <c r="F4" s="118">
        <f>COUNTIFS('PPa2019'!$AP$2:$AP$201,"&gt;31/12/2018",'PPa2019'!$AP$2:$AP$201,"&lt;01/02/2019",'PPa2019'!$P$2:$P$201,"F",'PPa2019'!$O$2:$O$201,"&lt;18")</f>
        <v>0</v>
      </c>
      <c r="G4" s="118">
        <f>COUNTIFS('PPa2019'!$AP$2:$AP$201,"&gt;31/12/2018",'PPa2019'!$AP$2:$AP$201,"&lt;01/02/2019",'PPa2019'!$P$2:$P$201,"H",'PPa2019'!$O$2:$O$201,"&gt;18",'PPa2019'!$O$2:$O$201,"&lt;26")</f>
        <v>0</v>
      </c>
      <c r="H4" s="118">
        <f>COUNTIFS('PPa2019'!$AP$2:$AP$201,"&gt;31/12/2018",'PPa2019'!$AP$2:$AP$201,"&lt;01/02/2019",'PPa2019'!$P$2:$P$201,"F",'PPa2019'!$O$2:$O$201,"&gt;18",'PPa2019'!$O$2:$O$201,"&lt;26")</f>
        <v>0</v>
      </c>
      <c r="I4" s="118">
        <f>COUNTIFS('PPa2019'!$AP$2:$AP$201,"&gt;31/12/2018",'PPa2019'!$AP$2:$AP$201,"&lt;01/02/2019",'PPa2019'!$P$2:$P$201,"H",'PPa2019'!$O$2:$O$201,"&gt;26",'PPa2019'!$O$2:$O$201,"&lt;31")</f>
        <v>0</v>
      </c>
      <c r="J4" s="118">
        <f>COUNTIFS('PPa2019'!$AP$2:$AP$201,"&gt;31/12/2018",'PPa2019'!$AP$2:$AP$201,"&lt;01/02/2019",'PPa2019'!$P$2:$P$201,"F",'PPa2019'!$O$2:$O$201,"&gt;26",'PPa2019'!$O$2:$O$201,"&lt;31")</f>
        <v>0</v>
      </c>
      <c r="K4" s="118">
        <f>COUNTIFS('PPa2019'!$AP$2:$AP$201,"&gt;31/12/2018",'PPa2019'!$AP$2:$AP$201,"&lt;01/02/2019",'PPa2019'!$P$2:$P$201,"H",'PPa2019'!$O$2:$O$201,"&gt;31",'PPa2019'!$O$2:$O$201,"&lt;36")</f>
        <v>0</v>
      </c>
      <c r="L4" s="118">
        <f>COUNTIFS('PPa2019'!$AP$2:$AP$201,"&gt;31/12/2018",'PPa2019'!$AP$2:$AP$201,"&lt;01/02/2019",'PPa2019'!$P$2:$P$201,"F",'PPa2019'!$O$2:$O$201,"&gt;31",'PPa2019'!$O$2:$O$201,"&lt;36")</f>
        <v>0</v>
      </c>
      <c r="M4" s="118">
        <f>COUNTIFS('PPa2019'!$AP$2:$AP$201,"&gt;31/12/2018",'PPa2019'!$AP$2:$AP$201,"&lt;01/02/2019",'PPa2019'!$P$2:$P$201,"H",'PPa2019'!$O$2:$O$201,"&gt;36",'PPa2019'!$O$2:$O$201,"&lt;41")</f>
        <v>0</v>
      </c>
      <c r="N4" s="118">
        <f>COUNTIFS('PPa2019'!$AP$2:$AP$201,"&gt;31/12/2018",'PPa2019'!$AP$2:$AP$201,"&lt;01/02/2019",'PPa2019'!$P$2:$P$201,"F",'PPa2019'!$O$2:$O$201,"&gt;36",'PPa2019'!$O$2:$O$201,"&lt;41")</f>
        <v>0</v>
      </c>
      <c r="O4" s="118">
        <f>COUNTIFS('PPa2019'!$AP$2:$AP$201,"&gt;31/12/2018",'PPa2019'!$AP$2:$AP$201,"&lt;01/02/2019",'PPa2019'!$P$2:$P$201,"H",'PPa2019'!$O$2:$O$201,"&gt;40")</f>
        <v>0</v>
      </c>
      <c r="P4" s="118">
        <f>COUNTIFS('PPa2019'!$AP$2:$AP$201,"&gt;31/12/2018",'PPa2019'!$AP$2:$AP$201,"&lt;01/02/2019",'PPa2019'!$P$2:$P$201,"F",'PPa2019'!$O$2:$O$201,"&gt;40")</f>
        <v>0</v>
      </c>
      <c r="Q4" s="38">
        <f t="shared" ref="Q4:Q15" si="0">SUM(F4:P4)</f>
        <v>0</v>
      </c>
      <c r="R4" s="118">
        <f>COUNTIFS('PPa2019'!$AP$2:$AP$201,"&gt;31/12/2018",'PPa2019'!$AP$2:$AP$201,"&lt;01/02/2019",'PPa2019'!$P$2:$P$201,"H",'PPa2019'!$AC$2:$AC$201,6)</f>
        <v>0</v>
      </c>
      <c r="S4" s="118">
        <f>COUNTIFS('PPa2019'!$AP$2:$AP$201,"&gt;31/12/2018",'PPa2019'!$AP$2:$AP$201,"&lt;01/02/2019",'PPa2019'!$P$2:$P$201,"F",'PPa2019'!$AC$2:$AC$201,6)</f>
        <v>0</v>
      </c>
      <c r="T4" s="118">
        <f>COUNTIFS('PPa2019'!$AP$2:$AP$201,"&gt;31/12/2018",'PPa2019'!$AP$2:$AP$201,"&lt;01/02/2019",'PPa2019'!$P$2:$P$201,"H",'PPa2019'!$AC$2:$AC$201,5)</f>
        <v>0</v>
      </c>
      <c r="U4" s="118">
        <f>COUNTIFS('PPa2019'!$AP$2:$AP$201,"&gt;31/12/2018",'PPa2019'!$AP$2:$AP$201,"&lt;01/02/2019",'PPa2019'!$P$2:$P$201,"F",'PPa2019'!$AC$2:$AC$201,5)</f>
        <v>0</v>
      </c>
      <c r="V4" s="118">
        <f>COUNTIFS('PPa2019'!$AP$2:$AP$201,"&gt;31/12/2018",'PPa2019'!$AP$2:$AP$201,"&lt;01/02/2019",'PPa2019'!$P$2:$P$201,"H",'PPa2019'!$AC$2:$AC$201,4)</f>
        <v>0</v>
      </c>
      <c r="W4" s="118">
        <f>COUNTIFS('PPa2019'!$AP$2:$AP$201,"&gt;31/12/2018",'PPa2019'!$AP$2:$AP$201,"&lt;01/02/2019",'PPa2019'!$P$2:$P$201,"F",'PPa2019'!$AC$2:$AC$201,4)</f>
        <v>0</v>
      </c>
      <c r="X4" s="118">
        <f>COUNTIFS('PPa2019'!$AP$2:$AP$201,"&gt;31/12/2018",'PPa2019'!$AP$2:$AP$201,"&lt;01/02/2019",'PPa2019'!$P$2:$P$201,"H",'PPa2019'!$AC$2:$AC$201,3)</f>
        <v>0</v>
      </c>
      <c r="Y4" s="118">
        <f>COUNTIFS('PPa2019'!$AP$2:$AP$201,"&gt;31/12/2018",'PPa2019'!$AP$2:$AP$201,"&lt;01/02/2019",'PPa2019'!$P$2:$P$201,"F",'PPa2019'!$AC$2:$AC$201,3)</f>
        <v>0</v>
      </c>
      <c r="Z4" s="118">
        <f>COUNTIFS('PPa2019'!$AP$2:$AP$201,"&gt;31/12/2018",'PPa2019'!$AP$2:$AP$201,"&lt;01/02/2019",'PPa2019'!$P$2:$P$201,"H",'PPa2019'!$AC$2:$AC$201,2)</f>
        <v>0</v>
      </c>
      <c r="AA4" s="118">
        <f>COUNTIFS('PPa2019'!$AP$2:$AP$201,"&gt;31/12/2018",'PPa2019'!$AP$2:$AP$201,"&lt;01/02/2019",'PPa2019'!$P$2:$P$201,"F",'PPa2019'!$AC$2:$AC$201,2)</f>
        <v>0</v>
      </c>
      <c r="AB4" s="118">
        <f>COUNTIFS('PPa2019'!$AP$2:$AP$201,"&gt;31/12/2018",'PPa2019'!$AP$2:$AP$201,"&lt;01/02/2019",'PPa2019'!$P$2:$P$201,"H",'PPa2019'!$AC$2:$AC$201,1)</f>
        <v>0</v>
      </c>
      <c r="AC4" s="118">
        <f>COUNTIFS('PPa2019'!$AP$2:$AP$201,"&gt;31/12/2018",'PPa2019'!$AP$2:$AP$201,"&lt;01/02/2019",'PPa2019'!$P$2:$P$201,"F",'PPa2019'!$AC$2:$AC$201,1)</f>
        <v>0</v>
      </c>
      <c r="AD4" s="38">
        <f t="shared" ref="AD4:AD15" si="1">SUM(R4:AB4)</f>
        <v>0</v>
      </c>
      <c r="AE4" s="118" t="e">
        <f>COUNTIFS('PPa2019'!$AP$2:$AP$201,"&gt;31/12/2018",'PPa2019'!$AP$2:$AP$201,"&lt;01/02/2019",'PPa2019'!$P$2:$P$201,"H",'PPa2019'!#REF!,"CCLES")</f>
        <v>#REF!</v>
      </c>
      <c r="AF4" s="118" t="e">
        <f>COUNTIFS('PPa2019'!$AP$2:$AP$201,"&gt;31/12/2018",'PPa2019'!$AP$2:$AP$201,"&lt;01/02/2019",'PPa2019'!$P$2:$P$201,"F",'PPa2019'!#REF!,"CCLES")</f>
        <v>#REF!</v>
      </c>
      <c r="AG4" s="118">
        <f>COUNTIFS('PPa2019'!$AP$2:$AP$201,"&gt;31/12/2018",'PPa2019'!$AP$2:$AP$201,"&lt;01/02/2019",'PPa2019'!$P$2:$P$201,"H",'PPa2019'!$Y$2:$Y$201,"SALARIÉ")</f>
        <v>0</v>
      </c>
      <c r="AH4" s="118">
        <f>COUNTIFS('PPa2019'!$AP$2:$AP$201,"&gt;31/12/2018",'PPa2019'!$AP$2:$AP$201,"&lt;01/02/2019",'PPa2019'!$P$2:$P$201,"F",'PPa2019'!$Y$2:$Y$201,"SALARIÉ")</f>
        <v>0</v>
      </c>
      <c r="AI4" s="118">
        <f>COUNTIFS('PPa2019'!$AP$2:$AP$201,"&gt;31/12/2018",'PPa2019'!$AP$2:$AP$201,"&lt;01/02/2019",'PPa2019'!$P$2:$P$201,"H",'PPa2019'!$Y$2:$Y$201,"ÉTUDIANT")</f>
        <v>0</v>
      </c>
      <c r="AJ4" s="118">
        <f>COUNTIFS('PPa2019'!$AP$2:$AP$201,"&gt;31/12/2018",'PPa2019'!$AP$2:$AP$201,"&lt;01/02/2019",'PPa2019'!$P$2:$P$201,"F",'PPa2019'!$Y$2:$Y$201,"ÉTUDIANT")</f>
        <v>0</v>
      </c>
      <c r="AK4" s="118">
        <f>COUNTIFS('PPa2019'!$AP$2:$AP$201,"&gt;31/12/2018",'PPa2019'!$AP$2:$AP$201,"&lt;01/02/2019",'PPa2019'!$P$2:$P$201,"H",'PPa2019'!$Y$2:$Y$201,"RE")</f>
        <v>0</v>
      </c>
      <c r="AL4" s="118">
        <f>COUNTIFS('PPa2019'!$AP$2:$AP$201,"&gt;31/12/2018",'PPa2019'!$AP$2:$AP$201,"&lt;01/02/2019",'PPa2019'!$P$2:$P$201,"F",'PPa2019'!$Y$2:$Y$201,"RE")</f>
        <v>0</v>
      </c>
      <c r="AM4" s="118">
        <f>COUNTIFS('PPa2019'!$AP$2:$AP$201,"&gt;31/12/2018",'PPa2019'!$AP$2:$AP$201,"&lt;01/02/2019",'PPa2019'!$P$2:$P$201,"H",'PPa2019'!$Y$2:$Y$201,"AUTRE")</f>
        <v>0</v>
      </c>
      <c r="AN4" s="118">
        <f>COUNTIFS('PPa2019'!$AP$2:$AP$201,"&gt;31/12/2018",'PPa2019'!$AP$2:$AP$201,"&lt;01/02/2019",'PPa2019'!$P$2:$P$201,"F",'PPa2019'!$Y$2:$Y$201,"AUTRE")</f>
        <v>0</v>
      </c>
      <c r="AO4" s="38" t="e">
        <f>SUM(AE4:AN4)</f>
        <v>#REF!</v>
      </c>
      <c r="AP4" s="118">
        <f>COUNTIFS('PPa2019'!$AP$2:$AP$201,"&gt;31/12/2018",'PPa2019'!$AP$2:$AP$201,"&lt;01/02/2019",'PPa2019'!$P$2:$P$201,"H",'PPa2019'!$AA$2:$AA$201,"&gt;"&amp;EDATE('PPa2019'!$AP2,-6))</f>
        <v>0</v>
      </c>
      <c r="AQ4" s="118">
        <f>COUNTIFS('PPa2019'!$AP$2:$AP$201,"&gt;31/12/2018",'PPa2019'!$AP$2:$AP$201,"&lt;01/02/2019",'PPa2019'!$P$2:$P$201,"F",'PPa2019'!$AA$2:$AA$201,"&gt;"&amp;EDATE('PPa2019'!$AP2,-6))</f>
        <v>0</v>
      </c>
      <c r="AR4" s="118">
        <f>COUNTIFS('PPa2019'!$AP$2:$AP$201,"&gt;31/12/2018",'PPa2019'!$AP$2:$AP$201,"&lt;01/02/2019",'PPa2019'!$P$2:$P$201,"H",'PPa2019'!$AA$2:$AA$201,"&lt;"&amp;EDATE('PPa2019'!$AP2,-6),'PPa2019'!$AA$2:$AA$201,"&gt;"&amp;EDATE('PPa2019'!$AP2,-11))</f>
        <v>0</v>
      </c>
      <c r="AS4" s="118">
        <f>COUNTIFS('PPa2019'!$AP$2:$AP$201,"&gt;31/12/2018",'PPa2019'!$AP$2:$AP$201,"&lt;01/02/2019",'PPa2019'!$P$2:$P$201,"F",'PPa2019'!$AA$2:$AA$201,"&lt;"&amp;EDATE('PPa2019'!$AP2,-6),'PPa2019'!$AA$2:$AA$201,"&gt;"&amp;EDATE('PPa2019'!$AP2,-11))</f>
        <v>0</v>
      </c>
      <c r="AT4" s="118">
        <f>COUNTIFS('PPa2019'!$AP$2:$AP$201,"&gt;31/12/2018",'PPa2019'!$AP$2:$AP$201,"&lt;01/02/2019",'PPa2019'!$P$2:$P$201,"H",'PPa2019'!$AA$2:$AA$201,"&lt;"&amp;EDATE('PPa2019'!$AP2,-11),'PPa2019'!$AA$2:$AA$201,"&gt;"&amp;EDATE('PPa2019'!$AP2,-23))</f>
        <v>0</v>
      </c>
      <c r="AU4" s="118">
        <f>COUNTIFS('PPa2019'!$AP$2:$AP$201,"&gt;31/12/2018",'PPa2019'!$AP$2:$AP$201,"&lt;01/02/2019",'PPa2019'!$P$2:$P$201,"F",'PPa2019'!$AA$2:$AA$201,"&lt;"&amp;EDATE('PPa2019'!$AP2,-11),'PPa2019'!$AA$2:$AA$201,"&gt;"&amp;EDATE('PPa2019'!$AP2,-23))</f>
        <v>0</v>
      </c>
      <c r="AV4" s="118">
        <f>COUNTIFS('PPa2019'!$AP$2:$AP$201,"&gt;31/12/2018",'PPa2019'!$AP$2:$AP$201,"&lt;01/02/2019",'PPa2019'!$P$2:$P$201,"H",'PPa2019'!$AA$2:$AA$201,"&lt;"&amp;EDATE('PPa2019'!$AP2,-23))</f>
        <v>0</v>
      </c>
      <c r="AW4" s="118">
        <f>COUNTIFS('PPa2019'!$AP$2:$AP$201,"&gt;31/12/2018",'PPa2019'!$AP$2:$AP$201,"&lt;01/02/2019",'PPa2019'!$P$2:$P$201,"F",'PPa2019'!$AA$2:$AA$201,"&lt;"&amp;EDATE('PPa2019'!$AP2,-23))</f>
        <v>0</v>
      </c>
      <c r="AX4" s="38">
        <f>SUM(AP4:AV4)</f>
        <v>0</v>
      </c>
      <c r="AY4" s="118">
        <f>COUNTIFS('PPa2019'!$AP$2:$AP$201,"&gt;31/12/2018",'PPa2019'!$AP$2:$AP$201,"&lt;01/02/2019",'PPa2019'!$P$2:$P$201,"H",'PPa2019'!$T$2:$T$201,"Voiture")</f>
        <v>0</v>
      </c>
      <c r="AZ4" s="118">
        <f>COUNTIFS('PPa2019'!$AP$2:$AP$201,"&gt;31/12/2018",'PPa2019'!$AP$2:$AP$201,"&lt;01/02/2019",'PPa2019'!$P$2:$P$201,"F",'PPa2019'!$T$2:$T$201,"Voiture")</f>
        <v>0</v>
      </c>
      <c r="BA4" s="118">
        <f>COUNTIFS('PPa2019'!$AP$2:$AP$201,"&gt;31/12/2018",'PPa2019'!$AP$2:$AP$201,"&lt;01/02/2019",'PPa2019'!$P$2:$P$201,"H",'PPa2019'!$T$2:$T$201,"Moto")</f>
        <v>0</v>
      </c>
      <c r="BB4" s="118">
        <f>COUNTIFS('PPa2019'!$AP$2:$AP$201,"&gt;31/12/2018",'PPa2019'!$AP$2:$AP$201,"&lt;01/02/2019",'PPa2019'!$P$2:$P$201,"F",'PPa2019'!$T$2:$T$201,"Moto")</f>
        <v>0</v>
      </c>
      <c r="BC4" s="118">
        <f>COUNTIFS('PPa2019'!$AP$2:$AP$201,"&gt;31/12/2018",'PPa2019'!$AP$2:$AP$201,"&lt;01/02/2019",'PPa2019'!$P$2:$P$201,"H",'PPa2019'!$T$2:$T$201,"Scooter")</f>
        <v>0</v>
      </c>
      <c r="BD4" s="118">
        <f>COUNTIFS('PPa2019'!$AP$2:$AP$201,"&gt;31/12/2018",'PPa2019'!$AP$2:$AP$201,"&lt;01/02/2019",'PPa2019'!$P$2:$P$201,"F",'PPa2019'!$T$2:$T$201,"Scooter")</f>
        <v>0</v>
      </c>
      <c r="BE4" s="118">
        <f>COUNTIFS('PPa2019'!$AP$2:$AP$201,"&gt;31/12/2018",'PPa2019'!$AP$2:$AP$201,"&lt;01/02/2019",'PPa2019'!$P$2:$P$201,"H",'PPa2019'!$T$2:$T$201,"Vélo")</f>
        <v>0</v>
      </c>
      <c r="BF4" s="118">
        <f>COUNTIFS('PPa2019'!$AP$2:$AP$201,"&gt;31/12/2018",'PPa2019'!$AP$2:$AP$201,"&lt;01/02/2019",'PPa2019'!$P$2:$P$201,"F",'PPa2019'!$T$2:$T$201,"Vélo")</f>
        <v>0</v>
      </c>
      <c r="BG4" s="118">
        <f>COUNTIFS('PPa2019'!$AP$2:$AP$201,"&gt;31/12/2018",'PPa2019'!$AP$2:$AP$201,"&lt;01/02/2019",'PPa2019'!$P$2:$P$201,"H",'PPa2019'!$T$2:$T$201,"Bus")</f>
        <v>0</v>
      </c>
      <c r="BH4" s="118">
        <f>COUNTIFS('PPa2019'!$AP$2:$AP$201,"&gt;31/12/2018",'PPa2019'!$AP$2:$AP$201,"&lt;01/02/2019",'PPa2019'!$P$2:$P$201,"F",'PPa2019'!$T$2:$T$201,"Bus")</f>
        <v>0</v>
      </c>
      <c r="BI4" s="118">
        <f>COUNTIFS('PPa2019'!$AP$2:$AP$201,"&gt;31/12/2018",'PPa2019'!$AP$2:$AP$201,"&lt;01/02/2019",'PPa2019'!$P$2:$P$201,"H",'PPa2019'!$T$2:$T$201,"Covoiturage")</f>
        <v>0</v>
      </c>
      <c r="BJ4" s="118">
        <f>COUNTIFS('PPa2019'!$AP$2:$AP$201,"&gt;31/12/2018",'PPa2019'!$AP$2:$AP$201,"&lt;01/02/2019",'PPa2019'!$P$2:$P$201,"F",'PPa2019'!$T$2:$T$201,"Covoiturage")</f>
        <v>0</v>
      </c>
      <c r="BK4" s="118">
        <f>COUNTIFS('PPa2019'!$AP$2:$AP$201,"&gt;31/12/2018",'PPa2019'!$AP$2:$AP$201,"&lt;01/02/2019",'PPa2019'!$P$2:$P$201,"H",'PPa2019'!$T$2:$T$201,"Plusieurs")</f>
        <v>0</v>
      </c>
      <c r="BL4" s="118">
        <f>COUNTIFS('PPa2019'!$AP$2:$AP$201,"&gt;31/12/2018",'PPa2019'!$AP$2:$AP$201,"&lt;01/02/2019",'PPa2019'!$P$2:$P$201,"F",'PPa2019'!$T$2:$T$201,"Plusieurs")</f>
        <v>0</v>
      </c>
      <c r="BM4" s="118">
        <f>COUNTIFS('PPa2019'!$AP$2:$AP$201,"&gt;31/12/2018",'PPa2019'!$AP$2:$AP$201,"&lt;01/02/2019",'PPa2019'!$P$2:$P$201,"H",'PPa2019'!$T$2:$T$201,"Autre")</f>
        <v>0</v>
      </c>
      <c r="BN4" s="118">
        <f>COUNTIFS('PPa2019'!$AP$2:$AP$201,"&gt;31/12/2018",'PPa2019'!$AP$2:$AP$201,"&lt;01/02/2019",'PPa2019'!$P$2:$P$201,"F",'PPa2019'!$T$2:$T$201,"Autre")</f>
        <v>0</v>
      </c>
      <c r="BO4" s="38">
        <f>SUM(AY4:BM4)</f>
        <v>0</v>
      </c>
      <c r="BP4" s="118" t="e">
        <f>COUNTIFS('PPa2019'!$AP$2:$AP$201,"&gt;31/12/2018",'PPa2019'!$AP$2:$AP$201,"&lt;01/02/2019",'PPa2019'!$P$2:$P$201,"H",'PPa2019'!#REF!,"CCLES")</f>
        <v>#REF!</v>
      </c>
      <c r="BQ4" s="118" t="e">
        <f>COUNTIFS('PPa2019'!$AP$2:$AP$201,"&gt;31/12/2018",'PPa2019'!$AP$2:$AP$201,"&lt;01/02/2019",'PPa2019'!$P$2:$P$201,"H",'PPa2019'!#REF!,"CCLES")</f>
        <v>#REF!</v>
      </c>
      <c r="BR4" s="118" t="e">
        <f>COUNTIFS('PPa2019'!$AP$2:$AP$201,"&gt;31/12/2018",'PPa2019'!$AP$2:$AP$201,"&lt;01/02/2019",'PPa2019'!$P$2:$P$201,"H",'PPa2019'!#REF!,"PPI")</f>
        <v>#REF!</v>
      </c>
      <c r="BS4" s="118" t="e">
        <f>COUNTIFS('PPa2019'!$AP$2:$AP$201,"&gt;31/12/2018",'PPa2019'!$AP$2:$AP$201,"&lt;01/02/2019",'PPa2019'!$P$2:$P$201,"H",'PPa2019'!#REF!,"PPI")</f>
        <v>#REF!</v>
      </c>
      <c r="BT4" s="118" t="e">
        <f>COUNTIFS('PPa2019'!$AP$2:$AP$201,"&gt;31/12/2018",'PPa2019'!$AP$2:$AP$201,"&lt;01/02/2019",'PPa2019'!$P$2:$P$201,"H",'PPa2019'!#REF!,"POP")</f>
        <v>#REF!</v>
      </c>
      <c r="BU4" s="118" t="e">
        <f>COUNTIFS('PPa2019'!$AP$2:$AP$201,"&gt;31/12/2018",'PPa2019'!$AP$2:$AP$201,"&lt;01/02/2019",'PPa2019'!$P$2:$P$201,"H",'PPa2019'!#REF!,"POP")</f>
        <v>#REF!</v>
      </c>
      <c r="BV4" s="118" t="e">
        <f>COUNTIFS('PPa2019'!$AP$2:$AP$201,"&gt;31/12/2018",'PPa2019'!$AP$2:$AP$201,"&lt;01/02/2019",'PPa2019'!$P$2:$P$201,"H",'PPa2019'!#REF!,"PREFOS")</f>
        <v>#REF!</v>
      </c>
      <c r="BW4" s="118" t="e">
        <f>COUNTIFS('PPa2019'!$AP$2:$AP$201,"&gt;31/12/2018",'PPa2019'!$AP$2:$AP$201,"&lt;01/02/2019",'PPa2019'!$P$2:$P$201,"H",'PPa2019'!#REF!,"PREFOS")</f>
        <v>#REF!</v>
      </c>
      <c r="BX4" s="118" t="e">
        <f>COUNTIFS('PPa2019'!$AP$2:$AP$201,"&gt;31/12/2018",'PPa2019'!$AP$2:$AP$201,"&lt;01/02/2019",'PPa2019'!$P$2:$P$201,"H",'PPa2019'!#REF!,"FLE")</f>
        <v>#REF!</v>
      </c>
      <c r="BY4" s="118" t="e">
        <f>COUNTIFS('PPa2019'!$AP$2:$AP$201,"&gt;31/12/2018",'PPa2019'!$AP$2:$AP$201,"&lt;01/02/2019",'PPa2019'!$P$2:$P$201,"H",'PPa2019'!#REF!,"FLE")</f>
        <v>#REF!</v>
      </c>
      <c r="BZ4" s="118" t="e">
        <f>COUNTIFS('PPa2019'!$AP$2:$AP$201,"&gt;31/12/2018",'PPa2019'!$AP$2:$AP$201,"&lt;01/02/2019",'PPa2019'!$P$2:$P$201,"H",'PPa2019'!#REF!,"MGI MIJEC")</f>
        <v>#REF!</v>
      </c>
      <c r="CA4" s="118" t="e">
        <f>COUNTIFS('PPa2019'!$AP$2:$AP$201,"&gt;31/12/2018",'PPa2019'!$AP$2:$AP$201,"&lt;01/02/2019",'PPa2019'!$P$2:$P$201,"H",'PPa2019'!#REF!,"MGI MIJEC")</f>
        <v>#REF!</v>
      </c>
      <c r="CB4" s="118" t="e">
        <f>COUNTIFS('PPa2019'!$AP$2:$AP$201,"&gt;31/12/2018",'PPa2019'!$AP$2:$AP$201,"&lt;01/02/2019",'PPa2019'!$P$2:$P$201,"H",'PPa2019'!#REF!,"CAQ")</f>
        <v>#REF!</v>
      </c>
      <c r="CC4" s="118" t="e">
        <f>COUNTIFS('PPa2019'!$AP$2:$AP$201,"&gt;31/12/2018",'PPa2019'!$AP$2:$AP$201,"&lt;01/02/2019",'PPa2019'!$P$2:$P$201,"H",'PPa2019'!#REF!,"CAQ")</f>
        <v>#REF!</v>
      </c>
      <c r="CD4" s="118" t="e">
        <f>COUNTIFS('PPa2019'!$AP$2:$AP$201,"&gt;31/12/2018",'PPa2019'!$AP$2:$AP$201,"&lt;01/02/2019",'PPa2019'!$P$2:$P$201,"H",'PPa2019'!#REF!,"QUALIF")</f>
        <v>#REF!</v>
      </c>
      <c r="CE4" s="118" t="e">
        <f>COUNTIFS('PPa2019'!$AP$2:$AP$201,"&gt;31/12/2018",'PPa2019'!$AP$2:$AP$201,"&lt;01/02/2019",'PPa2019'!$P$2:$P$201,"H",'PPa2019'!#REF!,"QUALIF")</f>
        <v>#REF!</v>
      </c>
      <c r="CF4" s="118" t="e">
        <f>COUNTIFS('PPa2019'!$AP$2:$AP$201,"&gt;31/12/2018",'PPa2019'!$AP$2:$AP$201,"&lt;01/02/2019",'PPa2019'!$P$2:$P$201,"H",'PPa2019'!#REF!,"ALTERN")</f>
        <v>#REF!</v>
      </c>
      <c r="CG4" s="118" t="e">
        <f>COUNTIFS('PPa2019'!$AP$2:$AP$201,"&gt;31/12/2018",'PPa2019'!$AP$2:$AP$201,"&lt;01/02/2019",'PPa2019'!$P$2:$P$201,"H",'PPa2019'!#REF!,"ALTERN")</f>
        <v>#REF!</v>
      </c>
      <c r="CH4" s="118" t="e">
        <f>COUNTIFS('PPa2019'!$AP$2:$AP$201,"&gt;31/12/2018",'PPa2019'!$AP$2:$AP$201,"&lt;01/02/2019",'PPa2019'!$P$2:$P$201,"H",'PPa2019'!#REF!,"EMPLOI")</f>
        <v>#REF!</v>
      </c>
      <c r="CI4" s="118" t="e">
        <f>COUNTIFS('PPa2019'!$AP$2:$AP$201,"&gt;31/12/2018",'PPa2019'!$AP$2:$AP$201,"&lt;01/02/2019",'PPa2019'!$P$2:$P$201,"H",'PPa2019'!#REF!,"EMPLOI")</f>
        <v>#REF!</v>
      </c>
      <c r="CJ4" s="118" t="e">
        <f>COUNTIFS('PPa2019'!$AP$2:$AP$201,"&gt;31/12/2018",'PPa2019'!$AP$2:$AP$201,"&lt;01/02/2019",'PPa2019'!$P$2:$P$201,"H",'PPa2019'!#REF!,"AUTRE")</f>
        <v>#REF!</v>
      </c>
      <c r="CK4" s="118" t="e">
        <f>COUNTIFS('PPa2019'!$AP$2:$AP$201,"&gt;31/12/2018",'PPa2019'!$AP$2:$AP$201,"&lt;01/02/2019",'PPa2019'!$P$2:$P$201,"H",'PPa2019'!#REF!,"AUTRE")</f>
        <v>#REF!</v>
      </c>
      <c r="CL4" s="38" t="e">
        <f t="shared" ref="CL4:CL14" si="2">SUM(BP4:CJ4)</f>
        <v>#REF!</v>
      </c>
    </row>
    <row r="5" spans="1:90" x14ac:dyDescent="0.25">
      <c r="A5" s="43" t="s">
        <v>75</v>
      </c>
      <c r="B5" s="119">
        <f>COUNTIFS('PPa2019'!$AP$2:$AP$201,"&gt;31/01/2019",'PPa2019'!$AP$2:$AP$201,"&lt;01/03/2019",'PPa2019'!$P$2:$P$201,"H")</f>
        <v>0</v>
      </c>
      <c r="C5" s="119">
        <f>COUNTIFS('PPa2019'!$AP$2:$AP$201,"&gt;31/01/2019",'PPa2019'!$AP$2:$AP$201,"&lt;01/03/2019",'PPa2019'!$P$2:$P$201,"F")</f>
        <v>0</v>
      </c>
      <c r="D5" s="38">
        <f t="shared" ref="D5:D15" si="3">SUM(B5,C5)</f>
        <v>0</v>
      </c>
      <c r="E5" s="119">
        <f>COUNTIFS('PPa2019'!$AP$2:$AP$201,"&gt;31/01/2019",'PPa2019'!$AP$2:$AP$201,"&lt;01/03/2019",'PPa2019'!$P$2:$P$201,"H",'PPa2019'!$O$2:$O$201,"&lt;18")</f>
        <v>0</v>
      </c>
      <c r="F5" s="119">
        <f>COUNTIFS('PPa2019'!$AP$2:$AP$201,"&gt;31/01/2019",'PPa2019'!$AP$2:$AP$201,"&lt;01/03/2019",'PPa2019'!$P$2:$P$201,"F",'PPa2019'!$O$2:$O$201,"&lt;18")</f>
        <v>0</v>
      </c>
      <c r="G5" s="119">
        <f>COUNTIFS('PPa2019'!$AP$2:$AP$201,"&gt;31/01/2019",'PPa2019'!$AP$2:$AP$201,"&lt;01/03/2019",'PPa2019'!$P$2:$P$201,"H",'PPa2019'!$O$2:$O$201,"&gt;18",'PPa2019'!$O$2:$O$201,"&lt;26")</f>
        <v>0</v>
      </c>
      <c r="H5" s="119">
        <f>COUNTIFS('PPa2019'!$AP$2:$AP$201,"&gt;31/01/2019",'PPa2019'!$AP$2:$AP$201,"&lt;01/03/2019",'PPa2019'!$P$2:$P$201,"F",'PPa2019'!$O$2:$O$201,"&gt;18",'PPa2019'!$O$2:$O$201,"&lt;26")</f>
        <v>0</v>
      </c>
      <c r="I5" s="119">
        <f>COUNTIFS('PPa2019'!$AP$2:$AP$201,"&gt;31/01/2019",'PPa2019'!$AP$2:$AP$201,"&lt;01/03/2019",'PPa2019'!$P$2:$P$201,"H",'PPa2019'!$O$2:$O$201,"&gt;26",'PPa2019'!$O$2:$O$201,"&lt;31")</f>
        <v>0</v>
      </c>
      <c r="J5" s="119">
        <f>COUNTIFS('PPa2019'!$AP$2:$AP$201,"&gt;31/01/2019",'PPa2019'!$AP$2:$AP$201,"&lt;01/03/2019",'PPa2019'!$P$2:$P$201,"F",'PPa2019'!$O$2:$O$201,"&gt;26",'PPa2019'!$O$2:$O$201,"&lt;31")</f>
        <v>0</v>
      </c>
      <c r="K5" s="119">
        <f>COUNTIFS('PPa2019'!$AP$2:$AP$201,"&gt;31/01/2019",'PPa2019'!$AP$2:$AP$201,"&lt;01/03/2019",'PPa2019'!$P$2:$P$201,"H",'PPa2019'!$O$2:$O$201,"&gt;31",'PPa2019'!$O$2:$O$201,"&lt;36")</f>
        <v>0</v>
      </c>
      <c r="L5" s="119">
        <f>COUNTIFS('PPa2019'!$AP$2:$AP$201,"&gt;31/01/2019",'PPa2019'!$AP$2:$AP$201,"&lt;01/03/2019",'PPa2019'!$P$2:$P$201,"F",'PPa2019'!$O$2:$O$201,"&gt;31",'PPa2019'!$O$2:$O$201,"&lt;36")</f>
        <v>0</v>
      </c>
      <c r="M5" s="119">
        <f>COUNTIFS('PPa2019'!$AP$2:$AP$201,"&gt;31/01/2019",'PPa2019'!$AP$2:$AP$201,"&lt;01/03/2019",'PPa2019'!$P$2:$P$201,"H",'PPa2019'!$O$2:$O$201,"&gt;36",'PPa2019'!$O$2:$O$201,"&lt;41")</f>
        <v>0</v>
      </c>
      <c r="N5" s="119">
        <f>COUNTIFS('PPa2019'!$AP$2:$AP$201,"&gt;31/01/2019",'PPa2019'!$AP$2:$AP$201,"&lt;01/03/2019",'PPa2019'!$P$2:$P$201,"F",'PPa2019'!$O$2:$O$201,"&gt;36",'PPa2019'!$O$2:$O$201,"&lt;41")</f>
        <v>0</v>
      </c>
      <c r="O5" s="119">
        <f>COUNTIFS('PPa2019'!$AP$2:$AP$201,"&gt;31/01/2019",'PPa2019'!$AP$2:$AP$201,"&lt;01/03/2019",'PPa2019'!$P$2:$P$201,"H",'PPa2019'!$O$2:$O$201,"&gt;40")</f>
        <v>0</v>
      </c>
      <c r="P5" s="119">
        <f>COUNTIFS('PPa2019'!$AP$2:$AP$201,"&gt;31/01/2019",'PPa2019'!$AP$2:$AP$201,"&lt;01/03/2019",'PPa2019'!$P$2:$P$201,"F",'PPa2019'!$O$2:$O$201,"&gt;40")</f>
        <v>0</v>
      </c>
      <c r="Q5" s="38">
        <f t="shared" si="0"/>
        <v>0</v>
      </c>
      <c r="R5" s="119">
        <f>COUNTIFS('PPa2019'!$AP$2:$AP$201,"&gt;31/01/2019",'PPa2019'!$AP$2:$AP$201,"&lt;01/03/2019",'PPa2019'!$P$2:$P$201,"H",'PPa2019'!$AC$2:$AC$201,6)</f>
        <v>0</v>
      </c>
      <c r="S5" s="119">
        <f>COUNTIFS('PPa2019'!$AP$2:$AP$201,"&gt;31/01/2019",'PPa2019'!$AP$2:$AP$201,"&lt;01/03/2019",'PPa2019'!$P$2:$P$201,"F",'PPa2019'!$AC$2:$AC$201,6)</f>
        <v>0</v>
      </c>
      <c r="T5" s="119">
        <f>COUNTIFS('PPa2019'!$AP$2:$AP$201,"&gt;31/01/2019",'PPa2019'!$AP$2:$AP$201,"&lt;01/03/2019",'PPa2019'!$P$2:$P$201,"H",'PPa2019'!$AC$2:$AC$201,5)</f>
        <v>0</v>
      </c>
      <c r="U5" s="119">
        <f>COUNTIFS('PPa2019'!$AP$2:$AP$201,"&gt;31/01/2019",'PPa2019'!$AP$2:$AP$201,"&lt;01/03/2019",'PPa2019'!$P$2:$P$201,"F",'PPa2019'!$AC$2:$AC$201,5)</f>
        <v>0</v>
      </c>
      <c r="V5" s="119">
        <f>COUNTIFS('PPa2019'!$AP$2:$AP$201,"&gt;31/01/2019",'PPa2019'!$AP$2:$AP$201,"&lt;01/03/2019",'PPa2019'!$P$2:$P$201,"H",'PPa2019'!$AC$2:$AC$201,4)</f>
        <v>0</v>
      </c>
      <c r="W5" s="119">
        <f>COUNTIFS('PPa2019'!$AP$2:$AP$201,"&gt;31/01/2019",'PPa2019'!$AP$2:$AP$201,"&lt;01/03/2019",'PPa2019'!$P$2:$P$201,"F",'PPa2019'!$AC$2:$AC$201,4)</f>
        <v>0</v>
      </c>
      <c r="X5" s="119">
        <f>COUNTIFS('PPa2019'!$AP$2:$AP$201,"&gt;31/01/2019",'PPa2019'!$AP$2:$AP$201,"&lt;01/03/2019",'PPa2019'!$P$2:$P$201,"H",'PPa2019'!$AC$2:$AC$201,3)</f>
        <v>0</v>
      </c>
      <c r="Y5" s="119">
        <f>COUNTIFS('PPa2019'!$AP$2:$AP$201,"&gt;31/01/2019",'PPa2019'!$AP$2:$AP$201,"&lt;01/03/2019",'PPa2019'!$P$2:$P$201,"F",'PPa2019'!$AC$2:$AC$201,3)</f>
        <v>0</v>
      </c>
      <c r="Z5" s="119">
        <f>COUNTIFS('PPa2019'!$AP$2:$AP$201,"&gt;31/01/2019",'PPa2019'!$AP$2:$AP$201,"&lt;01/03/2019",'PPa2019'!$P$2:$P$201,"H",'PPa2019'!$AC$2:$AC$201,2)</f>
        <v>0</v>
      </c>
      <c r="AA5" s="119">
        <f>COUNTIFS('PPa2019'!$AP$2:$AP$201,"&gt;31/01/2019",'PPa2019'!$AP$2:$AP$201,"&lt;01/03/2019",'PPa2019'!$P$2:$P$201,"F",'PPa2019'!$AC$2:$AC$201,2)</f>
        <v>0</v>
      </c>
      <c r="AB5" s="119">
        <f>COUNTIFS('PPa2019'!$AP$2:$AP$201,"&gt;31/01/2019",'PPa2019'!$AP$2:$AP$201,"&lt;01/03/2019",'PPa2019'!$P$2:$P$201,"H",'PPa2019'!$AC$2:$AC$201,1)</f>
        <v>0</v>
      </c>
      <c r="AC5" s="119">
        <f>COUNTIFS('PPa2019'!$AP$2:$AP$201,"&gt;31/01/2019",'PPa2019'!$AP$2:$AP$201,"&lt;01/03/2019",'PPa2019'!$P$2:$P$201,"F",'PPa2019'!$AC$2:$AC$201,1)</f>
        <v>0</v>
      </c>
      <c r="AD5" s="38">
        <f t="shared" si="1"/>
        <v>0</v>
      </c>
      <c r="AE5" s="119" t="e">
        <f>COUNTIFS('PPa2019'!$AP$2:$AP$201,"&gt;31/01/2019",'PPa2019'!$AP$2:$AP$201,"&lt;01/03/2019",'PPa2019'!$P$2:$P$201,"H",'PPa2019'!#REF!,"CCLES")</f>
        <v>#REF!</v>
      </c>
      <c r="AF5" s="119" t="e">
        <f>COUNTIFS('PPa2019'!$AP$2:$AP$201,"&gt;31/01/2019",'PPa2019'!$AP$2:$AP$201,"&lt;01/03/2019",'PPa2019'!$P$2:$P$201,"F",'PPa2019'!#REF!,"CCLES")</f>
        <v>#REF!</v>
      </c>
      <c r="AG5" s="119">
        <f>COUNTIFS('PPa2019'!$AP$2:$AP$201,"&gt;31/01/2019",'PPa2019'!$AP$2:$AP$201,"&lt;01/03/2019",'PPa2019'!$P$2:$P$201,"H",'PPa2019'!$Y$2:$Y$201,"SALARIÉ")</f>
        <v>0</v>
      </c>
      <c r="AH5" s="119">
        <f>COUNTIFS('PPa2019'!$AP$2:$AP$201,"&gt;31/01/2019",'PPa2019'!$AP$2:$AP$201,"&lt;01/03/2019",'PPa2019'!$P$2:$P$201,"F",'PPa2019'!$Y$2:$Y$201,"SALARIÉ")</f>
        <v>0</v>
      </c>
      <c r="AI5" s="119">
        <f>COUNTIFS('PPa2019'!$AP$2:$AP$201,"&gt;31/01/2019",'PPa2019'!$AP$2:$AP$201,"&lt;01/03/2019",'PPa2019'!$P$2:$P$201,"H",'PPa2019'!$Y$2:$Y$201,"ÉTUDIANT")</f>
        <v>0</v>
      </c>
      <c r="AJ5" s="119">
        <f>COUNTIFS('PPa2019'!$AP$2:$AP$201,"&gt;31/01/2019",'PPa2019'!$AP$2:$AP$201,"&lt;01/03/2019",'PPa2019'!$P$2:$P$201,"F",'PPa2019'!$Y$2:$Y$201,"ÉTUDIANT")</f>
        <v>0</v>
      </c>
      <c r="AK5" s="119">
        <f>COUNTIFS('PPa2019'!$AP$2:$AP$201,"&gt;31/01/2019",'PPa2019'!$AP$2:$AP$201,"&lt;01/03/2019",'PPa2019'!$P$2:$P$201,"H",'PPa2019'!$Y$2:$Y$201,"RE")</f>
        <v>0</v>
      </c>
      <c r="AL5" s="119">
        <f>COUNTIFS('PPa2019'!$AP$2:$AP$201,"&gt;31/01/2019",'PPa2019'!$AP$2:$AP$201,"&lt;01/03/2019",'PPa2019'!$P$2:$P$201,"F",'PPa2019'!$Y$2:$Y$201,"RE")</f>
        <v>0</v>
      </c>
      <c r="AM5" s="119">
        <f>COUNTIFS('PPa2019'!$AP$2:$AP$201,"&gt;31/01/2019",'PPa2019'!$AP$2:$AP$201,"&lt;01/03/2019",'PPa2019'!$P$2:$P$201,"H",'PPa2019'!$Y$2:$Y$201,"AUTRE")</f>
        <v>0</v>
      </c>
      <c r="AN5" s="119">
        <f>COUNTIFS('PPa2019'!$AP$2:$AP$201,"&gt;31/01/2019",'PPa2019'!$AP$2:$AP$201,"&lt;01/03/2019",'PPa2019'!$P$2:$P$201,"F",'PPa2019'!$Y$2:$Y$201,"AUTRE")</f>
        <v>0</v>
      </c>
      <c r="AO5" s="38" t="e">
        <f t="shared" ref="AO5:AO15" si="4">SUM(AE5:AN5)</f>
        <v>#REF!</v>
      </c>
      <c r="AP5" s="119">
        <f>COUNTIFS('PPa2019'!$AP$2:$AP$201,"&gt;31/01/2019",'PPa2019'!$AP$2:$AP$201,"&lt;01/03/2019",'PPa2019'!$P$2:$P$201,"H",'PPa2019'!$AA$2:$AA$201,"&gt;"&amp;EDATE('PPa2019'!$AP2,-6))</f>
        <v>0</v>
      </c>
      <c r="AQ5" s="119">
        <f>COUNTIFS('PPa2019'!$AP$2:$AP$201,"&gt;31/01/2019",'PPa2019'!$AP$2:$AP$201,"&lt;01/03/2019",'PPa2019'!$P$2:$P$201,"F",'PPa2019'!$AA$2:$AA$201,"&gt;"&amp;EDATE('PPa2019'!$AP2,-6))</f>
        <v>0</v>
      </c>
      <c r="AR5" s="119">
        <f>COUNTIFS('PPa2019'!$AP$2:$AP$201,"&gt;31/01/2019",'PPa2019'!$AP$2:$AP$201,"&lt;01/03/2019",'PPa2019'!$P$2:$P$201,"H",'PPa2019'!$AA$2:$AA$201,"&lt;"&amp;EDATE('PPa2019'!$AP2,-6),'PPa2019'!$AA$2:$AA$201,"&gt;"&amp;EDATE('PPa2019'!$AP2,-11))</f>
        <v>0</v>
      </c>
      <c r="AS5" s="119">
        <f>COUNTIFS('PPa2019'!$AP$2:$AP$201,"&gt;31/01/2019",'PPa2019'!$AP$2:$AP$201,"&lt;01/03/2019",'PPa2019'!$P$2:$P$201,"F",'PPa2019'!$AA$2:$AA$201,"&lt;"&amp;EDATE('PPa2019'!$AP2,-6),'PPa2019'!$AA$2:$AA$201,"&gt;"&amp;EDATE('PPa2019'!$AP2,-11))</f>
        <v>0</v>
      </c>
      <c r="AT5" s="119">
        <f>COUNTIFS('PPa2019'!$AP$2:$AP$201,"&gt;31/01/2019",'PPa2019'!$AP$2:$AP$201,"&lt;01/03/2019",'PPa2019'!$P$2:$P$201,"H",'PPa2019'!$AA$2:$AA$201,"&lt;"&amp;EDATE('PPa2019'!$AP2,-11),'PPa2019'!$AA$2:$AA$201,"&gt;"&amp;EDATE('PPa2019'!$AP2,-23))</f>
        <v>0</v>
      </c>
      <c r="AU5" s="119">
        <f>COUNTIFS('PPa2019'!$AP$2:$AP$201,"&gt;31/01/2019",'PPa2019'!$AP$2:$AP$201,"&lt;01/03/2019",'PPa2019'!$P$2:$P$201,"F",'PPa2019'!$AA$2:$AA$201,"&lt;"&amp;EDATE('PPa2019'!$AP2,-11),'PPa2019'!$AA$2:$AA$201,"&gt;"&amp;EDATE('PPa2019'!$AP2,-23))</f>
        <v>0</v>
      </c>
      <c r="AV5" s="119">
        <f>COUNTIFS('PPa2019'!$AP$2:$AP$201,"&gt;31/01/2019",'PPa2019'!$AP$2:$AP$201,"&lt;01/03/2019",'PPa2019'!$P$2:$P$201,"H",'PPa2019'!$AA$2:$AA$201,"&lt;"&amp;EDATE('PPa2019'!$AP2,-23))</f>
        <v>0</v>
      </c>
      <c r="AW5" s="119">
        <f>COUNTIFS('PPa2019'!$AP$2:$AP$201,"&gt;31/01/2019",'PPa2019'!$AP$2:$AP$201,"&lt;01/03/2019",'PPa2019'!$P$2:$P$201,"F",'PPa2019'!$AA$2:$AA$201,"&lt;"&amp;EDATE('PPa2019'!$AP2,-23))</f>
        <v>0</v>
      </c>
      <c r="AX5" s="38">
        <f t="shared" ref="AX5:AX14" si="5">SUM(AP5:AV5)</f>
        <v>0</v>
      </c>
      <c r="AY5" s="119">
        <f>COUNTIFS('PPa2019'!$AP$2:$AP$201,"&gt;31/01/2019",'PPa2019'!$AP$2:$AP$201,"&lt;01/03/2019",'PPa2019'!$P$2:$P$201,"H",'PPa2019'!$T$2:$T$201,"Voiture")</f>
        <v>0</v>
      </c>
      <c r="AZ5" s="119">
        <f>COUNTIFS('PPa2019'!$AP$2:$AP$201,"&gt;31/01/2019",'PPa2019'!$AP$2:$AP$201,"&lt;01/03/2019",'PPa2019'!$P$2:$P$201,"F",'PPa2019'!$T$2:$T$201,"Voiture")</f>
        <v>0</v>
      </c>
      <c r="BA5" s="119">
        <f>COUNTIFS('PPa2019'!$AP$2:$AP$201,"&gt;31/01/2019",'PPa2019'!$AP$2:$AP$201,"&lt;01/03/2019",'PPa2019'!$P$2:$P$201,"H",'PPa2019'!$T$2:$T$201,"Moto")</f>
        <v>0</v>
      </c>
      <c r="BB5" s="119">
        <f>COUNTIFS('PPa2019'!$AP$2:$AP$201,"&gt;31/01/2019",'PPa2019'!$AP$2:$AP$201,"&lt;01/03/2019",'PPa2019'!$P$2:$P$201,"F",'PPa2019'!$T$2:$T$201,"Moto")</f>
        <v>0</v>
      </c>
      <c r="BC5" s="119">
        <f>COUNTIFS('PPa2019'!$AP$2:$AP$201,"&gt;31/01/2019",'PPa2019'!$AP$2:$AP$201,"&lt;01/03/2019",'PPa2019'!$P$2:$P$201,"H",'PPa2019'!$T$2:$T$201,"Scooter")</f>
        <v>0</v>
      </c>
      <c r="BD5" s="119">
        <f>COUNTIFS('PPa2019'!$AP$2:$AP$201,"&gt;31/01/2019",'PPa2019'!$AP$2:$AP$201,"&lt;01/03/2019",'PPa2019'!$P$2:$P$201,"F",'PPa2019'!$T$2:$T$201,"Scooter")</f>
        <v>0</v>
      </c>
      <c r="BE5" s="119">
        <f>COUNTIFS('PPa2019'!$AP$2:$AP$201,"&gt;31/01/2019",'PPa2019'!$AP$2:$AP$201,"&lt;01/03/2019",'PPa2019'!$P$2:$P$201,"H",'PPa2019'!$T$2:$T$201,"Vélo")</f>
        <v>0</v>
      </c>
      <c r="BF5" s="119">
        <f>COUNTIFS('PPa2019'!$AP$2:$AP$201,"&gt;31/01/2019",'PPa2019'!$AP$2:$AP$201,"&lt;01/03/2019",'PPa2019'!$P$2:$P$201,"F",'PPa2019'!$T$2:$T$201,"Vélo")</f>
        <v>0</v>
      </c>
      <c r="BG5" s="119">
        <f>COUNTIFS('PPa2019'!$AP$2:$AP$201,"&gt;31/01/2019",'PPa2019'!$AP$2:$AP$201,"&lt;01/03/2019",'PPa2019'!$P$2:$P$201,"H",'PPa2019'!$T$2:$T$201,"Bus")</f>
        <v>0</v>
      </c>
      <c r="BH5" s="119">
        <f>COUNTIFS('PPa2019'!$AP$2:$AP$201,"&gt;31/01/2019",'PPa2019'!$AP$2:$AP$201,"&lt;01/03/2019",'PPa2019'!$P$2:$P$201,"F",'PPa2019'!$T$2:$T$201,"Bus")</f>
        <v>0</v>
      </c>
      <c r="BI5" s="119">
        <f>COUNTIFS('PPa2019'!$AP$2:$AP$201,"&gt;31/01/2019",'PPa2019'!$AP$2:$AP$201,"&lt;01/03/2019",'PPa2019'!$P$2:$P$201,"H",'PPa2019'!$T$2:$T$201,"Covoiturage")</f>
        <v>0</v>
      </c>
      <c r="BJ5" s="119">
        <f>COUNTIFS('PPa2019'!$AP$2:$AP$201,"&gt;31/01/2019",'PPa2019'!$AP$2:$AP$201,"&lt;01/03/2019",'PPa2019'!$P$2:$P$201,"F",'PPa2019'!$T$2:$T$201,"Covoiturage")</f>
        <v>0</v>
      </c>
      <c r="BK5" s="119">
        <f>COUNTIFS('PPa2019'!$AP$2:$AP$201,"&gt;31/01/2019",'PPa2019'!$AP$2:$AP$201,"&lt;01/03/2019",'PPa2019'!$P$2:$P$201,"H",'PPa2019'!$T$2:$T$201,"Plusieurs")</f>
        <v>0</v>
      </c>
      <c r="BL5" s="119">
        <f>COUNTIFS('PPa2019'!$AP$2:$AP$201,"&gt;31/01/2019",'PPa2019'!$AP$2:$AP$201,"&lt;01/03/2019",'PPa2019'!$P$2:$P$201,"F",'PPa2019'!$T$2:$T$201,"Plusieurs")</f>
        <v>0</v>
      </c>
      <c r="BM5" s="119">
        <f>COUNTIFS('PPa2019'!$AP$2:$AP$201,"&gt;31/01/2019",'PPa2019'!$AP$2:$AP$201,"&lt;01/03/2019",'PPa2019'!$P$2:$P$201,"H",'PPa2019'!$T$2:$T$201,"Autre")</f>
        <v>0</v>
      </c>
      <c r="BN5" s="119">
        <f>COUNTIFS('PPa2019'!$AP$2:$AP$201,"&gt;31/01/2019",'PPa2019'!$AP$2:$AP$201,"&lt;01/03/2019",'PPa2019'!$P$2:$P$201,"F",'PPa2019'!$T$2:$T$201,"Autre")</f>
        <v>0</v>
      </c>
      <c r="BO5" s="38">
        <f t="shared" ref="BO5:BO15" si="6">SUM(AY5:BM5)</f>
        <v>0</v>
      </c>
      <c r="BP5" s="119">
        <f>COUNTIFS('PPa2019'!$AP$2:$AP$201,"&gt;31/01/2019",'PPa2019'!$AP$2:$AP$201,"&lt;01/03/2019",'PPa2019'!$P$2:$P$201,"H",'PPa2019'!$Y$2:$Y$201,"DE")</f>
        <v>0</v>
      </c>
      <c r="BQ5" s="119">
        <f>COUNTIFS('PPa2019'!$AP$2:$AP$201,"&gt;31/01/2019",'PPa2019'!$AP$2:$AP$201,"&lt;01/03/2019",'PPa2019'!$P$2:$P$201,"H",'PPa2019'!$Y$2:$Y$201,"DE")</f>
        <v>0</v>
      </c>
      <c r="BR5" s="119">
        <f>COUNTIFS('PPa2019'!$AP$2:$AP$201,"&gt;31/01/2019",'PPa2019'!$AP$2:$AP$201,"&lt;01/03/2019",'PPa2019'!$P$2:$P$201,"H",'PPa2019'!$Y$2:$Y$201,"DE")</f>
        <v>0</v>
      </c>
      <c r="BS5" s="119">
        <f>COUNTIFS('PPa2019'!$AP$2:$AP$201,"&gt;31/01/2019",'PPa2019'!$AP$2:$AP$201,"&lt;01/03/2019",'PPa2019'!$P$2:$P$201,"H",'PPa2019'!$Y$2:$Y$201,"DE")</f>
        <v>0</v>
      </c>
      <c r="BT5" s="119">
        <f>COUNTIFS('PPa2019'!$AP$2:$AP$201,"&gt;31/01/2019",'PPa2019'!$AP$2:$AP$201,"&lt;01/03/2019",'PPa2019'!$P$2:$P$201,"H",'PPa2019'!$Y$2:$Y$201,"DE")</f>
        <v>0</v>
      </c>
      <c r="BU5" s="119">
        <f>COUNTIFS('PPa2019'!$AP$2:$AP$201,"&gt;31/01/2019",'PPa2019'!$AP$2:$AP$201,"&lt;01/03/2019",'PPa2019'!$P$2:$P$201,"H",'PPa2019'!$Y$2:$Y$201,"DE")</f>
        <v>0</v>
      </c>
      <c r="BV5" s="119">
        <f>COUNTIFS('PPa2019'!$AP$2:$AP$201,"&gt;31/01/2019",'PPa2019'!$AP$2:$AP$201,"&lt;01/03/2019",'PPa2019'!$P$2:$P$201,"H",'PPa2019'!$Y$2:$Y$201,"DE")</f>
        <v>0</v>
      </c>
      <c r="BW5" s="119">
        <f>COUNTIFS('PPa2019'!$AP$2:$AP$201,"&gt;31/01/2019",'PPa2019'!$AP$2:$AP$201,"&lt;01/03/2019",'PPa2019'!$P$2:$P$201,"H",'PPa2019'!$Y$2:$Y$201,"DE")</f>
        <v>0</v>
      </c>
      <c r="BX5" s="119">
        <f>COUNTIFS('PPa2019'!$AP$2:$AP$201,"&gt;31/01/2019",'PPa2019'!$AP$2:$AP$201,"&lt;01/03/2019",'PPa2019'!$P$2:$P$201,"H",'PPa2019'!$Y$2:$Y$201,"DE")</f>
        <v>0</v>
      </c>
      <c r="BY5" s="119">
        <f>COUNTIFS('PPa2019'!$AP$2:$AP$201,"&gt;31/01/2019",'PPa2019'!$AP$2:$AP$201,"&lt;01/03/2019",'PPa2019'!$P$2:$P$201,"H",'PPa2019'!$Y$2:$Y$201,"DE")</f>
        <v>0</v>
      </c>
      <c r="BZ5" s="119">
        <f>COUNTIFS('PPa2019'!$AP$2:$AP$201,"&gt;31/01/2019",'PPa2019'!$AP$2:$AP$201,"&lt;01/03/2019",'PPa2019'!$P$2:$P$201,"H",'PPa2019'!$Y$2:$Y$201,"DE")</f>
        <v>0</v>
      </c>
      <c r="CA5" s="119">
        <f>COUNTIFS('PPa2019'!$AP$2:$AP$201,"&gt;31/01/2019",'PPa2019'!$AP$2:$AP$201,"&lt;01/03/2019",'PPa2019'!$P$2:$P$201,"H",'PPa2019'!$Y$2:$Y$201,"DE")</f>
        <v>0</v>
      </c>
      <c r="CB5" s="119">
        <f>COUNTIFS('PPa2019'!$AP$2:$AP$201,"&gt;31/01/2019",'PPa2019'!$AP$2:$AP$201,"&lt;01/03/2019",'PPa2019'!$P$2:$P$201,"H",'PPa2019'!$Y$2:$Y$201,"DE")</f>
        <v>0</v>
      </c>
      <c r="CC5" s="119">
        <f>COUNTIFS('PPa2019'!$AP$2:$AP$201,"&gt;31/01/2019",'PPa2019'!$AP$2:$AP$201,"&lt;01/03/2019",'PPa2019'!$P$2:$P$201,"H",'PPa2019'!$Y$2:$Y$201,"DE")</f>
        <v>0</v>
      </c>
      <c r="CD5" s="119">
        <f>COUNTIFS('PPa2019'!$AP$2:$AP$201,"&gt;31/01/2019",'PPa2019'!$AP$2:$AP$201,"&lt;01/03/2019",'PPa2019'!$P$2:$P$201,"H",'PPa2019'!$Y$2:$Y$201,"DE")</f>
        <v>0</v>
      </c>
      <c r="CE5" s="119">
        <f>COUNTIFS('PPa2019'!$AP$2:$AP$201,"&gt;31/01/2019",'PPa2019'!$AP$2:$AP$201,"&lt;01/03/2019",'PPa2019'!$P$2:$P$201,"H",'PPa2019'!$Y$2:$Y$201,"DE")</f>
        <v>0</v>
      </c>
      <c r="CF5" s="119">
        <f>COUNTIFS('PPa2019'!$AP$2:$AP$201,"&gt;31/01/2019",'PPa2019'!$AP$2:$AP$201,"&lt;01/03/2019",'PPa2019'!$P$2:$P$201,"H",'PPa2019'!$Y$2:$Y$201,"DE")</f>
        <v>0</v>
      </c>
      <c r="CG5" s="119">
        <f>COUNTIFS('PPa2019'!$AP$2:$AP$201,"&gt;31/01/2019",'PPa2019'!$AP$2:$AP$201,"&lt;01/03/2019",'PPa2019'!$P$2:$P$201,"H",'PPa2019'!$Y$2:$Y$201,"DE")</f>
        <v>0</v>
      </c>
      <c r="CH5" s="119">
        <f>COUNTIFS('PPa2019'!$AP$2:$AP$201,"&gt;31/01/2019",'PPa2019'!$AP$2:$AP$201,"&lt;01/03/2019",'PPa2019'!$P$2:$P$201,"H",'PPa2019'!$Y$2:$Y$201,"DE")</f>
        <v>0</v>
      </c>
      <c r="CI5" s="119">
        <f>COUNTIFS('PPa2019'!$AP$2:$AP$201,"&gt;31/01/2019",'PPa2019'!$AP$2:$AP$201,"&lt;01/03/2019",'PPa2019'!$P$2:$P$201,"H",'PPa2019'!$Y$2:$Y$201,"DE")</f>
        <v>0</v>
      </c>
      <c r="CJ5" s="119">
        <f>COUNTIFS('PPa2019'!$AP$2:$AP$201,"&gt;31/01/2019",'PPa2019'!$AP$2:$AP$201,"&lt;01/03/2019",'PPa2019'!$P$2:$P$201,"H",'PPa2019'!$Y$2:$Y$201,"DE")</f>
        <v>0</v>
      </c>
      <c r="CK5" s="119">
        <f>COUNTIFS('PPa2019'!$AP$2:$AP$201,"&gt;31/01/2019",'PPa2019'!$AP$2:$AP$201,"&lt;01/03/2019",'PPa2019'!$P$2:$P$201,"H",'PPa2019'!$Y$2:$Y$201,"DE")</f>
        <v>0</v>
      </c>
      <c r="CL5" s="38">
        <f t="shared" si="2"/>
        <v>0</v>
      </c>
    </row>
    <row r="6" spans="1:90" x14ac:dyDescent="0.25">
      <c r="A6" s="31" t="s">
        <v>76</v>
      </c>
      <c r="B6" s="118">
        <f>COUNTIFS('PPa2019'!$AP$2:$AP$201,"&gt;28/02/2019",'PPa2019'!$AP$2:$AP$201,"&lt;01/04/2019",'PPa2019'!$P$2:$P$201,"H")</f>
        <v>0</v>
      </c>
      <c r="C6" s="118">
        <f>COUNTIFS('PPa2019'!$AP$2:$AP$201,"&gt;28/02/2019",'PPa2019'!$AP$2:$AP$201,"&lt;01/04/2019",'PPa2019'!$P$2:$P$201,"F")</f>
        <v>0</v>
      </c>
      <c r="D6" s="38">
        <f t="shared" si="3"/>
        <v>0</v>
      </c>
      <c r="E6" s="118">
        <f>COUNTIFS('PPa2019'!$AP$2:$AP$201,"&gt;28/02/2019",'PPa2019'!$AP$2:$AP$201,"&lt;01/04/2019",'PPa2019'!$P$2:$P$201,"H",'PPa2019'!$O$2:$O$201,"&lt;18")</f>
        <v>0</v>
      </c>
      <c r="F6" s="118">
        <f>COUNTIFS('PPa2019'!$AP$2:$AP$201,"&gt;28/02/2019",'PPa2019'!$AP$2:$AP$201,"&lt;01/04/2019",'PPa2019'!$P$2:$P$201,"F",'PPa2019'!$O$2:$O$201,"&lt;18")</f>
        <v>0</v>
      </c>
      <c r="G6" s="118">
        <f>COUNTIFS('PPa2019'!$AP$2:$AP$201,"&gt;28/02/2019",'PPa2019'!$AP$2:$AP$201,"&lt;01/04/2019",'PPa2019'!$P$2:$P$201,"H",'PPa2019'!$O$2:$O$201,"&gt;18",'PPa2019'!$O$2:$O$201,"&lt;26")</f>
        <v>0</v>
      </c>
      <c r="H6" s="118">
        <f>COUNTIFS('PPa2019'!$AP$2:$AP$201,"&gt;28/02/2019",'PPa2019'!$AP$2:$AP$201,"&lt;01/04/2019",'PPa2019'!$P$2:$P$201,"F",'PPa2019'!$O$2:$O$201,"&gt;18",'PPa2019'!$O$2:$O$201,"&lt;26")</f>
        <v>0</v>
      </c>
      <c r="I6" s="118">
        <f>COUNTIFS('PPa2019'!$AP$2:$AP$201,"&gt;28/02/2019",'PPa2019'!$AP$2:$AP$201,"&lt;01/04/2019",'PPa2019'!$P$2:$P$201,"H",'PPa2019'!$O$2:$O$201,"&gt;26",'PPa2019'!$O$2:$O$201,"&lt;31")</f>
        <v>0</v>
      </c>
      <c r="J6" s="118">
        <f>COUNTIFS('PPa2019'!$AP$2:$AP$201,"&gt;28/02/2019",'PPa2019'!$AP$2:$AP$201,"&lt;01/04/2019",'PPa2019'!$P$2:$P$201,"F",'PPa2019'!$O$2:$O$201,"&gt;26",'PPa2019'!$O$2:$O$201,"&lt;31")</f>
        <v>0</v>
      </c>
      <c r="K6" s="118">
        <f>COUNTIFS('PPa2019'!$AP$2:$AP$201,"&gt;28/02/2019",'PPa2019'!$AP$2:$AP$201,"&lt;01/04/2019",'PPa2019'!$P$2:$P$201,"H",'PPa2019'!$O$2:$O$201,"&gt;31",'PPa2019'!$O$2:$O$201,"&lt;36")</f>
        <v>0</v>
      </c>
      <c r="L6" s="118">
        <f>COUNTIFS('PPa2019'!$AP$2:$AP$201,"&gt;28/02/2019",'PPa2019'!$AP$2:$AP$201,"&lt;01/04/2019",'PPa2019'!$P$2:$P$201,"F",'PPa2019'!$O$2:$O$201,"&gt;31",'PPa2019'!$O$2:$O$201,"&lt;36")</f>
        <v>0</v>
      </c>
      <c r="M6" s="118">
        <f>COUNTIFS('PPa2019'!$AP$2:$AP$201,"&gt;28/02/2019",'PPa2019'!$AP$2:$AP$201,"&lt;01/04/2019",'PPa2019'!$P$2:$P$201,"H",'PPa2019'!$O$2:$O$201,"&gt;36",'PPa2019'!$O$2:$O$201,"&lt;41")</f>
        <v>0</v>
      </c>
      <c r="N6" s="118">
        <f>COUNTIFS('PPa2019'!$AP$2:$AP$201,"&gt;28/02/2019",'PPa2019'!$AP$2:$AP$201,"&lt;01/04/2019",'PPa2019'!$P$2:$P$201,"F",'PPa2019'!$O$2:$O$201,"&gt;36",'PPa2019'!$O$2:$O$201,"&lt;41")</f>
        <v>0</v>
      </c>
      <c r="O6" s="118">
        <f>COUNTIFS('PPa2019'!$AP$2:$AP$201,"&gt;28/02/2019",'PPa2019'!$AP$2:$AP$201,"&lt;01/04/2019",'PPa2019'!$P$2:$P$201,"H",'PPa2019'!$O$2:$O$201,"&gt;40")</f>
        <v>0</v>
      </c>
      <c r="P6" s="118">
        <f>COUNTIFS('PPa2019'!$AP$2:$AP$201,"&gt;28/02/2019",'PPa2019'!$AP$2:$AP$201,"&lt;01/04/2019",'PPa2019'!$P$2:$P$201,"F",'PPa2019'!$O$2:$O$201,"&gt;40")</f>
        <v>0</v>
      </c>
      <c r="Q6" s="38">
        <f t="shared" si="0"/>
        <v>0</v>
      </c>
      <c r="R6" s="118">
        <f>COUNTIFS('PPa2019'!$AP$2:$AP$201,"&gt;28/02/2019",'PPa2019'!$AP$2:$AP$201,"&lt;01/04/2019",'PPa2019'!$P$2:$P$201,"H",'PPa2019'!$AC$2:$AC$201,6)</f>
        <v>0</v>
      </c>
      <c r="S6" s="118">
        <f>COUNTIFS('PPa2019'!$AP$2:$AP$201,"&gt;28/02/2019",'PPa2019'!$AP$2:$AP$201,"&lt;01/04/2019",'PPa2019'!$P$2:$P$201,"F",'PPa2019'!$AC$2:$AC$201,6)</f>
        <v>0</v>
      </c>
      <c r="T6" s="118">
        <f>COUNTIFS('PPa2019'!$AP$2:$AP$201,"&gt;28/02/2019",'PPa2019'!$AP$2:$AP$201,"&lt;01/04/2019",'PPa2019'!$P$2:$P$201,"H",'PPa2019'!$AC$2:$AC$201,5)</f>
        <v>0</v>
      </c>
      <c r="U6" s="118">
        <f>COUNTIFS('PPa2019'!$AP$2:$AP$201,"&gt;28/02/2019",'PPa2019'!$AP$2:$AP$201,"&lt;01/04/2019",'PPa2019'!$P$2:$P$201,"F",'PPa2019'!$AC$2:$AC$201,5)</f>
        <v>0</v>
      </c>
      <c r="V6" s="118">
        <f>COUNTIFS('PPa2019'!$AP$2:$AP$201,"&gt;28/02/2019",'PPa2019'!$AP$2:$AP$201,"&lt;01/04/2019",'PPa2019'!$P$2:$P$201,"H",'PPa2019'!$AC$2:$AC$201,4)</f>
        <v>0</v>
      </c>
      <c r="W6" s="118">
        <f>COUNTIFS('PPa2019'!$AP$2:$AP$201,"&gt;28/02/2019",'PPa2019'!$AP$2:$AP$201,"&lt;01/04/2019",'PPa2019'!$P$2:$P$201,"F",'PPa2019'!$AC$2:$AC$201,4)</f>
        <v>0</v>
      </c>
      <c r="X6" s="118">
        <f>COUNTIFS('PPa2019'!$AP$2:$AP$201,"&gt;28/02/2019",'PPa2019'!$AP$2:$AP$201,"&lt;01/04/2019",'PPa2019'!$P$2:$P$201,"H",'PPa2019'!$AC$2:$AC$201,3)</f>
        <v>0</v>
      </c>
      <c r="Y6" s="118">
        <f>COUNTIFS('PPa2019'!$AP$2:$AP$201,"&gt;28/02/2019",'PPa2019'!$AP$2:$AP$201,"&lt;01/04/2019",'PPa2019'!$P$2:$P$201,"F",'PPa2019'!$AC$2:$AC$201,3)</f>
        <v>0</v>
      </c>
      <c r="Z6" s="118">
        <f>COUNTIFS('PPa2019'!$AP$2:$AP$201,"&gt;28/02/2019",'PPa2019'!$AP$2:$AP$201,"&lt;01/04/2019",'PPa2019'!$P$2:$P$201,"H",'PPa2019'!$AC$2:$AC$201,2)</f>
        <v>0</v>
      </c>
      <c r="AA6" s="118">
        <f>COUNTIFS('PPa2019'!$AP$2:$AP$201,"&gt;28/02/2019",'PPa2019'!$AP$2:$AP$201,"&lt;01/04/2019",'PPa2019'!$P$2:$P$201,"F",'PPa2019'!$AC$2:$AC$201,2)</f>
        <v>0</v>
      </c>
      <c r="AB6" s="118">
        <f>COUNTIFS('PPa2019'!$AP$2:$AP$201,"&gt;28/02/2019",'PPa2019'!$AP$2:$AP$201,"&lt;01/04/2019",'PPa2019'!$P$2:$P$201,"H",'PPa2019'!$AC$2:$AC$201,1)</f>
        <v>0</v>
      </c>
      <c r="AC6" s="118">
        <f>COUNTIFS('PPa2019'!$AP$2:$AP$201,"&gt;28/02/2019",'PPa2019'!$AP$2:$AP$201,"&lt;01/04/2019",'PPa2019'!$P$2:$P$201,"F",'PPa2019'!$AC$2:$AC$201,1)</f>
        <v>0</v>
      </c>
      <c r="AD6" s="38">
        <f t="shared" si="1"/>
        <v>0</v>
      </c>
      <c r="AE6" s="118" t="e">
        <f>COUNTIFS('PPa2019'!$AP$2:$AP$201,"&gt;28/02/2019",'PPa2019'!$AP$2:$AP$201,"&lt;01/04/2019",'PPa2019'!$P$2:$P$201,"H",'PPa2019'!#REF!,"CCLES")</f>
        <v>#REF!</v>
      </c>
      <c r="AF6" s="118" t="e">
        <f>COUNTIFS('PPa2019'!$AP$2:$AP$201,"&gt;28/02/2019",'PPa2019'!$AP$2:$AP$201,"&lt;01/04/2019",'PPa2019'!$P$2:$P$201,"F",'PPa2019'!#REF!,"CCLES")</f>
        <v>#REF!</v>
      </c>
      <c r="AG6" s="118">
        <f>COUNTIFS('PPa2019'!$AP$2:$AP$201,"&gt;28/02/2019",'PPa2019'!$AP$2:$AP$201,"&lt;01/04/2019",'PPa2019'!$P$2:$P$201,"H",'PPa2019'!$Y$2:$Y$201,"SALARIÉ")</f>
        <v>0</v>
      </c>
      <c r="AH6" s="118">
        <f>COUNTIFS('PPa2019'!$AP$2:$AP$201,"&gt;28/02/2019",'PPa2019'!$AP$2:$AP$201,"&lt;01/04/2019",'PPa2019'!$P$2:$P$201,"F",'PPa2019'!$Y$2:$Y$201,"SALARIÉ")</f>
        <v>0</v>
      </c>
      <c r="AI6" s="118">
        <f>COUNTIFS('PPa2019'!$AP$2:$AP$201,"&gt;28/02/2019",'PPa2019'!$AP$2:$AP$201,"&lt;01/04/2019",'PPa2019'!$P$2:$P$201,"H",'PPa2019'!$Y$2:$Y$201,"ÉTUDIANT")</f>
        <v>0</v>
      </c>
      <c r="AJ6" s="118">
        <f>COUNTIFS('PPa2019'!$AP$2:$AP$201,"&gt;28/02/2019",'PPa2019'!$AP$2:$AP$201,"&lt;01/04/2019",'PPa2019'!$P$2:$P$201,"F",'PPa2019'!$Y$2:$Y$201,"ÉTUDIANT")</f>
        <v>0</v>
      </c>
      <c r="AK6" s="118">
        <f>COUNTIFS('PPa2019'!$AP$2:$AP$201,"&gt;28/02/2019",'PPa2019'!$AP$2:$AP$201,"&lt;01/04/2019",'PPa2019'!$P$2:$P$201,"H",'PPa2019'!$Y$2:$Y$201,"RE")</f>
        <v>0</v>
      </c>
      <c r="AL6" s="118">
        <f>COUNTIFS('PPa2019'!$AP$2:$AP$201,"&gt;28/02/2019",'PPa2019'!$AP$2:$AP$201,"&lt;01/04/2019",'PPa2019'!$P$2:$P$201,"F",'PPa2019'!$Y$2:$Y$201,"RE")</f>
        <v>0</v>
      </c>
      <c r="AM6" s="118">
        <f>COUNTIFS('PPa2019'!$AP$2:$AP$201,"&gt;28/02/2019",'PPa2019'!$AP$2:$AP$201,"&lt;01/04/2019",'PPa2019'!$P$2:$P$201,"H",'PPa2019'!$Y$2:$Y$201,"AUTRE")</f>
        <v>0</v>
      </c>
      <c r="AN6" s="118">
        <f>COUNTIFS('PPa2019'!$AP$2:$AP$201,"&gt;28/02/2019",'PPa2019'!$AP$2:$AP$201,"&lt;01/04/2019",'PPa2019'!$P$2:$P$201,"F",'PPa2019'!$Y$2:$Y$201,"AUTRE")</f>
        <v>0</v>
      </c>
      <c r="AO6" s="38" t="e">
        <f t="shared" si="4"/>
        <v>#REF!</v>
      </c>
      <c r="AP6" s="118">
        <f>COUNTIFS('PPa2019'!$AP$2:$AP$201,"&gt;28/02/2019",'PPa2019'!$AP$2:$AP$201,"&lt;01/04/2019",'PPa2019'!$P$2:$P$201,"H",'PPa2019'!$AA$2:$AA$201,"&gt;"&amp;EDATE('PPa2019'!$AP2,-6))</f>
        <v>0</v>
      </c>
      <c r="AQ6" s="118">
        <f>COUNTIFS('PPa2019'!$AP$2:$AP$201,"&gt;28/02/2019",'PPa2019'!$AP$2:$AP$201,"&lt;01/04/2019",'PPa2019'!$P$2:$P$201,"F",'PPa2019'!$AA$2:$AA$201,"&gt;"&amp;EDATE('PPa2019'!$AP2,-6))</f>
        <v>0</v>
      </c>
      <c r="AR6" s="118">
        <f>COUNTIFS('PPa2019'!$AP$2:$AP$201,"&gt;28/02/2019",'PPa2019'!$AP$2:$AP$201,"&lt;01/04/2019",'PPa2019'!$P$2:$P$201,"H",'PPa2019'!$AA$2:$AA$201,"&lt;"&amp;EDATE('PPa2019'!$AP2,-6),'PPa2019'!$AA$2:$AA$201,"&gt;"&amp;EDATE('PPa2019'!$AP2,-11))</f>
        <v>0</v>
      </c>
      <c r="AS6" s="118">
        <f>COUNTIFS('PPa2019'!$AP$2:$AP$201,"&gt;28/02/2019",'PPa2019'!$AP$2:$AP$201,"&lt;01/04/2019",'PPa2019'!$P$2:$P$201,"F",'PPa2019'!$AA$2:$AA$201,"&lt;"&amp;EDATE('PPa2019'!$AP2,-6),'PPa2019'!$AA$2:$AA$201,"&gt;"&amp;EDATE('PPa2019'!$AP2,-11))</f>
        <v>0</v>
      </c>
      <c r="AT6" s="118">
        <f>COUNTIFS('PPa2019'!$AP$2:$AP$201,"&gt;28/02/2019",'PPa2019'!$AP$2:$AP$201,"&lt;01/04/2019",'PPa2019'!$P$2:$P$201,"H",'PPa2019'!$AA$2:$AA$201,"&lt;"&amp;EDATE('PPa2019'!$AP2,-11),'PPa2019'!$AA$2:$AA$201,"&gt;"&amp;EDATE('PPa2019'!$AP2,-23))</f>
        <v>0</v>
      </c>
      <c r="AU6" s="118">
        <f>COUNTIFS('PPa2019'!$AP$2:$AP$201,"&gt;28/02/2019",'PPa2019'!$AP$2:$AP$201,"&lt;01/04/2019",'PPa2019'!$P$2:$P$201,"F",'PPa2019'!$AA$2:$AA$201,"&lt;"&amp;EDATE('PPa2019'!$AP2,-11),'PPa2019'!$AA$2:$AA$201,"&gt;"&amp;EDATE('PPa2019'!$AP2,-23))</f>
        <v>0</v>
      </c>
      <c r="AV6" s="118">
        <f>COUNTIFS('PPa2019'!$AP$2:$AP$201,"&gt;28/02/2019",'PPa2019'!$AP$2:$AP$201,"&lt;01/04/2019",'PPa2019'!$P$2:$P$201,"H",'PPa2019'!$AA$2:$AA$201,"&lt;"&amp;EDATE('PPa2019'!$AP2,-23))</f>
        <v>0</v>
      </c>
      <c r="AW6" s="118">
        <f>COUNTIFS('PPa2019'!$AP$2:$AP$201,"&gt;28/02/2019",'PPa2019'!$AP$2:$AP$201,"&lt;01/04/2019",'PPa2019'!$P$2:$P$201,"F",'PPa2019'!$AA$2:$AA$201,"&lt;"&amp;EDATE('PPa2019'!$AP2,-23))</f>
        <v>0</v>
      </c>
      <c r="AX6" s="38">
        <f t="shared" si="5"/>
        <v>0</v>
      </c>
      <c r="AY6" s="118">
        <f>COUNTIFS('PPa2019'!$AP$2:$AP$201,"&gt;28/02/2019",'PPa2019'!$AP$2:$AP$201,"&lt;01/04/2019",'PPa2019'!$P$2:$P$201,"H",'PPa2019'!$T$2:$T$201,"Voiture")</f>
        <v>0</v>
      </c>
      <c r="AZ6" s="118">
        <f>COUNTIFS('PPa2019'!$AP$2:$AP$201,"&gt;28/02/2019",'PPa2019'!$AP$2:$AP$201,"&lt;01/04/2019",'PPa2019'!$P$2:$P$201,"F",'PPa2019'!$T$2:$T$201,"Voiture")</f>
        <v>0</v>
      </c>
      <c r="BA6" s="118">
        <f>COUNTIFS('PPa2019'!$AP$2:$AP$201,"&gt;28/02/2019",'PPa2019'!$AP$2:$AP$201,"&lt;01/04/2019",'PPa2019'!$P$2:$P$201,"H",'PPa2019'!$T$2:$T$201,"Moto")</f>
        <v>0</v>
      </c>
      <c r="BB6" s="118">
        <f>COUNTIFS('PPa2019'!$AP$2:$AP$201,"&gt;28/02/2019",'PPa2019'!$AP$2:$AP$201,"&lt;01/04/2019",'PPa2019'!$P$2:$P$201,"F",'PPa2019'!$T$2:$T$201,"Moto")</f>
        <v>0</v>
      </c>
      <c r="BC6" s="118">
        <f>COUNTIFS('PPa2019'!$AP$2:$AP$201,"&gt;28/02/2019",'PPa2019'!$AP$2:$AP$201,"&lt;01/04/2019",'PPa2019'!$P$2:$P$201,"H",'PPa2019'!$T$2:$T$201,"Scooter")</f>
        <v>0</v>
      </c>
      <c r="BD6" s="118">
        <f>COUNTIFS('PPa2019'!$AP$2:$AP$201,"&gt;28/02/2019",'PPa2019'!$AP$2:$AP$201,"&lt;01/04/2019",'PPa2019'!$P$2:$P$201,"F",'PPa2019'!$T$2:$T$201,"Scooter")</f>
        <v>0</v>
      </c>
      <c r="BE6" s="118">
        <f>COUNTIFS('PPa2019'!$AP$2:$AP$201,"&gt;28/02/2019",'PPa2019'!$AP$2:$AP$201,"&lt;01/04/2019",'PPa2019'!$P$2:$P$201,"H",'PPa2019'!$T$2:$T$201,"Vélo")</f>
        <v>0</v>
      </c>
      <c r="BF6" s="118">
        <f>COUNTIFS('PPa2019'!$AP$2:$AP$201,"&gt;28/02/2019",'PPa2019'!$AP$2:$AP$201,"&lt;01/04/2019",'PPa2019'!$P$2:$P$201,"F",'PPa2019'!$T$2:$T$201,"Vélo")</f>
        <v>0</v>
      </c>
      <c r="BG6" s="118">
        <f>COUNTIFS('PPa2019'!$AP$2:$AP$201,"&gt;28/02/2019",'PPa2019'!$AP$2:$AP$201,"&lt;01/04/2019",'PPa2019'!$P$2:$P$201,"H",'PPa2019'!$T$2:$T$201,"Bus")</f>
        <v>0</v>
      </c>
      <c r="BH6" s="118">
        <f>COUNTIFS('PPa2019'!$AP$2:$AP$201,"&gt;28/02/2019",'PPa2019'!$AP$2:$AP$201,"&lt;01/04/2019",'PPa2019'!$P$2:$P$201,"F",'PPa2019'!$T$2:$T$201,"Bus")</f>
        <v>0</v>
      </c>
      <c r="BI6" s="118">
        <f>COUNTIFS('PPa2019'!$AP$2:$AP$201,"&gt;28/02/2019",'PPa2019'!$AP$2:$AP$201,"&lt;01/04/2019",'PPa2019'!$P$2:$P$201,"H",'PPa2019'!$T$2:$T$201,"Covoiturage")</f>
        <v>0</v>
      </c>
      <c r="BJ6" s="118">
        <f>COUNTIFS('PPa2019'!$AP$2:$AP$201,"&gt;28/02/2019",'PPa2019'!$AP$2:$AP$201,"&lt;01/04/2019",'PPa2019'!$P$2:$P$201,"F",'PPa2019'!$T$2:$T$201,"Covoiturage")</f>
        <v>0</v>
      </c>
      <c r="BK6" s="118">
        <f>COUNTIFS('PPa2019'!$AP$2:$AP$201,"&gt;28/02/2019",'PPa2019'!$AP$2:$AP$201,"&lt;01/04/2019",'PPa2019'!$P$2:$P$201,"H",'PPa2019'!$T$2:$T$201,"Plusieurs")</f>
        <v>0</v>
      </c>
      <c r="BL6" s="118">
        <f>COUNTIFS('PPa2019'!$AP$2:$AP$201,"&gt;28/02/2019",'PPa2019'!$AP$2:$AP$201,"&lt;01/04/2019",'PPa2019'!$P$2:$P$201,"F",'PPa2019'!$T$2:$T$201,"Plusieurs")</f>
        <v>0</v>
      </c>
      <c r="BM6" s="118">
        <f>COUNTIFS('PPa2019'!$AP$2:$AP$201,"&gt;28/02/2019",'PPa2019'!$AP$2:$AP$201,"&lt;01/04/2019",'PPa2019'!$P$2:$P$201,"H",'PPa2019'!$T$2:$T$201,"Autre")</f>
        <v>0</v>
      </c>
      <c r="BN6" s="118">
        <f>COUNTIFS('PPa2019'!$AP$2:$AP$201,"&gt;28/02/2019",'PPa2019'!$AP$2:$AP$201,"&lt;01/04/2019",'PPa2019'!$P$2:$P$201,"F",'PPa2019'!$T$2:$T$201,"Autre")</f>
        <v>0</v>
      </c>
      <c r="BO6" s="38">
        <f t="shared" si="6"/>
        <v>0</v>
      </c>
      <c r="BP6" s="118" t="e">
        <f>COUNTIFS('PPa2019'!$AP$2:$AP$201,"&gt;28/02/2019",'PPa2019'!$AP$2:$AP$201,"&lt;01/04/2019",'PPa2019'!$P$2:$P$201,"H",'PPa2019'!#REF!,"CCLES")</f>
        <v>#REF!</v>
      </c>
      <c r="BQ6" s="118" t="e">
        <f>COUNTIFS('PPa2019'!$AP$2:$AP$201,"&gt;28/02/2019",'PPa2019'!$AP$2:$AP$201,"&lt;01/04/2019",'PPa2019'!$P$2:$P$201,"H",'PPa2019'!#REF!,"CCLES")</f>
        <v>#REF!</v>
      </c>
      <c r="BR6" s="118" t="e">
        <f>COUNTIFS('PPa2019'!$AP$2:$AP$201,"&gt;28/02/2019",'PPa2019'!$AP$2:$AP$201,"&lt;01/04/2019",'PPa2019'!$P$2:$P$201,"H",'PPa2019'!#REF!,"PPI")</f>
        <v>#REF!</v>
      </c>
      <c r="BS6" s="118" t="e">
        <f>COUNTIFS('PPa2019'!$AP$2:$AP$201,"&gt;28/02/2019",'PPa2019'!$AP$2:$AP$201,"&lt;01/04/2019",'PPa2019'!$P$2:$P$201,"H",'PPa2019'!#REF!,"PPI")</f>
        <v>#REF!</v>
      </c>
      <c r="BT6" s="118" t="e">
        <f>COUNTIFS('PPa2019'!$AP$2:$AP$201,"&gt;28/02/2019",'PPa2019'!$AP$2:$AP$201,"&lt;01/04/2019",'PPa2019'!$P$2:$P$201,"H",'PPa2019'!#REF!,"POP")</f>
        <v>#REF!</v>
      </c>
      <c r="BU6" s="118" t="e">
        <f>COUNTIFS('PPa2019'!$AP$2:$AP$201,"&gt;28/02/2019",'PPa2019'!$AP$2:$AP$201,"&lt;01/04/2019",'PPa2019'!$P$2:$P$201,"H",'PPa2019'!#REF!,"POP")</f>
        <v>#REF!</v>
      </c>
      <c r="BV6" s="118" t="e">
        <f>COUNTIFS('PPa2019'!$AP$2:$AP$201,"&gt;28/02/2019",'PPa2019'!$AP$2:$AP$201,"&lt;01/04/2019",'PPa2019'!$P$2:$P$201,"H",'PPa2019'!#REF!,"PREFOS")</f>
        <v>#REF!</v>
      </c>
      <c r="BW6" s="118" t="e">
        <f>COUNTIFS('PPa2019'!$AP$2:$AP$201,"&gt;28/02/2019",'PPa2019'!$AP$2:$AP$201,"&lt;01/04/2019",'PPa2019'!$P$2:$P$201,"H",'PPa2019'!#REF!,"PREFOS")</f>
        <v>#REF!</v>
      </c>
      <c r="BX6" s="118" t="e">
        <f>COUNTIFS('PPa2019'!$AP$2:$AP$201,"&gt;28/02/2019",'PPa2019'!$AP$2:$AP$201,"&lt;01/04/2019",'PPa2019'!$P$2:$P$201,"H",'PPa2019'!#REF!,"FLE")</f>
        <v>#REF!</v>
      </c>
      <c r="BY6" s="118" t="e">
        <f>COUNTIFS('PPa2019'!$AP$2:$AP$201,"&gt;28/02/2019",'PPa2019'!$AP$2:$AP$201,"&lt;01/04/2019",'PPa2019'!$P$2:$P$201,"H",'PPa2019'!#REF!,"FLE")</f>
        <v>#REF!</v>
      </c>
      <c r="BZ6" s="118" t="e">
        <f>COUNTIFS('PPa2019'!$AP$2:$AP$201,"&gt;28/02/2019",'PPa2019'!$AP$2:$AP$201,"&lt;01/04/2019",'PPa2019'!$P$2:$P$201,"H",'PPa2019'!#REF!,"MGI MIJEC")</f>
        <v>#REF!</v>
      </c>
      <c r="CA6" s="118" t="e">
        <f>COUNTIFS('PPa2019'!$AP$2:$AP$201,"&gt;28/02/2019",'PPa2019'!$AP$2:$AP$201,"&lt;01/04/2019",'PPa2019'!$P$2:$P$201,"H",'PPa2019'!#REF!,"MGI MIJEC")</f>
        <v>#REF!</v>
      </c>
      <c r="CB6" s="118" t="e">
        <f>COUNTIFS('PPa2019'!$AP$2:$AP$201,"&gt;28/02/2019",'PPa2019'!$AP$2:$AP$201,"&lt;01/04/2019",'PPa2019'!$P$2:$P$201,"H",'PPa2019'!#REF!,"CAQ")</f>
        <v>#REF!</v>
      </c>
      <c r="CC6" s="118" t="e">
        <f>COUNTIFS('PPa2019'!$AP$2:$AP$201,"&gt;28/02/2019",'PPa2019'!$AP$2:$AP$201,"&lt;01/04/2019",'PPa2019'!$P$2:$P$201,"H",'PPa2019'!#REF!,"CAQ")</f>
        <v>#REF!</v>
      </c>
      <c r="CD6" s="118" t="e">
        <f>COUNTIFS('PPa2019'!$AP$2:$AP$201,"&gt;28/02/2019",'PPa2019'!$AP$2:$AP$201,"&lt;01/04/2019",'PPa2019'!$P$2:$P$201,"H",'PPa2019'!#REF!,"QUALIF")</f>
        <v>#REF!</v>
      </c>
      <c r="CE6" s="118" t="e">
        <f>COUNTIFS('PPa2019'!$AP$2:$AP$201,"&gt;28/02/2019",'PPa2019'!$AP$2:$AP$201,"&lt;01/04/2019",'PPa2019'!$P$2:$P$201,"H",'PPa2019'!#REF!,"QUALIF")</f>
        <v>#REF!</v>
      </c>
      <c r="CF6" s="118" t="e">
        <f>COUNTIFS('PPa2019'!$AP$2:$AP$201,"&gt;28/02/2019",'PPa2019'!$AP$2:$AP$201,"&lt;01/04/2019",'PPa2019'!$P$2:$P$201,"H",'PPa2019'!#REF!,"ALTERN")</f>
        <v>#REF!</v>
      </c>
      <c r="CG6" s="118" t="e">
        <f>COUNTIFS('PPa2019'!$AP$2:$AP$201,"&gt;28/02/2019",'PPa2019'!$AP$2:$AP$201,"&lt;01/04/2019",'PPa2019'!$P$2:$P$201,"H",'PPa2019'!#REF!,"ALTERN")</f>
        <v>#REF!</v>
      </c>
      <c r="CH6" s="118" t="e">
        <f>COUNTIFS('PPa2019'!$AP$2:$AP$201,"&gt;28/02/2019",'PPa2019'!$AP$2:$AP$201,"&lt;01/04/2019",'PPa2019'!$P$2:$P$201,"H",'PPa2019'!#REF!,"EMPLOI")</f>
        <v>#REF!</v>
      </c>
      <c r="CI6" s="118" t="e">
        <f>COUNTIFS('PPa2019'!$AP$2:$AP$201,"&gt;28/02/2019",'PPa2019'!$AP$2:$AP$201,"&lt;01/04/2019",'PPa2019'!$P$2:$P$201,"H",'PPa2019'!#REF!,"EMPLOI")</f>
        <v>#REF!</v>
      </c>
      <c r="CJ6" s="118" t="e">
        <f>COUNTIFS('PPa2019'!$AP$2:$AP$201,"&gt;28/02/2019",'PPa2019'!$AP$2:$AP$201,"&lt;01/04/2019",'PPa2019'!$P$2:$P$201,"H",'PPa2019'!#REF!,"AUTRE")</f>
        <v>#REF!</v>
      </c>
      <c r="CK6" s="118" t="e">
        <f>COUNTIFS('PPa2019'!$AP$2:$AP$201,"&gt;28/02/2019",'PPa2019'!$AP$2:$AP$201,"&lt;01/04/2019",'PPa2019'!$P$2:$P$201,"H",'PPa2019'!#REF!,"AUTRE")</f>
        <v>#REF!</v>
      </c>
      <c r="CL6" s="38" t="e">
        <f t="shared" si="2"/>
        <v>#REF!</v>
      </c>
    </row>
    <row r="7" spans="1:90" x14ac:dyDescent="0.25">
      <c r="A7" s="43" t="s">
        <v>77</v>
      </c>
      <c r="B7" s="119">
        <f>COUNTIFS('PPa2019'!$AP$2:$AP$201,"&gt;31/03/2019",'PPa2019'!$AP$2:$AP$201,"&lt;01/05/2019",'PPa2019'!$P$2:$P$201,"H")</f>
        <v>0</v>
      </c>
      <c r="C7" s="119">
        <f>COUNTIFS('PPa2019'!$AP$2:$AP$201,"&gt;31/03/2019",'PPa2019'!$AP$2:$AP$201,"&lt;01/05/2019",'PPa2019'!$P$2:$P$201,"F")</f>
        <v>0</v>
      </c>
      <c r="D7" s="38">
        <f t="shared" si="3"/>
        <v>0</v>
      </c>
      <c r="E7" s="119">
        <f>COUNTIFS('PPa2019'!$AP$2:$AP$201,"&gt;31/03/2019",'PPa2019'!$AP$2:$AP$201,"&lt;01/05/2019",'PPa2019'!$P$2:$P$201,"H",'PPa2019'!$O$2:$O$201,"&lt;18")</f>
        <v>0</v>
      </c>
      <c r="F7" s="119">
        <f>COUNTIFS('PPa2019'!$AP$2:$AP$201,"&gt;31/03/2019",'PPa2019'!$AP$2:$AP$201,"&lt;01/05/2019",'PPa2019'!$P$2:$P$201,"F",'PPa2019'!$O$2:$O$201,"&lt;18")</f>
        <v>0</v>
      </c>
      <c r="G7" s="119">
        <f>COUNTIFS('PPa2019'!$AP$2:$AP$201,"&gt;31/03/2019",'PPa2019'!$AP$2:$AP$201,"&lt;01/05/2019",'PPa2019'!$P$2:$P$201,"H",'PPa2019'!$O$2:$O$201,"&gt;18",'PPa2019'!$O$2:$O$201,"&lt;26")</f>
        <v>0</v>
      </c>
      <c r="H7" s="119">
        <f>COUNTIFS('PPa2019'!$AP$2:$AP$201,"&gt;31/03/2019",'PPa2019'!$AP$2:$AP$201,"&lt;01/05/2019",'PPa2019'!$P$2:$P$201,"F",'PPa2019'!$O$2:$O$201,"&gt;18",'PPa2019'!$O$2:$O$201,"&lt;26")</f>
        <v>0</v>
      </c>
      <c r="I7" s="119">
        <f>COUNTIFS('PPa2019'!$AP$2:$AP$201,"&gt;31/03/2019",'PPa2019'!$AP$2:$AP$201,"&lt;01/05/2019",'PPa2019'!$P$2:$P$201,"H",'PPa2019'!$O$2:$O$201,"&gt;26",'PPa2019'!$O$2:$O$201,"&lt;31")</f>
        <v>0</v>
      </c>
      <c r="J7" s="119">
        <f>COUNTIFS('PPa2019'!$AP$2:$AP$201,"&gt;31/03/2019",'PPa2019'!$AP$2:$AP$201,"&lt;01/05/2019",'PPa2019'!$P$2:$P$201,"F",'PPa2019'!$O$2:$O$201,"&gt;26",'PPa2019'!$O$2:$O$201,"&lt;31")</f>
        <v>0</v>
      </c>
      <c r="K7" s="119">
        <f>COUNTIFS('PPa2019'!$AP$2:$AP$201,"&gt;31/03/2019",'PPa2019'!$AP$2:$AP$201,"&lt;01/05/2019",'PPa2019'!$P$2:$P$201,"H",'PPa2019'!$O$2:$O$201,"&gt;31",'PPa2019'!$O$2:$O$201,"&lt;36")</f>
        <v>0</v>
      </c>
      <c r="L7" s="119">
        <f>COUNTIFS('PPa2019'!$AP$2:$AP$201,"&gt;31/03/2019",'PPa2019'!$AP$2:$AP$201,"&lt;01/05/2019",'PPa2019'!$P$2:$P$201,"F",'PPa2019'!$O$2:$O$201,"&gt;31",'PPa2019'!$O$2:$O$201,"&lt;36")</f>
        <v>0</v>
      </c>
      <c r="M7" s="119">
        <f>COUNTIFS('PPa2019'!$AP$2:$AP$201,"&gt;31/03/2019",'PPa2019'!$AP$2:$AP$201,"&lt;01/05/2019",'PPa2019'!$P$2:$P$201,"H",'PPa2019'!$O$2:$O$201,"&gt;36",'PPa2019'!$O$2:$O$201,"&lt;41")</f>
        <v>0</v>
      </c>
      <c r="N7" s="119">
        <f>COUNTIFS('PPa2019'!$AP$2:$AP$201,"&gt;31/03/2019",'PPa2019'!$AP$2:$AP$201,"&lt;01/05/2019",'PPa2019'!$P$2:$P$201,"F",'PPa2019'!$O$2:$O$201,"&gt;36",'PPa2019'!$O$2:$O$201,"&lt;41")</f>
        <v>0</v>
      </c>
      <c r="O7" s="119">
        <f>COUNTIFS('PPa2019'!$AP$2:$AP$201,"&gt;31/03/2019",'PPa2019'!$AP$2:$AP$201,"&lt;01/05/2019",'PPa2019'!$P$2:$P$201,"H",'PPa2019'!$O$2:$O$201,"&gt;40")</f>
        <v>0</v>
      </c>
      <c r="P7" s="119">
        <f>COUNTIFS('PPa2019'!$AP$2:$AP$201,"&gt;31/03/2019",'PPa2019'!$AP$2:$AP$201,"&lt;01/05/2019",'PPa2019'!$P$2:$P$201,"F",'PPa2019'!$O$2:$O$201,"&gt;40")</f>
        <v>0</v>
      </c>
      <c r="Q7" s="38">
        <f t="shared" si="0"/>
        <v>0</v>
      </c>
      <c r="R7" s="119">
        <f>COUNTIFS('PPa2019'!$AP$2:$AP$201,"&gt;31/03/2019",'PPa2019'!$AP$2:$AP$201,"&lt;01/05/2019",'PPa2019'!$P$2:$P$201,"H",'PPa2019'!$AC$2:$AC$201,6)</f>
        <v>0</v>
      </c>
      <c r="S7" s="119">
        <f>COUNTIFS('PPa2019'!$AP$2:$AP$201,"&gt;31/03/2019",'PPa2019'!$AP$2:$AP$201,"&lt;01/05/2019",'PPa2019'!$P$2:$P$201,"F",'PPa2019'!$AC$2:$AC$201,6)</f>
        <v>0</v>
      </c>
      <c r="T7" s="119">
        <f>COUNTIFS('PPa2019'!$AP$2:$AP$201,"&gt;31/03/2019",'PPa2019'!$AP$2:$AP$201,"&lt;01/05/2019",'PPa2019'!$P$2:$P$201,"H",'PPa2019'!$AC$2:$AC$201,5)</f>
        <v>0</v>
      </c>
      <c r="U7" s="119">
        <f>COUNTIFS('PPa2019'!$AP$2:$AP$201,"&gt;31/03/2019",'PPa2019'!$AP$2:$AP$201,"&lt;01/05/2019",'PPa2019'!$P$2:$P$201,"F",'PPa2019'!$AC$2:$AC$201,5)</f>
        <v>0</v>
      </c>
      <c r="V7" s="119">
        <f>COUNTIFS('PPa2019'!$AP$2:$AP$201,"&gt;31/03/2019",'PPa2019'!$AP$2:$AP$201,"&lt;01/05/2019",'PPa2019'!$P$2:$P$201,"H",'PPa2019'!$AC$2:$AC$201,4)</f>
        <v>0</v>
      </c>
      <c r="W7" s="119">
        <f>COUNTIFS('PPa2019'!$AP$2:$AP$201,"&gt;31/03/2019",'PPa2019'!$AP$2:$AP$201,"&lt;01/05/2019",'PPa2019'!$P$2:$P$201,"F",'PPa2019'!$AC$2:$AC$201,4)</f>
        <v>0</v>
      </c>
      <c r="X7" s="119">
        <f>COUNTIFS('PPa2019'!$AP$2:$AP$201,"&gt;31/03/2019",'PPa2019'!$AP$2:$AP$201,"&lt;01/05/2019",'PPa2019'!$P$2:$P$201,"H",'PPa2019'!$AC$2:$AC$201,3)</f>
        <v>0</v>
      </c>
      <c r="Y7" s="119">
        <f>COUNTIFS('PPa2019'!$AP$2:$AP$201,"&gt;31/03/2019",'PPa2019'!$AP$2:$AP$201,"&lt;01/05/2019",'PPa2019'!$P$2:$P$201,"F",'PPa2019'!$AC$2:$AC$201,3)</f>
        <v>0</v>
      </c>
      <c r="Z7" s="119">
        <f>COUNTIFS('PPa2019'!$AP$2:$AP$201,"&gt;31/03/2019",'PPa2019'!$AP$2:$AP$201,"&lt;01/05/2019",'PPa2019'!$P$2:$P$201,"H",'PPa2019'!$AC$2:$AC$201,2)</f>
        <v>0</v>
      </c>
      <c r="AA7" s="119">
        <f>COUNTIFS('PPa2019'!$AP$2:$AP$201,"&gt;31/03/2019",'PPa2019'!$AP$2:$AP$201,"&lt;01/05/2019",'PPa2019'!$P$2:$P$201,"F",'PPa2019'!$AC$2:$AC$201,2)</f>
        <v>0</v>
      </c>
      <c r="AB7" s="119">
        <f>COUNTIFS('PPa2019'!$AP$2:$AP$201,"&gt;31/03/2019",'PPa2019'!$AP$2:$AP$201,"&lt;01/05/2019",'PPa2019'!$P$2:$P$201,"H",'PPa2019'!$AC$2:$AC$201,1)</f>
        <v>0</v>
      </c>
      <c r="AC7" s="119">
        <f>COUNTIFS('PPa2019'!$AP$2:$AP$201,"&gt;31/03/2019",'PPa2019'!$AP$2:$AP$201,"&lt;01/05/2019",'PPa2019'!$P$2:$P$201,"F",'PPa2019'!$AC$2:$AC$201,1)</f>
        <v>0</v>
      </c>
      <c r="AD7" s="38">
        <f t="shared" si="1"/>
        <v>0</v>
      </c>
      <c r="AE7" s="119" t="e">
        <f>COUNTIFS('PPa2019'!$AP$2:$AP$201,"&gt;31/03/2019",'PPa2019'!$AP$2:$AP$201,"&lt;01/05/2019",'PPa2019'!$P$2:$P$201,"H",'PPa2019'!#REF!,"CCLES")</f>
        <v>#REF!</v>
      </c>
      <c r="AF7" s="119" t="e">
        <f>COUNTIFS('PPa2019'!$AP$2:$AP$201,"&gt;31/03/2019",'PPa2019'!$AP$2:$AP$201,"&lt;01/05/2019",'PPa2019'!$P$2:$P$201,"F",'PPa2019'!#REF!,"CCLES")</f>
        <v>#REF!</v>
      </c>
      <c r="AG7" s="119">
        <f>COUNTIFS('PPa2019'!$AP$2:$AP$201,"&gt;31/03/2019",'PPa2019'!$AP$2:$AP$201,"&lt;01/05/2019",'PPa2019'!$P$2:$P$201,"H",'PPa2019'!$Y$2:$Y$201,"SALARIÉ")</f>
        <v>0</v>
      </c>
      <c r="AH7" s="119">
        <f>COUNTIFS('PPa2019'!$AP$2:$AP$201,"&gt;31/03/2019",'PPa2019'!$AP$2:$AP$201,"&lt;01/05/2019",'PPa2019'!$P$2:$P$201,"F",'PPa2019'!$Y$2:$Y$201,"SALARIÉ")</f>
        <v>0</v>
      </c>
      <c r="AI7" s="119">
        <f>COUNTIFS('PPa2019'!$AP$2:$AP$201,"&gt;31/03/2019",'PPa2019'!$AP$2:$AP$201,"&lt;01/05/2019",'PPa2019'!$P$2:$P$201,"H",'PPa2019'!$Y$2:$Y$201,"ÉTUDIANT")</f>
        <v>0</v>
      </c>
      <c r="AJ7" s="119">
        <f>COUNTIFS('PPa2019'!$AP$2:$AP$201,"&gt;31/03/2019",'PPa2019'!$AP$2:$AP$201,"&lt;01/05/2019",'PPa2019'!$P$2:$P$201,"F",'PPa2019'!$Y$2:$Y$201,"ÉTUDIANT")</f>
        <v>0</v>
      </c>
      <c r="AK7" s="119">
        <f>COUNTIFS('PPa2019'!$AP$2:$AP$201,"&gt;31/03/2019",'PPa2019'!$AP$2:$AP$201,"&lt;01/05/2019",'PPa2019'!$P$2:$P$201,"H",'PPa2019'!$Y$2:$Y$201,"RE")</f>
        <v>0</v>
      </c>
      <c r="AL7" s="119">
        <f>COUNTIFS('PPa2019'!$AP$2:$AP$201,"&gt;31/03/2019",'PPa2019'!$AP$2:$AP$201,"&lt;01/05/2019",'PPa2019'!$P$2:$P$201,"F",'PPa2019'!$Y$2:$Y$201,"RE")</f>
        <v>0</v>
      </c>
      <c r="AM7" s="119">
        <f>COUNTIFS('PPa2019'!$AP$2:$AP$201,"&gt;31/03/2019",'PPa2019'!$AP$2:$AP$201,"&lt;01/05/2019",'PPa2019'!$P$2:$P$201,"H",'PPa2019'!$Y$2:$Y$201,"AUTRE")</f>
        <v>0</v>
      </c>
      <c r="AN7" s="119">
        <f>COUNTIFS('PPa2019'!$AP$2:$AP$201,"&gt;31/03/2019",'PPa2019'!$AP$2:$AP$201,"&lt;01/05/2019",'PPa2019'!$P$2:$P$201,"F",'PPa2019'!$Y$2:$Y$201,"AUTRE")</f>
        <v>0</v>
      </c>
      <c r="AO7" s="38" t="e">
        <f t="shared" si="4"/>
        <v>#REF!</v>
      </c>
      <c r="AP7" s="119">
        <f>COUNTIFS('PPa2019'!$AP$2:$AP$201,"&gt;31/03/2019",'PPa2019'!$AP$2:$AP$201,"&lt;01/05/2019",'PPa2019'!$P$2:$P$201,"H",'PPa2019'!$AA$2:$AA$201,"&gt;"&amp;EDATE('PPa2019'!$AP2,-6))</f>
        <v>0</v>
      </c>
      <c r="AQ7" s="119">
        <f>COUNTIFS('PPa2019'!$AP$2:$AP$201,"&gt;31/03/2019",'PPa2019'!$AP$2:$AP$201,"&lt;01/05/2019",'PPa2019'!$P$2:$P$201,"F",'PPa2019'!$AA$2:$AA$201,"&gt;"&amp;EDATE('PPa2019'!$AP2,-6))</f>
        <v>0</v>
      </c>
      <c r="AR7" s="119">
        <f>COUNTIFS('PPa2019'!$AP$2:$AP$201,"&gt;31/03/2019",'PPa2019'!$AP$2:$AP$201,"&lt;01/05/2019",'PPa2019'!$P$2:$P$201,"H",'PPa2019'!$AA$2:$AA$201,"&lt;"&amp;EDATE('PPa2019'!$AP2,-6),'PPa2019'!$AA$2:$AA$201,"&gt;"&amp;EDATE('PPa2019'!$AP2,-11))</f>
        <v>0</v>
      </c>
      <c r="AS7" s="119">
        <f>COUNTIFS('PPa2019'!$AP$2:$AP$201,"&gt;31/03/2019",'PPa2019'!$AP$2:$AP$201,"&lt;01/05/2019",'PPa2019'!$P$2:$P$201,"F",'PPa2019'!$AA$2:$AA$201,"&lt;"&amp;EDATE('PPa2019'!$AP2,-6),'PPa2019'!$AA$2:$AA$201,"&gt;"&amp;EDATE('PPa2019'!$AP2,-11))</f>
        <v>0</v>
      </c>
      <c r="AT7" s="119">
        <f>COUNTIFS('PPa2019'!$AP$2:$AP$201,"&gt;31/03/2019",'PPa2019'!$AP$2:$AP$201,"&lt;01/05/2019",'PPa2019'!$P$2:$P$201,"H",'PPa2019'!$AA$2:$AA$201,"&lt;"&amp;EDATE('PPa2019'!$AP2,-11),'PPa2019'!$AA$2:$AA$201,"&gt;"&amp;EDATE('PPa2019'!$AP2,-23))</f>
        <v>0</v>
      </c>
      <c r="AU7" s="119">
        <f>COUNTIFS('PPa2019'!$AP$2:$AP$201,"&gt;31/03/2019",'PPa2019'!$AP$2:$AP$201,"&lt;01/05/2019",'PPa2019'!$P$2:$P$201,"F",'PPa2019'!$AA$2:$AA$201,"&lt;"&amp;EDATE('PPa2019'!$AP2,-11),'PPa2019'!$AA$2:$AA$201,"&gt;"&amp;EDATE('PPa2019'!$AP2,-23))</f>
        <v>0</v>
      </c>
      <c r="AV7" s="119">
        <f>COUNTIFS('PPa2019'!$AP$2:$AP$201,"&gt;31/03/2019",'PPa2019'!$AP$2:$AP$201,"&lt;01/05/2019",'PPa2019'!$P$2:$P$201,"H",'PPa2019'!$AA$2:$AA$201,"&lt;"&amp;EDATE('PPa2019'!$AP2,-23))</f>
        <v>0</v>
      </c>
      <c r="AW7" s="119">
        <f>COUNTIFS('PPa2019'!$AP$2:$AP$201,"&gt;31/03/2019",'PPa2019'!$AP$2:$AP$201,"&lt;01/05/2019",'PPa2019'!$P$2:$P$201,"F",'PPa2019'!$AA$2:$AA$201,"&lt;"&amp;EDATE('PPa2019'!$AP2,-23))</f>
        <v>0</v>
      </c>
      <c r="AX7" s="38">
        <f t="shared" si="5"/>
        <v>0</v>
      </c>
      <c r="AY7" s="119">
        <f>COUNTIFS('PPa2019'!$AP$2:$AP$201,"&gt;31/03/2019",'PPa2019'!$AP$2:$AP$201,"&lt;01/05/2019",'PPa2019'!$P$2:$P$201,"H",'PPa2019'!$T$2:$T$201,"Voiture")</f>
        <v>0</v>
      </c>
      <c r="AZ7" s="119">
        <f>COUNTIFS('PPa2019'!$AP$2:$AP$201,"&gt;31/03/2019",'PPa2019'!$AP$2:$AP$201,"&lt;01/05/2019",'PPa2019'!$P$2:$P$201,"F",'PPa2019'!$T$2:$T$201,"Voiture")</f>
        <v>0</v>
      </c>
      <c r="BA7" s="119">
        <f>COUNTIFS('PPa2019'!$AP$2:$AP$201,"&gt;31/03/2019",'PPa2019'!$AP$2:$AP$201,"&lt;01/05/2019",'PPa2019'!$P$2:$P$201,"H",'PPa2019'!$T$2:$T$201,"Moto")</f>
        <v>0</v>
      </c>
      <c r="BB7" s="119">
        <f>COUNTIFS('PPa2019'!$AP$2:$AP$201,"&gt;31/03/2019",'PPa2019'!$AP$2:$AP$201,"&lt;01/05/2019",'PPa2019'!$P$2:$P$201,"F",'PPa2019'!$T$2:$T$201,"Moto")</f>
        <v>0</v>
      </c>
      <c r="BC7" s="119">
        <f>COUNTIFS('PPa2019'!$AP$2:$AP$201,"&gt;31/03/2019",'PPa2019'!$AP$2:$AP$201,"&lt;01/05/2019",'PPa2019'!$P$2:$P$201,"H",'PPa2019'!$T$2:$T$201,"Scooter")</f>
        <v>0</v>
      </c>
      <c r="BD7" s="119">
        <f>COUNTIFS('PPa2019'!$AP$2:$AP$201,"&gt;31/03/2019",'PPa2019'!$AP$2:$AP$201,"&lt;01/05/2019",'PPa2019'!$P$2:$P$201,"F",'PPa2019'!$T$2:$T$201,"Scooter")</f>
        <v>0</v>
      </c>
      <c r="BE7" s="119">
        <f>COUNTIFS('PPa2019'!$AP$2:$AP$201,"&gt;31/03/2019",'PPa2019'!$AP$2:$AP$201,"&lt;01/05/2019",'PPa2019'!$P$2:$P$201,"H",'PPa2019'!$T$2:$T$201,"Vélo")</f>
        <v>0</v>
      </c>
      <c r="BF7" s="119">
        <f>COUNTIFS('PPa2019'!$AP$2:$AP$201,"&gt;31/03/2019",'PPa2019'!$AP$2:$AP$201,"&lt;01/05/2019",'PPa2019'!$P$2:$P$201,"F",'PPa2019'!$T$2:$T$201,"Vélo")</f>
        <v>0</v>
      </c>
      <c r="BG7" s="119">
        <f>COUNTIFS('PPa2019'!$AP$2:$AP$201,"&gt;31/03/2019",'PPa2019'!$AP$2:$AP$201,"&lt;01/05/2019",'PPa2019'!$P$2:$P$201,"H",'PPa2019'!$T$2:$T$201,"Bus")</f>
        <v>0</v>
      </c>
      <c r="BH7" s="119">
        <f>COUNTIFS('PPa2019'!$AP$2:$AP$201,"&gt;31/03/2019",'PPa2019'!$AP$2:$AP$201,"&lt;01/05/2019",'PPa2019'!$P$2:$P$201,"F",'PPa2019'!$T$2:$T$201,"Bus")</f>
        <v>0</v>
      </c>
      <c r="BI7" s="119">
        <f>COUNTIFS('PPa2019'!$AP$2:$AP$201,"&gt;31/03/2019",'PPa2019'!$AP$2:$AP$201,"&lt;01/05/2019",'PPa2019'!$P$2:$P$201,"H",'PPa2019'!$T$2:$T$201,"Covoiturage")</f>
        <v>0</v>
      </c>
      <c r="BJ7" s="119">
        <f>COUNTIFS('PPa2019'!$AP$2:$AP$201,"&gt;31/03/2019",'PPa2019'!$AP$2:$AP$201,"&lt;01/05/2019",'PPa2019'!$P$2:$P$201,"F",'PPa2019'!$T$2:$T$201,"Covoiturage")</f>
        <v>0</v>
      </c>
      <c r="BK7" s="119">
        <f>COUNTIFS('PPa2019'!$AP$2:$AP$201,"&gt;31/03/2019",'PPa2019'!$AP$2:$AP$201,"&lt;01/05/2019",'PPa2019'!$P$2:$P$201,"H",'PPa2019'!$T$2:$T$201,"Plusieurs")</f>
        <v>0</v>
      </c>
      <c r="BL7" s="119">
        <f>COUNTIFS('PPa2019'!$AP$2:$AP$201,"&gt;31/03/2019",'PPa2019'!$AP$2:$AP$201,"&lt;01/05/2019",'PPa2019'!$P$2:$P$201,"F",'PPa2019'!$T$2:$T$201,"Plusieurs")</f>
        <v>0</v>
      </c>
      <c r="BM7" s="119">
        <f>COUNTIFS('PPa2019'!$AP$2:$AP$201,"&gt;31/03/2019",'PPa2019'!$AP$2:$AP$201,"&lt;01/05/2019",'PPa2019'!$P$2:$P$201,"H",'PPa2019'!$T$2:$T$201,"Autre")</f>
        <v>0</v>
      </c>
      <c r="BN7" s="119">
        <f>COUNTIFS('PPa2019'!$AP$2:$AP$201,"&gt;31/03/2019",'PPa2019'!$AP$2:$AP$201,"&lt;01/05/2019",'PPa2019'!$P$2:$P$201,"F",'PPa2019'!$T$2:$T$201,"Autre")</f>
        <v>0</v>
      </c>
      <c r="BO7" s="38">
        <f t="shared" si="6"/>
        <v>0</v>
      </c>
      <c r="BP7" s="119" t="e">
        <f>COUNTIFS('PPa2019'!$AP$2:$AP$201,"&gt;31/03/2019",'PPa2019'!$AP$2:$AP$201,"&lt;01/05/2019",'PPa2019'!$P$2:$P$201,"H",'PPa2019'!#REF!,"CCLES")</f>
        <v>#REF!</v>
      </c>
      <c r="BQ7" s="119" t="e">
        <f>COUNTIFS('PPa2019'!$AP$2:$AP$201,"&gt;31/03/2019",'PPa2019'!$AP$2:$AP$201,"&lt;01/05/2019",'PPa2019'!$P$2:$P$201,"H",'PPa2019'!#REF!,"CCLES")</f>
        <v>#REF!</v>
      </c>
      <c r="BR7" s="119" t="e">
        <f>COUNTIFS('PPa2019'!$AP$2:$AP$201,"&gt;31/03/2019",'PPa2019'!$AP$2:$AP$201,"&lt;01/05/2019",'PPa2019'!$P$2:$P$201,"H",'PPa2019'!#REF!,"PPI")</f>
        <v>#REF!</v>
      </c>
      <c r="BS7" s="119" t="e">
        <f>COUNTIFS('PPa2019'!$AP$2:$AP$201,"&gt;31/03/2019",'PPa2019'!$AP$2:$AP$201,"&lt;01/05/2019",'PPa2019'!$P$2:$P$201,"H",'PPa2019'!#REF!,"PPI")</f>
        <v>#REF!</v>
      </c>
      <c r="BT7" s="119" t="e">
        <f>COUNTIFS('PPa2019'!$AP$2:$AP$201,"&gt;31/03/2019",'PPa2019'!$AP$2:$AP$201,"&lt;01/05/2019",'PPa2019'!$P$2:$P$201,"H",'PPa2019'!#REF!,"POP")</f>
        <v>#REF!</v>
      </c>
      <c r="BU7" s="119" t="e">
        <f>COUNTIFS('PPa2019'!$AP$2:$AP$201,"&gt;31/03/2019",'PPa2019'!$AP$2:$AP$201,"&lt;01/05/2019",'PPa2019'!$P$2:$P$201,"H",'PPa2019'!#REF!,"POP")</f>
        <v>#REF!</v>
      </c>
      <c r="BV7" s="119" t="e">
        <f>COUNTIFS('PPa2019'!$AP$2:$AP$201,"&gt;31/03/2019",'PPa2019'!$AP$2:$AP$201,"&lt;01/05/2019",'PPa2019'!$P$2:$P$201,"H",'PPa2019'!#REF!,"PREFOS")</f>
        <v>#REF!</v>
      </c>
      <c r="BW7" s="119" t="e">
        <f>COUNTIFS('PPa2019'!$AP$2:$AP$201,"&gt;31/03/2019",'PPa2019'!$AP$2:$AP$201,"&lt;01/05/2019",'PPa2019'!$P$2:$P$201,"H",'PPa2019'!#REF!,"PREFOS")</f>
        <v>#REF!</v>
      </c>
      <c r="BX7" s="119" t="e">
        <f>COUNTIFS('PPa2019'!$AP$2:$AP$201,"&gt;31/03/2019",'PPa2019'!$AP$2:$AP$201,"&lt;01/05/2019",'PPa2019'!$P$2:$P$201,"H",'PPa2019'!#REF!,"FLE")</f>
        <v>#REF!</v>
      </c>
      <c r="BY7" s="119" t="e">
        <f>COUNTIFS('PPa2019'!$AP$2:$AP$201,"&gt;31/03/2019",'PPa2019'!$AP$2:$AP$201,"&lt;01/05/2019",'PPa2019'!$P$2:$P$201,"H",'PPa2019'!#REF!,"FLE")</f>
        <v>#REF!</v>
      </c>
      <c r="BZ7" s="119" t="e">
        <f>COUNTIFS('PPa2019'!$AP$2:$AP$201,"&gt;31/03/2019",'PPa2019'!$AP$2:$AP$201,"&lt;01/05/2019",'PPa2019'!$P$2:$P$201,"H",'PPa2019'!#REF!,"MGI MIJEC")</f>
        <v>#REF!</v>
      </c>
      <c r="CA7" s="119" t="e">
        <f>COUNTIFS('PPa2019'!$AP$2:$AP$201,"&gt;31/03/2019",'PPa2019'!$AP$2:$AP$201,"&lt;01/05/2019",'PPa2019'!$P$2:$P$201,"H",'PPa2019'!#REF!,"MGI MIJEC")</f>
        <v>#REF!</v>
      </c>
      <c r="CB7" s="119" t="e">
        <f>COUNTIFS('PPa2019'!$AP$2:$AP$201,"&gt;31/03/2019",'PPa2019'!$AP$2:$AP$201,"&lt;01/05/2019",'PPa2019'!$P$2:$P$201,"H",'PPa2019'!#REF!,"CAQ")</f>
        <v>#REF!</v>
      </c>
      <c r="CC7" s="119" t="e">
        <f>COUNTIFS('PPa2019'!$AP$2:$AP$201,"&gt;31/03/2019",'PPa2019'!$AP$2:$AP$201,"&lt;01/05/2019",'PPa2019'!$P$2:$P$201,"H",'PPa2019'!#REF!,"CAQ")</f>
        <v>#REF!</v>
      </c>
      <c r="CD7" s="119" t="e">
        <f>COUNTIFS('PPa2019'!$AP$2:$AP$201,"&gt;31/03/2019",'PPa2019'!$AP$2:$AP$201,"&lt;01/05/2019",'PPa2019'!$P$2:$P$201,"H",'PPa2019'!#REF!,"QUALIF")</f>
        <v>#REF!</v>
      </c>
      <c r="CE7" s="119" t="e">
        <f>COUNTIFS('PPa2019'!$AP$2:$AP$201,"&gt;31/03/2019",'PPa2019'!$AP$2:$AP$201,"&lt;01/05/2019",'PPa2019'!$P$2:$P$201,"H",'PPa2019'!#REF!,"QUALIF")</f>
        <v>#REF!</v>
      </c>
      <c r="CF7" s="119" t="e">
        <f>COUNTIFS('PPa2019'!$AP$2:$AP$201,"&gt;31/03/2019",'PPa2019'!$AP$2:$AP$201,"&lt;01/05/2019",'PPa2019'!$P$2:$P$201,"H",'PPa2019'!#REF!,"ALTERN")</f>
        <v>#REF!</v>
      </c>
      <c r="CG7" s="119" t="e">
        <f>COUNTIFS('PPa2019'!$AP$2:$AP$201,"&gt;31/03/2019",'PPa2019'!$AP$2:$AP$201,"&lt;01/05/2019",'PPa2019'!$P$2:$P$201,"H",'PPa2019'!#REF!,"ALTERN")</f>
        <v>#REF!</v>
      </c>
      <c r="CH7" s="119" t="e">
        <f>COUNTIFS('PPa2019'!$AP$2:$AP$201,"&gt;31/03/2019",'PPa2019'!$AP$2:$AP$201,"&lt;01/05/2019",'PPa2019'!$P$2:$P$201,"H",'PPa2019'!#REF!,"EMPLOI")</f>
        <v>#REF!</v>
      </c>
      <c r="CI7" s="119" t="e">
        <f>COUNTIFS('PPa2019'!$AP$2:$AP$201,"&gt;31/03/2019",'PPa2019'!$AP$2:$AP$201,"&lt;01/05/2019",'PPa2019'!$P$2:$P$201,"H",'PPa2019'!#REF!,"EMPLOI")</f>
        <v>#REF!</v>
      </c>
      <c r="CJ7" s="119" t="e">
        <f>COUNTIFS('PPa2019'!$AP$2:$AP$201,"&gt;31/03/2019",'PPa2019'!$AP$2:$AP$201,"&lt;01/05/2019",'PPa2019'!$P$2:$P$201,"H",'PPa2019'!#REF!,"AUTRE")</f>
        <v>#REF!</v>
      </c>
      <c r="CK7" s="119" t="e">
        <f>COUNTIFS('PPa2019'!$AP$2:$AP$201,"&gt;31/03/2019",'PPa2019'!$AP$2:$AP$201,"&lt;01/05/2019",'PPa2019'!$P$2:$P$201,"H",'PPa2019'!#REF!,"AUTRE")</f>
        <v>#REF!</v>
      </c>
      <c r="CL7" s="38" t="e">
        <f t="shared" si="2"/>
        <v>#REF!</v>
      </c>
    </row>
    <row r="8" spans="1:90" x14ac:dyDescent="0.25">
      <c r="A8" s="31" t="s">
        <v>78</v>
      </c>
      <c r="B8" s="118">
        <f>COUNTIFS('PPa2019'!$AP$2:$AP$201,"&gt;30/04/2019",'PPa2019'!$AP$2:$AP$201,"&lt;01/06/2019",'PPa2019'!$P$2:$P$201,"H")</f>
        <v>0</v>
      </c>
      <c r="C8" s="118">
        <f>COUNTIFS('PPa2019'!$AP$2:$AP$201,"&gt;30/04/2019",'PPa2019'!$AP$2:$AP$201,"&lt;01/06/2019",'PPa2019'!$P$2:$P$201,"F")</f>
        <v>0</v>
      </c>
      <c r="D8" s="38">
        <f t="shared" si="3"/>
        <v>0</v>
      </c>
      <c r="E8" s="118">
        <f>COUNTIFS('PPa2019'!$AP$2:$AP$201,"&gt;30/04/2019",'PPa2019'!$AP$2:$AP$201,"&lt;01/06/2019",'PPa2019'!$P$2:$P$201,"H",'PPa2019'!$O$2:$O$201,"&lt;18")</f>
        <v>0</v>
      </c>
      <c r="F8" s="118">
        <f>COUNTIFS('PPa2019'!$AP$2:$AP$201,"&gt;30/04/2019",'PPa2019'!$AP$2:$AP$201,"&lt;01/06/2019",'PPa2019'!$P$2:$P$201,"F",'PPa2019'!$O$2:$O$201,"&lt;18")</f>
        <v>0</v>
      </c>
      <c r="G8" s="118">
        <f>COUNTIFS('PPa2019'!$AP$2:$AP$201,"&gt;30/04/2019",'PPa2019'!$AP$2:$AP$201,"&lt;01/06/2019",'PPa2019'!$P$2:$P$201,"H",'PPa2019'!$O$2:$O$201,"&gt;18",'PPa2019'!$O$2:$O$201,"&lt;26")</f>
        <v>0</v>
      </c>
      <c r="H8" s="118">
        <f>COUNTIFS('PPa2019'!$AP$2:$AP$201,"&gt;30/04/2019",'PPa2019'!$AP$2:$AP$201,"&lt;01/06/2019",'PPa2019'!$P$2:$P$201,"F",'PPa2019'!$O$2:$O$201,"&gt;18",'PPa2019'!$O$2:$O$201,"&lt;26")</f>
        <v>0</v>
      </c>
      <c r="I8" s="118">
        <f>COUNTIFS('PPa2019'!$AP$2:$AP$201,"&gt;30/04/2019",'PPa2019'!$AP$2:$AP$201,"&lt;01/06/2019",'PPa2019'!$P$2:$P$201,"H",'PPa2019'!$O$2:$O$201,"&gt;26",'PPa2019'!$O$2:$O$201,"&lt;31")</f>
        <v>0</v>
      </c>
      <c r="J8" s="118">
        <f>COUNTIFS('PPa2019'!$AP$2:$AP$201,"&gt;30/04/2019",'PPa2019'!$AP$2:$AP$201,"&lt;01/06/2019",'PPa2019'!$P$2:$P$201,"F",'PPa2019'!$O$2:$O$201,"&gt;26",'PPa2019'!$O$2:$O$201,"&lt;31")</f>
        <v>0</v>
      </c>
      <c r="K8" s="118">
        <f>COUNTIFS('PPa2019'!$AP$2:$AP$201,"&gt;30/04/2019",'PPa2019'!$AP$2:$AP$201,"&lt;01/06/2019",'PPa2019'!$P$2:$P$201,"H",'PPa2019'!$O$2:$O$201,"&gt;31",'PPa2019'!$O$2:$O$201,"&lt;36")</f>
        <v>0</v>
      </c>
      <c r="L8" s="118">
        <f>COUNTIFS('PPa2019'!$AP$2:$AP$201,"&gt;30/04/2019",'PPa2019'!$AP$2:$AP$201,"&lt;01/06/2019",'PPa2019'!$P$2:$P$201,"F",'PPa2019'!$O$2:$O$201,"&gt;31",'PPa2019'!$O$2:$O$201,"&lt;36")</f>
        <v>0</v>
      </c>
      <c r="M8" s="118">
        <f>COUNTIFS('PPa2019'!$AP$2:$AP$201,"&gt;30/04/2019",'PPa2019'!$AP$2:$AP$201,"&lt;01/06/2019",'PPa2019'!$P$2:$P$201,"H",'PPa2019'!$O$2:$O$201,"&gt;36",'PPa2019'!$O$2:$O$201,"&lt;41")</f>
        <v>0</v>
      </c>
      <c r="N8" s="118">
        <f>COUNTIFS('PPa2019'!$AP$2:$AP$201,"&gt;30/04/2019",'PPa2019'!$AP$2:$AP$201,"&lt;01/06/2019",'PPa2019'!$P$2:$P$201,"F",'PPa2019'!$O$2:$O$201,"&gt;36",'PPa2019'!$O$2:$O$201,"&lt;41")</f>
        <v>0</v>
      </c>
      <c r="O8" s="118">
        <f>COUNTIFS('PPa2019'!$AP$2:$AP$201,"&gt;30/04/2019",'PPa2019'!$AP$2:$AP$201,"&lt;01/06/2019",'PPa2019'!$P$2:$P$201,"H",'PPa2019'!$O$2:$O$201,"&gt;40")</f>
        <v>0</v>
      </c>
      <c r="P8" s="118">
        <f>COUNTIFS('PPa2019'!$AP$2:$AP$201,"&gt;30/04/2019",'PPa2019'!$AP$2:$AP$201,"&lt;01/06/2019",'PPa2019'!$P$2:$P$201,"F",'PPa2019'!$O$2:$O$201,"&gt;40")</f>
        <v>0</v>
      </c>
      <c r="Q8" s="38">
        <f t="shared" si="0"/>
        <v>0</v>
      </c>
      <c r="R8" s="118">
        <f>COUNTIFS('PPa2019'!$AP$2:$AP$201,"&gt;30/04/2019",'PPa2019'!$AP$2:$AP$201,"&lt;01/06/2019",'PPa2019'!$P$2:$P$201,"H",'PPa2019'!$AC$2:$AC$201,6)</f>
        <v>0</v>
      </c>
      <c r="S8" s="118">
        <f>COUNTIFS('PPa2019'!$AP$2:$AP$201,"&gt;30/04/2019",'PPa2019'!$AP$2:$AP$201,"&lt;01/06/2019",'PPa2019'!$P$2:$P$201,"F",'PPa2019'!$AC$2:$AC$201,6)</f>
        <v>0</v>
      </c>
      <c r="T8" s="118">
        <f>COUNTIFS('PPa2019'!$AP$2:$AP$201,"&gt;30/04/2019",'PPa2019'!$AP$2:$AP$201,"&lt;01/06/2019",'PPa2019'!$P$2:$P$201,"H",'PPa2019'!$AC$2:$AC$201,5)</f>
        <v>0</v>
      </c>
      <c r="U8" s="118">
        <f>COUNTIFS('PPa2019'!$AP$2:$AP$201,"&gt;30/04/2019",'PPa2019'!$AP$2:$AP$201,"&lt;01/06/2019",'PPa2019'!$P$2:$P$201,"F",'PPa2019'!$AC$2:$AC$201,5)</f>
        <v>0</v>
      </c>
      <c r="V8" s="118">
        <f>COUNTIFS('PPa2019'!$AP$2:$AP$201,"&gt;30/04/2019",'PPa2019'!$AP$2:$AP$201,"&lt;01/06/2019",'PPa2019'!$P$2:$P$201,"H",'PPa2019'!$AC$2:$AC$201,4)</f>
        <v>0</v>
      </c>
      <c r="W8" s="118">
        <f>COUNTIFS('PPa2019'!$AP$2:$AP$201,"&gt;30/04/2019",'PPa2019'!$AP$2:$AP$201,"&lt;01/06/2019",'PPa2019'!$P$2:$P$201,"F",'PPa2019'!$AC$2:$AC$201,4)</f>
        <v>0</v>
      </c>
      <c r="X8" s="118">
        <f>COUNTIFS('PPa2019'!$AP$2:$AP$201,"&gt;30/04/2019",'PPa2019'!$AP$2:$AP$201,"&lt;01/06/2019",'PPa2019'!$P$2:$P$201,"H",'PPa2019'!$AC$2:$AC$201,3)</f>
        <v>0</v>
      </c>
      <c r="Y8" s="118">
        <f>COUNTIFS('PPa2019'!$AP$2:$AP$201,"&gt;30/04/2019",'PPa2019'!$AP$2:$AP$201,"&lt;01/06/2019",'PPa2019'!$P$2:$P$201,"F",'PPa2019'!$AC$2:$AC$201,3)</f>
        <v>0</v>
      </c>
      <c r="Z8" s="118">
        <f>COUNTIFS('PPa2019'!$AP$2:$AP$201,"&gt;30/04/2019",'PPa2019'!$AP$2:$AP$201,"&lt;01/06/2019",'PPa2019'!$P$2:$P$201,"H",'PPa2019'!$AC$2:$AC$201,2)</f>
        <v>0</v>
      </c>
      <c r="AA8" s="118">
        <f>COUNTIFS('PPa2019'!$AP$2:$AP$201,"&gt;30/04/2019",'PPa2019'!$AP$2:$AP$201,"&lt;01/06/2019",'PPa2019'!$P$2:$P$201,"F",'PPa2019'!$AC$2:$AC$201,2)</f>
        <v>0</v>
      </c>
      <c r="AB8" s="118">
        <f>COUNTIFS('PPa2019'!$AP$2:$AP$201,"&gt;30/04/2019",'PPa2019'!$AP$2:$AP$201,"&lt;01/06/2019",'PPa2019'!$P$2:$P$201,"H",'PPa2019'!$AC$2:$AC$201,1)</f>
        <v>0</v>
      </c>
      <c r="AC8" s="118">
        <f>COUNTIFS('PPa2019'!$AP$2:$AP$201,"&gt;30/04/2019",'PPa2019'!$AP$2:$AP$201,"&lt;01/06/2019",'PPa2019'!$P$2:$P$201,"F",'PPa2019'!$AC$2:$AC$201,1)</f>
        <v>0</v>
      </c>
      <c r="AD8" s="38">
        <f t="shared" si="1"/>
        <v>0</v>
      </c>
      <c r="AE8" s="118" t="e">
        <f>COUNTIFS('PPa2019'!$AP$2:$AP$201,"&gt;30/04/2019",'PPa2019'!$AP$2:$AP$201,"&lt;01/06/2019",'PPa2019'!$P$2:$P$201,"H",'PPa2019'!#REF!,"CCLES")</f>
        <v>#REF!</v>
      </c>
      <c r="AF8" s="118" t="e">
        <f>COUNTIFS('PPa2019'!$AP$2:$AP$201,"&gt;30/04/2019",'PPa2019'!$AP$2:$AP$201,"&lt;01/06/2019",'PPa2019'!$P$2:$P$201,"F",'PPa2019'!#REF!,"CCLES")</f>
        <v>#REF!</v>
      </c>
      <c r="AG8" s="118">
        <f>COUNTIFS('PPa2019'!$AP$2:$AP$201,"&gt;30/04/2019",'PPa2019'!$AP$2:$AP$201,"&lt;01/06/2019",'PPa2019'!$P$2:$P$201,"H",'PPa2019'!$Y$2:$Y$201,"SALARIÉ")</f>
        <v>0</v>
      </c>
      <c r="AH8" s="118">
        <f>COUNTIFS('PPa2019'!$AP$2:$AP$201,"&gt;30/04/2019",'PPa2019'!$AP$2:$AP$201,"&lt;01/06/2019",'PPa2019'!$P$2:$P$201,"F",'PPa2019'!$Y$2:$Y$201,"SALARIÉ")</f>
        <v>0</v>
      </c>
      <c r="AI8" s="118">
        <f>COUNTIFS('PPa2019'!$AP$2:$AP$201,"&gt;30/04/2019",'PPa2019'!$AP$2:$AP$201,"&lt;01/06/2019",'PPa2019'!$P$2:$P$201,"H",'PPa2019'!$Y$2:$Y$201,"ÉTUDIANT")</f>
        <v>0</v>
      </c>
      <c r="AJ8" s="118">
        <f>COUNTIFS('PPa2019'!$AP$2:$AP$201,"&gt;30/04/2019",'PPa2019'!$AP$2:$AP$201,"&lt;01/06/2019",'PPa2019'!$P$2:$P$201,"F",'PPa2019'!$Y$2:$Y$201,"ÉTUDIANT")</f>
        <v>0</v>
      </c>
      <c r="AK8" s="118">
        <f>COUNTIFS('PPa2019'!$AP$2:$AP$201,"&gt;30/04/2019",'PPa2019'!$AP$2:$AP$201,"&lt;01/06/2019",'PPa2019'!$P$2:$P$201,"H",'PPa2019'!$Y$2:$Y$201,"RE")</f>
        <v>0</v>
      </c>
      <c r="AL8" s="118">
        <f>COUNTIFS('PPa2019'!$AP$2:$AP$201,"&gt;30/04/2019",'PPa2019'!$AP$2:$AP$201,"&lt;01/06/2019",'PPa2019'!$P$2:$P$201,"F",'PPa2019'!$Y$2:$Y$201,"RE")</f>
        <v>0</v>
      </c>
      <c r="AM8" s="118">
        <f>COUNTIFS('PPa2019'!$AP$2:$AP$201,"&gt;30/04/2019",'PPa2019'!$AP$2:$AP$201,"&lt;01/06/2019",'PPa2019'!$P$2:$P$201,"H",'PPa2019'!$Y$2:$Y$201,"AUTRE")</f>
        <v>0</v>
      </c>
      <c r="AN8" s="118">
        <f>COUNTIFS('PPa2019'!$AP$2:$AP$201,"&gt;30/04/2019",'PPa2019'!$AP$2:$AP$201,"&lt;01/06/2019",'PPa2019'!$P$2:$P$201,"F",'PPa2019'!$Y$2:$Y$201,"AUTRE")</f>
        <v>0</v>
      </c>
      <c r="AO8" s="38" t="e">
        <f t="shared" si="4"/>
        <v>#REF!</v>
      </c>
      <c r="AP8" s="118">
        <f>COUNTIFS('PPa2019'!$AP$2:$AP$201,"&gt;30/04/2019",'PPa2019'!$AP$2:$AP$201,"&lt;01/06/2019",'PPa2019'!$P$2:$P$201,"H",'PPa2019'!$AA$2:$AA$201,"&gt;"&amp;EDATE('PPa2019'!$AP2,-6))</f>
        <v>0</v>
      </c>
      <c r="AQ8" s="118">
        <f>COUNTIFS('PPa2019'!$AP$2:$AP$201,"&gt;30/04/2019",'PPa2019'!$AP$2:$AP$201,"&lt;01/06/2019",'PPa2019'!$P$2:$P$201,"F",'PPa2019'!$AA$2:$AA$201,"&gt;"&amp;EDATE('PPa2019'!$AP2,-6))</f>
        <v>0</v>
      </c>
      <c r="AR8" s="118">
        <f>COUNTIFS('PPa2019'!$AP$2:$AP$201,"&gt;30/04/2019",'PPa2019'!$AP$2:$AP$201,"&lt;01/06/2019",'PPa2019'!$P$2:$P$201,"H",'PPa2019'!$AA$2:$AA$201,"&lt;"&amp;EDATE('PPa2019'!$AP2,-6),'PPa2019'!$AA$2:$AA$201,"&gt;"&amp;EDATE('PPa2019'!$AP2,-11))</f>
        <v>0</v>
      </c>
      <c r="AS8" s="118">
        <f>COUNTIFS('PPa2019'!$AP$2:$AP$201,"&gt;30/04/2019",'PPa2019'!$AP$2:$AP$201,"&lt;01/06/2019",'PPa2019'!$P$2:$P$201,"F",'PPa2019'!$AA$2:$AA$201,"&lt;"&amp;EDATE('PPa2019'!$AP2,-6),'PPa2019'!$AA$2:$AA$201,"&gt;"&amp;EDATE('PPa2019'!$AP2,-11))</f>
        <v>0</v>
      </c>
      <c r="AT8" s="118">
        <f>COUNTIFS('PPa2019'!$AP$2:$AP$201,"&gt;30/04/2019",'PPa2019'!$AP$2:$AP$201,"&lt;01/06/2019",'PPa2019'!$P$2:$P$201,"H",'PPa2019'!$AA$2:$AA$201,"&lt;"&amp;EDATE('PPa2019'!$AP2,-11),'PPa2019'!$AA$2:$AA$201,"&gt;"&amp;EDATE('PPa2019'!$AP2,-23))</f>
        <v>0</v>
      </c>
      <c r="AU8" s="118">
        <f>COUNTIFS('PPa2019'!$AP$2:$AP$201,"&gt;30/04/2019",'PPa2019'!$AP$2:$AP$201,"&lt;01/06/2019",'PPa2019'!$P$2:$P$201,"F",'PPa2019'!$AA$2:$AA$201,"&lt;"&amp;EDATE('PPa2019'!$AP2,-11),'PPa2019'!$AA$2:$AA$201,"&gt;"&amp;EDATE('PPa2019'!$AP2,-23))</f>
        <v>0</v>
      </c>
      <c r="AV8" s="118">
        <f>COUNTIFS('PPa2019'!$AP$2:$AP$201,"&gt;30/04/2019",'PPa2019'!$AP$2:$AP$201,"&lt;01/06/2019",'PPa2019'!$P$2:$P$201,"H",'PPa2019'!$AA$2:$AA$201,"&lt;"&amp;EDATE('PPa2019'!$AP2,-23))</f>
        <v>0</v>
      </c>
      <c r="AW8" s="118">
        <f>COUNTIFS('PPa2019'!$AP$2:$AP$201,"&gt;30/04/2019",'PPa2019'!$AP$2:$AP$201,"&lt;01/06/2019",'PPa2019'!$P$2:$P$201,"F",'PPa2019'!$AA$2:$AA$201,"&lt;"&amp;EDATE('PPa2019'!$AP2,-23))</f>
        <v>0</v>
      </c>
      <c r="AX8" s="38">
        <f t="shared" si="5"/>
        <v>0</v>
      </c>
      <c r="AY8" s="118">
        <f>COUNTIFS('PPa2019'!$AP$2:$AP$201,"&gt;30/04/2019",'PPa2019'!$AP$2:$AP$201,"&lt;01/06/2019",'PPa2019'!$P$2:$P$201,"H",'PPa2019'!$T$2:$T$201,"Voiture")</f>
        <v>0</v>
      </c>
      <c r="AZ8" s="118">
        <f>COUNTIFS('PPa2019'!$AP$2:$AP$201,"&gt;30/04/2019",'PPa2019'!$AP$2:$AP$201,"&lt;01/06/2019",'PPa2019'!$P$2:$P$201,"F",'PPa2019'!$T$2:$T$201,"Voiture")</f>
        <v>0</v>
      </c>
      <c r="BA8" s="118">
        <f>COUNTIFS('PPa2019'!$AP$2:$AP$201,"&gt;30/04/2019",'PPa2019'!$AP$2:$AP$201,"&lt;01/06/2019",'PPa2019'!$P$2:$P$201,"H",'PPa2019'!$T$2:$T$201,"Moto")</f>
        <v>0</v>
      </c>
      <c r="BB8" s="118">
        <f>COUNTIFS('PPa2019'!$AP$2:$AP$201,"&gt;30/04/2019",'PPa2019'!$AP$2:$AP$201,"&lt;01/06/2019",'PPa2019'!$P$2:$P$201,"F",'PPa2019'!$T$2:$T$201,"Moto")</f>
        <v>0</v>
      </c>
      <c r="BC8" s="118">
        <f>COUNTIFS('PPa2019'!$AP$2:$AP$201,"&gt;30/04/2019",'PPa2019'!$AP$2:$AP$201,"&lt;01/06/2019",'PPa2019'!$P$2:$P$201,"H",'PPa2019'!$T$2:$T$201,"Scooter")</f>
        <v>0</v>
      </c>
      <c r="BD8" s="118">
        <f>COUNTIFS('PPa2019'!$AP$2:$AP$201,"&gt;30/04/2019",'PPa2019'!$AP$2:$AP$201,"&lt;01/06/2019",'PPa2019'!$P$2:$P$201,"F",'PPa2019'!$T$2:$T$201,"Scooter")</f>
        <v>0</v>
      </c>
      <c r="BE8" s="118">
        <f>COUNTIFS('PPa2019'!$AP$2:$AP$201,"&gt;30/04/2019",'PPa2019'!$AP$2:$AP$201,"&lt;01/06/2019",'PPa2019'!$P$2:$P$201,"H",'PPa2019'!$T$2:$T$201,"Vélo")</f>
        <v>0</v>
      </c>
      <c r="BF8" s="118">
        <f>COUNTIFS('PPa2019'!$AP$2:$AP$201,"&gt;30/04/2019",'PPa2019'!$AP$2:$AP$201,"&lt;01/06/2019",'PPa2019'!$P$2:$P$201,"F",'PPa2019'!$T$2:$T$201,"Vélo")</f>
        <v>0</v>
      </c>
      <c r="BG8" s="118">
        <f>COUNTIFS('PPa2019'!$AP$2:$AP$201,"&gt;30/04/2019",'PPa2019'!$AP$2:$AP$201,"&lt;01/06/2019",'PPa2019'!$P$2:$P$201,"H",'PPa2019'!$T$2:$T$201,"Bus")</f>
        <v>0</v>
      </c>
      <c r="BH8" s="118">
        <f>COUNTIFS('PPa2019'!$AP$2:$AP$201,"&gt;30/04/2019",'PPa2019'!$AP$2:$AP$201,"&lt;01/06/2019",'PPa2019'!$P$2:$P$201,"F",'PPa2019'!$T$2:$T$201,"Bus")</f>
        <v>0</v>
      </c>
      <c r="BI8" s="118">
        <f>COUNTIFS('PPa2019'!$AP$2:$AP$201,"&gt;30/04/2019",'PPa2019'!$AP$2:$AP$201,"&lt;01/06/2019",'PPa2019'!$P$2:$P$201,"H",'PPa2019'!$T$2:$T$201,"Covoiturage")</f>
        <v>0</v>
      </c>
      <c r="BJ8" s="118">
        <f>COUNTIFS('PPa2019'!$AP$2:$AP$201,"&gt;30/04/2019",'PPa2019'!$AP$2:$AP$201,"&lt;01/06/2019",'PPa2019'!$P$2:$P$201,"F",'PPa2019'!$T$2:$T$201,"Covoiturage")</f>
        <v>0</v>
      </c>
      <c r="BK8" s="118">
        <f>COUNTIFS('PPa2019'!$AP$2:$AP$201,"&gt;30/04/2019",'PPa2019'!$AP$2:$AP$201,"&lt;01/06/2019",'PPa2019'!$P$2:$P$201,"H",'PPa2019'!$T$2:$T$201,"Plusieurs")</f>
        <v>0</v>
      </c>
      <c r="BL8" s="118">
        <f>COUNTIFS('PPa2019'!$AP$2:$AP$201,"&gt;30/04/2019",'PPa2019'!$AP$2:$AP$201,"&lt;01/06/2019",'PPa2019'!$P$2:$P$201,"F",'PPa2019'!$T$2:$T$201,"Plusieurs")</f>
        <v>0</v>
      </c>
      <c r="BM8" s="118">
        <f>COUNTIFS('PPa2019'!$AP$2:$AP$201,"&gt;30/04/2019",'PPa2019'!$AP$2:$AP$201,"&lt;01/06/2019",'PPa2019'!$P$2:$P$201,"H",'PPa2019'!$T$2:$T$201,"Autre")</f>
        <v>0</v>
      </c>
      <c r="BN8" s="118">
        <f>COUNTIFS('PPa2019'!$AP$2:$AP$201,"&gt;30/04/2019",'PPa2019'!$AP$2:$AP$201,"&lt;01/06/2019",'PPa2019'!$P$2:$P$201,"F",'PPa2019'!$T$2:$T$201,"Autre")</f>
        <v>0</v>
      </c>
      <c r="BO8" s="38">
        <f t="shared" si="6"/>
        <v>0</v>
      </c>
      <c r="BP8" s="118" t="e">
        <f>COUNTIFS('PPa2019'!$AP$2:$AP$201,"&gt;30/04/2019",'PPa2019'!$AP$2:$AP$201,"&lt;01/06/2019",'PPa2019'!$P$2:$P$201,"H",'PPa2019'!#REF!,"CCLES")</f>
        <v>#REF!</v>
      </c>
      <c r="BQ8" s="118" t="e">
        <f>COUNTIFS('PPa2019'!$AP$2:$AP$201,"&gt;30/04/2019",'PPa2019'!$AP$2:$AP$201,"&lt;01/06/2019",'PPa2019'!$P$2:$P$201,"H",'PPa2019'!#REF!,"CCLES")</f>
        <v>#REF!</v>
      </c>
      <c r="BR8" s="118" t="e">
        <f>COUNTIFS('PPa2019'!$AP$2:$AP$201,"&gt;30/04/2019",'PPa2019'!$AP$2:$AP$201,"&lt;01/06/2019",'PPa2019'!$P$2:$P$201,"H",'PPa2019'!#REF!,"PPI")</f>
        <v>#REF!</v>
      </c>
      <c r="BS8" s="118" t="e">
        <f>COUNTIFS('PPa2019'!$AP$2:$AP$201,"&gt;30/04/2019",'PPa2019'!$AP$2:$AP$201,"&lt;01/06/2019",'PPa2019'!$P$2:$P$201,"H",'PPa2019'!#REF!,"PPI")</f>
        <v>#REF!</v>
      </c>
      <c r="BT8" s="118" t="e">
        <f>COUNTIFS('PPa2019'!$AP$2:$AP$201,"&gt;30/04/2019",'PPa2019'!$AP$2:$AP$201,"&lt;01/06/2019",'PPa2019'!$P$2:$P$201,"H",'PPa2019'!#REF!,"POP")</f>
        <v>#REF!</v>
      </c>
      <c r="BU8" s="118" t="e">
        <f>COUNTIFS('PPa2019'!$AP$2:$AP$201,"&gt;30/04/2019",'PPa2019'!$AP$2:$AP$201,"&lt;01/06/2019",'PPa2019'!$P$2:$P$201,"H",'PPa2019'!#REF!,"POP")</f>
        <v>#REF!</v>
      </c>
      <c r="BV8" s="118" t="e">
        <f>COUNTIFS('PPa2019'!$AP$2:$AP$201,"&gt;30/04/2019",'PPa2019'!$AP$2:$AP$201,"&lt;01/06/2019",'PPa2019'!$P$2:$P$201,"H",'PPa2019'!#REF!,"PREFOS")</f>
        <v>#REF!</v>
      </c>
      <c r="BW8" s="118" t="e">
        <f>COUNTIFS('PPa2019'!$AP$2:$AP$201,"&gt;30/04/2019",'PPa2019'!$AP$2:$AP$201,"&lt;01/06/2019",'PPa2019'!$P$2:$P$201,"H",'PPa2019'!#REF!,"PREFOS")</f>
        <v>#REF!</v>
      </c>
      <c r="BX8" s="118" t="e">
        <f>COUNTIFS('PPa2019'!$AP$2:$AP$201,"&gt;30/04/2019",'PPa2019'!$AP$2:$AP$201,"&lt;01/06/2019",'PPa2019'!$P$2:$P$201,"H",'PPa2019'!#REF!,"FLE")</f>
        <v>#REF!</v>
      </c>
      <c r="BY8" s="118" t="e">
        <f>COUNTIFS('PPa2019'!$AP$2:$AP$201,"&gt;30/04/2019",'PPa2019'!$AP$2:$AP$201,"&lt;01/06/2019",'PPa2019'!$P$2:$P$201,"H",'PPa2019'!#REF!,"FLE")</f>
        <v>#REF!</v>
      </c>
      <c r="BZ8" s="118" t="e">
        <f>COUNTIFS('PPa2019'!$AP$2:$AP$201,"&gt;30/04/2019",'PPa2019'!$AP$2:$AP$201,"&lt;01/06/2019",'PPa2019'!$P$2:$P$201,"H",'PPa2019'!#REF!,"MGI MIJEC")</f>
        <v>#REF!</v>
      </c>
      <c r="CA8" s="118" t="e">
        <f>COUNTIFS('PPa2019'!$AP$2:$AP$201,"&gt;30/04/2019",'PPa2019'!$AP$2:$AP$201,"&lt;01/06/2019",'PPa2019'!$P$2:$P$201,"H",'PPa2019'!#REF!,"MGI MIJEC")</f>
        <v>#REF!</v>
      </c>
      <c r="CB8" s="118" t="e">
        <f>COUNTIFS('PPa2019'!$AP$2:$AP$201,"&gt;30/04/2019",'PPa2019'!$AP$2:$AP$201,"&lt;01/06/2019",'PPa2019'!$P$2:$P$201,"H",'PPa2019'!#REF!,"CAQ")</f>
        <v>#REF!</v>
      </c>
      <c r="CC8" s="118" t="e">
        <f>COUNTIFS('PPa2019'!$AP$2:$AP$201,"&gt;30/04/2019",'PPa2019'!$AP$2:$AP$201,"&lt;01/06/2019",'PPa2019'!$P$2:$P$201,"H",'PPa2019'!#REF!,"CAQ")</f>
        <v>#REF!</v>
      </c>
      <c r="CD8" s="118" t="e">
        <f>COUNTIFS('PPa2019'!$AP$2:$AP$201,"&gt;30/04/2019",'PPa2019'!$AP$2:$AP$201,"&lt;01/06/2019",'PPa2019'!$P$2:$P$201,"H",'PPa2019'!#REF!,"QUALIF")</f>
        <v>#REF!</v>
      </c>
      <c r="CE8" s="118" t="e">
        <f>COUNTIFS('PPa2019'!$AP$2:$AP$201,"&gt;30/04/2019",'PPa2019'!$AP$2:$AP$201,"&lt;01/06/2019",'PPa2019'!$P$2:$P$201,"H",'PPa2019'!#REF!,"QUALIF")</f>
        <v>#REF!</v>
      </c>
      <c r="CF8" s="118" t="e">
        <f>COUNTIFS('PPa2019'!$AP$2:$AP$201,"&gt;30/04/2019",'PPa2019'!$AP$2:$AP$201,"&lt;01/06/2019",'PPa2019'!$P$2:$P$201,"H",'PPa2019'!#REF!,"ALTERN")</f>
        <v>#REF!</v>
      </c>
      <c r="CG8" s="118" t="e">
        <f>COUNTIFS('PPa2019'!$AP$2:$AP$201,"&gt;30/04/2019",'PPa2019'!$AP$2:$AP$201,"&lt;01/06/2019",'PPa2019'!$P$2:$P$201,"H",'PPa2019'!#REF!,"ALTERN")</f>
        <v>#REF!</v>
      </c>
      <c r="CH8" s="118" t="e">
        <f>COUNTIFS('PPa2019'!$AP$2:$AP$201,"&gt;30/04/2019",'PPa2019'!$AP$2:$AP$201,"&lt;01/06/2019",'PPa2019'!$P$2:$P$201,"H",'PPa2019'!#REF!,"EMPLOI")</f>
        <v>#REF!</v>
      </c>
      <c r="CI8" s="118" t="e">
        <f>COUNTIFS('PPa2019'!$AP$2:$AP$201,"&gt;30/04/2019",'PPa2019'!$AP$2:$AP$201,"&lt;01/06/2019",'PPa2019'!$P$2:$P$201,"H",'PPa2019'!#REF!,"EMPLOI")</f>
        <v>#REF!</v>
      </c>
      <c r="CJ8" s="118" t="e">
        <f>COUNTIFS('PPa2019'!$AP$2:$AP$201,"&gt;30/04/2019",'PPa2019'!$AP$2:$AP$201,"&lt;01/06/2019",'PPa2019'!$P$2:$P$201,"H",'PPa2019'!#REF!,"AUTRE")</f>
        <v>#REF!</v>
      </c>
      <c r="CK8" s="118" t="e">
        <f>COUNTIFS('PPa2019'!$AP$2:$AP$201,"&gt;30/04/2019",'PPa2019'!$AP$2:$AP$201,"&lt;01/06/2019",'PPa2019'!$P$2:$P$201,"H",'PPa2019'!#REF!,"AUTRE")</f>
        <v>#REF!</v>
      </c>
      <c r="CL8" s="38" t="e">
        <f t="shared" si="2"/>
        <v>#REF!</v>
      </c>
    </row>
    <row r="9" spans="1:90" x14ac:dyDescent="0.25">
      <c r="A9" s="43" t="s">
        <v>79</v>
      </c>
      <c r="B9" s="119">
        <f>COUNTIFS('PPa2019'!$AP$2:$AP$201,"&gt;31/05/2019",'PPa2019'!$AP$2:$AP$201,"&lt;01/07/2019",'PPa2019'!$P$2:$P$201,"H")</f>
        <v>0</v>
      </c>
      <c r="C9" s="119">
        <f>COUNTIFS('PPa2019'!$AP$2:$AP$201,"&gt;31/05/2019",'PPa2019'!$AP$2:$AP$201,"&lt;01/07/2019",'PPa2019'!$P$2:$P$201,"F")</f>
        <v>0</v>
      </c>
      <c r="D9" s="38">
        <f t="shared" si="3"/>
        <v>0</v>
      </c>
      <c r="E9" s="119">
        <f>COUNTIFS('PPa2019'!$AP$2:$AP$201,"&gt;31/05/2019",'PPa2019'!$AP$2:$AP$201,"&lt;01/07/2019",'PPa2019'!$P$2:$P$201,"H",'PPa2019'!$O$2:$O$201,"&lt;18")</f>
        <v>0</v>
      </c>
      <c r="F9" s="119">
        <f>COUNTIFS('PPa2019'!$AP$2:$AP$201,"&gt;31/05/2019",'PPa2019'!$AP$2:$AP$201,"&lt;01/07/2019",'PPa2019'!$P$2:$P$201,"F",'PPa2019'!$O$2:$O$201,"&lt;18")</f>
        <v>0</v>
      </c>
      <c r="G9" s="119">
        <f>COUNTIFS('PPa2019'!$AP$2:$AP$201,"&gt;31/05/2019",'PPa2019'!$AP$2:$AP$201,"&lt;01/07/2019",'PPa2019'!$P$2:$P$201,"H",'PPa2019'!$O$2:$O$201,"&gt;18",'PPa2019'!$O$2:$O$201,"&lt;26")</f>
        <v>0</v>
      </c>
      <c r="H9" s="119">
        <f>COUNTIFS('PPa2019'!$AP$2:$AP$201,"&gt;31/05/2019",'PPa2019'!$AP$2:$AP$201,"&lt;01/07/2019",'PPa2019'!$P$2:$P$201,"F",'PPa2019'!$O$2:$O$201,"&gt;18",'PPa2019'!$O$2:$O$201,"&lt;26")</f>
        <v>0</v>
      </c>
      <c r="I9" s="119">
        <f>COUNTIFS('PPa2019'!$AP$2:$AP$201,"&gt;31/05/2019",'PPa2019'!$AP$2:$AP$201,"&lt;01/07/2019",'PPa2019'!$P$2:$P$201,"H",'PPa2019'!$O$2:$O$201,"&gt;26",'PPa2019'!$O$2:$O$201,"&lt;31")</f>
        <v>0</v>
      </c>
      <c r="J9" s="119">
        <f>COUNTIFS('PPa2019'!$AP$2:$AP$201,"&gt;31/05/2019",'PPa2019'!$AP$2:$AP$201,"&lt;01/07/2019",'PPa2019'!$P$2:$P$201,"F",'PPa2019'!$O$2:$O$201,"&gt;26",'PPa2019'!$O$2:$O$201,"&lt;31")</f>
        <v>0</v>
      </c>
      <c r="K9" s="119">
        <f>COUNTIFS('PPa2019'!$AP$2:$AP$201,"&gt;31/05/2019",'PPa2019'!$AP$2:$AP$201,"&lt;01/07/2019",'PPa2019'!$P$2:$P$201,"H",'PPa2019'!$O$2:$O$201,"&gt;31",'PPa2019'!$O$2:$O$201,"&lt;36")</f>
        <v>0</v>
      </c>
      <c r="L9" s="119">
        <f>COUNTIFS('PPa2019'!$AP$2:$AP$201,"&gt;31/05/2019",'PPa2019'!$AP$2:$AP$201,"&lt;01/07/2019",'PPa2019'!$P$2:$P$201,"F",'PPa2019'!$O$2:$O$201,"&gt;31",'PPa2019'!$O$2:$O$201,"&lt;36")</f>
        <v>0</v>
      </c>
      <c r="M9" s="119">
        <f>COUNTIFS('PPa2019'!$AP$2:$AP$201,"&gt;31/05/2019",'PPa2019'!$AP$2:$AP$201,"&lt;01/07/2019",'PPa2019'!$P$2:$P$201,"H",'PPa2019'!$O$2:$O$201,"&gt;36",'PPa2019'!$O$2:$O$201,"&lt;41")</f>
        <v>0</v>
      </c>
      <c r="N9" s="119">
        <f>COUNTIFS('PPa2019'!$AP$2:$AP$201,"&gt;31/05/2019",'PPa2019'!$AP$2:$AP$201,"&lt;01/07/2019",'PPa2019'!$P$2:$P$201,"F",'PPa2019'!$O$2:$O$201,"&gt;36",'PPa2019'!$O$2:$O$201,"&lt;41")</f>
        <v>0</v>
      </c>
      <c r="O9" s="119">
        <f>COUNTIFS('PPa2019'!$AP$2:$AP$201,"&gt;31/05/2019",'PPa2019'!$AP$2:$AP$201,"&lt;01/07/2019",'PPa2019'!$P$2:$P$201,"H",'PPa2019'!$O$2:$O$201,"&gt;40")</f>
        <v>0</v>
      </c>
      <c r="P9" s="119">
        <f>COUNTIFS('PPa2019'!$AP$2:$AP$201,"&gt;31/05/2019",'PPa2019'!$AP$2:$AP$201,"&lt;01/07/2019",'PPa2019'!$P$2:$P$201,"F",'PPa2019'!$O$2:$O$201,"&gt;40")</f>
        <v>0</v>
      </c>
      <c r="Q9" s="38">
        <f t="shared" si="0"/>
        <v>0</v>
      </c>
      <c r="R9" s="119">
        <f>COUNTIFS('PPa2019'!$AP$2:$AP$201,"&gt;31/05/2019",'PPa2019'!$AP$2:$AP$201,"&lt;01/07/2019",'PPa2019'!$P$2:$P$201,"H",'PPa2019'!$AC$2:$AC$201,6)</f>
        <v>0</v>
      </c>
      <c r="S9" s="119">
        <f>COUNTIFS('PPa2019'!$AP$2:$AP$201,"&gt;31/05/2019",'PPa2019'!$AP$2:$AP$201,"&lt;01/07/2019",'PPa2019'!$P$2:$P$201,"F",'PPa2019'!$AC$2:$AC$201,6)</f>
        <v>0</v>
      </c>
      <c r="T9" s="119">
        <f>COUNTIFS('PPa2019'!$AP$2:$AP$201,"&gt;31/05/2019",'PPa2019'!$AP$2:$AP$201,"&lt;01/07/2019",'PPa2019'!$P$2:$P$201,"H",'PPa2019'!$AC$2:$AC$201,5)</f>
        <v>0</v>
      </c>
      <c r="U9" s="119">
        <f>COUNTIFS('PPa2019'!$AP$2:$AP$201,"&gt;31/05/2019",'PPa2019'!$AP$2:$AP$201,"&lt;01/07/2019",'PPa2019'!$P$2:$P$201,"F",'PPa2019'!$AC$2:$AC$201,5)</f>
        <v>0</v>
      </c>
      <c r="V9" s="119">
        <f>COUNTIFS('PPa2019'!$AP$2:$AP$201,"&gt;31/05/2019",'PPa2019'!$AP$2:$AP$201,"&lt;01/07/2019",'PPa2019'!$P$2:$P$201,"H",'PPa2019'!$AC$2:$AC$201,4)</f>
        <v>0</v>
      </c>
      <c r="W9" s="119">
        <f>COUNTIFS('PPa2019'!$AP$2:$AP$201,"&gt;31/05/2019",'PPa2019'!$AP$2:$AP$201,"&lt;01/07/2019",'PPa2019'!$P$2:$P$201,"F",'PPa2019'!$AC$2:$AC$201,4)</f>
        <v>0</v>
      </c>
      <c r="X9" s="119">
        <f>COUNTIFS('PPa2019'!$AP$2:$AP$201,"&gt;31/05/2019",'PPa2019'!$AP$2:$AP$201,"&lt;01/07/2019",'PPa2019'!$P$2:$P$201,"H",'PPa2019'!$AC$2:$AC$201,3)</f>
        <v>0</v>
      </c>
      <c r="Y9" s="119">
        <f>COUNTIFS('PPa2019'!$AP$2:$AP$201,"&gt;31/05/2019",'PPa2019'!$AP$2:$AP$201,"&lt;01/07/2019",'PPa2019'!$P$2:$P$201,"F",'PPa2019'!$AC$2:$AC$201,3)</f>
        <v>0</v>
      </c>
      <c r="Z9" s="119">
        <f>COUNTIFS('PPa2019'!$AP$2:$AP$201,"&gt;31/05/2019",'PPa2019'!$AP$2:$AP$201,"&lt;01/07/2019",'PPa2019'!$P$2:$P$201,"H",'PPa2019'!$AC$2:$AC$201,2)</f>
        <v>0</v>
      </c>
      <c r="AA9" s="119">
        <f>COUNTIFS('PPa2019'!$AP$2:$AP$201,"&gt;31/05/2019",'PPa2019'!$AP$2:$AP$201,"&lt;01/07/2019",'PPa2019'!$P$2:$P$201,"F",'PPa2019'!$AC$2:$AC$201,2)</f>
        <v>0</v>
      </c>
      <c r="AB9" s="119">
        <f>COUNTIFS('PPa2019'!$AP$2:$AP$201,"&gt;31/05/2019",'PPa2019'!$AP$2:$AP$201,"&lt;01/07/2019",'PPa2019'!$P$2:$P$201,"H",'PPa2019'!$AC$2:$AC$201,1)</f>
        <v>0</v>
      </c>
      <c r="AC9" s="119">
        <f>COUNTIFS('PPa2019'!$AP$2:$AP$201,"&gt;31/05/2019",'PPa2019'!$AP$2:$AP$201,"&lt;01/07/2019",'PPa2019'!$P$2:$P$201,"F",'PPa2019'!$AC$2:$AC$201,1)</f>
        <v>0</v>
      </c>
      <c r="AD9" s="38">
        <f t="shared" si="1"/>
        <v>0</v>
      </c>
      <c r="AE9" s="119" t="e">
        <f>COUNTIFS('PPa2019'!$AP$2:$AP$201,"&gt;31/05/2019",'PPa2019'!$AP$2:$AP$201,"&lt;01/07/2019",'PPa2019'!$P$2:$P$201,"H",'PPa2019'!#REF!,"CCLES")</f>
        <v>#REF!</v>
      </c>
      <c r="AF9" s="119" t="e">
        <f>COUNTIFS('PPa2019'!$AP$2:$AP$201,"&gt;31/05/2019",'PPa2019'!$AP$2:$AP$201,"&lt;01/07/2019",'PPa2019'!$P$2:$P$201,"F",'PPa2019'!#REF!,"CCLES")</f>
        <v>#REF!</v>
      </c>
      <c r="AG9" s="119">
        <f>COUNTIFS('PPa2019'!$AP$2:$AP$201,"&gt;31/05/2019",'PPa2019'!$AP$2:$AP$201,"&lt;01/07/2019",'PPa2019'!$P$2:$P$201,"H",'PPa2019'!$Y$2:$Y$201,"SALARIÉ")</f>
        <v>0</v>
      </c>
      <c r="AH9" s="119">
        <f>COUNTIFS('PPa2019'!$AP$2:$AP$201,"&gt;31/05/2019",'PPa2019'!$AP$2:$AP$201,"&lt;01/07/2019",'PPa2019'!$P$2:$P$201,"F",'PPa2019'!$Y$2:$Y$201,"SALARIÉ")</f>
        <v>0</v>
      </c>
      <c r="AI9" s="119">
        <f>COUNTIFS('PPa2019'!$AP$2:$AP$201,"&gt;31/05/2019",'PPa2019'!$AP$2:$AP$201,"&lt;01/07/2019",'PPa2019'!$P$2:$P$201,"H",'PPa2019'!$Y$2:$Y$201,"ÉTUDIANT")</f>
        <v>0</v>
      </c>
      <c r="AJ9" s="119">
        <f>COUNTIFS('PPa2019'!$AP$2:$AP$201,"&gt;31/05/2019",'PPa2019'!$AP$2:$AP$201,"&lt;01/07/2019",'PPa2019'!$P$2:$P$201,"F",'PPa2019'!$Y$2:$Y$201,"ÉTUDIANT")</f>
        <v>0</v>
      </c>
      <c r="AK9" s="119">
        <f>COUNTIFS('PPa2019'!$AP$2:$AP$201,"&gt;31/05/2019",'PPa2019'!$AP$2:$AP$201,"&lt;01/07/2019",'PPa2019'!$P$2:$P$201,"H",'PPa2019'!$Y$2:$Y$201,"RE")</f>
        <v>0</v>
      </c>
      <c r="AL9" s="119">
        <f>COUNTIFS('PPa2019'!$AP$2:$AP$201,"&gt;31/05/2019",'PPa2019'!$AP$2:$AP$201,"&lt;01/07/2019",'PPa2019'!$P$2:$P$201,"F",'PPa2019'!$Y$2:$Y$201,"RE")</f>
        <v>0</v>
      </c>
      <c r="AM9" s="119">
        <f>COUNTIFS('PPa2019'!$AP$2:$AP$201,"&gt;31/05/2019",'PPa2019'!$AP$2:$AP$201,"&lt;01/07/2019",'PPa2019'!$P$2:$P$201,"H",'PPa2019'!$Y$2:$Y$201,"AUTRE")</f>
        <v>0</v>
      </c>
      <c r="AN9" s="119">
        <f>COUNTIFS('PPa2019'!$AP$2:$AP$201,"&gt;31/05/2019",'PPa2019'!$AP$2:$AP$201,"&lt;01/07/2019",'PPa2019'!$P$2:$P$201,"F",'PPa2019'!$Y$2:$Y$201,"AUTRE")</f>
        <v>0</v>
      </c>
      <c r="AO9" s="38" t="e">
        <f t="shared" si="4"/>
        <v>#REF!</v>
      </c>
      <c r="AP9" s="119">
        <f>COUNTIFS('PPa2019'!$AP$2:$AP$201,"&gt;31/05/2019",'PPa2019'!$AP$2:$AP$201,"&lt;01/07/2019",'PPa2019'!$P$2:$P$201,"H",'PPa2019'!$AA$2:$AA$201,"&gt;"&amp;EDATE('PPa2019'!$AP2,-6))</f>
        <v>0</v>
      </c>
      <c r="AQ9" s="119">
        <f>COUNTIFS('PPa2019'!$AP$2:$AP$201,"&gt;31/05/2019",'PPa2019'!$AP$2:$AP$201,"&lt;01/07/2019",'PPa2019'!$P$2:$P$201,"F",'PPa2019'!$AA$2:$AA$201,"&gt;"&amp;EDATE('PPa2019'!$AP2,-6))</f>
        <v>0</v>
      </c>
      <c r="AR9" s="119">
        <f>COUNTIFS('PPa2019'!$AP$2:$AP$201,"&gt;31/05/2019",'PPa2019'!$AP$2:$AP$201,"&lt;01/07/2019",'PPa2019'!$P$2:$P$201,"H",'PPa2019'!$AA$2:$AA$201,"&lt;"&amp;EDATE('PPa2019'!$AP2,-6),'PPa2019'!$AA$2:$AA$201,"&gt;"&amp;EDATE('PPa2019'!$AP2,-11))</f>
        <v>0</v>
      </c>
      <c r="AS9" s="119">
        <f>COUNTIFS('PPa2019'!$AP$2:$AP$201,"&gt;31/05/2019",'PPa2019'!$AP$2:$AP$201,"&lt;01/07/2019",'PPa2019'!$P$2:$P$201,"F",'PPa2019'!$AA$2:$AA$201,"&lt;"&amp;EDATE('PPa2019'!$AP2,-6),'PPa2019'!$AA$2:$AA$201,"&gt;"&amp;EDATE('PPa2019'!$AP2,-11))</f>
        <v>0</v>
      </c>
      <c r="AT9" s="119">
        <f>COUNTIFS('PPa2019'!$AP$2:$AP$201,"&gt;31/05/2019",'PPa2019'!$AP$2:$AP$201,"&lt;01/07/2019",'PPa2019'!$P$2:$P$201,"H",'PPa2019'!$AA$2:$AA$201,"&lt;"&amp;EDATE('PPa2019'!$AP2,-11),'PPa2019'!$AA$2:$AA$201,"&gt;"&amp;EDATE('PPa2019'!$AP2,-23))</f>
        <v>0</v>
      </c>
      <c r="AU9" s="119">
        <f>COUNTIFS('PPa2019'!$AP$2:$AP$201,"&gt;31/05/2019",'PPa2019'!$AP$2:$AP$201,"&lt;01/07/2019",'PPa2019'!$P$2:$P$201,"F",'PPa2019'!$AA$2:$AA$201,"&lt;"&amp;EDATE('PPa2019'!$AP2,-11),'PPa2019'!$AA$2:$AA$201,"&gt;"&amp;EDATE('PPa2019'!$AP2,-23))</f>
        <v>0</v>
      </c>
      <c r="AV9" s="119">
        <f>COUNTIFS('PPa2019'!$AP$2:$AP$201,"&gt;31/05/2019",'PPa2019'!$AP$2:$AP$201,"&lt;01/07/2019",'PPa2019'!$P$2:$P$201,"H",'PPa2019'!$AA$2:$AA$201,"&lt;"&amp;EDATE('PPa2019'!$AP2,-23))</f>
        <v>0</v>
      </c>
      <c r="AW9" s="119">
        <f>COUNTIFS('PPa2019'!$AP$2:$AP$201,"&gt;31/05/2019",'PPa2019'!$AP$2:$AP$201,"&lt;01/07/2019",'PPa2019'!$P$2:$P$201,"F",'PPa2019'!$AA$2:$AA$201,"&lt;"&amp;EDATE('PPa2019'!$AP2,-23))</f>
        <v>0</v>
      </c>
      <c r="AX9" s="38">
        <f t="shared" si="5"/>
        <v>0</v>
      </c>
      <c r="AY9" s="119">
        <f>COUNTIFS('PPa2019'!$AP$2:$AP$201,"&gt;31/05/2019",'PPa2019'!$AP$2:$AP$201,"&lt;01/07/2019",'PPa2019'!$P$2:$P$201,"H",'PPa2019'!$T$2:$T$201,"Voiture")</f>
        <v>0</v>
      </c>
      <c r="AZ9" s="119">
        <f>COUNTIFS('PPa2019'!$AP$2:$AP$201,"&gt;31/05/2019",'PPa2019'!$AP$2:$AP$201,"&lt;01/07/2019",'PPa2019'!$P$2:$P$201,"F",'PPa2019'!$T$2:$T$201,"Voiture")</f>
        <v>0</v>
      </c>
      <c r="BA9" s="119">
        <f>COUNTIFS('PPa2019'!$AP$2:$AP$201,"&gt;31/05/2019",'PPa2019'!$AP$2:$AP$201,"&lt;01/07/2019",'PPa2019'!$P$2:$P$201,"H",'PPa2019'!$T$2:$T$201,"Moto")</f>
        <v>0</v>
      </c>
      <c r="BB9" s="119">
        <f>COUNTIFS('PPa2019'!$AP$2:$AP$201,"&gt;31/05/2019",'PPa2019'!$AP$2:$AP$201,"&lt;01/07/2019",'PPa2019'!$P$2:$P$201,"F",'PPa2019'!$T$2:$T$201,"Moto")</f>
        <v>0</v>
      </c>
      <c r="BC9" s="119">
        <f>COUNTIFS('PPa2019'!$AP$2:$AP$201,"&gt;31/05/2019",'PPa2019'!$AP$2:$AP$201,"&lt;01/07/2019",'PPa2019'!$P$2:$P$201,"H",'PPa2019'!$T$2:$T$201,"Scooter")</f>
        <v>0</v>
      </c>
      <c r="BD9" s="119">
        <f>COUNTIFS('PPa2019'!$AP$2:$AP$201,"&gt;31/05/2019",'PPa2019'!$AP$2:$AP$201,"&lt;01/07/2019",'PPa2019'!$P$2:$P$201,"F",'PPa2019'!$T$2:$T$201,"Scooter")</f>
        <v>0</v>
      </c>
      <c r="BE9" s="119">
        <f>COUNTIFS('PPa2019'!$AP$2:$AP$201,"&gt;31/05/2019",'PPa2019'!$AP$2:$AP$201,"&lt;01/07/2019",'PPa2019'!$P$2:$P$201,"H",'PPa2019'!$T$2:$T$201,"Vélo")</f>
        <v>0</v>
      </c>
      <c r="BF9" s="119">
        <f>COUNTIFS('PPa2019'!$AP$2:$AP$201,"&gt;31/05/2019",'PPa2019'!$AP$2:$AP$201,"&lt;01/07/2019",'PPa2019'!$P$2:$P$201,"F",'PPa2019'!$T$2:$T$201,"Vélo")</f>
        <v>0</v>
      </c>
      <c r="BG9" s="119">
        <f>COUNTIFS('PPa2019'!$AP$2:$AP$201,"&gt;31/05/2019",'PPa2019'!$AP$2:$AP$201,"&lt;01/07/2019",'PPa2019'!$P$2:$P$201,"H",'PPa2019'!$T$2:$T$201,"Bus")</f>
        <v>0</v>
      </c>
      <c r="BH9" s="119">
        <f>COUNTIFS('PPa2019'!$AP$2:$AP$201,"&gt;31/05/2019",'PPa2019'!$AP$2:$AP$201,"&lt;01/07/2019",'PPa2019'!$P$2:$P$201,"F",'PPa2019'!$T$2:$T$201,"Bus")</f>
        <v>0</v>
      </c>
      <c r="BI9" s="119">
        <f>COUNTIFS('PPa2019'!$AP$2:$AP$201,"&gt;31/05/2019",'PPa2019'!$AP$2:$AP$201,"&lt;01/07/2019",'PPa2019'!$P$2:$P$201,"H",'PPa2019'!$T$2:$T$201,"Covoiturage")</f>
        <v>0</v>
      </c>
      <c r="BJ9" s="119">
        <f>COUNTIFS('PPa2019'!$AP$2:$AP$201,"&gt;31/05/2019",'PPa2019'!$AP$2:$AP$201,"&lt;01/07/2019",'PPa2019'!$P$2:$P$201,"F",'PPa2019'!$T$2:$T$201,"Covoiturage")</f>
        <v>0</v>
      </c>
      <c r="BK9" s="119">
        <f>COUNTIFS('PPa2019'!$AP$2:$AP$201,"&gt;31/05/2019",'PPa2019'!$AP$2:$AP$201,"&lt;01/07/2019",'PPa2019'!$P$2:$P$201,"H",'PPa2019'!$T$2:$T$201,"Plusieurs")</f>
        <v>0</v>
      </c>
      <c r="BL9" s="119">
        <f>COUNTIFS('PPa2019'!$AP$2:$AP$201,"&gt;31/05/2019",'PPa2019'!$AP$2:$AP$201,"&lt;01/07/2019",'PPa2019'!$P$2:$P$201,"F",'PPa2019'!$T$2:$T$201,"Plusieurs")</f>
        <v>0</v>
      </c>
      <c r="BM9" s="119">
        <f>COUNTIFS('PPa2019'!$AP$2:$AP$201,"&gt;31/05/2019",'PPa2019'!$AP$2:$AP$201,"&lt;01/07/2019",'PPa2019'!$P$2:$P$201,"H",'PPa2019'!$T$2:$T$201,"Autre")</f>
        <v>0</v>
      </c>
      <c r="BN9" s="119">
        <f>COUNTIFS('PPa2019'!$AP$2:$AP$201,"&gt;31/05/2019",'PPa2019'!$AP$2:$AP$201,"&lt;01/07/2019",'PPa2019'!$P$2:$P$201,"F",'PPa2019'!$T$2:$T$201,"Autre")</f>
        <v>0</v>
      </c>
      <c r="BO9" s="38">
        <f t="shared" si="6"/>
        <v>0</v>
      </c>
      <c r="BP9" s="119" t="e">
        <f>COUNTIFS('PPa2019'!$AP$2:$AP$201,"&gt;31/05/2019",'PPa2019'!$AP$2:$AP$201,"&lt;01/07/2019",'PPa2019'!$P$2:$P$201,"H",'PPa2019'!#REF!,"CCLES")</f>
        <v>#REF!</v>
      </c>
      <c r="BQ9" s="119" t="e">
        <f>COUNTIFS('PPa2019'!$AP$2:$AP$201,"&gt;31/05/2019",'PPa2019'!$AP$2:$AP$201,"&lt;01/07/2019",'PPa2019'!$P$2:$P$201,"H",'PPa2019'!#REF!,"CCLES")</f>
        <v>#REF!</v>
      </c>
      <c r="BR9" s="119" t="e">
        <f>COUNTIFS('PPa2019'!$AP$2:$AP$201,"&gt;31/05/2019",'PPa2019'!$AP$2:$AP$201,"&lt;01/07/2019",'PPa2019'!$P$2:$P$201,"H",'PPa2019'!#REF!,"PPI")</f>
        <v>#REF!</v>
      </c>
      <c r="BS9" s="119" t="e">
        <f>COUNTIFS('PPa2019'!$AP$2:$AP$201,"&gt;31/05/2019",'PPa2019'!$AP$2:$AP$201,"&lt;01/07/2019",'PPa2019'!$P$2:$P$201,"H",'PPa2019'!#REF!,"PPI")</f>
        <v>#REF!</v>
      </c>
      <c r="BT9" s="119" t="e">
        <f>COUNTIFS('PPa2019'!$AP$2:$AP$201,"&gt;31/05/2019",'PPa2019'!$AP$2:$AP$201,"&lt;01/07/2019",'PPa2019'!$P$2:$P$201,"H",'PPa2019'!#REF!,"POP")</f>
        <v>#REF!</v>
      </c>
      <c r="BU9" s="119" t="e">
        <f>COUNTIFS('PPa2019'!$AP$2:$AP$201,"&gt;31/05/2019",'PPa2019'!$AP$2:$AP$201,"&lt;01/07/2019",'PPa2019'!$P$2:$P$201,"H",'PPa2019'!#REF!,"POP")</f>
        <v>#REF!</v>
      </c>
      <c r="BV9" s="119" t="e">
        <f>COUNTIFS('PPa2019'!$AP$2:$AP$201,"&gt;31/05/2019",'PPa2019'!$AP$2:$AP$201,"&lt;01/07/2019",'PPa2019'!$P$2:$P$201,"H",'PPa2019'!#REF!,"PREFOS")</f>
        <v>#REF!</v>
      </c>
      <c r="BW9" s="119" t="e">
        <f>COUNTIFS('PPa2019'!$AP$2:$AP$201,"&gt;31/05/2019",'PPa2019'!$AP$2:$AP$201,"&lt;01/07/2019",'PPa2019'!$P$2:$P$201,"H",'PPa2019'!#REF!,"PREFOS")</f>
        <v>#REF!</v>
      </c>
      <c r="BX9" s="119" t="e">
        <f>COUNTIFS('PPa2019'!$AP$2:$AP$201,"&gt;31/05/2019",'PPa2019'!$AP$2:$AP$201,"&lt;01/07/2019",'PPa2019'!$P$2:$P$201,"H",'PPa2019'!#REF!,"FLE")</f>
        <v>#REF!</v>
      </c>
      <c r="BY9" s="119" t="e">
        <f>COUNTIFS('PPa2019'!$AP$2:$AP$201,"&gt;31/05/2019",'PPa2019'!$AP$2:$AP$201,"&lt;01/07/2019",'PPa2019'!$P$2:$P$201,"H",'PPa2019'!#REF!,"FLE")</f>
        <v>#REF!</v>
      </c>
      <c r="BZ9" s="119" t="e">
        <f>COUNTIFS('PPa2019'!$AP$2:$AP$201,"&gt;31/05/2019",'PPa2019'!$AP$2:$AP$201,"&lt;01/07/2019",'PPa2019'!$P$2:$P$201,"H",'PPa2019'!#REF!,"MGI MIJEC")</f>
        <v>#REF!</v>
      </c>
      <c r="CA9" s="119" t="e">
        <f>COUNTIFS('PPa2019'!$AP$2:$AP$201,"&gt;31/05/2019",'PPa2019'!$AP$2:$AP$201,"&lt;01/07/2019",'PPa2019'!$P$2:$P$201,"H",'PPa2019'!#REF!,"MGI MIJEC")</f>
        <v>#REF!</v>
      </c>
      <c r="CB9" s="119" t="e">
        <f>COUNTIFS('PPa2019'!$AP$2:$AP$201,"&gt;31/05/2019",'PPa2019'!$AP$2:$AP$201,"&lt;01/07/2019",'PPa2019'!$P$2:$P$201,"H",'PPa2019'!#REF!,"CAQ")</f>
        <v>#REF!</v>
      </c>
      <c r="CC9" s="119" t="e">
        <f>COUNTIFS('PPa2019'!$AP$2:$AP$201,"&gt;31/05/2019",'PPa2019'!$AP$2:$AP$201,"&lt;01/07/2019",'PPa2019'!$P$2:$P$201,"H",'PPa2019'!#REF!,"CAQ")</f>
        <v>#REF!</v>
      </c>
      <c r="CD9" s="119" t="e">
        <f>COUNTIFS('PPa2019'!$AP$2:$AP$201,"&gt;31/05/2019",'PPa2019'!$AP$2:$AP$201,"&lt;01/07/2019",'PPa2019'!$P$2:$P$201,"H",'PPa2019'!#REF!,"QUALIF")</f>
        <v>#REF!</v>
      </c>
      <c r="CE9" s="119" t="e">
        <f>COUNTIFS('PPa2019'!$AP$2:$AP$201,"&gt;31/05/2019",'PPa2019'!$AP$2:$AP$201,"&lt;01/07/2019",'PPa2019'!$P$2:$P$201,"H",'PPa2019'!#REF!,"QUALIF")</f>
        <v>#REF!</v>
      </c>
      <c r="CF9" s="119" t="e">
        <f>COUNTIFS('PPa2019'!$AP$2:$AP$201,"&gt;31/05/2019",'PPa2019'!$AP$2:$AP$201,"&lt;01/07/2019",'PPa2019'!$P$2:$P$201,"H",'PPa2019'!#REF!,"ALTERN")</f>
        <v>#REF!</v>
      </c>
      <c r="CG9" s="119" t="e">
        <f>COUNTIFS('PPa2019'!$AP$2:$AP$201,"&gt;31/05/2019",'PPa2019'!$AP$2:$AP$201,"&lt;01/07/2019",'PPa2019'!$P$2:$P$201,"H",'PPa2019'!#REF!,"ALTERN")</f>
        <v>#REF!</v>
      </c>
      <c r="CH9" s="119" t="e">
        <f>COUNTIFS('PPa2019'!$AP$2:$AP$201,"&gt;31/05/2019",'PPa2019'!$AP$2:$AP$201,"&lt;01/07/2019",'PPa2019'!$P$2:$P$201,"H",'PPa2019'!#REF!,"EMPLOI")</f>
        <v>#REF!</v>
      </c>
      <c r="CI9" s="119" t="e">
        <f>COUNTIFS('PPa2019'!$AP$2:$AP$201,"&gt;31/05/2019",'PPa2019'!$AP$2:$AP$201,"&lt;01/07/2019",'PPa2019'!$P$2:$P$201,"H",'PPa2019'!#REF!,"EMPLOI")</f>
        <v>#REF!</v>
      </c>
      <c r="CJ9" s="119" t="e">
        <f>COUNTIFS('PPa2019'!$AP$2:$AP$201,"&gt;31/05/2019",'PPa2019'!$AP$2:$AP$201,"&lt;01/07/2019",'PPa2019'!$P$2:$P$201,"H",'PPa2019'!#REF!,"AUTRE")</f>
        <v>#REF!</v>
      </c>
      <c r="CK9" s="119" t="e">
        <f>COUNTIFS('PPa2019'!$AP$2:$AP$201,"&gt;31/05/2019",'PPa2019'!$AP$2:$AP$201,"&lt;01/07/2019",'PPa2019'!$P$2:$P$201,"H",'PPa2019'!#REF!,"AUTRE")</f>
        <v>#REF!</v>
      </c>
      <c r="CL9" s="38" t="e">
        <f t="shared" si="2"/>
        <v>#REF!</v>
      </c>
    </row>
    <row r="10" spans="1:90" x14ac:dyDescent="0.25">
      <c r="A10" s="31" t="s">
        <v>80</v>
      </c>
      <c r="B10" s="118">
        <f>COUNTIFS('PPa2019'!$AP$2:$AP$201,"&gt;30/06/2019",'PPa2019'!$AP$2:$AP$201,"&lt;01/08/2019",'PPa2019'!$P$2:$P$201,"H")</f>
        <v>0</v>
      </c>
      <c r="C10" s="118">
        <f>COUNTIFS('PPa2019'!$AP$2:$AP$201,"&gt;30/06/2019",'PPa2019'!$AP$2:$AP$201,"&lt;01/08/2019",'PPa2019'!$P$2:$P$201,"F")</f>
        <v>0</v>
      </c>
      <c r="D10" s="38">
        <f t="shared" si="3"/>
        <v>0</v>
      </c>
      <c r="E10" s="118">
        <f>COUNTIFS('PPa2019'!$AP$2:$AP$201,"&gt;30/06/2019",'PPa2019'!$AP$2:$AP$201,"&lt;01/08/2019",'PPa2019'!$P$2:$P$201,"H",'PPa2019'!$O$2:$O$201,"&lt;18")</f>
        <v>0</v>
      </c>
      <c r="F10" s="118">
        <f>COUNTIFS('PPa2019'!$AP$2:$AP$201,"&gt;30/06/2019",'PPa2019'!$AP$2:$AP$201,"&lt;01/08/2019",'PPa2019'!$P$2:$P$201,"F",'PPa2019'!$O$2:$O$201,"&lt;18")</f>
        <v>0</v>
      </c>
      <c r="G10" s="118">
        <f>COUNTIFS('PPa2019'!$AP$2:$AP$201,"&gt;30/06/2019",'PPa2019'!$AP$2:$AP$201,"&lt;01/08/2019",'PPa2019'!$P$2:$P$201,"H",'PPa2019'!$O$2:$O$201,"&gt;18",'PPa2019'!$O$2:$O$201,"&lt;26")</f>
        <v>0</v>
      </c>
      <c r="H10" s="118">
        <f>COUNTIFS('PPa2019'!$AP$2:$AP$201,"&gt;30/06/2019",'PPa2019'!$AP$2:$AP$201,"&lt;01/08/2019",'PPa2019'!$P$2:$P$201,"F",'PPa2019'!$O$2:$O$201,"&gt;18",'PPa2019'!$O$2:$O$201,"&lt;26")</f>
        <v>0</v>
      </c>
      <c r="I10" s="118">
        <f>COUNTIFS('PPa2019'!$AP$2:$AP$201,"&gt;30/06/2019",'PPa2019'!$AP$2:$AP$201,"&lt;01/08/2019",'PPa2019'!$P$2:$P$201,"H",'PPa2019'!$O$2:$O$201,"&gt;26",'PPa2019'!$O$2:$O$201,"&lt;31")</f>
        <v>0</v>
      </c>
      <c r="J10" s="118">
        <f>COUNTIFS('PPa2019'!$AP$2:$AP$201,"&gt;30/06/2019",'PPa2019'!$AP$2:$AP$201,"&lt;01/08/2019",'PPa2019'!$P$2:$P$201,"F",'PPa2019'!$O$2:$O$201,"&gt;26",'PPa2019'!$O$2:$O$201,"&lt;31")</f>
        <v>0</v>
      </c>
      <c r="K10" s="118">
        <f>COUNTIFS('PPa2019'!$AP$2:$AP$201,"&gt;30/06/2019",'PPa2019'!$AP$2:$AP$201,"&lt;01/08/2019",'PPa2019'!$P$2:$P$201,"H",'PPa2019'!$O$2:$O$201,"&gt;31",'PPa2019'!$O$2:$O$201,"&lt;36")</f>
        <v>0</v>
      </c>
      <c r="L10" s="118">
        <f>COUNTIFS('PPa2019'!$AP$2:$AP$201,"&gt;30/06/2019",'PPa2019'!$AP$2:$AP$201,"&lt;01/08/2019",'PPa2019'!$P$2:$P$201,"F",'PPa2019'!$O$2:$O$201,"&gt;31",'PPa2019'!$O$2:$O$201,"&lt;36")</f>
        <v>0</v>
      </c>
      <c r="M10" s="118">
        <f>COUNTIFS('PPa2019'!$AP$2:$AP$201,"&gt;30/06/2019",'PPa2019'!$AP$2:$AP$201,"&lt;01/08/2019",'PPa2019'!$P$2:$P$201,"H",'PPa2019'!$O$2:$O$201,"&gt;36",'PPa2019'!$O$2:$O$201,"&lt;41")</f>
        <v>0</v>
      </c>
      <c r="N10" s="118">
        <f>COUNTIFS('PPa2019'!$AP$2:$AP$201,"&gt;30/06/2019",'PPa2019'!$AP$2:$AP$201,"&lt;01/08/2019",'PPa2019'!$P$2:$P$201,"F",'PPa2019'!$O$2:$O$201,"&gt;36",'PPa2019'!$O$2:$O$201,"&lt;41")</f>
        <v>0</v>
      </c>
      <c r="O10" s="118">
        <f>COUNTIFS('PPa2019'!$AP$2:$AP$201,"&gt;30/06/2019",'PPa2019'!$AP$2:$AP$201,"&lt;01/08/2019",'PPa2019'!$P$2:$P$201,"H",'PPa2019'!$O$2:$O$201,"&gt;40")</f>
        <v>0</v>
      </c>
      <c r="P10" s="118">
        <f>COUNTIFS('PPa2019'!$AP$2:$AP$201,"&gt;30/06/2019",'PPa2019'!$AP$2:$AP$201,"&lt;01/08/2019",'PPa2019'!$P$2:$P$201,"F",'PPa2019'!$O$2:$O$201,"&gt;40")</f>
        <v>0</v>
      </c>
      <c r="Q10" s="38">
        <f t="shared" si="0"/>
        <v>0</v>
      </c>
      <c r="R10" s="118">
        <f>COUNTIFS('PPa2019'!$AP$2:$AP$201,"&gt;30/06/2019",'PPa2019'!$AP$2:$AP$201,"&lt;01/08/2019",'PPa2019'!$P$2:$P$201,"H",'PPa2019'!$AC$2:$AC$201,6)</f>
        <v>0</v>
      </c>
      <c r="S10" s="118">
        <f>COUNTIFS('PPa2019'!$AP$2:$AP$201,"&gt;30/06/2019",'PPa2019'!$AP$2:$AP$201,"&lt;01/08/2019",'PPa2019'!$P$2:$P$201,"F",'PPa2019'!$AC$2:$AC$201,6)</f>
        <v>0</v>
      </c>
      <c r="T10" s="118">
        <f>COUNTIFS('PPa2019'!$AP$2:$AP$201,"&gt;30/06/2019",'PPa2019'!$AP$2:$AP$201,"&lt;01/08/2019",'PPa2019'!$P$2:$P$201,"H",'PPa2019'!$AC$2:$AC$201,5)</f>
        <v>0</v>
      </c>
      <c r="U10" s="118">
        <f>COUNTIFS('PPa2019'!$AP$2:$AP$201,"&gt;30/06/2019",'PPa2019'!$AP$2:$AP$201,"&lt;01/08/2019",'PPa2019'!$P$2:$P$201,"F",'PPa2019'!$AC$2:$AC$201,5)</f>
        <v>0</v>
      </c>
      <c r="V10" s="118">
        <f>COUNTIFS('PPa2019'!$AP$2:$AP$201,"&gt;30/06/2019",'PPa2019'!$AP$2:$AP$201,"&lt;01/08/2019",'PPa2019'!$P$2:$P$201,"H",'PPa2019'!$AC$2:$AC$201,4)</f>
        <v>0</v>
      </c>
      <c r="W10" s="118">
        <f>COUNTIFS('PPa2019'!$AP$2:$AP$201,"&gt;30/06/2019",'PPa2019'!$AP$2:$AP$201,"&lt;01/08/2019",'PPa2019'!$P$2:$P$201,"F",'PPa2019'!$AC$2:$AC$201,4)</f>
        <v>0</v>
      </c>
      <c r="X10" s="118">
        <f>COUNTIFS('PPa2019'!$AP$2:$AP$201,"&gt;30/06/2019",'PPa2019'!$AP$2:$AP$201,"&lt;01/08/2019",'PPa2019'!$P$2:$P$201,"H",'PPa2019'!$AC$2:$AC$201,3)</f>
        <v>0</v>
      </c>
      <c r="Y10" s="118">
        <f>COUNTIFS('PPa2019'!$AP$2:$AP$201,"&gt;30/06/2019",'PPa2019'!$AP$2:$AP$201,"&lt;01/08/2019",'PPa2019'!$P$2:$P$201,"F",'PPa2019'!$AC$2:$AC$201,3)</f>
        <v>0</v>
      </c>
      <c r="Z10" s="118">
        <f>COUNTIFS('PPa2019'!$AP$2:$AP$201,"&gt;30/06/2019",'PPa2019'!$AP$2:$AP$201,"&lt;01/08/2019",'PPa2019'!$P$2:$P$201,"H",'PPa2019'!$AC$2:$AC$201,2)</f>
        <v>0</v>
      </c>
      <c r="AA10" s="118">
        <f>COUNTIFS('PPa2019'!$AP$2:$AP$201,"&gt;30/06/2019",'PPa2019'!$AP$2:$AP$201,"&lt;01/08/2019",'PPa2019'!$P$2:$P$201,"F",'PPa2019'!$AC$2:$AC$201,2)</f>
        <v>0</v>
      </c>
      <c r="AB10" s="118">
        <f>COUNTIFS('PPa2019'!$AP$2:$AP$201,"&gt;30/06/2019",'PPa2019'!$AP$2:$AP$201,"&lt;01/08/2019",'PPa2019'!$P$2:$P$201,"H",'PPa2019'!$AC$2:$AC$201,1)</f>
        <v>0</v>
      </c>
      <c r="AC10" s="118">
        <f>COUNTIFS('PPa2019'!$AP$2:$AP$201,"&gt;30/06/2019",'PPa2019'!$AP$2:$AP$201,"&lt;01/08/2019",'PPa2019'!$P$2:$P$201,"F",'PPa2019'!$AC$2:$AC$201,1)</f>
        <v>0</v>
      </c>
      <c r="AD10" s="38">
        <f t="shared" si="1"/>
        <v>0</v>
      </c>
      <c r="AE10" s="118" t="e">
        <f>COUNTIFS('PPa2019'!$AP$2:$AP$201,"&gt;30/06/2019",'PPa2019'!$AP$2:$AP$201,"&lt;01/08/2019",'PPa2019'!$P$2:$P$201,"H",'PPa2019'!#REF!,"CCLES")</f>
        <v>#REF!</v>
      </c>
      <c r="AF10" s="118" t="e">
        <f>COUNTIFS('PPa2019'!$AP$2:$AP$201,"&gt;30/06/2019",'PPa2019'!$AP$2:$AP$201,"&lt;01/08/2019",'PPa2019'!$P$2:$P$201,"F",'PPa2019'!#REF!,"CCLES")</f>
        <v>#REF!</v>
      </c>
      <c r="AG10" s="118">
        <f>COUNTIFS('PPa2019'!$AP$2:$AP$201,"&gt;30/06/2019",'PPa2019'!$AP$2:$AP$201,"&lt;01/08/2019",'PPa2019'!$P$2:$P$201,"H",'PPa2019'!$Y$2:$Y$201,"SALARIÉ")</f>
        <v>0</v>
      </c>
      <c r="AH10" s="118">
        <f>COUNTIFS('PPa2019'!$AP$2:$AP$201,"&gt;30/06/2019",'PPa2019'!$AP$2:$AP$201,"&lt;01/08/2019",'PPa2019'!$P$2:$P$201,"F",'PPa2019'!$Y$2:$Y$201,"SALARIÉ")</f>
        <v>0</v>
      </c>
      <c r="AI10" s="118">
        <f>COUNTIFS('PPa2019'!$AP$2:$AP$201,"&gt;30/06/2019",'PPa2019'!$AP$2:$AP$201,"&lt;01/08/2019",'PPa2019'!$P$2:$P$201,"H",'PPa2019'!$Y$2:$Y$201,"ÉTUDIANT")</f>
        <v>0</v>
      </c>
      <c r="AJ10" s="118">
        <f>COUNTIFS('PPa2019'!$AP$2:$AP$201,"&gt;30/06/2019",'PPa2019'!$AP$2:$AP$201,"&lt;01/08/2019",'PPa2019'!$P$2:$P$201,"F",'PPa2019'!$Y$2:$Y$201,"ÉTUDIANT")</f>
        <v>0</v>
      </c>
      <c r="AK10" s="118">
        <f>COUNTIFS('PPa2019'!$AP$2:$AP$201,"&gt;30/06/2019",'PPa2019'!$AP$2:$AP$201,"&lt;01/08/2019",'PPa2019'!$P$2:$P$201,"H",'PPa2019'!$Y$2:$Y$201,"RE")</f>
        <v>0</v>
      </c>
      <c r="AL10" s="118">
        <f>COUNTIFS('PPa2019'!$AP$2:$AP$201,"&gt;30/06/2019",'PPa2019'!$AP$2:$AP$201,"&lt;01/08/2019",'PPa2019'!$P$2:$P$201,"F",'PPa2019'!$Y$2:$Y$201,"RE")</f>
        <v>0</v>
      </c>
      <c r="AM10" s="118">
        <f>COUNTIFS('PPa2019'!$AP$2:$AP$201,"&gt;30/06/2019",'PPa2019'!$AP$2:$AP$201,"&lt;01/08/2019",'PPa2019'!$P$2:$P$201,"H",'PPa2019'!$Y$2:$Y$201,"AUTRE")</f>
        <v>0</v>
      </c>
      <c r="AN10" s="118">
        <f>COUNTIFS('PPa2019'!$AP$2:$AP$201,"&gt;30/06/2019",'PPa2019'!$AP$2:$AP$201,"&lt;01/08/2019",'PPa2019'!$P$2:$P$201,"F",'PPa2019'!$Y$2:$Y$201,"AUTRE")</f>
        <v>0</v>
      </c>
      <c r="AO10" s="38" t="e">
        <f t="shared" si="4"/>
        <v>#REF!</v>
      </c>
      <c r="AP10" s="118">
        <f>COUNTIFS('PPa2019'!$AP$2:$AP$201,"&gt;30/06/2019",'PPa2019'!$AP$2:$AP$201,"&lt;01/08/2019",'PPa2019'!$P$2:$P$201,"H",'PPa2019'!$AA$2:$AA$201,"&gt;"&amp;EDATE('PPa2019'!$AP2,-6))</f>
        <v>0</v>
      </c>
      <c r="AQ10" s="118">
        <f>COUNTIFS('PPa2019'!$AP$2:$AP$201,"&gt;30/06/2019",'PPa2019'!$AP$2:$AP$201,"&lt;01/08/2019",'PPa2019'!$P$2:$P$201,"F",'PPa2019'!$AA$2:$AA$201,"&gt;"&amp;EDATE('PPa2019'!$AP2,-6))</f>
        <v>0</v>
      </c>
      <c r="AR10" s="118">
        <f>COUNTIFS('PPa2019'!$AP$2:$AP$201,"&gt;30/06/2019",'PPa2019'!$AP$2:$AP$201,"&lt;01/08/2019",'PPa2019'!$P$2:$P$201,"H",'PPa2019'!$AA$2:$AA$201,"&lt;"&amp;EDATE('PPa2019'!$AP2,-6),'PPa2019'!$AA$2:$AA$201,"&gt;"&amp;EDATE('PPa2019'!$AP2,-11))</f>
        <v>0</v>
      </c>
      <c r="AS10" s="118">
        <f>COUNTIFS('PPa2019'!$AP$2:$AP$201,"&gt;30/06/2019",'PPa2019'!$AP$2:$AP$201,"&lt;01/08/2019",'PPa2019'!$P$2:$P$201,"F",'PPa2019'!$AA$2:$AA$201,"&lt;"&amp;EDATE('PPa2019'!$AP2,-6),'PPa2019'!$AA$2:$AA$201,"&gt;"&amp;EDATE('PPa2019'!$AP2,-11))</f>
        <v>0</v>
      </c>
      <c r="AT10" s="118">
        <f>COUNTIFS('PPa2019'!$AP$2:$AP$201,"&gt;30/06/2019",'PPa2019'!$AP$2:$AP$201,"&lt;01/08/2019",'PPa2019'!$P$2:$P$201,"H",'PPa2019'!$AA$2:$AA$201,"&lt;"&amp;EDATE('PPa2019'!$AP2,-11),'PPa2019'!$AA$2:$AA$201,"&gt;"&amp;EDATE('PPa2019'!$AP2,-23))</f>
        <v>0</v>
      </c>
      <c r="AU10" s="118">
        <f>COUNTIFS('PPa2019'!$AP$2:$AP$201,"&gt;30/06/2019",'PPa2019'!$AP$2:$AP$201,"&lt;01/08/2019",'PPa2019'!$P$2:$P$201,"F",'PPa2019'!$AA$2:$AA$201,"&lt;"&amp;EDATE('PPa2019'!$AP2,-11),'PPa2019'!$AA$2:$AA$201,"&gt;"&amp;EDATE('PPa2019'!$AP2,-23))</f>
        <v>0</v>
      </c>
      <c r="AV10" s="118">
        <f>COUNTIFS('PPa2019'!$AP$2:$AP$201,"&gt;30/06/2019",'PPa2019'!$AP$2:$AP$201,"&lt;01/08/2019",'PPa2019'!$P$2:$P$201,"H",'PPa2019'!$AA$2:$AA$201,"&lt;"&amp;EDATE('PPa2019'!$AP2,-23))</f>
        <v>0</v>
      </c>
      <c r="AW10" s="118">
        <f>COUNTIFS('PPa2019'!$AP$2:$AP$201,"&gt;30/06/2019",'PPa2019'!$AP$2:$AP$201,"&lt;01/08/2019",'PPa2019'!$P$2:$P$201,"F",'PPa2019'!$AA$2:$AA$201,"&lt;"&amp;EDATE('PPa2019'!$AP2,-23))</f>
        <v>0</v>
      </c>
      <c r="AX10" s="38">
        <f t="shared" si="5"/>
        <v>0</v>
      </c>
      <c r="AY10" s="118">
        <f>COUNTIFS('PPa2019'!$AP$2:$AP$201,"&gt;30/06/2019",'PPa2019'!$AP$2:$AP$201,"&lt;01/08/2019",'PPa2019'!$P$2:$P$201,"H",'PPa2019'!$T$2:$T$201,"Voiture")</f>
        <v>0</v>
      </c>
      <c r="AZ10" s="118">
        <f>COUNTIFS('PPa2019'!$AP$2:$AP$201,"&gt;30/06/2019",'PPa2019'!$AP$2:$AP$201,"&lt;01/08/2019",'PPa2019'!$P$2:$P$201,"F",'PPa2019'!$T$2:$T$201,"Voiture")</f>
        <v>0</v>
      </c>
      <c r="BA10" s="118">
        <f>COUNTIFS('PPa2019'!$AP$2:$AP$201,"&gt;30/06/2019",'PPa2019'!$AP$2:$AP$201,"&lt;01/08/2019",'PPa2019'!$P$2:$P$201,"H",'PPa2019'!$T$2:$T$201,"Moto")</f>
        <v>0</v>
      </c>
      <c r="BB10" s="118">
        <f>COUNTIFS('PPa2019'!$AP$2:$AP$201,"&gt;30/06/2019",'PPa2019'!$AP$2:$AP$201,"&lt;01/08/2019",'PPa2019'!$P$2:$P$201,"F",'PPa2019'!$T$2:$T$201,"Moto")</f>
        <v>0</v>
      </c>
      <c r="BC10" s="118">
        <f>COUNTIFS('PPa2019'!$AP$2:$AP$201,"&gt;30/06/2019",'PPa2019'!$AP$2:$AP$201,"&lt;01/08/2019",'PPa2019'!$P$2:$P$201,"H",'PPa2019'!$T$2:$T$201,"Scooter")</f>
        <v>0</v>
      </c>
      <c r="BD10" s="118">
        <f>COUNTIFS('PPa2019'!$AP$2:$AP$201,"&gt;30/06/2019",'PPa2019'!$AP$2:$AP$201,"&lt;01/08/2019",'PPa2019'!$P$2:$P$201,"F",'PPa2019'!$T$2:$T$201,"Scooter")</f>
        <v>0</v>
      </c>
      <c r="BE10" s="118">
        <f>COUNTIFS('PPa2019'!$AP$2:$AP$201,"&gt;30/06/2019",'PPa2019'!$AP$2:$AP$201,"&lt;01/08/2019",'PPa2019'!$P$2:$P$201,"H",'PPa2019'!$T$2:$T$201,"Vélo")</f>
        <v>0</v>
      </c>
      <c r="BF10" s="118">
        <f>COUNTIFS('PPa2019'!$AP$2:$AP$201,"&gt;30/06/2019",'PPa2019'!$AP$2:$AP$201,"&lt;01/08/2019",'PPa2019'!$P$2:$P$201,"F",'PPa2019'!$T$2:$T$201,"Vélo")</f>
        <v>0</v>
      </c>
      <c r="BG10" s="118">
        <f>COUNTIFS('PPa2019'!$AP$2:$AP$201,"&gt;30/06/2019",'PPa2019'!$AP$2:$AP$201,"&lt;01/08/2019",'PPa2019'!$P$2:$P$201,"H",'PPa2019'!$T$2:$T$201,"Bus")</f>
        <v>0</v>
      </c>
      <c r="BH10" s="118">
        <f>COUNTIFS('PPa2019'!$AP$2:$AP$201,"&gt;30/06/2019",'PPa2019'!$AP$2:$AP$201,"&lt;01/08/2019",'PPa2019'!$P$2:$P$201,"F",'PPa2019'!$T$2:$T$201,"Bus")</f>
        <v>0</v>
      </c>
      <c r="BI10" s="118">
        <f>COUNTIFS('PPa2019'!$AP$2:$AP$201,"&gt;30/06/2019",'PPa2019'!$AP$2:$AP$201,"&lt;01/08/2019",'PPa2019'!$P$2:$P$201,"H",'PPa2019'!$T$2:$T$201,"Covoiturage")</f>
        <v>0</v>
      </c>
      <c r="BJ10" s="118">
        <f>COUNTIFS('PPa2019'!$AP$2:$AP$201,"&gt;30/06/2019",'PPa2019'!$AP$2:$AP$201,"&lt;01/08/2019",'PPa2019'!$P$2:$P$201,"F",'PPa2019'!$T$2:$T$201,"Covoiturage")</f>
        <v>0</v>
      </c>
      <c r="BK10" s="118">
        <f>COUNTIFS('PPa2019'!$AP$2:$AP$201,"&gt;30/06/2019",'PPa2019'!$AP$2:$AP$201,"&lt;01/08/2019",'PPa2019'!$P$2:$P$201,"H",'PPa2019'!$T$2:$T$201,"Plusieurs")</f>
        <v>0</v>
      </c>
      <c r="BL10" s="118">
        <f>COUNTIFS('PPa2019'!$AP$2:$AP$201,"&gt;30/06/2019",'PPa2019'!$AP$2:$AP$201,"&lt;01/08/2019",'PPa2019'!$P$2:$P$201,"F",'PPa2019'!$T$2:$T$201,"Plusieurs")</f>
        <v>0</v>
      </c>
      <c r="BM10" s="118">
        <f>COUNTIFS('PPa2019'!$AP$2:$AP$201,"&gt;30/06/2019",'PPa2019'!$AP$2:$AP$201,"&lt;01/08/2019",'PPa2019'!$P$2:$P$201,"H",'PPa2019'!$T$2:$T$201,"Autre")</f>
        <v>0</v>
      </c>
      <c r="BN10" s="118">
        <f>COUNTIFS('PPa2019'!$AP$2:$AP$201,"&gt;30/06/2019",'PPa2019'!$AP$2:$AP$201,"&lt;01/08/2019",'PPa2019'!$P$2:$P$201,"F",'PPa2019'!$T$2:$T$201,"Autre")</f>
        <v>0</v>
      </c>
      <c r="BO10" s="38">
        <f t="shared" si="6"/>
        <v>0</v>
      </c>
      <c r="BP10" s="118" t="e">
        <f>COUNTIFS('PPa2019'!$AP$2:$AP$201,"&gt;30/06/2019",'PPa2019'!$AP$2:$AP$201,"&lt;01/08/2019",'PPa2019'!$P$2:$P$201,"H",'PPa2019'!#REF!,"CCLES")</f>
        <v>#REF!</v>
      </c>
      <c r="BQ10" s="118" t="e">
        <f>COUNTIFS('PPa2019'!$AP$2:$AP$201,"&gt;30/06/2019",'PPa2019'!$AP$2:$AP$201,"&lt;01/08/2019",'PPa2019'!$P$2:$P$201,"H",'PPa2019'!#REF!,"CCLES")</f>
        <v>#REF!</v>
      </c>
      <c r="BR10" s="118" t="e">
        <f>COUNTIFS('PPa2019'!$AP$2:$AP$201,"&gt;30/06/2019",'PPa2019'!$AP$2:$AP$201,"&lt;01/08/2019",'PPa2019'!$P$2:$P$201,"H",'PPa2019'!#REF!,"PPI")</f>
        <v>#REF!</v>
      </c>
      <c r="BS10" s="118" t="e">
        <f>COUNTIFS('PPa2019'!$AP$2:$AP$201,"&gt;30/06/2019",'PPa2019'!$AP$2:$AP$201,"&lt;01/08/2019",'PPa2019'!$P$2:$P$201,"H",'PPa2019'!#REF!,"PPI")</f>
        <v>#REF!</v>
      </c>
      <c r="BT10" s="118" t="e">
        <f>COUNTIFS('PPa2019'!$AP$2:$AP$201,"&gt;30/06/2019",'PPa2019'!$AP$2:$AP$201,"&lt;01/08/2019",'PPa2019'!$P$2:$P$201,"H",'PPa2019'!#REF!,"POP")</f>
        <v>#REF!</v>
      </c>
      <c r="BU10" s="118" t="e">
        <f>COUNTIFS('PPa2019'!$AP$2:$AP$201,"&gt;30/06/2019",'PPa2019'!$AP$2:$AP$201,"&lt;01/08/2019",'PPa2019'!$P$2:$P$201,"H",'PPa2019'!#REF!,"POP")</f>
        <v>#REF!</v>
      </c>
      <c r="BV10" s="118" t="e">
        <f>COUNTIFS('PPa2019'!$AP$2:$AP$201,"&gt;30/06/2019",'PPa2019'!$AP$2:$AP$201,"&lt;01/08/2019",'PPa2019'!$P$2:$P$201,"H",'PPa2019'!#REF!,"PREFOS")</f>
        <v>#REF!</v>
      </c>
      <c r="BW10" s="118" t="e">
        <f>COUNTIFS('PPa2019'!$AP$2:$AP$201,"&gt;30/06/2019",'PPa2019'!$AP$2:$AP$201,"&lt;01/08/2019",'PPa2019'!$P$2:$P$201,"H",'PPa2019'!#REF!,"PREFOS")</f>
        <v>#REF!</v>
      </c>
      <c r="BX10" s="118" t="e">
        <f>COUNTIFS('PPa2019'!$AP$2:$AP$201,"&gt;30/06/2019",'PPa2019'!$AP$2:$AP$201,"&lt;01/08/2019",'PPa2019'!$P$2:$P$201,"H",'PPa2019'!#REF!,"FLE")</f>
        <v>#REF!</v>
      </c>
      <c r="BY10" s="118" t="e">
        <f>COUNTIFS('PPa2019'!$AP$2:$AP$201,"&gt;30/06/2019",'PPa2019'!$AP$2:$AP$201,"&lt;01/08/2019",'PPa2019'!$P$2:$P$201,"H",'PPa2019'!#REF!,"FLE")</f>
        <v>#REF!</v>
      </c>
      <c r="BZ10" s="118" t="e">
        <f>COUNTIFS('PPa2019'!$AP$2:$AP$201,"&gt;30/06/2019",'PPa2019'!$AP$2:$AP$201,"&lt;01/08/2019",'PPa2019'!$P$2:$P$201,"H",'PPa2019'!#REF!,"MGI MIJEC")</f>
        <v>#REF!</v>
      </c>
      <c r="CA10" s="118" t="e">
        <f>COUNTIFS('PPa2019'!$AP$2:$AP$201,"&gt;30/06/2019",'PPa2019'!$AP$2:$AP$201,"&lt;01/08/2019",'PPa2019'!$P$2:$P$201,"H",'PPa2019'!#REF!,"MGI MIJEC")</f>
        <v>#REF!</v>
      </c>
      <c r="CB10" s="118" t="e">
        <f>COUNTIFS('PPa2019'!$AP$2:$AP$201,"&gt;30/06/2019",'PPa2019'!$AP$2:$AP$201,"&lt;01/08/2019",'PPa2019'!$P$2:$P$201,"H",'PPa2019'!#REF!,"CAQ")</f>
        <v>#REF!</v>
      </c>
      <c r="CC10" s="118" t="e">
        <f>COUNTIFS('PPa2019'!$AP$2:$AP$201,"&gt;30/06/2019",'PPa2019'!$AP$2:$AP$201,"&lt;01/08/2019",'PPa2019'!$P$2:$P$201,"H",'PPa2019'!#REF!,"CAQ")</f>
        <v>#REF!</v>
      </c>
      <c r="CD10" s="118" t="e">
        <f>COUNTIFS('PPa2019'!$AP$2:$AP$201,"&gt;30/06/2019",'PPa2019'!$AP$2:$AP$201,"&lt;01/08/2019",'PPa2019'!$P$2:$P$201,"H",'PPa2019'!#REF!,"QUALIF")</f>
        <v>#REF!</v>
      </c>
      <c r="CE10" s="118" t="e">
        <f>COUNTIFS('PPa2019'!$AP$2:$AP$201,"&gt;30/06/2019",'PPa2019'!$AP$2:$AP$201,"&lt;01/08/2019",'PPa2019'!$P$2:$P$201,"H",'PPa2019'!#REF!,"QUALIF")</f>
        <v>#REF!</v>
      </c>
      <c r="CF10" s="118" t="e">
        <f>COUNTIFS('PPa2019'!$AP$2:$AP$201,"&gt;30/06/2019",'PPa2019'!$AP$2:$AP$201,"&lt;01/08/2019",'PPa2019'!$P$2:$P$201,"H",'PPa2019'!#REF!,"ALTERN")</f>
        <v>#REF!</v>
      </c>
      <c r="CG10" s="118" t="e">
        <f>COUNTIFS('PPa2019'!$AP$2:$AP$201,"&gt;30/06/2019",'PPa2019'!$AP$2:$AP$201,"&lt;01/08/2019",'PPa2019'!$P$2:$P$201,"H",'PPa2019'!#REF!,"ALTERN")</f>
        <v>#REF!</v>
      </c>
      <c r="CH10" s="118" t="e">
        <f>COUNTIFS('PPa2019'!$AP$2:$AP$201,"&gt;30/06/2019",'PPa2019'!$AP$2:$AP$201,"&lt;01/08/2019",'PPa2019'!$P$2:$P$201,"H",'PPa2019'!#REF!,"EMPLOI")</f>
        <v>#REF!</v>
      </c>
      <c r="CI10" s="118" t="e">
        <f>COUNTIFS('PPa2019'!$AP$2:$AP$201,"&gt;30/06/2019",'PPa2019'!$AP$2:$AP$201,"&lt;01/08/2019",'PPa2019'!$P$2:$P$201,"H",'PPa2019'!#REF!,"EMPLOI")</f>
        <v>#REF!</v>
      </c>
      <c r="CJ10" s="118" t="e">
        <f>COUNTIFS('PPa2019'!$AP$2:$AP$201,"&gt;30/06/2019",'PPa2019'!$AP$2:$AP$201,"&lt;01/08/2019",'PPa2019'!$P$2:$P$201,"H",'PPa2019'!#REF!,"AUTRE")</f>
        <v>#REF!</v>
      </c>
      <c r="CK10" s="118" t="e">
        <f>COUNTIFS('PPa2019'!$AP$2:$AP$201,"&gt;30/06/2019",'PPa2019'!$AP$2:$AP$201,"&lt;01/08/2019",'PPa2019'!$P$2:$P$201,"H",'PPa2019'!#REF!,"AUTRE")</f>
        <v>#REF!</v>
      </c>
      <c r="CL10" s="38" t="e">
        <f t="shared" si="2"/>
        <v>#REF!</v>
      </c>
    </row>
    <row r="11" spans="1:90" x14ac:dyDescent="0.25">
      <c r="A11" s="43" t="s">
        <v>81</v>
      </c>
      <c r="B11" s="119">
        <f>COUNTIFS('PPa2019'!$AP$2:$AP$201,"&gt;31/07/2019",'PPa2019'!$AP$2:$AP$201,"&lt;01/09/2019",'PPa2019'!$P$2:$P$201,"H")</f>
        <v>0</v>
      </c>
      <c r="C11" s="119">
        <f>COUNTIFS('PPa2019'!$AP$2:$AP$201,"&gt;31/07/2019",'PPa2019'!$AP$2:$AP$201,"&lt;01/09/2019",'PPa2019'!$P$2:$P$201,"F")</f>
        <v>0</v>
      </c>
      <c r="D11" s="38">
        <f t="shared" si="3"/>
        <v>0</v>
      </c>
      <c r="E11" s="119">
        <f>COUNTIFS('PPa2019'!$AP$2:$AP$201,"&gt;31/07/2019",'PPa2019'!$AP$2:$AP$201,"&lt;01/09/2019",'PPa2019'!$P$2:$P$201,"H",'PPa2019'!$O$2:$O$201,"&lt;18")</f>
        <v>0</v>
      </c>
      <c r="F11" s="119">
        <f>COUNTIFS('PPa2019'!$AP$2:$AP$201,"&gt;31/07/2019",'PPa2019'!$AP$2:$AP$201,"&lt;01/09/2019",'PPa2019'!$P$2:$P$201,"F",'PPa2019'!$O$2:$O$201,"&lt;18")</f>
        <v>0</v>
      </c>
      <c r="G11" s="119">
        <f>COUNTIFS('PPa2019'!$AP$2:$AP$201,"&gt;31/07/2019",'PPa2019'!$AP$2:$AP$201,"&lt;01/09/2019",'PPa2019'!$P$2:$P$201,"H",'PPa2019'!$O$2:$O$201,"&gt;18",'PPa2019'!$O$2:$O$201,"&lt;26")</f>
        <v>0</v>
      </c>
      <c r="H11" s="119">
        <f>COUNTIFS('PPa2019'!$AP$2:$AP$201,"&gt;31/07/2019",'PPa2019'!$AP$2:$AP$201,"&lt;01/09/2019",'PPa2019'!$P$2:$P$201,"F",'PPa2019'!$O$2:$O$201,"&gt;18",'PPa2019'!$O$2:$O$201,"&lt;26")</f>
        <v>0</v>
      </c>
      <c r="I11" s="119">
        <f>COUNTIFS('PPa2019'!$AP$2:$AP$201,"&gt;31/07/2019",'PPa2019'!$AP$2:$AP$201,"&lt;01/09/2019",'PPa2019'!$P$2:$P$201,"H",'PPa2019'!$O$2:$O$201,"&gt;26",'PPa2019'!$O$2:$O$201,"&lt;31")</f>
        <v>0</v>
      </c>
      <c r="J11" s="119">
        <f>COUNTIFS('PPa2019'!$AP$2:$AP$201,"&gt;31/07/2019",'PPa2019'!$AP$2:$AP$201,"&lt;01/09/2019",'PPa2019'!$P$2:$P$201,"F",'PPa2019'!$O$2:$O$201,"&gt;26",'PPa2019'!$O$2:$O$201,"&lt;31")</f>
        <v>0</v>
      </c>
      <c r="K11" s="119">
        <f>COUNTIFS('PPa2019'!$AP$2:$AP$201,"&gt;31/07/2019",'PPa2019'!$AP$2:$AP$201,"&lt;01/09/2019",'PPa2019'!$P$2:$P$201,"H",'PPa2019'!$O$2:$O$201,"&gt;31",'PPa2019'!$O$2:$O$201,"&lt;36")</f>
        <v>0</v>
      </c>
      <c r="L11" s="119">
        <f>COUNTIFS('PPa2019'!$AP$2:$AP$201,"&gt;31/07/2019",'PPa2019'!$AP$2:$AP$201,"&lt;01/09/2019",'PPa2019'!$P$2:$P$201,"F",'PPa2019'!$O$2:$O$201,"&gt;31",'PPa2019'!$O$2:$O$201,"&lt;36")</f>
        <v>0</v>
      </c>
      <c r="M11" s="119">
        <f>COUNTIFS('PPa2019'!$AP$2:$AP$201,"&gt;31/07/2019",'PPa2019'!$AP$2:$AP$201,"&lt;01/09/2019",'PPa2019'!$P$2:$P$201,"H",'PPa2019'!$O$2:$O$201,"&gt;36",'PPa2019'!$O$2:$O$201,"&lt;41")</f>
        <v>0</v>
      </c>
      <c r="N11" s="119">
        <f>COUNTIFS('PPa2019'!$AP$2:$AP$201,"&gt;31/07/2019",'PPa2019'!$AP$2:$AP$201,"&lt;01/09/2019",'PPa2019'!$P$2:$P$201,"F",'PPa2019'!$O$2:$O$201,"&gt;36",'PPa2019'!$O$2:$O$201,"&lt;41")</f>
        <v>0</v>
      </c>
      <c r="O11" s="119">
        <f>COUNTIFS('PPa2019'!$AP$2:$AP$201,"&gt;31/07/2019",'PPa2019'!$AP$2:$AP$201,"&lt;01/09/2019",'PPa2019'!$P$2:$P$201,"H",'PPa2019'!$O$2:$O$201,"&gt;40")</f>
        <v>0</v>
      </c>
      <c r="P11" s="119">
        <f>COUNTIFS('PPa2019'!$AP$2:$AP$201,"&gt;31/07/2019",'PPa2019'!$AP$2:$AP$201,"&lt;01/09/2019",'PPa2019'!$P$2:$P$201,"F",'PPa2019'!$O$2:$O$201,"&gt;40")</f>
        <v>0</v>
      </c>
      <c r="Q11" s="38">
        <f t="shared" si="0"/>
        <v>0</v>
      </c>
      <c r="R11" s="119">
        <f>COUNTIFS('PPa2019'!$AP$2:$AP$201,"&gt;31/07/2019",'PPa2019'!$AP$2:$AP$201,"&lt;01/09/2019",'PPa2019'!$P$2:$P$201,"H",'PPa2019'!$AC$2:$AC$201,6)</f>
        <v>0</v>
      </c>
      <c r="S11" s="119">
        <f>COUNTIFS('PPa2019'!$AP$2:$AP$201,"&gt;31/07/2019",'PPa2019'!$AP$2:$AP$201,"&lt;01/09/2019",'PPa2019'!$P$2:$P$201,"F",'PPa2019'!$AC$2:$AC$201,6)</f>
        <v>0</v>
      </c>
      <c r="T11" s="119">
        <f>COUNTIFS('PPa2019'!$AP$2:$AP$201,"&gt;31/07/2019",'PPa2019'!$AP$2:$AP$201,"&lt;01/09/2019",'PPa2019'!$P$2:$P$201,"H",'PPa2019'!$AC$2:$AC$201,5)</f>
        <v>0</v>
      </c>
      <c r="U11" s="119">
        <f>COUNTIFS('PPa2019'!$AP$2:$AP$201,"&gt;31/07/2019",'PPa2019'!$AP$2:$AP$201,"&lt;01/09/2019",'PPa2019'!$P$2:$P$201,"F",'PPa2019'!$AC$2:$AC$201,5)</f>
        <v>0</v>
      </c>
      <c r="V11" s="119">
        <f>COUNTIFS('PPa2019'!$AP$2:$AP$201,"&gt;31/07/2019",'PPa2019'!$AP$2:$AP$201,"&lt;01/09/2019",'PPa2019'!$P$2:$P$201,"H",'PPa2019'!$AC$2:$AC$201,4)</f>
        <v>0</v>
      </c>
      <c r="W11" s="119">
        <f>COUNTIFS('PPa2019'!$AP$2:$AP$201,"&gt;31/07/2019",'PPa2019'!$AP$2:$AP$201,"&lt;01/09/2019",'PPa2019'!$P$2:$P$201,"F",'PPa2019'!$AC$2:$AC$201,4)</f>
        <v>0</v>
      </c>
      <c r="X11" s="119">
        <f>COUNTIFS('PPa2019'!$AP$2:$AP$201,"&gt;31/07/2019",'PPa2019'!$AP$2:$AP$201,"&lt;01/09/2019",'PPa2019'!$P$2:$P$201,"H",'PPa2019'!$AC$2:$AC$201,3)</f>
        <v>0</v>
      </c>
      <c r="Y11" s="119">
        <f>COUNTIFS('PPa2019'!$AP$2:$AP$201,"&gt;31/07/2019",'PPa2019'!$AP$2:$AP$201,"&lt;01/09/2019",'PPa2019'!$P$2:$P$201,"F",'PPa2019'!$AC$2:$AC$201,3)</f>
        <v>0</v>
      </c>
      <c r="Z11" s="119">
        <f>COUNTIFS('PPa2019'!$AP$2:$AP$201,"&gt;31/07/2019",'PPa2019'!$AP$2:$AP$201,"&lt;01/09/2019",'PPa2019'!$P$2:$P$201,"H",'PPa2019'!$AC$2:$AC$201,2)</f>
        <v>0</v>
      </c>
      <c r="AA11" s="119">
        <f>COUNTIFS('PPa2019'!$AP$2:$AP$201,"&gt;31/07/2019",'PPa2019'!$AP$2:$AP$201,"&lt;01/09/2019",'PPa2019'!$P$2:$P$201,"F",'PPa2019'!$AC$2:$AC$201,2)</f>
        <v>0</v>
      </c>
      <c r="AB11" s="119">
        <f>COUNTIFS('PPa2019'!$AP$2:$AP$201,"&gt;31/07/2019",'PPa2019'!$AP$2:$AP$201,"&lt;01/09/2019",'PPa2019'!$P$2:$P$201,"H",'PPa2019'!$AC$2:$AC$201,1)</f>
        <v>0</v>
      </c>
      <c r="AC11" s="119">
        <f>COUNTIFS('PPa2019'!$AP$2:$AP$201,"&gt;31/07/2019",'PPa2019'!$AP$2:$AP$201,"&lt;01/09/2019",'PPa2019'!$P$2:$P$201,"F",'PPa2019'!$AC$2:$AC$201,1)</f>
        <v>0</v>
      </c>
      <c r="AD11" s="38">
        <f t="shared" si="1"/>
        <v>0</v>
      </c>
      <c r="AE11" s="119" t="e">
        <f>COUNTIFS('PPa2019'!$AP$2:$AP$201,"&gt;31/07/2019",'PPa2019'!$AP$2:$AP$201,"&lt;01/09/2019",'PPa2019'!$P$2:$P$201,"H",'PPa2019'!#REF!,"CCLES")</f>
        <v>#REF!</v>
      </c>
      <c r="AF11" s="119" t="e">
        <f>COUNTIFS('PPa2019'!$AP$2:$AP$201,"&gt;31/07/2019",'PPa2019'!$AP$2:$AP$201,"&lt;01/09/2019",'PPa2019'!$P$2:$P$201,"F",'PPa2019'!#REF!,"CCLES")</f>
        <v>#REF!</v>
      </c>
      <c r="AG11" s="119">
        <f>COUNTIFS('PPa2019'!$AP$2:$AP$201,"&gt;31/07/2019",'PPa2019'!$AP$2:$AP$201,"&lt;01/09/2019",'PPa2019'!$P$2:$P$201,"H",'PPa2019'!$Y$2:$Y$201,"SALARIÉ")</f>
        <v>0</v>
      </c>
      <c r="AH11" s="119">
        <f>COUNTIFS('PPa2019'!$AP$2:$AP$201,"&gt;31/07/2019",'PPa2019'!$AP$2:$AP$201,"&lt;01/09/2019",'PPa2019'!$P$2:$P$201,"F",'PPa2019'!$Y$2:$Y$201,"SALARIÉ")</f>
        <v>0</v>
      </c>
      <c r="AI11" s="119">
        <f>COUNTIFS('PPa2019'!$AP$2:$AP$201,"&gt;31/07/2019",'PPa2019'!$AP$2:$AP$201,"&lt;01/09/2019",'PPa2019'!$P$2:$P$201,"H",'PPa2019'!$Y$2:$Y$201,"ÉTUDIANT")</f>
        <v>0</v>
      </c>
      <c r="AJ11" s="119">
        <f>COUNTIFS('PPa2019'!$AP$2:$AP$201,"&gt;31/07/2019",'PPa2019'!$AP$2:$AP$201,"&lt;01/09/2019",'PPa2019'!$P$2:$P$201,"F",'PPa2019'!$Y$2:$Y$201,"ÉTUDIANT")</f>
        <v>0</v>
      </c>
      <c r="AK11" s="119">
        <f>COUNTIFS('PPa2019'!$AP$2:$AP$201,"&gt;31/07/2019",'PPa2019'!$AP$2:$AP$201,"&lt;01/09/2019",'PPa2019'!$P$2:$P$201,"H",'PPa2019'!$Y$2:$Y$201,"RE")</f>
        <v>0</v>
      </c>
      <c r="AL11" s="119">
        <f>COUNTIFS('PPa2019'!$AP$2:$AP$201,"&gt;31/07/2019",'PPa2019'!$AP$2:$AP$201,"&lt;01/09/2019",'PPa2019'!$P$2:$P$201,"F",'PPa2019'!$Y$2:$Y$201,"RE")</f>
        <v>0</v>
      </c>
      <c r="AM11" s="119">
        <f>COUNTIFS('PPa2019'!$AP$2:$AP$201,"&gt;31/07/2019",'PPa2019'!$AP$2:$AP$201,"&lt;01/09/2019",'PPa2019'!$P$2:$P$201,"H",'PPa2019'!$Y$2:$Y$201,"AUTRE")</f>
        <v>0</v>
      </c>
      <c r="AN11" s="119">
        <f>COUNTIFS('PPa2019'!$AP$2:$AP$201,"&gt;31/07/2019",'PPa2019'!$AP$2:$AP$201,"&lt;01/09/2019",'PPa2019'!$P$2:$P$201,"F",'PPa2019'!$Y$2:$Y$201,"AUTRE")</f>
        <v>0</v>
      </c>
      <c r="AO11" s="38" t="e">
        <f t="shared" si="4"/>
        <v>#REF!</v>
      </c>
      <c r="AP11" s="119">
        <f>COUNTIFS('PPa2019'!$AP$2:$AP$201,"&gt;31/07/2019",'PPa2019'!$AP$2:$AP$201,"&lt;01/09/2019",'PPa2019'!$P$2:$P$201,"H",'PPa2019'!$AA$2:$AA$201,"&gt;"&amp;EDATE('PPa2019'!$AP2,-6))</f>
        <v>0</v>
      </c>
      <c r="AQ11" s="119">
        <f>COUNTIFS('PPa2019'!$AP$2:$AP$201,"&gt;31/07/2019",'PPa2019'!$AP$2:$AP$201,"&lt;01/09/2019",'PPa2019'!$P$2:$P$201,"F",'PPa2019'!$AA$2:$AA$201,"&gt;"&amp;EDATE('PPa2019'!$AP2,-6))</f>
        <v>0</v>
      </c>
      <c r="AR11" s="119">
        <f>COUNTIFS('PPa2019'!$AP$2:$AP$201,"&gt;31/07/2019",'PPa2019'!$AP$2:$AP$201,"&lt;01/09/2019",'PPa2019'!$P$2:$P$201,"H",'PPa2019'!$AA$2:$AA$201,"&lt;"&amp;EDATE('PPa2019'!$AP2,-6),'PPa2019'!$AA$2:$AA$201,"&gt;"&amp;EDATE('PPa2019'!$AP2,-11))</f>
        <v>0</v>
      </c>
      <c r="AS11" s="119">
        <f>COUNTIFS('PPa2019'!$AP$2:$AP$201,"&gt;31/07/2019",'PPa2019'!$AP$2:$AP$201,"&lt;01/09/2019",'PPa2019'!$P$2:$P$201,"F",'PPa2019'!$AA$2:$AA$201,"&lt;"&amp;EDATE('PPa2019'!$AP2,-6),'PPa2019'!$AA$2:$AA$201,"&gt;"&amp;EDATE('PPa2019'!$AP2,-11))</f>
        <v>0</v>
      </c>
      <c r="AT11" s="119">
        <f>COUNTIFS('PPa2019'!$AP$2:$AP$201,"&gt;31/07/2019",'PPa2019'!$AP$2:$AP$201,"&lt;01/09/2019",'PPa2019'!$P$2:$P$201,"H",'PPa2019'!$AA$2:$AA$201,"&lt;"&amp;EDATE('PPa2019'!$AP2,-11),'PPa2019'!$AA$2:$AA$201,"&gt;"&amp;EDATE('PPa2019'!$AP2,-23))</f>
        <v>0</v>
      </c>
      <c r="AU11" s="119">
        <f>COUNTIFS('PPa2019'!$AP$2:$AP$201,"&gt;31/07/2019",'PPa2019'!$AP$2:$AP$201,"&lt;01/09/2019",'PPa2019'!$P$2:$P$201,"F",'PPa2019'!$AA$2:$AA$201,"&lt;"&amp;EDATE('PPa2019'!$AP2,-11),'PPa2019'!$AA$2:$AA$201,"&gt;"&amp;EDATE('PPa2019'!$AP2,-23))</f>
        <v>0</v>
      </c>
      <c r="AV11" s="119">
        <f>COUNTIFS('PPa2019'!$AP$2:$AP$201,"&gt;31/07/2019",'PPa2019'!$AP$2:$AP$201,"&lt;01/09/2019",'PPa2019'!$P$2:$P$201,"H",'PPa2019'!$AA$2:$AA$201,"&lt;"&amp;EDATE('PPa2019'!$AP2,-23))</f>
        <v>0</v>
      </c>
      <c r="AW11" s="119">
        <f>COUNTIFS('PPa2019'!$AP$2:$AP$201,"&gt;31/07/2019",'PPa2019'!$AP$2:$AP$201,"&lt;01/09/2019",'PPa2019'!$P$2:$P$201,"F",'PPa2019'!$AA$2:$AA$201,"&lt;"&amp;EDATE('PPa2019'!$AP2,-23))</f>
        <v>0</v>
      </c>
      <c r="AX11" s="38">
        <f t="shared" si="5"/>
        <v>0</v>
      </c>
      <c r="AY11" s="119">
        <f>COUNTIFS('PPa2019'!$AP$2:$AP$201,"&gt;31/07/2019",'PPa2019'!$AP$2:$AP$201,"&lt;01/09/2019",'PPa2019'!$P$2:$P$201,"H",'PPa2019'!$T$2:$T$201,"Voiture")</f>
        <v>0</v>
      </c>
      <c r="AZ11" s="119">
        <f>COUNTIFS('PPa2019'!$AP$2:$AP$201,"&gt;31/07/2019",'PPa2019'!$AP$2:$AP$201,"&lt;01/09/2019",'PPa2019'!$P$2:$P$201,"F",'PPa2019'!$T$2:$T$201,"Voiture")</f>
        <v>0</v>
      </c>
      <c r="BA11" s="119">
        <f>COUNTIFS('PPa2019'!$AP$2:$AP$201,"&gt;31/07/2019",'PPa2019'!$AP$2:$AP$201,"&lt;01/09/2019",'PPa2019'!$P$2:$P$201,"H",'PPa2019'!$T$2:$T$201,"Moto")</f>
        <v>0</v>
      </c>
      <c r="BB11" s="119">
        <f>COUNTIFS('PPa2019'!$AP$2:$AP$201,"&gt;31/07/2019",'PPa2019'!$AP$2:$AP$201,"&lt;01/09/2019",'PPa2019'!$P$2:$P$201,"F",'PPa2019'!$T$2:$T$201,"Moto")</f>
        <v>0</v>
      </c>
      <c r="BC11" s="119">
        <f>COUNTIFS('PPa2019'!$AP$2:$AP$201,"&gt;31/07/2019",'PPa2019'!$AP$2:$AP$201,"&lt;01/09/2019",'PPa2019'!$P$2:$P$201,"H",'PPa2019'!$T$2:$T$201,"Scooter")</f>
        <v>0</v>
      </c>
      <c r="BD11" s="119">
        <f>COUNTIFS('PPa2019'!$AP$2:$AP$201,"&gt;31/07/2019",'PPa2019'!$AP$2:$AP$201,"&lt;01/09/2019",'PPa2019'!$P$2:$P$201,"F",'PPa2019'!$T$2:$T$201,"Scooter")</f>
        <v>0</v>
      </c>
      <c r="BE11" s="119">
        <f>COUNTIFS('PPa2019'!$AP$2:$AP$201,"&gt;31/07/2019",'PPa2019'!$AP$2:$AP$201,"&lt;01/09/2019",'PPa2019'!$P$2:$P$201,"H",'PPa2019'!$T$2:$T$201,"Vélo")</f>
        <v>0</v>
      </c>
      <c r="BF11" s="119">
        <f>COUNTIFS('PPa2019'!$AP$2:$AP$201,"&gt;31/07/2019",'PPa2019'!$AP$2:$AP$201,"&lt;01/09/2019",'PPa2019'!$P$2:$P$201,"F",'PPa2019'!$T$2:$T$201,"Vélo")</f>
        <v>0</v>
      </c>
      <c r="BG11" s="119">
        <f>COUNTIFS('PPa2019'!$AP$2:$AP$201,"&gt;31/07/2019",'PPa2019'!$AP$2:$AP$201,"&lt;01/09/2019",'PPa2019'!$P$2:$P$201,"H",'PPa2019'!$T$2:$T$201,"Bus")</f>
        <v>0</v>
      </c>
      <c r="BH11" s="119">
        <f>COUNTIFS('PPa2019'!$AP$2:$AP$201,"&gt;31/07/2019",'PPa2019'!$AP$2:$AP$201,"&lt;01/09/2019",'PPa2019'!$P$2:$P$201,"F",'PPa2019'!$T$2:$T$201,"Bus")</f>
        <v>0</v>
      </c>
      <c r="BI11" s="119">
        <f>COUNTIFS('PPa2019'!$AP$2:$AP$201,"&gt;31/07/2019",'PPa2019'!$AP$2:$AP$201,"&lt;01/09/2019",'PPa2019'!$P$2:$P$201,"H",'PPa2019'!$T$2:$T$201,"Covoiturage")</f>
        <v>0</v>
      </c>
      <c r="BJ11" s="119">
        <f>COUNTIFS('PPa2019'!$AP$2:$AP$201,"&gt;31/07/2019",'PPa2019'!$AP$2:$AP$201,"&lt;01/09/2019",'PPa2019'!$P$2:$P$201,"F",'PPa2019'!$T$2:$T$201,"Covoiturage")</f>
        <v>0</v>
      </c>
      <c r="BK11" s="119">
        <f>COUNTIFS('PPa2019'!$AP$2:$AP$201,"&gt;31/07/2019",'PPa2019'!$AP$2:$AP$201,"&lt;01/09/2019",'PPa2019'!$P$2:$P$201,"H",'PPa2019'!$T$2:$T$201,"Plusieurs")</f>
        <v>0</v>
      </c>
      <c r="BL11" s="119">
        <f>COUNTIFS('PPa2019'!$AP$2:$AP$201,"&gt;31/07/2019",'PPa2019'!$AP$2:$AP$201,"&lt;01/09/2019",'PPa2019'!$P$2:$P$201,"F",'PPa2019'!$T$2:$T$201,"Plusieurs")</f>
        <v>0</v>
      </c>
      <c r="BM11" s="119">
        <f>COUNTIFS('PPa2019'!$AP$2:$AP$201,"&gt;31/07/2019",'PPa2019'!$AP$2:$AP$201,"&lt;01/09/2019",'PPa2019'!$P$2:$P$201,"H",'PPa2019'!$T$2:$T$201,"Autre")</f>
        <v>0</v>
      </c>
      <c r="BN11" s="119">
        <f>COUNTIFS('PPa2019'!$AP$2:$AP$201,"&gt;31/07/2019",'PPa2019'!$AP$2:$AP$201,"&lt;01/09/2019",'PPa2019'!$P$2:$P$201,"F",'PPa2019'!$T$2:$T$201,"Autre")</f>
        <v>0</v>
      </c>
      <c r="BO11" s="38">
        <f t="shared" si="6"/>
        <v>0</v>
      </c>
      <c r="BP11" s="119" t="e">
        <f>COUNTIFS('PPa2019'!$AP$2:$AP$201,"&gt;31/07/2019",'PPa2019'!$AP$2:$AP$201,"&lt;01/09/2019",'PPa2019'!$P$2:$P$201,"H",'PPa2019'!#REF!,"CCLES")</f>
        <v>#REF!</v>
      </c>
      <c r="BQ11" s="119" t="e">
        <f>COUNTIFS('PPa2019'!$AP$2:$AP$201,"&gt;31/07/2019",'PPa2019'!$AP$2:$AP$201,"&lt;01/09/2019",'PPa2019'!$P$2:$P$201,"H",'PPa2019'!#REF!,"CCLES")</f>
        <v>#REF!</v>
      </c>
      <c r="BR11" s="119" t="e">
        <f>COUNTIFS('PPa2019'!$AP$2:$AP$201,"&gt;31/07/2019",'PPa2019'!$AP$2:$AP$201,"&lt;01/09/2019",'PPa2019'!$P$2:$P$201,"H",'PPa2019'!#REF!,"PPI")</f>
        <v>#REF!</v>
      </c>
      <c r="BS11" s="119" t="e">
        <f>COUNTIFS('PPa2019'!$AP$2:$AP$201,"&gt;31/07/2019",'PPa2019'!$AP$2:$AP$201,"&lt;01/09/2019",'PPa2019'!$P$2:$P$201,"H",'PPa2019'!#REF!,"PPI")</f>
        <v>#REF!</v>
      </c>
      <c r="BT11" s="119" t="e">
        <f>COUNTIFS('PPa2019'!$AP$2:$AP$201,"&gt;31/07/2019",'PPa2019'!$AP$2:$AP$201,"&lt;01/09/2019",'PPa2019'!$P$2:$P$201,"H",'PPa2019'!#REF!,"POP")</f>
        <v>#REF!</v>
      </c>
      <c r="BU11" s="119" t="e">
        <f>COUNTIFS('PPa2019'!$AP$2:$AP$201,"&gt;31/07/2019",'PPa2019'!$AP$2:$AP$201,"&lt;01/09/2019",'PPa2019'!$P$2:$P$201,"H",'PPa2019'!#REF!,"POP")</f>
        <v>#REF!</v>
      </c>
      <c r="BV11" s="119" t="e">
        <f>COUNTIFS('PPa2019'!$AP$2:$AP$201,"&gt;31/07/2019",'PPa2019'!$AP$2:$AP$201,"&lt;01/09/2019",'PPa2019'!$P$2:$P$201,"H",'PPa2019'!#REF!,"PREFOS")</f>
        <v>#REF!</v>
      </c>
      <c r="BW11" s="119" t="e">
        <f>COUNTIFS('PPa2019'!$AP$2:$AP$201,"&gt;31/07/2019",'PPa2019'!$AP$2:$AP$201,"&lt;01/09/2019",'PPa2019'!$P$2:$P$201,"H",'PPa2019'!#REF!,"PREFOS")</f>
        <v>#REF!</v>
      </c>
      <c r="BX11" s="119" t="e">
        <f>COUNTIFS('PPa2019'!$AP$2:$AP$201,"&gt;31/07/2019",'PPa2019'!$AP$2:$AP$201,"&lt;01/09/2019",'PPa2019'!$P$2:$P$201,"H",'PPa2019'!#REF!,"FLE")</f>
        <v>#REF!</v>
      </c>
      <c r="BY11" s="119" t="e">
        <f>COUNTIFS('PPa2019'!$AP$2:$AP$201,"&gt;31/07/2019",'PPa2019'!$AP$2:$AP$201,"&lt;01/09/2019",'PPa2019'!$P$2:$P$201,"H",'PPa2019'!#REF!,"FLE")</f>
        <v>#REF!</v>
      </c>
      <c r="BZ11" s="119" t="e">
        <f>COUNTIFS('PPa2019'!$AP$2:$AP$201,"&gt;31/07/2019",'PPa2019'!$AP$2:$AP$201,"&lt;01/09/2019",'PPa2019'!$P$2:$P$201,"H",'PPa2019'!#REF!,"MGI MIJEC")</f>
        <v>#REF!</v>
      </c>
      <c r="CA11" s="119" t="e">
        <f>COUNTIFS('PPa2019'!$AP$2:$AP$201,"&gt;31/07/2019",'PPa2019'!$AP$2:$AP$201,"&lt;01/09/2019",'PPa2019'!$P$2:$P$201,"H",'PPa2019'!#REF!,"MGI MIJEC")</f>
        <v>#REF!</v>
      </c>
      <c r="CB11" s="119" t="e">
        <f>COUNTIFS('PPa2019'!$AP$2:$AP$201,"&gt;31/07/2019",'PPa2019'!$AP$2:$AP$201,"&lt;01/09/2019",'PPa2019'!$P$2:$P$201,"H",'PPa2019'!#REF!,"CAQ")</f>
        <v>#REF!</v>
      </c>
      <c r="CC11" s="119" t="e">
        <f>COUNTIFS('PPa2019'!$AP$2:$AP$201,"&gt;31/07/2019",'PPa2019'!$AP$2:$AP$201,"&lt;01/09/2019",'PPa2019'!$P$2:$P$201,"H",'PPa2019'!#REF!,"CAQ")</f>
        <v>#REF!</v>
      </c>
      <c r="CD11" s="119" t="e">
        <f>COUNTIFS('PPa2019'!$AP$2:$AP$201,"&gt;31/07/2019",'PPa2019'!$AP$2:$AP$201,"&lt;01/09/2019",'PPa2019'!$P$2:$P$201,"H",'PPa2019'!#REF!,"QUALIF")</f>
        <v>#REF!</v>
      </c>
      <c r="CE11" s="119" t="e">
        <f>COUNTIFS('PPa2019'!$AP$2:$AP$201,"&gt;31/07/2019",'PPa2019'!$AP$2:$AP$201,"&lt;01/09/2019",'PPa2019'!$P$2:$P$201,"H",'PPa2019'!#REF!,"QUALIF")</f>
        <v>#REF!</v>
      </c>
      <c r="CF11" s="119" t="e">
        <f>COUNTIFS('PPa2019'!$AP$2:$AP$201,"&gt;31/07/2019",'PPa2019'!$AP$2:$AP$201,"&lt;01/09/2019",'PPa2019'!$P$2:$P$201,"H",'PPa2019'!#REF!,"ALTERN")</f>
        <v>#REF!</v>
      </c>
      <c r="CG11" s="119" t="e">
        <f>COUNTIFS('PPa2019'!$AP$2:$AP$201,"&gt;31/07/2019",'PPa2019'!$AP$2:$AP$201,"&lt;01/09/2019",'PPa2019'!$P$2:$P$201,"H",'PPa2019'!#REF!,"ALTERN")</f>
        <v>#REF!</v>
      </c>
      <c r="CH11" s="119" t="e">
        <f>COUNTIFS('PPa2019'!$AP$2:$AP$201,"&gt;31/07/2019",'PPa2019'!$AP$2:$AP$201,"&lt;01/09/2019",'PPa2019'!$P$2:$P$201,"H",'PPa2019'!#REF!,"EMPLOI")</f>
        <v>#REF!</v>
      </c>
      <c r="CI11" s="119" t="e">
        <f>COUNTIFS('PPa2019'!$AP$2:$AP$201,"&gt;31/07/2019",'PPa2019'!$AP$2:$AP$201,"&lt;01/09/2019",'PPa2019'!$P$2:$P$201,"H",'PPa2019'!#REF!,"EMPLOI")</f>
        <v>#REF!</v>
      </c>
      <c r="CJ11" s="119" t="e">
        <f>COUNTIFS('PPa2019'!$AP$2:$AP$201,"&gt;31/07/2019",'PPa2019'!$AP$2:$AP$201,"&lt;01/09/2019",'PPa2019'!$P$2:$P$201,"H",'PPa2019'!#REF!,"AUTRE")</f>
        <v>#REF!</v>
      </c>
      <c r="CK11" s="119" t="e">
        <f>COUNTIFS('PPa2019'!$AP$2:$AP$201,"&gt;31/07/2019",'PPa2019'!$AP$2:$AP$201,"&lt;01/09/2019",'PPa2019'!$P$2:$P$201,"H",'PPa2019'!#REF!,"AUTRE")</f>
        <v>#REF!</v>
      </c>
      <c r="CL11" s="38" t="e">
        <f t="shared" si="2"/>
        <v>#REF!</v>
      </c>
    </row>
    <row r="12" spans="1:90" x14ac:dyDescent="0.25">
      <c r="A12" s="31" t="s">
        <v>82</v>
      </c>
      <c r="B12" s="118">
        <f>COUNTIFS('PPa2019'!$AP$2:$AP$201,"&gt;31/08/2019",'PPa2019'!$AP$2:$AP$201,"&lt;01/10/2019",'PPa2019'!$P$2:$P$201,"H")</f>
        <v>0</v>
      </c>
      <c r="C12" s="118">
        <f>COUNTIFS('PPa2019'!$AP$2:$AP$201,"&gt;31/08/2019",'PPa2019'!$AP$2:$AP$201,"&lt;01/10/2019",'PPa2019'!$P$2:$P$201,"F")</f>
        <v>0</v>
      </c>
      <c r="D12" s="38">
        <f t="shared" si="3"/>
        <v>0</v>
      </c>
      <c r="E12" s="118">
        <f>COUNTIFS('PPa2019'!$AP$2:$AP$201,"&gt;31/08/2019",'PPa2019'!$AP$2:$AP$201,"&lt;01/10/2019",'PPa2019'!$P$2:$P$201,"H",'PPa2019'!$O$2:$O$201,"&lt;18")</f>
        <v>0</v>
      </c>
      <c r="F12" s="118">
        <f>COUNTIFS('PPa2019'!$AP$2:$AP$201,"&gt;31/08/2019",'PPa2019'!$AP$2:$AP$201,"&lt;01/10/2019",'PPa2019'!$P$2:$P$201,"F",'PPa2019'!$O$2:$O$201,"&lt;18")</f>
        <v>0</v>
      </c>
      <c r="G12" s="118">
        <f>COUNTIFS('PPa2019'!$AP$2:$AP$201,"&gt;31/08/2019",'PPa2019'!$AP$2:$AP$201,"&lt;01/10/2019",'PPa2019'!$P$2:$P$201,"H",'PPa2019'!$O$2:$O$201,"&gt;18",'PPa2019'!$O$2:$O$201,"&lt;26")</f>
        <v>0</v>
      </c>
      <c r="H12" s="118">
        <f>COUNTIFS('PPa2019'!$AP$2:$AP$201,"&gt;31/08/2019",'PPa2019'!$AP$2:$AP$201,"&lt;01/10/2019",'PPa2019'!$P$2:$P$201,"F",'PPa2019'!$O$2:$O$201,"&gt;18",'PPa2019'!$O$2:$O$201,"&lt;26")</f>
        <v>0</v>
      </c>
      <c r="I12" s="118">
        <f>COUNTIFS('PPa2019'!$AP$2:$AP$201,"&gt;31/08/2019",'PPa2019'!$AP$2:$AP$201,"&lt;01/10/2019",'PPa2019'!$P$2:$P$201,"H",'PPa2019'!$O$2:$O$201,"&gt;26",'PPa2019'!$O$2:$O$201,"&lt;31")</f>
        <v>0</v>
      </c>
      <c r="J12" s="118">
        <f>COUNTIFS('PPa2019'!$AP$2:$AP$201,"&gt;31/08/2019",'PPa2019'!$AP$2:$AP$201,"&lt;01/10/2019",'PPa2019'!$P$2:$P$201,"F",'PPa2019'!$O$2:$O$201,"&gt;26",'PPa2019'!$O$2:$O$201,"&lt;31")</f>
        <v>0</v>
      </c>
      <c r="K12" s="118">
        <f>COUNTIFS('PPa2019'!$AP$2:$AP$201,"&gt;31/08/2019",'PPa2019'!$AP$2:$AP$201,"&lt;01/10/2019",'PPa2019'!$P$2:$P$201,"H",'PPa2019'!$O$2:$O$201,"&gt;31",'PPa2019'!$O$2:$O$201,"&lt;36")</f>
        <v>0</v>
      </c>
      <c r="L12" s="118">
        <f>COUNTIFS('PPa2019'!$AP$2:$AP$201,"&gt;31/08/2019",'PPa2019'!$AP$2:$AP$201,"&lt;01/10/2019",'PPa2019'!$P$2:$P$201,"F",'PPa2019'!$O$2:$O$201,"&gt;31",'PPa2019'!$O$2:$O$201,"&lt;36")</f>
        <v>0</v>
      </c>
      <c r="M12" s="118">
        <f>COUNTIFS('PPa2019'!$AP$2:$AP$201,"&gt;31/08/2019",'PPa2019'!$AP$2:$AP$201,"&lt;01/10/2019",'PPa2019'!$P$2:$P$201,"H",'PPa2019'!$O$2:$O$201,"&gt;36",'PPa2019'!$O$2:$O$201,"&lt;41")</f>
        <v>0</v>
      </c>
      <c r="N12" s="118">
        <f>COUNTIFS('PPa2019'!$AP$2:$AP$201,"&gt;31/08/2019",'PPa2019'!$AP$2:$AP$201,"&lt;01/10/2019",'PPa2019'!$P$2:$P$201,"F",'PPa2019'!$O$2:$O$201,"&gt;36",'PPa2019'!$O$2:$O$201,"&lt;41")</f>
        <v>0</v>
      </c>
      <c r="O12" s="118">
        <f>COUNTIFS('PPa2019'!$AP$2:$AP$201,"&gt;31/08/2019",'PPa2019'!$AP$2:$AP$201,"&lt;01/10/2019",'PPa2019'!$P$2:$P$201,"H",'PPa2019'!$O$2:$O$201,"&gt;40")</f>
        <v>0</v>
      </c>
      <c r="P12" s="118">
        <f>COUNTIFS('PPa2019'!$AP$2:$AP$201,"&gt;31/08/2019",'PPa2019'!$AP$2:$AP$201,"&lt;01/10/2019",'PPa2019'!$P$2:$P$201,"F",'PPa2019'!$O$2:$O$201,"&gt;40")</f>
        <v>0</v>
      </c>
      <c r="Q12" s="38">
        <f t="shared" si="0"/>
        <v>0</v>
      </c>
      <c r="R12" s="118">
        <f>COUNTIFS('PPa2019'!$AP$2:$AP$201,"&gt;31/08/2019",'PPa2019'!$AP$2:$AP$201,"&lt;01/10/2019",'PPa2019'!$P$2:$P$201,"H",'PPa2019'!$AC$2:$AC$201,6)</f>
        <v>0</v>
      </c>
      <c r="S12" s="118">
        <f>COUNTIFS('PPa2019'!$AP$2:$AP$201,"&gt;31/08/2019",'PPa2019'!$AP$2:$AP$201,"&lt;01/10/2019",'PPa2019'!$P$2:$P$201,"F",'PPa2019'!$AC$2:$AC$201,6)</f>
        <v>0</v>
      </c>
      <c r="T12" s="118">
        <f>COUNTIFS('PPa2019'!$AP$2:$AP$201,"&gt;31/08/2019",'PPa2019'!$AP$2:$AP$201,"&lt;01/10/2019",'PPa2019'!$P$2:$P$201,"H",'PPa2019'!$AC$2:$AC$201,5)</f>
        <v>0</v>
      </c>
      <c r="U12" s="118">
        <f>COUNTIFS('PPa2019'!$AP$2:$AP$201,"&gt;31/08/2019",'PPa2019'!$AP$2:$AP$201,"&lt;01/10/2019",'PPa2019'!$P$2:$P$201,"F",'PPa2019'!$AC$2:$AC$201,5)</f>
        <v>0</v>
      </c>
      <c r="V12" s="118">
        <f>COUNTIFS('PPa2019'!$AP$2:$AP$201,"&gt;31/08/2019",'PPa2019'!$AP$2:$AP$201,"&lt;01/10/2019",'PPa2019'!$P$2:$P$201,"H",'PPa2019'!$AC$2:$AC$201,4)</f>
        <v>0</v>
      </c>
      <c r="W12" s="118">
        <f>COUNTIFS('PPa2019'!$AP$2:$AP$201,"&gt;31/08/2019",'PPa2019'!$AP$2:$AP$201,"&lt;01/10/2019",'PPa2019'!$P$2:$P$201,"F",'PPa2019'!$AC$2:$AC$201,4)</f>
        <v>0</v>
      </c>
      <c r="X12" s="118">
        <f>COUNTIFS('PPa2019'!$AP$2:$AP$201,"&gt;31/08/2019",'PPa2019'!$AP$2:$AP$201,"&lt;01/10/2019",'PPa2019'!$P$2:$P$201,"H",'PPa2019'!$AC$2:$AC$201,3)</f>
        <v>0</v>
      </c>
      <c r="Y12" s="118">
        <f>COUNTIFS('PPa2019'!$AP$2:$AP$201,"&gt;31/08/2019",'PPa2019'!$AP$2:$AP$201,"&lt;01/10/2019",'PPa2019'!$P$2:$P$201,"F",'PPa2019'!$AC$2:$AC$201,3)</f>
        <v>0</v>
      </c>
      <c r="Z12" s="118">
        <f>COUNTIFS('PPa2019'!$AP$2:$AP$201,"&gt;31/08/2019",'PPa2019'!$AP$2:$AP$201,"&lt;01/10/2019",'PPa2019'!$P$2:$P$201,"H",'PPa2019'!$AC$2:$AC$201,2)</f>
        <v>0</v>
      </c>
      <c r="AA12" s="118">
        <f>COUNTIFS('PPa2019'!$AP$2:$AP$201,"&gt;31/08/2019",'PPa2019'!$AP$2:$AP$201,"&lt;01/10/2019",'PPa2019'!$P$2:$P$201,"F",'PPa2019'!$AC$2:$AC$201,2)</f>
        <v>0</v>
      </c>
      <c r="AB12" s="118">
        <f>COUNTIFS('PPa2019'!$AP$2:$AP$201,"&gt;31/08/2019",'PPa2019'!$AP$2:$AP$201,"&lt;01/10/2019",'PPa2019'!$P$2:$P$201,"H",'PPa2019'!$AC$2:$AC$201,1)</f>
        <v>0</v>
      </c>
      <c r="AC12" s="118">
        <f>COUNTIFS('PPa2019'!$AP$2:$AP$201,"&gt;31/08/2019",'PPa2019'!$AP$2:$AP$201,"&lt;01/10/2019",'PPa2019'!$P$2:$P$201,"F",'PPa2019'!$AC$2:$AC$201,1)</f>
        <v>0</v>
      </c>
      <c r="AD12" s="38">
        <f t="shared" si="1"/>
        <v>0</v>
      </c>
      <c r="AE12" s="118" t="e">
        <f>COUNTIFS('PPa2019'!$AP$2:$AP$201,"&gt;31/08/2019",'PPa2019'!$AP$2:$AP$201,"&lt;01/10/2019",'PPa2019'!$P$2:$P$201,"H",'PPa2019'!#REF!,"CCLES")</f>
        <v>#REF!</v>
      </c>
      <c r="AF12" s="118" t="e">
        <f>COUNTIFS('PPa2019'!$AP$2:$AP$201,"&gt;31/08/2019",'PPa2019'!$AP$2:$AP$201,"&lt;01/10/2019",'PPa2019'!$P$2:$P$201,"F",'PPa2019'!#REF!,"CCLES")</f>
        <v>#REF!</v>
      </c>
      <c r="AG12" s="118">
        <f>COUNTIFS('PPa2019'!$AP$2:$AP$201,"&gt;31/08/2019",'PPa2019'!$AP$2:$AP$201,"&lt;01/10/2019",'PPa2019'!$P$2:$P$201,"H",'PPa2019'!$Y$2:$Y$201,"SALARIÉ")</f>
        <v>0</v>
      </c>
      <c r="AH12" s="118">
        <f>COUNTIFS('PPa2019'!$AP$2:$AP$201,"&gt;31/08/2019",'PPa2019'!$AP$2:$AP$201,"&lt;01/10/2019",'PPa2019'!$P$2:$P$201,"F",'PPa2019'!$Y$2:$Y$201,"SALARIÉ")</f>
        <v>0</v>
      </c>
      <c r="AI12" s="118">
        <f>COUNTIFS('PPa2019'!$AP$2:$AP$201,"&gt;31/08/2019",'PPa2019'!$AP$2:$AP$201,"&lt;01/10/2019",'PPa2019'!$P$2:$P$201,"H",'PPa2019'!$Y$2:$Y$201,"ÉTUDIANT")</f>
        <v>0</v>
      </c>
      <c r="AJ12" s="118">
        <f>COUNTIFS('PPa2019'!$AP$2:$AP$201,"&gt;31/08/2019",'PPa2019'!$AP$2:$AP$201,"&lt;01/10/2019",'PPa2019'!$P$2:$P$201,"F",'PPa2019'!$Y$2:$Y$201,"ÉTUDIANT")</f>
        <v>0</v>
      </c>
      <c r="AK12" s="118">
        <f>COUNTIFS('PPa2019'!$AP$2:$AP$201,"&gt;31/08/2019",'PPa2019'!$AP$2:$AP$201,"&lt;01/10/2019",'PPa2019'!$P$2:$P$201,"H",'PPa2019'!$Y$2:$Y$201,"RE")</f>
        <v>0</v>
      </c>
      <c r="AL12" s="118">
        <f>COUNTIFS('PPa2019'!$AP$2:$AP$201,"&gt;31/08/2019",'PPa2019'!$AP$2:$AP$201,"&lt;01/10/2019",'PPa2019'!$P$2:$P$201,"F",'PPa2019'!$Y$2:$Y$201,"RE")</f>
        <v>0</v>
      </c>
      <c r="AM12" s="118">
        <f>COUNTIFS('PPa2019'!$AP$2:$AP$201,"&gt;31/08/2019",'PPa2019'!$AP$2:$AP$201,"&lt;01/10/2019",'PPa2019'!$P$2:$P$201,"H",'PPa2019'!$Y$2:$Y$201,"AUTRE")</f>
        <v>0</v>
      </c>
      <c r="AN12" s="118">
        <f>COUNTIFS('PPa2019'!$AP$2:$AP$201,"&gt;31/08/2019",'PPa2019'!$AP$2:$AP$201,"&lt;01/10/2019",'PPa2019'!$P$2:$P$201,"F",'PPa2019'!$Y$2:$Y$201,"AUTRE")</f>
        <v>0</v>
      </c>
      <c r="AO12" s="38" t="e">
        <f t="shared" si="4"/>
        <v>#REF!</v>
      </c>
      <c r="AP12" s="118">
        <f>COUNTIFS('PPa2019'!$AP$2:$AP$201,"&gt;31/08/2019",'PPa2019'!$AP$2:$AP$201,"&lt;01/10/2019",'PPa2019'!$P$2:$P$201,"H",'PPa2019'!$AA$2:$AA$201,"&gt;"&amp;EDATE('PPa2019'!$AP2,-6))</f>
        <v>0</v>
      </c>
      <c r="AQ12" s="118">
        <f>COUNTIFS('PPa2019'!$AP$2:$AP$201,"&gt;31/08/2019",'PPa2019'!$AP$2:$AP$201,"&lt;01/10/2019",'PPa2019'!$P$2:$P$201,"F",'PPa2019'!$AA$2:$AA$201,"&gt;"&amp;EDATE('PPa2019'!$AP2,-6))</f>
        <v>0</v>
      </c>
      <c r="AR12" s="118">
        <f>COUNTIFS('PPa2019'!$AP$2:$AP$201,"&gt;31/08/2019",'PPa2019'!$AP$2:$AP$201,"&lt;01/10/2019",'PPa2019'!$P$2:$P$201,"H",'PPa2019'!$AA$2:$AA$201,"&lt;"&amp;EDATE('PPa2019'!$AP2,-6),'PPa2019'!$AA$2:$AA$201,"&gt;"&amp;EDATE('PPa2019'!$AP2,-11))</f>
        <v>0</v>
      </c>
      <c r="AS12" s="118">
        <f>COUNTIFS('PPa2019'!$AP$2:$AP$201,"&gt;31/08/2019",'PPa2019'!$AP$2:$AP$201,"&lt;01/10/2019",'PPa2019'!$P$2:$P$201,"F",'PPa2019'!$AA$2:$AA$201,"&lt;"&amp;EDATE('PPa2019'!$AP2,-6),'PPa2019'!$AA$2:$AA$201,"&gt;"&amp;EDATE('PPa2019'!$AP2,-11))</f>
        <v>0</v>
      </c>
      <c r="AT12" s="118">
        <f>COUNTIFS('PPa2019'!$AP$2:$AP$201,"&gt;31/08/2019",'PPa2019'!$AP$2:$AP$201,"&lt;01/10/2019",'PPa2019'!$P$2:$P$201,"H",'PPa2019'!$AA$2:$AA$201,"&lt;"&amp;EDATE('PPa2019'!$AP2,-11),'PPa2019'!$AA$2:$AA$201,"&gt;"&amp;EDATE('PPa2019'!$AP2,-23))</f>
        <v>0</v>
      </c>
      <c r="AU12" s="118">
        <f>COUNTIFS('PPa2019'!$AP$2:$AP$201,"&gt;31/08/2019",'PPa2019'!$AP$2:$AP$201,"&lt;01/10/2019",'PPa2019'!$P$2:$P$201,"F",'PPa2019'!$AA$2:$AA$201,"&lt;"&amp;EDATE('PPa2019'!$AP2,-11),'PPa2019'!$AA$2:$AA$201,"&gt;"&amp;EDATE('PPa2019'!$AP2,-23))</f>
        <v>0</v>
      </c>
      <c r="AV12" s="118">
        <f>COUNTIFS('PPa2019'!$AP$2:$AP$201,"&gt;31/08/2019",'PPa2019'!$AP$2:$AP$201,"&lt;01/10/2019",'PPa2019'!$P$2:$P$201,"H",'PPa2019'!$AA$2:$AA$201,"&lt;"&amp;EDATE('PPa2019'!$AP2,-23))</f>
        <v>0</v>
      </c>
      <c r="AW12" s="118">
        <f>COUNTIFS('PPa2019'!$AP$2:$AP$201,"&gt;31/08/2019",'PPa2019'!$AP$2:$AP$201,"&lt;01/10/2019",'PPa2019'!$P$2:$P$201,"F",'PPa2019'!$AA$2:$AA$201,"&lt;"&amp;EDATE('PPa2019'!$AP2,-23))</f>
        <v>0</v>
      </c>
      <c r="AX12" s="38">
        <f t="shared" si="5"/>
        <v>0</v>
      </c>
      <c r="AY12" s="118">
        <f>COUNTIFS('PPa2019'!$AP$2:$AP$201,"&gt;31/08/2019",'PPa2019'!$AP$2:$AP$201,"&lt;01/10/2019",'PPa2019'!$P$2:$P$201,"H",'PPa2019'!$T$2:$T$201,"Voiture")</f>
        <v>0</v>
      </c>
      <c r="AZ12" s="118">
        <f>COUNTIFS('PPa2019'!$AP$2:$AP$201,"&gt;31/08/2019",'PPa2019'!$AP$2:$AP$201,"&lt;01/10/2019",'PPa2019'!$P$2:$P$201,"F",'PPa2019'!$T$2:$T$201,"Voiture")</f>
        <v>0</v>
      </c>
      <c r="BA12" s="118">
        <f>COUNTIFS('PPa2019'!$AP$2:$AP$201,"&gt;31/08/2019",'PPa2019'!$AP$2:$AP$201,"&lt;01/10/2019",'PPa2019'!$P$2:$P$201,"H",'PPa2019'!$T$2:$T$201,"Moto")</f>
        <v>0</v>
      </c>
      <c r="BB12" s="118">
        <f>COUNTIFS('PPa2019'!$AP$2:$AP$201,"&gt;31/08/2019",'PPa2019'!$AP$2:$AP$201,"&lt;01/10/2019",'PPa2019'!$P$2:$P$201,"F",'PPa2019'!$T$2:$T$201,"Moto")</f>
        <v>0</v>
      </c>
      <c r="BC12" s="118">
        <f>COUNTIFS('PPa2019'!$AP$2:$AP$201,"&gt;31/08/2019",'PPa2019'!$AP$2:$AP$201,"&lt;01/10/2019",'PPa2019'!$P$2:$P$201,"H",'PPa2019'!$T$2:$T$201,"Scooter")</f>
        <v>0</v>
      </c>
      <c r="BD12" s="118">
        <f>COUNTIFS('PPa2019'!$AP$2:$AP$201,"&gt;31/08/2019",'PPa2019'!$AP$2:$AP$201,"&lt;01/10/2019",'PPa2019'!$P$2:$P$201,"F",'PPa2019'!$T$2:$T$201,"Scooter")</f>
        <v>0</v>
      </c>
      <c r="BE12" s="118">
        <f>COUNTIFS('PPa2019'!$AP$2:$AP$201,"&gt;31/08/2019",'PPa2019'!$AP$2:$AP$201,"&lt;01/10/2019",'PPa2019'!$P$2:$P$201,"H",'PPa2019'!$T$2:$T$201,"Vélo")</f>
        <v>0</v>
      </c>
      <c r="BF12" s="118">
        <f>COUNTIFS('PPa2019'!$AP$2:$AP$201,"&gt;31/08/2019",'PPa2019'!$AP$2:$AP$201,"&lt;01/10/2019",'PPa2019'!$P$2:$P$201,"F",'PPa2019'!$T$2:$T$201,"Vélo")</f>
        <v>0</v>
      </c>
      <c r="BG12" s="118">
        <f>COUNTIFS('PPa2019'!$AP$2:$AP$201,"&gt;31/08/2019",'PPa2019'!$AP$2:$AP$201,"&lt;01/10/2019",'PPa2019'!$P$2:$P$201,"H",'PPa2019'!$T$2:$T$201,"Bus")</f>
        <v>0</v>
      </c>
      <c r="BH12" s="118">
        <f>COUNTIFS('PPa2019'!$AP$2:$AP$201,"&gt;31/08/2019",'PPa2019'!$AP$2:$AP$201,"&lt;01/10/2019",'PPa2019'!$P$2:$P$201,"F",'PPa2019'!$T$2:$T$201,"Bus")</f>
        <v>0</v>
      </c>
      <c r="BI12" s="118">
        <f>COUNTIFS('PPa2019'!$AP$2:$AP$201,"&gt;31/08/2019",'PPa2019'!$AP$2:$AP$201,"&lt;01/10/2019",'PPa2019'!$P$2:$P$201,"H",'PPa2019'!$T$2:$T$201,"Covoiturage")</f>
        <v>0</v>
      </c>
      <c r="BJ12" s="118">
        <f>COUNTIFS('PPa2019'!$AP$2:$AP$201,"&gt;31/08/2019",'PPa2019'!$AP$2:$AP$201,"&lt;01/10/2019",'PPa2019'!$P$2:$P$201,"F",'PPa2019'!$T$2:$T$201,"Covoiturage")</f>
        <v>0</v>
      </c>
      <c r="BK12" s="118">
        <f>COUNTIFS('PPa2019'!$AP$2:$AP$201,"&gt;31/08/2019",'PPa2019'!$AP$2:$AP$201,"&lt;01/10/2019",'PPa2019'!$P$2:$P$201,"H",'PPa2019'!$T$2:$T$201,"Plusieurs")</f>
        <v>0</v>
      </c>
      <c r="BL12" s="118">
        <f>COUNTIFS('PPa2019'!$AP$2:$AP$201,"&gt;31/08/2019",'PPa2019'!$AP$2:$AP$201,"&lt;01/10/2019",'PPa2019'!$P$2:$P$201,"F",'PPa2019'!$T$2:$T$201,"Plusieurs")</f>
        <v>0</v>
      </c>
      <c r="BM12" s="118">
        <f>COUNTIFS('PPa2019'!$AP$2:$AP$201,"&gt;31/08/2019",'PPa2019'!$AP$2:$AP$201,"&lt;01/10/2019",'PPa2019'!$P$2:$P$201,"H",'PPa2019'!$T$2:$T$201,"Autre")</f>
        <v>0</v>
      </c>
      <c r="BN12" s="118">
        <f>COUNTIFS('PPa2019'!$AP$2:$AP$201,"&gt;31/08/2019",'PPa2019'!$AP$2:$AP$201,"&lt;01/10/2019",'PPa2019'!$P$2:$P$201,"F",'PPa2019'!$T$2:$T$201,"Autre")</f>
        <v>0</v>
      </c>
      <c r="BO12" s="38">
        <f t="shared" si="6"/>
        <v>0</v>
      </c>
      <c r="BP12" s="118" t="e">
        <f>COUNTIFS('PPa2019'!$AP$2:$AP$201,"&gt;31/08/2019",'PPa2019'!$AP$2:$AP$201,"&lt;01/10/2019",'PPa2019'!$P$2:$P$201,"H",'PPa2019'!#REF!,"CCLES")</f>
        <v>#REF!</v>
      </c>
      <c r="BQ12" s="118" t="e">
        <f>COUNTIFS('PPa2019'!$AP$2:$AP$201,"&gt;31/08/2019",'PPa2019'!$AP$2:$AP$201,"&lt;01/10/2019",'PPa2019'!$P$2:$P$201,"H",'PPa2019'!#REF!,"CCLES")</f>
        <v>#REF!</v>
      </c>
      <c r="BR12" s="118" t="e">
        <f>COUNTIFS('PPa2019'!$AP$2:$AP$201,"&gt;31/08/2019",'PPa2019'!$AP$2:$AP$201,"&lt;01/10/2019",'PPa2019'!$P$2:$P$201,"H",'PPa2019'!#REF!,"PPI")</f>
        <v>#REF!</v>
      </c>
      <c r="BS12" s="118" t="e">
        <f>COUNTIFS('PPa2019'!$AP$2:$AP$201,"&gt;31/08/2019",'PPa2019'!$AP$2:$AP$201,"&lt;01/10/2019",'PPa2019'!$P$2:$P$201,"H",'PPa2019'!#REF!,"PPI")</f>
        <v>#REF!</v>
      </c>
      <c r="BT12" s="118" t="e">
        <f>COUNTIFS('PPa2019'!$AP$2:$AP$201,"&gt;31/08/2019",'PPa2019'!$AP$2:$AP$201,"&lt;01/10/2019",'PPa2019'!$P$2:$P$201,"H",'PPa2019'!#REF!,"POP")</f>
        <v>#REF!</v>
      </c>
      <c r="BU12" s="118" t="e">
        <f>COUNTIFS('PPa2019'!$AP$2:$AP$201,"&gt;31/08/2019",'PPa2019'!$AP$2:$AP$201,"&lt;01/10/2019",'PPa2019'!$P$2:$P$201,"H",'PPa2019'!#REF!,"POP")</f>
        <v>#REF!</v>
      </c>
      <c r="BV12" s="118" t="e">
        <f>COUNTIFS('PPa2019'!$AP$2:$AP$201,"&gt;31/08/2019",'PPa2019'!$AP$2:$AP$201,"&lt;01/10/2019",'PPa2019'!$P$2:$P$201,"H",'PPa2019'!#REF!,"PREFOS")</f>
        <v>#REF!</v>
      </c>
      <c r="BW12" s="118" t="e">
        <f>COUNTIFS('PPa2019'!$AP$2:$AP$201,"&gt;31/08/2019",'PPa2019'!$AP$2:$AP$201,"&lt;01/10/2019",'PPa2019'!$P$2:$P$201,"H",'PPa2019'!#REF!,"PREFOS")</f>
        <v>#REF!</v>
      </c>
      <c r="BX12" s="118" t="e">
        <f>COUNTIFS('PPa2019'!$AP$2:$AP$201,"&gt;31/08/2019",'PPa2019'!$AP$2:$AP$201,"&lt;01/10/2019",'PPa2019'!$P$2:$P$201,"H",'PPa2019'!#REF!,"FLE")</f>
        <v>#REF!</v>
      </c>
      <c r="BY12" s="118" t="e">
        <f>COUNTIFS('PPa2019'!$AP$2:$AP$201,"&gt;31/08/2019",'PPa2019'!$AP$2:$AP$201,"&lt;01/10/2019",'PPa2019'!$P$2:$P$201,"H",'PPa2019'!#REF!,"FLE")</f>
        <v>#REF!</v>
      </c>
      <c r="BZ12" s="118" t="e">
        <f>COUNTIFS('PPa2019'!$AP$2:$AP$201,"&gt;31/08/2019",'PPa2019'!$AP$2:$AP$201,"&lt;01/10/2019",'PPa2019'!$P$2:$P$201,"H",'PPa2019'!#REF!,"MGI MIJEC")</f>
        <v>#REF!</v>
      </c>
      <c r="CA12" s="118" t="e">
        <f>COUNTIFS('PPa2019'!$AP$2:$AP$201,"&gt;31/08/2019",'PPa2019'!$AP$2:$AP$201,"&lt;01/10/2019",'PPa2019'!$P$2:$P$201,"H",'PPa2019'!#REF!,"MGI MIJEC")</f>
        <v>#REF!</v>
      </c>
      <c r="CB12" s="118" t="e">
        <f>COUNTIFS('PPa2019'!$AP$2:$AP$201,"&gt;31/08/2019",'PPa2019'!$AP$2:$AP$201,"&lt;01/10/2019",'PPa2019'!$P$2:$P$201,"H",'PPa2019'!#REF!,"CAQ")</f>
        <v>#REF!</v>
      </c>
      <c r="CC12" s="118" t="e">
        <f>COUNTIFS('PPa2019'!$AP$2:$AP$201,"&gt;31/08/2019",'PPa2019'!$AP$2:$AP$201,"&lt;01/10/2019",'PPa2019'!$P$2:$P$201,"H",'PPa2019'!#REF!,"CAQ")</f>
        <v>#REF!</v>
      </c>
      <c r="CD12" s="118" t="e">
        <f>COUNTIFS('PPa2019'!$AP$2:$AP$201,"&gt;31/08/2019",'PPa2019'!$AP$2:$AP$201,"&lt;01/10/2019",'PPa2019'!$P$2:$P$201,"H",'PPa2019'!#REF!,"QUALIF")</f>
        <v>#REF!</v>
      </c>
      <c r="CE12" s="118" t="e">
        <f>COUNTIFS('PPa2019'!$AP$2:$AP$201,"&gt;31/08/2019",'PPa2019'!$AP$2:$AP$201,"&lt;01/10/2019",'PPa2019'!$P$2:$P$201,"H",'PPa2019'!#REF!,"QUALIF")</f>
        <v>#REF!</v>
      </c>
      <c r="CF12" s="118" t="e">
        <f>COUNTIFS('PPa2019'!$AP$2:$AP$201,"&gt;31/08/2019",'PPa2019'!$AP$2:$AP$201,"&lt;01/10/2019",'PPa2019'!$P$2:$P$201,"H",'PPa2019'!#REF!,"ALTERN")</f>
        <v>#REF!</v>
      </c>
      <c r="CG12" s="118" t="e">
        <f>COUNTIFS('PPa2019'!$AP$2:$AP$201,"&gt;31/08/2019",'PPa2019'!$AP$2:$AP$201,"&lt;01/10/2019",'PPa2019'!$P$2:$P$201,"H",'PPa2019'!#REF!,"ALTERN")</f>
        <v>#REF!</v>
      </c>
      <c r="CH12" s="118" t="e">
        <f>COUNTIFS('PPa2019'!$AP$2:$AP$201,"&gt;31/08/2019",'PPa2019'!$AP$2:$AP$201,"&lt;01/10/2019",'PPa2019'!$P$2:$P$201,"H",'PPa2019'!#REF!,"EMPLOI")</f>
        <v>#REF!</v>
      </c>
      <c r="CI12" s="118" t="e">
        <f>COUNTIFS('PPa2019'!$AP$2:$AP$201,"&gt;31/08/2019",'PPa2019'!$AP$2:$AP$201,"&lt;01/10/2019",'PPa2019'!$P$2:$P$201,"H",'PPa2019'!#REF!,"EMPLOI")</f>
        <v>#REF!</v>
      </c>
      <c r="CJ12" s="118" t="e">
        <f>COUNTIFS('PPa2019'!$AP$2:$AP$201,"&gt;31/08/2019",'PPa2019'!$AP$2:$AP$201,"&lt;01/10/2019",'PPa2019'!$P$2:$P$201,"H",'PPa2019'!#REF!,"AUTRE")</f>
        <v>#REF!</v>
      </c>
      <c r="CK12" s="118" t="e">
        <f>COUNTIFS('PPa2019'!$AP$2:$AP$201,"&gt;31/08/2019",'PPa2019'!$AP$2:$AP$201,"&lt;01/10/2019",'PPa2019'!$P$2:$P$201,"H",'PPa2019'!#REF!,"AUTRE")</f>
        <v>#REF!</v>
      </c>
      <c r="CL12" s="38" t="e">
        <f t="shared" si="2"/>
        <v>#REF!</v>
      </c>
    </row>
    <row r="13" spans="1:90" x14ac:dyDescent="0.25">
      <c r="A13" s="43" t="s">
        <v>83</v>
      </c>
      <c r="B13" s="119">
        <f>COUNTIFS('PPa2019'!$AP$2:$AP$201,"&gt;30/09/2019",'PPa2019'!$AP$2:$AP$201,"&lt;01/11/2019",'PPa2019'!$P$2:$P$201,"H")</f>
        <v>0</v>
      </c>
      <c r="C13" s="119">
        <f>COUNTIFS('PPa2019'!$AP$2:$AP$201,"&gt;30/09/2019",'PPa2019'!$AP$2:$AP$201,"&lt;01/11/2019",'PPa2019'!$P$2:$P$201,"F")</f>
        <v>0</v>
      </c>
      <c r="D13" s="38">
        <f t="shared" si="3"/>
        <v>0</v>
      </c>
      <c r="E13" s="119">
        <f>COUNTIFS('PPa2019'!$AP$2:$AP$201,"&gt;30/09/2019",'PPa2019'!$AP$2:$AP$201,"&lt;01/11/2019",'PPa2019'!$P$2:$P$201,"H",'PPa2019'!$O$2:$O$201,"&lt;18")</f>
        <v>0</v>
      </c>
      <c r="F13" s="119">
        <f>COUNTIFS('PPa2019'!$AP$2:$AP$201,"&gt;30/09/2019",'PPa2019'!$AP$2:$AP$201,"&lt;01/11/2019",'PPa2019'!$P$2:$P$201,"F",'PPa2019'!$O$2:$O$201,"&lt;18")</f>
        <v>0</v>
      </c>
      <c r="G13" s="119">
        <f>COUNTIFS('PPa2019'!$AP$2:$AP$201,"&gt;30/09/2019",'PPa2019'!$AP$2:$AP$201,"&lt;01/11/2019",'PPa2019'!$P$2:$P$201,"H",'PPa2019'!$O$2:$O$201,"&gt;18",'PPa2019'!$O$2:$O$201,"&lt;26")</f>
        <v>0</v>
      </c>
      <c r="H13" s="119">
        <f>COUNTIFS('PPa2019'!$AP$2:$AP$201,"&gt;30/09/2019",'PPa2019'!$AP$2:$AP$201,"&lt;01/11/2019",'PPa2019'!$P$2:$P$201,"F",'PPa2019'!$O$2:$O$201,"&gt;18",'PPa2019'!$O$2:$O$201,"&lt;26")</f>
        <v>0</v>
      </c>
      <c r="I13" s="119">
        <f>COUNTIFS('PPa2019'!$AP$2:$AP$201,"&gt;30/09/2019",'PPa2019'!$AP$2:$AP$201,"&lt;01/11/2019",'PPa2019'!$P$2:$P$201,"H",'PPa2019'!$O$2:$O$201,"&gt;26",'PPa2019'!$O$2:$O$201,"&lt;31")</f>
        <v>0</v>
      </c>
      <c r="J13" s="119">
        <f>COUNTIFS('PPa2019'!$AP$2:$AP$201,"&gt;30/09/2019",'PPa2019'!$AP$2:$AP$201,"&lt;01/11/2019",'PPa2019'!$P$2:$P$201,"F",'PPa2019'!$O$2:$O$201,"&gt;26",'PPa2019'!$O$2:$O$201,"&lt;31")</f>
        <v>0</v>
      </c>
      <c r="K13" s="119">
        <f>COUNTIFS('PPa2019'!$AP$2:$AP$201,"&gt;30/09/2019",'PPa2019'!$AP$2:$AP$201,"&lt;01/11/2019",'PPa2019'!$P$2:$P$201,"H",'PPa2019'!$O$2:$O$201,"&gt;31",'PPa2019'!$O$2:$O$201,"&lt;36")</f>
        <v>0</v>
      </c>
      <c r="L13" s="119">
        <f>COUNTIFS('PPa2019'!$AP$2:$AP$201,"&gt;30/09/2019",'PPa2019'!$AP$2:$AP$201,"&lt;01/11/2019",'PPa2019'!$P$2:$P$201,"F",'PPa2019'!$O$2:$O$201,"&gt;31",'PPa2019'!$O$2:$O$201,"&lt;36")</f>
        <v>0</v>
      </c>
      <c r="M13" s="119">
        <f>COUNTIFS('PPa2019'!$AP$2:$AP$201,"&gt;30/09/2019",'PPa2019'!$AP$2:$AP$201,"&lt;01/11/2019",'PPa2019'!$P$2:$P$201,"H",'PPa2019'!$O$2:$O$201,"&gt;36",'PPa2019'!$O$2:$O$201,"&lt;41")</f>
        <v>0</v>
      </c>
      <c r="N13" s="119">
        <f>COUNTIFS('PPa2019'!$AP$2:$AP$201,"&gt;30/09/2019",'PPa2019'!$AP$2:$AP$201,"&lt;01/11/2019",'PPa2019'!$P$2:$P$201,"F",'PPa2019'!$O$2:$O$201,"&gt;36",'PPa2019'!$O$2:$O$201,"&lt;41")</f>
        <v>0</v>
      </c>
      <c r="O13" s="119">
        <f>COUNTIFS('PPa2019'!$AP$2:$AP$201,"&gt;30/09/2019",'PPa2019'!$AP$2:$AP$201,"&lt;01/11/2019",'PPa2019'!$P$2:$P$201,"H",'PPa2019'!$O$2:$O$201,"&gt;40")</f>
        <v>0</v>
      </c>
      <c r="P13" s="119">
        <f>COUNTIFS('PPa2019'!$AP$2:$AP$201,"&gt;30/09/2019",'PPa2019'!$AP$2:$AP$201,"&lt;01/11/2019",'PPa2019'!$P$2:$P$201,"F",'PPa2019'!$O$2:$O$201,"&gt;40")</f>
        <v>0</v>
      </c>
      <c r="Q13" s="38">
        <f t="shared" si="0"/>
        <v>0</v>
      </c>
      <c r="R13" s="119">
        <f>COUNTIFS('PPa2019'!$AP$2:$AP$201,"&gt;30/09/2019",'PPa2019'!$AP$2:$AP$201,"&lt;01/11/2019",'PPa2019'!$P$2:$P$201,"H",'PPa2019'!$AC$2:$AC$201,6)</f>
        <v>0</v>
      </c>
      <c r="S13" s="119">
        <f>COUNTIFS('PPa2019'!$AP$2:$AP$201,"&gt;30/09/2019",'PPa2019'!$AP$2:$AP$201,"&lt;01/11/2019",'PPa2019'!$P$2:$P$201,"F",'PPa2019'!$AC$2:$AC$201,6)</f>
        <v>0</v>
      </c>
      <c r="T13" s="119">
        <f>COUNTIFS('PPa2019'!$AP$2:$AP$201,"&gt;30/09/2019",'PPa2019'!$AP$2:$AP$201,"&lt;01/11/2019",'PPa2019'!$P$2:$P$201,"H",'PPa2019'!$AC$2:$AC$201,5)</f>
        <v>0</v>
      </c>
      <c r="U13" s="119">
        <f>COUNTIFS('PPa2019'!$AP$2:$AP$201,"&gt;30/09/2019",'PPa2019'!$AP$2:$AP$201,"&lt;01/11/2019",'PPa2019'!$P$2:$P$201,"F",'PPa2019'!$AC$2:$AC$201,5)</f>
        <v>0</v>
      </c>
      <c r="V13" s="119">
        <f>COUNTIFS('PPa2019'!$AP$2:$AP$201,"&gt;30/09/2019",'PPa2019'!$AP$2:$AP$201,"&lt;01/11/2019",'PPa2019'!$P$2:$P$201,"H",'PPa2019'!$AC$2:$AC$201,4)</f>
        <v>0</v>
      </c>
      <c r="W13" s="119">
        <f>COUNTIFS('PPa2019'!$AP$2:$AP$201,"&gt;30/09/2019",'PPa2019'!$AP$2:$AP$201,"&lt;01/11/2019",'PPa2019'!$P$2:$P$201,"F",'PPa2019'!$AC$2:$AC$201,4)</f>
        <v>0</v>
      </c>
      <c r="X13" s="119">
        <f>COUNTIFS('PPa2019'!$AP$2:$AP$201,"&gt;30/09/2019",'PPa2019'!$AP$2:$AP$201,"&lt;01/11/2019",'PPa2019'!$P$2:$P$201,"H",'PPa2019'!$AC$2:$AC$201,3)</f>
        <v>0</v>
      </c>
      <c r="Y13" s="119">
        <f>COUNTIFS('PPa2019'!$AP$2:$AP$201,"&gt;30/09/2019",'PPa2019'!$AP$2:$AP$201,"&lt;01/11/2019",'PPa2019'!$P$2:$P$201,"F",'PPa2019'!$AC$2:$AC$201,3)</f>
        <v>0</v>
      </c>
      <c r="Z13" s="119">
        <f>COUNTIFS('PPa2019'!$AP$2:$AP$201,"&gt;30/09/2019",'PPa2019'!$AP$2:$AP$201,"&lt;01/11/2019",'PPa2019'!$P$2:$P$201,"H",'PPa2019'!$AC$2:$AC$201,2)</f>
        <v>0</v>
      </c>
      <c r="AA13" s="119">
        <f>COUNTIFS('PPa2019'!$AP$2:$AP$201,"&gt;30/09/2019",'PPa2019'!$AP$2:$AP$201,"&lt;01/11/2019",'PPa2019'!$P$2:$P$201,"F",'PPa2019'!$AC$2:$AC$201,2)</f>
        <v>0</v>
      </c>
      <c r="AB13" s="119">
        <f>COUNTIFS('PPa2019'!$AP$2:$AP$201,"&gt;30/09/2019",'PPa2019'!$AP$2:$AP$201,"&lt;01/11/2019",'PPa2019'!$P$2:$P$201,"H",'PPa2019'!$AC$2:$AC$201,1)</f>
        <v>0</v>
      </c>
      <c r="AC13" s="119">
        <f>COUNTIFS('PPa2019'!$AP$2:$AP$201,"&gt;30/09/2019",'PPa2019'!$AP$2:$AP$201,"&lt;01/11/2019",'PPa2019'!$P$2:$P$201,"F",'PPa2019'!$AC$2:$AC$201,1)</f>
        <v>0</v>
      </c>
      <c r="AD13" s="38">
        <f t="shared" si="1"/>
        <v>0</v>
      </c>
      <c r="AE13" s="119" t="e">
        <f>COUNTIFS('PPa2019'!$AP$2:$AP$201,"&gt;30/09/2019",'PPa2019'!$AP$2:$AP$201,"&lt;01/11/2019",'PPa2019'!$P$2:$P$201,"H",'PPa2019'!#REF!,"CCLES")</f>
        <v>#REF!</v>
      </c>
      <c r="AF13" s="119" t="e">
        <f>COUNTIFS('PPa2019'!$AP$2:$AP$201,"&gt;30/09/2019",'PPa2019'!$AP$2:$AP$201,"&lt;01/11/2019",'PPa2019'!$P$2:$P$201,"F",'PPa2019'!#REF!,"CCLES")</f>
        <v>#REF!</v>
      </c>
      <c r="AG13" s="119">
        <f>COUNTIFS('PPa2019'!$AP$2:$AP$201,"&gt;30/09/2019",'PPa2019'!$AP$2:$AP$201,"&lt;01/11/2019",'PPa2019'!$P$2:$P$201,"H",'PPa2019'!$Y$2:$Y$201,"SALARIÉ")</f>
        <v>0</v>
      </c>
      <c r="AH13" s="119">
        <f>COUNTIFS('PPa2019'!$AP$2:$AP$201,"&gt;30/09/2019",'PPa2019'!$AP$2:$AP$201,"&lt;01/11/2019",'PPa2019'!$P$2:$P$201,"F",'PPa2019'!$Y$2:$Y$201,"SALARIÉ")</f>
        <v>0</v>
      </c>
      <c r="AI13" s="119">
        <f>COUNTIFS('PPa2019'!$AP$2:$AP$201,"&gt;30/09/2019",'PPa2019'!$AP$2:$AP$201,"&lt;01/11/2019",'PPa2019'!$P$2:$P$201,"H",'PPa2019'!$Y$2:$Y$201,"ÉTUDIANT")</f>
        <v>0</v>
      </c>
      <c r="AJ13" s="119">
        <f>COUNTIFS('PPa2019'!$AP$2:$AP$201,"&gt;30/09/2019",'PPa2019'!$AP$2:$AP$201,"&lt;01/11/2019",'PPa2019'!$P$2:$P$201,"F",'PPa2019'!$Y$2:$Y$201,"ÉTUDIANT")</f>
        <v>0</v>
      </c>
      <c r="AK13" s="119">
        <f>COUNTIFS('PPa2019'!$AP$2:$AP$201,"&gt;30/09/2019",'PPa2019'!$AP$2:$AP$201,"&lt;01/11/2019",'PPa2019'!$P$2:$P$201,"H",'PPa2019'!$Y$2:$Y$201,"RE")</f>
        <v>0</v>
      </c>
      <c r="AL13" s="119">
        <f>COUNTIFS('PPa2019'!$AP$2:$AP$201,"&gt;30/09/2019",'PPa2019'!$AP$2:$AP$201,"&lt;01/11/2019",'PPa2019'!$P$2:$P$201,"F",'PPa2019'!$Y$2:$Y$201,"RE")</f>
        <v>0</v>
      </c>
      <c r="AM13" s="119">
        <f>COUNTIFS('PPa2019'!$AP$2:$AP$201,"&gt;30/09/2019",'PPa2019'!$AP$2:$AP$201,"&lt;01/11/2019",'PPa2019'!$P$2:$P$201,"H",'PPa2019'!$Y$2:$Y$201,"AUTRE")</f>
        <v>0</v>
      </c>
      <c r="AN13" s="119">
        <f>COUNTIFS('PPa2019'!$AP$2:$AP$201,"&gt;30/09/2019",'PPa2019'!$AP$2:$AP$201,"&lt;01/11/2019",'PPa2019'!$P$2:$P$201,"F",'PPa2019'!$Y$2:$Y$201,"AUTRE")</f>
        <v>0</v>
      </c>
      <c r="AO13" s="38" t="e">
        <f t="shared" si="4"/>
        <v>#REF!</v>
      </c>
      <c r="AP13" s="119">
        <f>COUNTIFS('PPa2019'!$AP$2:$AP$201,"&gt;30/09/2019",'PPa2019'!$AP$2:$AP$201,"&lt;01/11/2019",'PPa2019'!$P$2:$P$201,"H",'PPa2019'!$AA$2:$AA$201,"&gt;"&amp;EDATE('PPa2019'!$AP2,-6))</f>
        <v>0</v>
      </c>
      <c r="AQ13" s="119">
        <f>COUNTIFS('PPa2019'!$AP$2:$AP$201,"&gt;30/09/2019",'PPa2019'!$AP$2:$AP$201,"&lt;01/11/2019",'PPa2019'!$P$2:$P$201,"F",'PPa2019'!$AA$2:$AA$201,"&gt;"&amp;EDATE('PPa2019'!$AP2,-6))</f>
        <v>0</v>
      </c>
      <c r="AR13" s="119">
        <f>COUNTIFS('PPa2019'!$AP$2:$AP$201,"&gt;30/09/2019",'PPa2019'!$AP$2:$AP$201,"&lt;01/11/2019",'PPa2019'!$P$2:$P$201,"H",'PPa2019'!$AA$2:$AA$201,"&lt;"&amp;EDATE('PPa2019'!$AP2,-6),'PPa2019'!$AA$2:$AA$201,"&gt;"&amp;EDATE('PPa2019'!$AP2,-11))</f>
        <v>0</v>
      </c>
      <c r="AS13" s="119">
        <f>COUNTIFS('PPa2019'!$AP$2:$AP$201,"&gt;30/09/2019",'PPa2019'!$AP$2:$AP$201,"&lt;01/11/2019",'PPa2019'!$P$2:$P$201,"F",'PPa2019'!$AA$2:$AA$201,"&lt;"&amp;EDATE('PPa2019'!$AP2,-6),'PPa2019'!$AA$2:$AA$201,"&gt;"&amp;EDATE('PPa2019'!$AP2,-11))</f>
        <v>0</v>
      </c>
      <c r="AT13" s="119">
        <f>COUNTIFS('PPa2019'!$AP$2:$AP$201,"&gt;30/09/2019",'PPa2019'!$AP$2:$AP$201,"&lt;01/11/2019",'PPa2019'!$P$2:$P$201,"H",'PPa2019'!$AA$2:$AA$201,"&lt;"&amp;EDATE('PPa2019'!$AP2,-11),'PPa2019'!$AA$2:$AA$201,"&gt;"&amp;EDATE('PPa2019'!$AP2,-23))</f>
        <v>0</v>
      </c>
      <c r="AU13" s="119">
        <f>COUNTIFS('PPa2019'!$AP$2:$AP$201,"&gt;30/09/2019",'PPa2019'!$AP$2:$AP$201,"&lt;01/11/2019",'PPa2019'!$P$2:$P$201,"F",'PPa2019'!$AA$2:$AA$201,"&lt;"&amp;EDATE('PPa2019'!$AP2,-11),'PPa2019'!$AA$2:$AA$201,"&gt;"&amp;EDATE('PPa2019'!$AP2,-23))</f>
        <v>0</v>
      </c>
      <c r="AV13" s="119">
        <f>COUNTIFS('PPa2019'!$AP$2:$AP$201,"&gt;30/09/2019",'PPa2019'!$AP$2:$AP$201,"&lt;01/11/2019",'PPa2019'!$P$2:$P$201,"H",'PPa2019'!$AA$2:$AA$201,"&lt;"&amp;EDATE('PPa2019'!$AP2,-23))</f>
        <v>0</v>
      </c>
      <c r="AW13" s="119">
        <f>COUNTIFS('PPa2019'!$AP$2:$AP$201,"&gt;30/09/2019",'PPa2019'!$AP$2:$AP$201,"&lt;01/11/2019",'PPa2019'!$P$2:$P$201,"F",'PPa2019'!$AA$2:$AA$201,"&lt;"&amp;EDATE('PPa2019'!$AP2,-23))</f>
        <v>0</v>
      </c>
      <c r="AX13" s="38">
        <f t="shared" si="5"/>
        <v>0</v>
      </c>
      <c r="AY13" s="119">
        <f>COUNTIFS('PPa2019'!$AP$2:$AP$201,"&gt;30/09/2019",'PPa2019'!$AP$2:$AP$201,"&lt;01/11/2019",'PPa2019'!$P$2:$P$201,"H",'PPa2019'!$T$2:$T$201,"Voiture")</f>
        <v>0</v>
      </c>
      <c r="AZ13" s="119">
        <f>COUNTIFS('PPa2019'!$AP$2:$AP$201,"&gt;30/09/2019",'PPa2019'!$AP$2:$AP$201,"&lt;01/11/2019",'PPa2019'!$P$2:$P$201,"F",'PPa2019'!$T$2:$T$201,"Voiture")</f>
        <v>0</v>
      </c>
      <c r="BA13" s="119">
        <f>COUNTIFS('PPa2019'!$AP$2:$AP$201,"&gt;30/09/2019",'PPa2019'!$AP$2:$AP$201,"&lt;01/11/2019",'PPa2019'!$P$2:$P$201,"H",'PPa2019'!$T$2:$T$201,"Moto")</f>
        <v>0</v>
      </c>
      <c r="BB13" s="119">
        <f>COUNTIFS('PPa2019'!$AP$2:$AP$201,"&gt;30/09/2019",'PPa2019'!$AP$2:$AP$201,"&lt;01/11/2019",'PPa2019'!$P$2:$P$201,"F",'PPa2019'!$T$2:$T$201,"Moto")</f>
        <v>0</v>
      </c>
      <c r="BC13" s="119">
        <f>COUNTIFS('PPa2019'!$AP$2:$AP$201,"&gt;30/09/2019",'PPa2019'!$AP$2:$AP$201,"&lt;01/11/2019",'PPa2019'!$P$2:$P$201,"H",'PPa2019'!$T$2:$T$201,"Scooter")</f>
        <v>0</v>
      </c>
      <c r="BD13" s="119">
        <f>COUNTIFS('PPa2019'!$AP$2:$AP$201,"&gt;30/09/2019",'PPa2019'!$AP$2:$AP$201,"&lt;01/11/2019",'PPa2019'!$P$2:$P$201,"F",'PPa2019'!$T$2:$T$201,"Scooter")</f>
        <v>0</v>
      </c>
      <c r="BE13" s="119">
        <f>COUNTIFS('PPa2019'!$AP$2:$AP$201,"&gt;30/09/2019",'PPa2019'!$AP$2:$AP$201,"&lt;01/11/2019",'PPa2019'!$P$2:$P$201,"H",'PPa2019'!$T$2:$T$201,"Vélo")</f>
        <v>0</v>
      </c>
      <c r="BF13" s="119">
        <f>COUNTIFS('PPa2019'!$AP$2:$AP$201,"&gt;30/09/2019",'PPa2019'!$AP$2:$AP$201,"&lt;01/11/2019",'PPa2019'!$P$2:$P$201,"F",'PPa2019'!$T$2:$T$201,"Vélo")</f>
        <v>0</v>
      </c>
      <c r="BG13" s="119">
        <f>COUNTIFS('PPa2019'!$AP$2:$AP$201,"&gt;30/09/2019",'PPa2019'!$AP$2:$AP$201,"&lt;01/11/2019",'PPa2019'!$P$2:$P$201,"H",'PPa2019'!$T$2:$T$201,"Bus")</f>
        <v>0</v>
      </c>
      <c r="BH13" s="119">
        <f>COUNTIFS('PPa2019'!$AP$2:$AP$201,"&gt;30/09/2019",'PPa2019'!$AP$2:$AP$201,"&lt;01/11/2019",'PPa2019'!$P$2:$P$201,"F",'PPa2019'!$T$2:$T$201,"Bus")</f>
        <v>0</v>
      </c>
      <c r="BI13" s="119">
        <f>COUNTIFS('PPa2019'!$AP$2:$AP$201,"&gt;30/09/2019",'PPa2019'!$AP$2:$AP$201,"&lt;01/11/2019",'PPa2019'!$P$2:$P$201,"H",'PPa2019'!$T$2:$T$201,"Covoiturage")</f>
        <v>0</v>
      </c>
      <c r="BJ13" s="119">
        <f>COUNTIFS('PPa2019'!$AP$2:$AP$201,"&gt;30/09/2019",'PPa2019'!$AP$2:$AP$201,"&lt;01/11/2019",'PPa2019'!$P$2:$P$201,"F",'PPa2019'!$T$2:$T$201,"Covoiturage")</f>
        <v>0</v>
      </c>
      <c r="BK13" s="119">
        <f>COUNTIFS('PPa2019'!$AP$2:$AP$201,"&gt;30/09/2019",'PPa2019'!$AP$2:$AP$201,"&lt;01/11/2019",'PPa2019'!$P$2:$P$201,"H",'PPa2019'!$T$2:$T$201,"Plusieurs")</f>
        <v>0</v>
      </c>
      <c r="BL13" s="119">
        <f>COUNTIFS('PPa2019'!$AP$2:$AP$201,"&gt;30/09/2019",'PPa2019'!$AP$2:$AP$201,"&lt;01/11/2019",'PPa2019'!$P$2:$P$201,"F",'PPa2019'!$T$2:$T$201,"Plusieurs")</f>
        <v>0</v>
      </c>
      <c r="BM13" s="119">
        <f>COUNTIFS('PPa2019'!$AP$2:$AP$201,"&gt;30/09/2019",'PPa2019'!$AP$2:$AP$201,"&lt;01/11/2019",'PPa2019'!$P$2:$P$201,"H",'PPa2019'!$T$2:$T$201,"Autre")</f>
        <v>0</v>
      </c>
      <c r="BN13" s="119">
        <f>COUNTIFS('PPa2019'!$AP$2:$AP$201,"&gt;30/09/2019",'PPa2019'!$AP$2:$AP$201,"&lt;01/11/2019",'PPa2019'!$P$2:$P$201,"F",'PPa2019'!$T$2:$T$201,"Autre")</f>
        <v>0</v>
      </c>
      <c r="BO13" s="38">
        <f t="shared" si="6"/>
        <v>0</v>
      </c>
      <c r="BP13" s="119" t="e">
        <f>COUNTIFS('PPa2019'!$AP$2:$AP$201,"&gt;30/09/2019",'PPa2019'!$AP$2:$AP$201,"&lt;01/11/2019",'PPa2019'!$P$2:$P$201,"H",'PPa2019'!#REF!,"CCLES")</f>
        <v>#REF!</v>
      </c>
      <c r="BQ13" s="119" t="e">
        <f>COUNTIFS('PPa2019'!$AP$2:$AP$201,"&gt;30/09/2019",'PPa2019'!$AP$2:$AP$201,"&lt;01/11/2019",'PPa2019'!$P$2:$P$201,"H",'PPa2019'!#REF!,"CCLES")</f>
        <v>#REF!</v>
      </c>
      <c r="BR13" s="119" t="e">
        <f>COUNTIFS('PPa2019'!$AP$2:$AP$201,"&gt;30/09/2019",'PPa2019'!$AP$2:$AP$201,"&lt;01/11/2019",'PPa2019'!$P$2:$P$201,"H",'PPa2019'!#REF!,"PPI")</f>
        <v>#REF!</v>
      </c>
      <c r="BS13" s="119" t="e">
        <f>COUNTIFS('PPa2019'!$AP$2:$AP$201,"&gt;30/09/2019",'PPa2019'!$AP$2:$AP$201,"&lt;01/11/2019",'PPa2019'!$P$2:$P$201,"H",'PPa2019'!#REF!,"PPI")</f>
        <v>#REF!</v>
      </c>
      <c r="BT13" s="119" t="e">
        <f>COUNTIFS('PPa2019'!$AP$2:$AP$201,"&gt;30/09/2019",'PPa2019'!$AP$2:$AP$201,"&lt;01/11/2019",'PPa2019'!$P$2:$P$201,"H",'PPa2019'!#REF!,"POP")</f>
        <v>#REF!</v>
      </c>
      <c r="BU13" s="119" t="e">
        <f>COUNTIFS('PPa2019'!$AP$2:$AP$201,"&gt;30/09/2019",'PPa2019'!$AP$2:$AP$201,"&lt;01/11/2019",'PPa2019'!$P$2:$P$201,"H",'PPa2019'!#REF!,"POP")</f>
        <v>#REF!</v>
      </c>
      <c r="BV13" s="119" t="e">
        <f>COUNTIFS('PPa2019'!$AP$2:$AP$201,"&gt;30/09/2019",'PPa2019'!$AP$2:$AP$201,"&lt;01/11/2019",'PPa2019'!$P$2:$P$201,"H",'PPa2019'!#REF!,"PREFOS")</f>
        <v>#REF!</v>
      </c>
      <c r="BW13" s="119" t="e">
        <f>COUNTIFS('PPa2019'!$AP$2:$AP$201,"&gt;30/09/2019",'PPa2019'!$AP$2:$AP$201,"&lt;01/11/2019",'PPa2019'!$P$2:$P$201,"H",'PPa2019'!#REF!,"PREFOS")</f>
        <v>#REF!</v>
      </c>
      <c r="BX13" s="119" t="e">
        <f>COUNTIFS('PPa2019'!$AP$2:$AP$201,"&gt;30/09/2019",'PPa2019'!$AP$2:$AP$201,"&lt;01/11/2019",'PPa2019'!$P$2:$P$201,"H",'PPa2019'!#REF!,"FLE")</f>
        <v>#REF!</v>
      </c>
      <c r="BY13" s="119" t="e">
        <f>COUNTIFS('PPa2019'!$AP$2:$AP$201,"&gt;30/09/2019",'PPa2019'!$AP$2:$AP$201,"&lt;01/11/2019",'PPa2019'!$P$2:$P$201,"H",'PPa2019'!#REF!,"FLE")</f>
        <v>#REF!</v>
      </c>
      <c r="BZ13" s="119" t="e">
        <f>COUNTIFS('PPa2019'!$AP$2:$AP$201,"&gt;30/09/2019",'PPa2019'!$AP$2:$AP$201,"&lt;01/11/2019",'PPa2019'!$P$2:$P$201,"H",'PPa2019'!#REF!,"MGI MIJEC")</f>
        <v>#REF!</v>
      </c>
      <c r="CA13" s="119" t="e">
        <f>COUNTIFS('PPa2019'!$AP$2:$AP$201,"&gt;30/09/2019",'PPa2019'!$AP$2:$AP$201,"&lt;01/11/2019",'PPa2019'!$P$2:$P$201,"H",'PPa2019'!#REF!,"MGI MIJEC")</f>
        <v>#REF!</v>
      </c>
      <c r="CB13" s="119" t="e">
        <f>COUNTIFS('PPa2019'!$AP$2:$AP$201,"&gt;30/09/2019",'PPa2019'!$AP$2:$AP$201,"&lt;01/11/2019",'PPa2019'!$P$2:$P$201,"H",'PPa2019'!#REF!,"CAQ")</f>
        <v>#REF!</v>
      </c>
      <c r="CC13" s="119" t="e">
        <f>COUNTIFS('PPa2019'!$AP$2:$AP$201,"&gt;30/09/2019",'PPa2019'!$AP$2:$AP$201,"&lt;01/11/2019",'PPa2019'!$P$2:$P$201,"H",'PPa2019'!#REF!,"CAQ")</f>
        <v>#REF!</v>
      </c>
      <c r="CD13" s="119" t="e">
        <f>COUNTIFS('PPa2019'!$AP$2:$AP$201,"&gt;30/09/2019",'PPa2019'!$AP$2:$AP$201,"&lt;01/11/2019",'PPa2019'!$P$2:$P$201,"H",'PPa2019'!#REF!,"QUALIF")</f>
        <v>#REF!</v>
      </c>
      <c r="CE13" s="119" t="e">
        <f>COUNTIFS('PPa2019'!$AP$2:$AP$201,"&gt;30/09/2019",'PPa2019'!$AP$2:$AP$201,"&lt;01/11/2019",'PPa2019'!$P$2:$P$201,"H",'PPa2019'!#REF!,"QUALIF")</f>
        <v>#REF!</v>
      </c>
      <c r="CF13" s="119" t="e">
        <f>COUNTIFS('PPa2019'!$AP$2:$AP$201,"&gt;30/09/2019",'PPa2019'!$AP$2:$AP$201,"&lt;01/11/2019",'PPa2019'!$P$2:$P$201,"H",'PPa2019'!#REF!,"ALTERN")</f>
        <v>#REF!</v>
      </c>
      <c r="CG13" s="119" t="e">
        <f>COUNTIFS('PPa2019'!$AP$2:$AP$201,"&gt;30/09/2019",'PPa2019'!$AP$2:$AP$201,"&lt;01/11/2019",'PPa2019'!$P$2:$P$201,"H",'PPa2019'!#REF!,"ALTERN")</f>
        <v>#REF!</v>
      </c>
      <c r="CH13" s="119" t="e">
        <f>COUNTIFS('PPa2019'!$AP$2:$AP$201,"&gt;30/09/2019",'PPa2019'!$AP$2:$AP$201,"&lt;01/11/2019",'PPa2019'!$P$2:$P$201,"H",'PPa2019'!#REF!,"EMPLOI")</f>
        <v>#REF!</v>
      </c>
      <c r="CI13" s="119" t="e">
        <f>COUNTIFS('PPa2019'!$AP$2:$AP$201,"&gt;30/09/2019",'PPa2019'!$AP$2:$AP$201,"&lt;01/11/2019",'PPa2019'!$P$2:$P$201,"H",'PPa2019'!#REF!,"EMPLOI")</f>
        <v>#REF!</v>
      </c>
      <c r="CJ13" s="119" t="e">
        <f>COUNTIFS('PPa2019'!$AP$2:$AP$201,"&gt;30/09/2019",'PPa2019'!$AP$2:$AP$201,"&lt;01/11/2019",'PPa2019'!$P$2:$P$201,"H",'PPa2019'!#REF!,"AUTRE")</f>
        <v>#REF!</v>
      </c>
      <c r="CK13" s="119" t="e">
        <f>COUNTIFS('PPa2019'!$AP$2:$AP$201,"&gt;30/09/2019",'PPa2019'!$AP$2:$AP$201,"&lt;01/11/2019",'PPa2019'!$P$2:$P$201,"H",'PPa2019'!#REF!,"AUTRE")</f>
        <v>#REF!</v>
      </c>
      <c r="CL13" s="38" t="e">
        <f t="shared" si="2"/>
        <v>#REF!</v>
      </c>
    </row>
    <row r="14" spans="1:90" x14ac:dyDescent="0.25">
      <c r="A14" s="31" t="s">
        <v>84</v>
      </c>
      <c r="B14" s="118">
        <f>COUNTIFS('PPa2019'!$AP$2:$AP$201,"&gt;31/10/2019",'PPa2019'!$AP$2:$AP$201,"&lt;01/12/2019",'PPa2019'!$P$2:$P$201,"H")</f>
        <v>0</v>
      </c>
      <c r="C14" s="118">
        <f>COUNTIFS('PPa2019'!$AP$2:$AP$201,"&gt;31/10/2019",'PPa2019'!$AP$2:$AP$201,"&lt;01/12/2019",'PPa2019'!$P$2:$P$201,"F")</f>
        <v>0</v>
      </c>
      <c r="D14" s="38">
        <f t="shared" si="3"/>
        <v>0</v>
      </c>
      <c r="E14" s="118">
        <f>COUNTIFS('PPa2019'!$AP$2:$AP$201,"&gt;31/10/2019",'PPa2019'!$AP$2:$AP$201,"&lt;01/12/2019",'PPa2019'!$P$2:$P$201,"H",'PPa2019'!$O$2:$O$201,"&lt;18")</f>
        <v>0</v>
      </c>
      <c r="F14" s="118">
        <f>COUNTIFS('PPa2019'!$AP$2:$AP$201,"&gt;31/10/2019",'PPa2019'!$AP$2:$AP$201,"&lt;01/12/2019",'PPa2019'!$P$2:$P$201,"F",'PPa2019'!$O$2:$O$201,"&lt;18")</f>
        <v>0</v>
      </c>
      <c r="G14" s="118">
        <f>COUNTIFS('PPa2019'!$AP$2:$AP$201,"&gt;31/10/2019",'PPa2019'!$AP$2:$AP$201,"&lt;01/12/2019",'PPa2019'!$P$2:$P$201,"H",'PPa2019'!$O$2:$O$201,"&gt;18",'PPa2019'!$O$2:$O$201,"&lt;26")</f>
        <v>0</v>
      </c>
      <c r="H14" s="118">
        <f>COUNTIFS('PPa2019'!$AP$2:$AP$201,"&gt;31/10/2019",'PPa2019'!$AP$2:$AP$201,"&lt;01/12/2019",'PPa2019'!$P$2:$P$201,"F",'PPa2019'!$O$2:$O$201,"&gt;18",'PPa2019'!$O$2:$O$201,"&lt;26")</f>
        <v>0</v>
      </c>
      <c r="I14" s="118">
        <f>COUNTIFS('PPa2019'!$AP$2:$AP$201,"&gt;31/10/2019",'PPa2019'!$AP$2:$AP$201,"&lt;01/12/2019",'PPa2019'!$P$2:$P$201,"H",'PPa2019'!$O$2:$O$201,"&gt;26",'PPa2019'!$O$2:$O$201,"&lt;31")</f>
        <v>0</v>
      </c>
      <c r="J14" s="118">
        <f>COUNTIFS('PPa2019'!$AP$2:$AP$201,"&gt;31/10/2019",'PPa2019'!$AP$2:$AP$201,"&lt;01/12/2019",'PPa2019'!$P$2:$P$201,"F",'PPa2019'!$O$2:$O$201,"&gt;26",'PPa2019'!$O$2:$O$201,"&lt;31")</f>
        <v>0</v>
      </c>
      <c r="K14" s="118">
        <f>COUNTIFS('PPa2019'!$AP$2:$AP$201,"&gt;31/10/2019",'PPa2019'!$AP$2:$AP$201,"&lt;01/12/2019",'PPa2019'!$P$2:$P$201,"H",'PPa2019'!$O$2:$O$201,"&gt;31",'PPa2019'!$O$2:$O$201,"&lt;36")</f>
        <v>0</v>
      </c>
      <c r="L14" s="118">
        <f>COUNTIFS('PPa2019'!$AP$2:$AP$201,"&gt;31/10/2019",'PPa2019'!$AP$2:$AP$201,"&lt;01/12/2019",'PPa2019'!$P$2:$P$201,"F",'PPa2019'!$O$2:$O$201,"&gt;31",'PPa2019'!$O$2:$O$201,"&lt;36")</f>
        <v>0</v>
      </c>
      <c r="M14" s="118">
        <f>COUNTIFS('PPa2019'!$AP$2:$AP$201,"&gt;31/10/2019",'PPa2019'!$AP$2:$AP$201,"&lt;01/12/2019",'PPa2019'!$P$2:$P$201,"H",'PPa2019'!$O$2:$O$201,"&gt;36",'PPa2019'!$O$2:$O$201,"&lt;41")</f>
        <v>0</v>
      </c>
      <c r="N14" s="118">
        <f>COUNTIFS('PPa2019'!$AP$2:$AP$201,"&gt;31/10/2019",'PPa2019'!$AP$2:$AP$201,"&lt;01/12/2019",'PPa2019'!$P$2:$P$201,"F",'PPa2019'!$O$2:$O$201,"&gt;36",'PPa2019'!$O$2:$O$201,"&lt;41")</f>
        <v>0</v>
      </c>
      <c r="O14" s="118">
        <f>COUNTIFS('PPa2019'!$AP$2:$AP$201,"&gt;31/10/2019",'PPa2019'!$AP$2:$AP$201,"&lt;01/12/2019",'PPa2019'!$P$2:$P$201,"H",'PPa2019'!$O$2:$O$201,"&gt;40")</f>
        <v>0</v>
      </c>
      <c r="P14" s="118">
        <f>COUNTIFS('PPa2019'!$AP$2:$AP$201,"&gt;31/10/2019",'PPa2019'!$AP$2:$AP$201,"&lt;01/12/2019",'PPa2019'!$P$2:$P$201,"F",'PPa2019'!$O$2:$O$201,"&gt;40")</f>
        <v>0</v>
      </c>
      <c r="Q14" s="38">
        <f t="shared" si="0"/>
        <v>0</v>
      </c>
      <c r="R14" s="118">
        <f>COUNTIFS('PPa2019'!$AP$2:$AP$201,"&gt;31/10/2019",'PPa2019'!$AP$2:$AP$201,"&lt;01/12/2019",'PPa2019'!$P$2:$P$201,"H",'PPa2019'!$AC$2:$AC$201,6)</f>
        <v>0</v>
      </c>
      <c r="S14" s="118">
        <f>COUNTIFS('PPa2019'!$AP$2:$AP$201,"&gt;31/10/2019",'PPa2019'!$AP$2:$AP$201,"&lt;01/12/2019",'PPa2019'!$P$2:$P$201,"F",'PPa2019'!$AC$2:$AC$201,6)</f>
        <v>0</v>
      </c>
      <c r="T14" s="118">
        <f>COUNTIFS('PPa2019'!$AP$2:$AP$201,"&gt;31/10/2019",'PPa2019'!$AP$2:$AP$201,"&lt;01/12/2019",'PPa2019'!$P$2:$P$201,"H",'PPa2019'!$AC$2:$AC$201,5)</f>
        <v>0</v>
      </c>
      <c r="U14" s="118">
        <f>COUNTIFS('PPa2019'!$AP$2:$AP$201,"&gt;31/10/2019",'PPa2019'!$AP$2:$AP$201,"&lt;01/12/2019",'PPa2019'!$P$2:$P$201,"F",'PPa2019'!$AC$2:$AC$201,5)</f>
        <v>0</v>
      </c>
      <c r="V14" s="118">
        <f>COUNTIFS('PPa2019'!$AP$2:$AP$201,"&gt;31/10/2019",'PPa2019'!$AP$2:$AP$201,"&lt;01/12/2019",'PPa2019'!$P$2:$P$201,"H",'PPa2019'!$AC$2:$AC$201,4)</f>
        <v>0</v>
      </c>
      <c r="W14" s="118">
        <f>COUNTIFS('PPa2019'!$AP$2:$AP$201,"&gt;31/10/2019",'PPa2019'!$AP$2:$AP$201,"&lt;01/12/2019",'PPa2019'!$P$2:$P$201,"F",'PPa2019'!$AC$2:$AC$201,4)</f>
        <v>0</v>
      </c>
      <c r="X14" s="118">
        <f>COUNTIFS('PPa2019'!$AP$2:$AP$201,"&gt;31/10/2019",'PPa2019'!$AP$2:$AP$201,"&lt;01/12/2019",'PPa2019'!$P$2:$P$201,"H",'PPa2019'!$AC$2:$AC$201,3)</f>
        <v>0</v>
      </c>
      <c r="Y14" s="118">
        <f>COUNTIFS('PPa2019'!$AP$2:$AP$201,"&gt;31/10/2019",'PPa2019'!$AP$2:$AP$201,"&lt;01/12/2019",'PPa2019'!$P$2:$P$201,"F",'PPa2019'!$AC$2:$AC$201,3)</f>
        <v>0</v>
      </c>
      <c r="Z14" s="118">
        <f>COUNTIFS('PPa2019'!$AP$2:$AP$201,"&gt;31/10/2019",'PPa2019'!$AP$2:$AP$201,"&lt;01/12/2019",'PPa2019'!$P$2:$P$201,"H",'PPa2019'!$AC$2:$AC$201,2)</f>
        <v>0</v>
      </c>
      <c r="AA14" s="118">
        <f>COUNTIFS('PPa2019'!$AP$2:$AP$201,"&gt;31/10/2019",'PPa2019'!$AP$2:$AP$201,"&lt;01/12/2019",'PPa2019'!$P$2:$P$201,"F",'PPa2019'!$AC$2:$AC$201,2)</f>
        <v>0</v>
      </c>
      <c r="AB14" s="118">
        <f>COUNTIFS('PPa2019'!$AP$2:$AP$201,"&gt;31/10/2019",'PPa2019'!$AP$2:$AP$201,"&lt;01/12/2019",'PPa2019'!$P$2:$P$201,"H",'PPa2019'!$AC$2:$AC$201,1)</f>
        <v>0</v>
      </c>
      <c r="AC14" s="118">
        <f>COUNTIFS('PPa2019'!$AP$2:$AP$201,"&gt;31/10/2019",'PPa2019'!$AP$2:$AP$201,"&lt;01/12/2019",'PPa2019'!$P$2:$P$201,"F",'PPa2019'!$AC$2:$AC$201,1)</f>
        <v>0</v>
      </c>
      <c r="AD14" s="38">
        <f t="shared" si="1"/>
        <v>0</v>
      </c>
      <c r="AE14" s="118" t="e">
        <f>COUNTIFS('PPa2019'!$AP$2:$AP$201,"&gt;31/10/2019",'PPa2019'!$AP$2:$AP$201,"&lt;01/12/2019",'PPa2019'!$P$2:$P$201,"H",'PPa2019'!#REF!,"CCLES")</f>
        <v>#REF!</v>
      </c>
      <c r="AF14" s="118" t="e">
        <f>COUNTIFS('PPa2019'!$AP$2:$AP$201,"&gt;31/10/2019",'PPa2019'!$AP$2:$AP$201,"&lt;01/12/2019",'PPa2019'!$P$2:$P$201,"F",'PPa2019'!#REF!,"CCLES")</f>
        <v>#REF!</v>
      </c>
      <c r="AG14" s="118">
        <f>COUNTIFS('PPa2019'!$AP$2:$AP$201,"&gt;31/10/2019",'PPa2019'!$AP$2:$AP$201,"&lt;01/12/2019",'PPa2019'!$P$2:$P$201,"H",'PPa2019'!$Y$2:$Y$201,"SALARIÉ")</f>
        <v>0</v>
      </c>
      <c r="AH14" s="118">
        <f>COUNTIFS('PPa2019'!$AP$2:$AP$201,"&gt;31/10/2019",'PPa2019'!$AP$2:$AP$201,"&lt;01/12/2019",'PPa2019'!$P$2:$P$201,"F",'PPa2019'!$Y$2:$Y$201,"SALARIÉ")</f>
        <v>0</v>
      </c>
      <c r="AI14" s="118">
        <f>COUNTIFS('PPa2019'!$AP$2:$AP$201,"&gt;31/10/2019",'PPa2019'!$AP$2:$AP$201,"&lt;01/12/2019",'PPa2019'!$P$2:$P$201,"H",'PPa2019'!$Y$2:$Y$201,"ÉTUDIANT")</f>
        <v>0</v>
      </c>
      <c r="AJ14" s="118">
        <f>COUNTIFS('PPa2019'!$AP$2:$AP$201,"&gt;31/10/2019",'PPa2019'!$AP$2:$AP$201,"&lt;01/12/2019",'PPa2019'!$P$2:$P$201,"F",'PPa2019'!$Y$2:$Y$201,"ÉTUDIANT")</f>
        <v>0</v>
      </c>
      <c r="AK14" s="118">
        <f>COUNTIFS('PPa2019'!$AP$2:$AP$201,"&gt;31/10/2019",'PPa2019'!$AP$2:$AP$201,"&lt;01/12/2019",'PPa2019'!$P$2:$P$201,"H",'PPa2019'!$Y$2:$Y$201,"RE")</f>
        <v>0</v>
      </c>
      <c r="AL14" s="118">
        <f>COUNTIFS('PPa2019'!$AP$2:$AP$201,"&gt;31/10/2019",'PPa2019'!$AP$2:$AP$201,"&lt;01/12/2019",'PPa2019'!$P$2:$P$201,"F",'PPa2019'!$Y$2:$Y$201,"RE")</f>
        <v>0</v>
      </c>
      <c r="AM14" s="118">
        <f>COUNTIFS('PPa2019'!$AP$2:$AP$201,"&gt;31/10/2019",'PPa2019'!$AP$2:$AP$201,"&lt;01/12/2019",'PPa2019'!$P$2:$P$201,"H",'PPa2019'!$Y$2:$Y$201,"AUTRE")</f>
        <v>0</v>
      </c>
      <c r="AN14" s="118">
        <f>COUNTIFS('PPa2019'!$AP$2:$AP$201,"&gt;31/10/2019",'PPa2019'!$AP$2:$AP$201,"&lt;01/12/2019",'PPa2019'!$P$2:$P$201,"F",'PPa2019'!$Y$2:$Y$201,"AUTRE")</f>
        <v>0</v>
      </c>
      <c r="AO14" s="38" t="e">
        <f t="shared" si="4"/>
        <v>#REF!</v>
      </c>
      <c r="AP14" s="118">
        <f>COUNTIFS('PPa2019'!$AP$2:$AP$201,"&gt;31/10/2019",'PPa2019'!$AP$2:$AP$201,"&lt;01/12/2019",'PPa2019'!$P$2:$P$201,"H",'PPa2019'!$AA$2:$AA$201,"&gt;"&amp;EDATE('PPa2019'!$AP2,-6))</f>
        <v>0</v>
      </c>
      <c r="AQ14" s="118">
        <f>COUNTIFS('PPa2019'!$AP$2:$AP$201,"&gt;31/10/2019",'PPa2019'!$AP$2:$AP$201,"&lt;01/12/2019",'PPa2019'!$P$2:$P$201,"F",'PPa2019'!$AA$2:$AA$201,"&gt;"&amp;EDATE('PPa2019'!$AP2,-6))</f>
        <v>0</v>
      </c>
      <c r="AR14" s="118">
        <f>COUNTIFS('PPa2019'!$AP$2:$AP$201,"&gt;31/10/2019",'PPa2019'!$AP$2:$AP$201,"&lt;01/12/2019",'PPa2019'!$P$2:$P$201,"H",'PPa2019'!$AA$2:$AA$201,"&lt;"&amp;EDATE('PPa2019'!$AP2,-6),'PPa2019'!$AA$2:$AA$201,"&gt;"&amp;EDATE('PPa2019'!$AP2,-11))</f>
        <v>0</v>
      </c>
      <c r="AS14" s="118">
        <f>COUNTIFS('PPa2019'!$AP$2:$AP$201,"&gt;31/10/2019",'PPa2019'!$AP$2:$AP$201,"&lt;01/12/2019",'PPa2019'!$P$2:$P$201,"F",'PPa2019'!$AA$2:$AA$201,"&lt;"&amp;EDATE('PPa2019'!$AP2,-6),'PPa2019'!$AA$2:$AA$201,"&gt;"&amp;EDATE('PPa2019'!$AP2,-11))</f>
        <v>0</v>
      </c>
      <c r="AT14" s="118">
        <f>COUNTIFS('PPa2019'!$AP$2:$AP$201,"&gt;31/10/2019",'PPa2019'!$AP$2:$AP$201,"&lt;01/12/2019",'PPa2019'!$P$2:$P$201,"H",'PPa2019'!$AA$2:$AA$201,"&lt;"&amp;EDATE('PPa2019'!$AP2,-11),'PPa2019'!$AA$2:$AA$201,"&gt;"&amp;EDATE('PPa2019'!$AP2,-23))</f>
        <v>0</v>
      </c>
      <c r="AU14" s="118">
        <f>COUNTIFS('PPa2019'!$AP$2:$AP$201,"&gt;31/10/2019",'PPa2019'!$AP$2:$AP$201,"&lt;01/12/2019",'PPa2019'!$P$2:$P$201,"F",'PPa2019'!$AA$2:$AA$201,"&lt;"&amp;EDATE('PPa2019'!$AP2,-11),'PPa2019'!$AA$2:$AA$201,"&gt;"&amp;EDATE('PPa2019'!$AP2,-23))</f>
        <v>0</v>
      </c>
      <c r="AV14" s="118">
        <f>COUNTIFS('PPa2019'!$AP$2:$AP$201,"&gt;31/10/2019",'PPa2019'!$AP$2:$AP$201,"&lt;01/12/2019",'PPa2019'!$P$2:$P$201,"H",'PPa2019'!$AA$2:$AA$201,"&lt;"&amp;EDATE('PPa2019'!$AP2,-23))</f>
        <v>0</v>
      </c>
      <c r="AW14" s="118">
        <f>COUNTIFS('PPa2019'!$AP$2:$AP$201,"&gt;31/10/2019",'PPa2019'!$AP$2:$AP$201,"&lt;01/12/2019",'PPa2019'!$P$2:$P$201,"F",'PPa2019'!$AA$2:$AA$201,"&lt;"&amp;EDATE('PPa2019'!$AP2,-23))</f>
        <v>0</v>
      </c>
      <c r="AX14" s="38">
        <f t="shared" si="5"/>
        <v>0</v>
      </c>
      <c r="AY14" s="118">
        <f>COUNTIFS('PPa2019'!$AP$2:$AP$201,"&gt;31/10/2019",'PPa2019'!$AP$2:$AP$201,"&lt;01/12/2019",'PPa2019'!$P$2:$P$201,"H",'PPa2019'!$T$2:$T$201,"Voiture")</f>
        <v>0</v>
      </c>
      <c r="AZ14" s="118">
        <f>COUNTIFS('PPa2019'!$AP$2:$AP$201,"&gt;31/10/2019",'PPa2019'!$AP$2:$AP$201,"&lt;01/12/2019",'PPa2019'!$P$2:$P$201,"F",'PPa2019'!$T$2:$T$201,"Voiture")</f>
        <v>0</v>
      </c>
      <c r="BA14" s="118">
        <f>COUNTIFS('PPa2019'!$AP$2:$AP$201,"&gt;31/10/2019",'PPa2019'!$AP$2:$AP$201,"&lt;01/12/2019",'PPa2019'!$P$2:$P$201,"H",'PPa2019'!$T$2:$T$201,"Moto")</f>
        <v>0</v>
      </c>
      <c r="BB14" s="118">
        <f>COUNTIFS('PPa2019'!$AP$2:$AP$201,"&gt;31/10/2019",'PPa2019'!$AP$2:$AP$201,"&lt;01/12/2019",'PPa2019'!$P$2:$P$201,"F",'PPa2019'!$T$2:$T$201,"Moto")</f>
        <v>0</v>
      </c>
      <c r="BC14" s="118">
        <f>COUNTIFS('PPa2019'!$AP$2:$AP$201,"&gt;31/10/2019",'PPa2019'!$AP$2:$AP$201,"&lt;01/12/2019",'PPa2019'!$P$2:$P$201,"H",'PPa2019'!$T$2:$T$201,"Scooter")</f>
        <v>0</v>
      </c>
      <c r="BD14" s="118">
        <f>COUNTIFS('PPa2019'!$AP$2:$AP$201,"&gt;31/10/2019",'PPa2019'!$AP$2:$AP$201,"&lt;01/12/2019",'PPa2019'!$P$2:$P$201,"F",'PPa2019'!$T$2:$T$201,"Scooter")</f>
        <v>0</v>
      </c>
      <c r="BE14" s="118">
        <f>COUNTIFS('PPa2019'!$AP$2:$AP$201,"&gt;31/10/2019",'PPa2019'!$AP$2:$AP$201,"&lt;01/12/2019",'PPa2019'!$P$2:$P$201,"H",'PPa2019'!$T$2:$T$201,"Vélo")</f>
        <v>0</v>
      </c>
      <c r="BF14" s="118">
        <f>COUNTIFS('PPa2019'!$AP$2:$AP$201,"&gt;31/10/2019",'PPa2019'!$AP$2:$AP$201,"&lt;01/12/2019",'PPa2019'!$P$2:$P$201,"F",'PPa2019'!$T$2:$T$201,"Vélo")</f>
        <v>0</v>
      </c>
      <c r="BG14" s="118">
        <f>COUNTIFS('PPa2019'!$AP$2:$AP$201,"&gt;31/10/2019",'PPa2019'!$AP$2:$AP$201,"&lt;01/12/2019",'PPa2019'!$P$2:$P$201,"H",'PPa2019'!$T$2:$T$201,"Bus")</f>
        <v>0</v>
      </c>
      <c r="BH14" s="118">
        <f>COUNTIFS('PPa2019'!$AP$2:$AP$201,"&gt;31/10/2019",'PPa2019'!$AP$2:$AP$201,"&lt;01/12/2019",'PPa2019'!$P$2:$P$201,"F",'PPa2019'!$T$2:$T$201,"Bus")</f>
        <v>0</v>
      </c>
      <c r="BI14" s="118">
        <f>COUNTIFS('PPa2019'!$AP$2:$AP$201,"&gt;31/10/2019",'PPa2019'!$AP$2:$AP$201,"&lt;01/12/2019",'PPa2019'!$P$2:$P$201,"H",'PPa2019'!$T$2:$T$201,"Covoiturage")</f>
        <v>0</v>
      </c>
      <c r="BJ14" s="118">
        <f>COUNTIFS('PPa2019'!$AP$2:$AP$201,"&gt;31/10/2019",'PPa2019'!$AP$2:$AP$201,"&lt;01/12/2019",'PPa2019'!$P$2:$P$201,"F",'PPa2019'!$T$2:$T$201,"Covoiturage")</f>
        <v>0</v>
      </c>
      <c r="BK14" s="118">
        <f>COUNTIFS('PPa2019'!$AP$2:$AP$201,"&gt;31/10/2019",'PPa2019'!$AP$2:$AP$201,"&lt;01/12/2019",'PPa2019'!$P$2:$P$201,"H",'PPa2019'!$T$2:$T$201,"Plusieurs")</f>
        <v>0</v>
      </c>
      <c r="BL14" s="118">
        <f>COUNTIFS('PPa2019'!$AP$2:$AP$201,"&gt;31/10/2019",'PPa2019'!$AP$2:$AP$201,"&lt;01/12/2019",'PPa2019'!$P$2:$P$201,"F",'PPa2019'!$T$2:$T$201,"Plusieurs")</f>
        <v>0</v>
      </c>
      <c r="BM14" s="118">
        <f>COUNTIFS('PPa2019'!$AP$2:$AP$201,"&gt;31/10/2019",'PPa2019'!$AP$2:$AP$201,"&lt;01/12/2019",'PPa2019'!$P$2:$P$201,"H",'PPa2019'!$T$2:$T$201,"Autre")</f>
        <v>0</v>
      </c>
      <c r="BN14" s="118">
        <f>COUNTIFS('PPa2019'!$AP$2:$AP$201,"&gt;31/10/2019",'PPa2019'!$AP$2:$AP$201,"&lt;01/12/2019",'PPa2019'!$P$2:$P$201,"F",'PPa2019'!$T$2:$T$201,"Autre")</f>
        <v>0</v>
      </c>
      <c r="BO14" s="38">
        <f t="shared" si="6"/>
        <v>0</v>
      </c>
      <c r="BP14" s="118" t="e">
        <f>COUNTIFS('PPa2019'!$AP$2:$AP$201,"&gt;31/10/2019",'PPa2019'!$AP$2:$AP$201,"&lt;01/12/2019",'PPa2019'!$P$2:$P$201,"H",'PPa2019'!#REF!,"CCLES")</f>
        <v>#REF!</v>
      </c>
      <c r="BQ14" s="118" t="e">
        <f>COUNTIFS('PPa2019'!$AP$2:$AP$201,"&gt;31/10/2019",'PPa2019'!$AP$2:$AP$201,"&lt;01/12/2019",'PPa2019'!$P$2:$P$201,"H",'PPa2019'!#REF!,"CCLES")</f>
        <v>#REF!</v>
      </c>
      <c r="BR14" s="118" t="e">
        <f>COUNTIFS('PPa2019'!$AP$2:$AP$201,"&gt;31/10/2019",'PPa2019'!$AP$2:$AP$201,"&lt;01/12/2019",'PPa2019'!$P$2:$P$201,"H",'PPa2019'!#REF!,"PPI")</f>
        <v>#REF!</v>
      </c>
      <c r="BS14" s="118" t="e">
        <f>COUNTIFS('PPa2019'!$AP$2:$AP$201,"&gt;31/10/2019",'PPa2019'!$AP$2:$AP$201,"&lt;01/12/2019",'PPa2019'!$P$2:$P$201,"H",'PPa2019'!#REF!,"PPI")</f>
        <v>#REF!</v>
      </c>
      <c r="BT14" s="118" t="e">
        <f>COUNTIFS('PPa2019'!$AP$2:$AP$201,"&gt;31/10/2019",'PPa2019'!$AP$2:$AP$201,"&lt;01/12/2019",'PPa2019'!$P$2:$P$201,"H",'PPa2019'!#REF!,"POP")</f>
        <v>#REF!</v>
      </c>
      <c r="BU14" s="118" t="e">
        <f>COUNTIFS('PPa2019'!$AP$2:$AP$201,"&gt;31/10/2019",'PPa2019'!$AP$2:$AP$201,"&lt;01/12/2019",'PPa2019'!$P$2:$P$201,"H",'PPa2019'!#REF!,"POP")</f>
        <v>#REF!</v>
      </c>
      <c r="BV14" s="118" t="e">
        <f>COUNTIFS('PPa2019'!$AP$2:$AP$201,"&gt;31/10/2019",'PPa2019'!$AP$2:$AP$201,"&lt;01/12/2019",'PPa2019'!$P$2:$P$201,"H",'PPa2019'!#REF!,"PREFOS")</f>
        <v>#REF!</v>
      </c>
      <c r="BW14" s="118" t="e">
        <f>COUNTIFS('PPa2019'!$AP$2:$AP$201,"&gt;31/10/2019",'PPa2019'!$AP$2:$AP$201,"&lt;01/12/2019",'PPa2019'!$P$2:$P$201,"H",'PPa2019'!#REF!,"PREFOS")</f>
        <v>#REF!</v>
      </c>
      <c r="BX14" s="118" t="e">
        <f>COUNTIFS('PPa2019'!$AP$2:$AP$201,"&gt;31/10/2019",'PPa2019'!$AP$2:$AP$201,"&lt;01/12/2019",'PPa2019'!$P$2:$P$201,"H",'PPa2019'!#REF!,"FLE")</f>
        <v>#REF!</v>
      </c>
      <c r="BY14" s="118" t="e">
        <f>COUNTIFS('PPa2019'!$AP$2:$AP$201,"&gt;31/10/2019",'PPa2019'!$AP$2:$AP$201,"&lt;01/12/2019",'PPa2019'!$P$2:$P$201,"H",'PPa2019'!#REF!,"FLE")</f>
        <v>#REF!</v>
      </c>
      <c r="BZ14" s="118" t="e">
        <f>COUNTIFS('PPa2019'!$AP$2:$AP$201,"&gt;31/10/2019",'PPa2019'!$AP$2:$AP$201,"&lt;01/12/2019",'PPa2019'!$P$2:$P$201,"H",'PPa2019'!#REF!,"MGI MIJEC")</f>
        <v>#REF!</v>
      </c>
      <c r="CA14" s="118" t="e">
        <f>COUNTIFS('PPa2019'!$AP$2:$AP$201,"&gt;31/10/2019",'PPa2019'!$AP$2:$AP$201,"&lt;01/12/2019",'PPa2019'!$P$2:$P$201,"H",'PPa2019'!#REF!,"MGI MIJEC")</f>
        <v>#REF!</v>
      </c>
      <c r="CB14" s="118" t="e">
        <f>COUNTIFS('PPa2019'!$AP$2:$AP$201,"&gt;31/10/2019",'PPa2019'!$AP$2:$AP$201,"&lt;01/12/2019",'PPa2019'!$P$2:$P$201,"H",'PPa2019'!#REF!,"CAQ")</f>
        <v>#REF!</v>
      </c>
      <c r="CC14" s="118" t="e">
        <f>COUNTIFS('PPa2019'!$AP$2:$AP$201,"&gt;31/10/2019",'PPa2019'!$AP$2:$AP$201,"&lt;01/12/2019",'PPa2019'!$P$2:$P$201,"H",'PPa2019'!#REF!,"CAQ")</f>
        <v>#REF!</v>
      </c>
      <c r="CD14" s="118" t="e">
        <f>COUNTIFS('PPa2019'!$AP$2:$AP$201,"&gt;31/10/2019",'PPa2019'!$AP$2:$AP$201,"&lt;01/12/2019",'PPa2019'!$P$2:$P$201,"H",'PPa2019'!#REF!,"QUALIF")</f>
        <v>#REF!</v>
      </c>
      <c r="CE14" s="118" t="e">
        <f>COUNTIFS('PPa2019'!$AP$2:$AP$201,"&gt;31/10/2019",'PPa2019'!$AP$2:$AP$201,"&lt;01/12/2019",'PPa2019'!$P$2:$P$201,"H",'PPa2019'!#REF!,"QUALIF")</f>
        <v>#REF!</v>
      </c>
      <c r="CF14" s="118" t="e">
        <f>COUNTIFS('PPa2019'!$AP$2:$AP$201,"&gt;31/10/2019",'PPa2019'!$AP$2:$AP$201,"&lt;01/12/2019",'PPa2019'!$P$2:$P$201,"H",'PPa2019'!#REF!,"ALTERN")</f>
        <v>#REF!</v>
      </c>
      <c r="CG14" s="118" t="e">
        <f>COUNTIFS('PPa2019'!$AP$2:$AP$201,"&gt;31/10/2019",'PPa2019'!$AP$2:$AP$201,"&lt;01/12/2019",'PPa2019'!$P$2:$P$201,"H",'PPa2019'!#REF!,"ALTERN")</f>
        <v>#REF!</v>
      </c>
      <c r="CH14" s="118" t="e">
        <f>COUNTIFS('PPa2019'!$AP$2:$AP$201,"&gt;31/10/2019",'PPa2019'!$AP$2:$AP$201,"&lt;01/12/2019",'PPa2019'!$P$2:$P$201,"H",'PPa2019'!#REF!,"EMPLOI")</f>
        <v>#REF!</v>
      </c>
      <c r="CI14" s="118" t="e">
        <f>COUNTIFS('PPa2019'!$AP$2:$AP$201,"&gt;31/10/2019",'PPa2019'!$AP$2:$AP$201,"&lt;01/12/2019",'PPa2019'!$P$2:$P$201,"H",'PPa2019'!#REF!,"EMPLOI")</f>
        <v>#REF!</v>
      </c>
      <c r="CJ14" s="118" t="e">
        <f>COUNTIFS('PPa2019'!$AP$2:$AP$201,"&gt;31/10/2019",'PPa2019'!$AP$2:$AP$201,"&lt;01/12/2019",'PPa2019'!$P$2:$P$201,"H",'PPa2019'!#REF!,"AUTRE")</f>
        <v>#REF!</v>
      </c>
      <c r="CK14" s="118" t="e">
        <f>COUNTIFS('PPa2019'!$AP$2:$AP$201,"&gt;31/10/2019",'PPa2019'!$AP$2:$AP$201,"&lt;01/12/2019",'PPa2019'!$P$2:$P$201,"H",'PPa2019'!#REF!,"AUTRE")</f>
        <v>#REF!</v>
      </c>
      <c r="CL14" s="38" t="e">
        <f t="shared" si="2"/>
        <v>#REF!</v>
      </c>
    </row>
    <row r="15" spans="1:90" x14ac:dyDescent="0.25">
      <c r="A15" s="45" t="s">
        <v>85</v>
      </c>
      <c r="B15" s="120">
        <f>COUNTIFS('PPa2019'!$AP$2:$AP$201,"&gt;30/11/2019",'PPa2019'!$AP$2:$AP$201,"&lt;01/01/2020",'PPa2019'!$P$2:$P$201,"H")</f>
        <v>0</v>
      </c>
      <c r="C15" s="120">
        <f>COUNTIFS('PPa2019'!$AP$2:$AP$201,"&gt;30/11/2019",'PPa2019'!$AP$2:$AP$201,"&lt;01/01/2020",'PPa2019'!$P$2:$P$201,"F")</f>
        <v>0</v>
      </c>
      <c r="D15" s="38">
        <f t="shared" si="3"/>
        <v>0</v>
      </c>
      <c r="E15" s="120">
        <f>COUNTIFS('PPa2019'!$AP$2:$AP$201,"&gt;30/11/2019",'PPa2019'!$AP$2:$AP$201,"&lt;01/01/2020",'PPa2019'!$P$2:$P$201,"H",'PPa2019'!$O$2:$O$201,"&lt;18")</f>
        <v>0</v>
      </c>
      <c r="F15" s="120">
        <f>COUNTIFS('PPa2019'!$AP$2:$AP$201,"&gt;30/11/2019",'PPa2019'!$AP$2:$AP$201,"&lt;01/01/2020",'PPa2019'!$P$2:$P$201,"F",'PPa2019'!$O$2:$O$201,"&lt;18")</f>
        <v>0</v>
      </c>
      <c r="G15" s="120">
        <f>COUNTIFS('PPa2019'!$AP$2:$AP$201,"&gt;30/11/2019",'PPa2019'!$AP$2:$AP$201,"&lt;01/01/2020",'PPa2019'!$P$2:$P$201,"H",'PPa2019'!$O$2:$O$201,"&gt;18",'PPa2019'!$O$2:$O$201,"&lt;26")</f>
        <v>0</v>
      </c>
      <c r="H15" s="120">
        <f>COUNTIFS('PPa2019'!$AP$2:$AP$201,"&gt;30/11/2019",'PPa2019'!$AP$2:$AP$201,"&lt;01/01/2020",'PPa2019'!$P$2:$P$201,"F",'PPa2019'!$O$2:$O$201,"&gt;18",'PPa2019'!$O$2:$O$201,"&lt;26")</f>
        <v>0</v>
      </c>
      <c r="I15" s="120">
        <f>COUNTIFS('PPa2019'!$AP$2:$AP$201,"&gt;30/11/2019",'PPa2019'!$AP$2:$AP$201,"&lt;01/01/2020",'PPa2019'!$P$2:$P$201,"H",'PPa2019'!$O$2:$O$201,"&gt;26",'PPa2019'!$O$2:$O$201,"&lt;31")</f>
        <v>0</v>
      </c>
      <c r="J15" s="120">
        <f>COUNTIFS('PPa2019'!$AP$2:$AP$201,"&gt;30/11/2019",'PPa2019'!$AP$2:$AP$201,"&lt;01/01/2020",'PPa2019'!$P$2:$P$201,"F",'PPa2019'!$O$2:$O$201,"&gt;26",'PPa2019'!$O$2:$O$201,"&lt;31")</f>
        <v>0</v>
      </c>
      <c r="K15" s="120">
        <f>COUNTIFS('PPa2019'!$AP$2:$AP$201,"&gt;30/11/2019",'PPa2019'!$AP$2:$AP$201,"&lt;01/01/2020",'PPa2019'!$P$2:$P$201,"H",'PPa2019'!$O$2:$O$201,"&gt;31",'PPa2019'!$O$2:$O$201,"&lt;36")</f>
        <v>0</v>
      </c>
      <c r="L15" s="120">
        <f>COUNTIFS('PPa2019'!$AP$2:$AP$201,"&gt;30/11/2019",'PPa2019'!$AP$2:$AP$201,"&lt;01/01/2020",'PPa2019'!$P$2:$P$201,"F",'PPa2019'!$O$2:$O$201,"&gt;31",'PPa2019'!$O$2:$O$201,"&lt;36")</f>
        <v>0</v>
      </c>
      <c r="M15" s="120">
        <f>COUNTIFS('PPa2019'!$AP$2:$AP$201,"&gt;30/11/2019",'PPa2019'!$AP$2:$AP$201,"&lt;01/01/2020",'PPa2019'!$P$2:$P$201,"H",'PPa2019'!$O$2:$O$201,"&gt;36",'PPa2019'!$O$2:$O$201,"&lt;41")</f>
        <v>0</v>
      </c>
      <c r="N15" s="120">
        <f>COUNTIFS('PPa2019'!$AP$2:$AP$201,"&gt;30/11/2019",'PPa2019'!$AP$2:$AP$201,"&lt;01/01/2020",'PPa2019'!$P$2:$P$201,"F",'PPa2019'!$O$2:$O$201,"&gt;36",'PPa2019'!$O$2:$O$201,"&lt;41")</f>
        <v>0</v>
      </c>
      <c r="O15" s="120">
        <f>COUNTIFS('PPa2019'!$AP$2:$AP$201,"&gt;30/11/2019",'PPa2019'!$AP$2:$AP$201,"&lt;01/01/2020",'PPa2019'!$P$2:$P$201,"H",'PPa2019'!$O$2:$O$201,"&gt;40")</f>
        <v>0</v>
      </c>
      <c r="P15" s="120">
        <f>COUNTIFS('PPa2019'!$AP$2:$AP$201,"&gt;30/11/2019",'PPa2019'!$AP$2:$AP$201,"&lt;01/01/2020",'PPa2019'!$P$2:$P$201,"F",'PPa2019'!$O$2:$O$201,"&gt;40")</f>
        <v>0</v>
      </c>
      <c r="Q15" s="38">
        <f t="shared" si="0"/>
        <v>0</v>
      </c>
      <c r="R15" s="119">
        <f>COUNTIFS('PPa2019'!$AP$2:$AP$201,"&gt;30/11/2019",'PPa2019'!$AP$2:$AP$201,"&lt;01/01/2020",'PPa2019'!$P$2:$P$201,"H",'PPa2019'!$AC$2:$AC$201,6)</f>
        <v>0</v>
      </c>
      <c r="S15" s="119">
        <f>COUNTIFS('PPa2019'!$AP$2:$AP$201,"&gt;30/11/2019",'PPa2019'!$AP$2:$AP$201,"&lt;01/01/2020",'PPa2019'!$P$2:$P$201,"F",'PPa2019'!$AC$2:$AC$201,6)</f>
        <v>0</v>
      </c>
      <c r="T15" s="119">
        <f>COUNTIFS('PPa2019'!$AP$2:$AP$201,"&gt;30/11/2019",'PPa2019'!$AP$2:$AP$201,"&lt;01/01/2020",'PPa2019'!$P$2:$P$201,"H",'PPa2019'!$AC$2:$AC$201,5)</f>
        <v>0</v>
      </c>
      <c r="U15" s="119">
        <f>COUNTIFS('PPa2019'!$AP$2:$AP$201,"&gt;30/11/2019",'PPa2019'!$AP$2:$AP$201,"&lt;01/01/2020",'PPa2019'!$P$2:$P$201,"F",'PPa2019'!$AC$2:$AC$201,5)</f>
        <v>0</v>
      </c>
      <c r="V15" s="119">
        <f>COUNTIFS('PPa2019'!$AP$2:$AP$201,"&gt;30/11/2019",'PPa2019'!$AP$2:$AP$201,"&lt;01/01/2020",'PPa2019'!$P$2:$P$201,"H",'PPa2019'!$AC$2:$AC$201,4)</f>
        <v>0</v>
      </c>
      <c r="W15" s="119">
        <f>COUNTIFS('PPa2019'!$AP$2:$AP$201,"&gt;30/11/2019",'PPa2019'!$AP$2:$AP$201,"&lt;01/01/2020",'PPa2019'!$P$2:$P$201,"F",'PPa2019'!$AC$2:$AC$201,4)</f>
        <v>0</v>
      </c>
      <c r="X15" s="119">
        <f>COUNTIFS('PPa2019'!$AP$2:$AP$201,"&gt;30/11/2019",'PPa2019'!$AP$2:$AP$201,"&lt;01/01/2020",'PPa2019'!$P$2:$P$201,"H",'PPa2019'!$AC$2:$AC$201,3)</f>
        <v>0</v>
      </c>
      <c r="Y15" s="119">
        <f>COUNTIFS('PPa2019'!$AP$2:$AP$201,"&gt;30/11/2019",'PPa2019'!$AP$2:$AP$201,"&lt;01/01/2020",'PPa2019'!$P$2:$P$201,"F",'PPa2019'!$AC$2:$AC$201,3)</f>
        <v>0</v>
      </c>
      <c r="Z15" s="119">
        <f>COUNTIFS('PPa2019'!$AP$2:$AP$201,"&gt;30/11/2019",'PPa2019'!$AP$2:$AP$201,"&lt;01/01/2020",'PPa2019'!$P$2:$P$201,"H",'PPa2019'!$AC$2:$AC$201,2)</f>
        <v>0</v>
      </c>
      <c r="AA15" s="119">
        <f>COUNTIFS('PPa2019'!$AP$2:$AP$201,"&gt;30/11/2019",'PPa2019'!$AP$2:$AP$201,"&lt;01/01/2020",'PPa2019'!$P$2:$P$201,"F",'PPa2019'!$AC$2:$AC$201,2)</f>
        <v>0</v>
      </c>
      <c r="AB15" s="119">
        <f>COUNTIFS('PPa2019'!$AP$2:$AP$201,"&gt;30/11/2019",'PPa2019'!$AP$2:$AP$201,"&lt;01/01/2020",'PPa2019'!$P$2:$P$201,"H",'PPa2019'!$AC$2:$AC$201,1)</f>
        <v>0</v>
      </c>
      <c r="AC15" s="119">
        <f>COUNTIFS('PPa2019'!$AP$2:$AP$201,"&gt;30/11/2019",'PPa2019'!$AP$2:$AP$201,"&lt;01/01/2020",'PPa2019'!$P$2:$P$201,"F",'PPa2019'!$AC$2:$AC$201,1)</f>
        <v>0</v>
      </c>
      <c r="AD15" s="38">
        <f t="shared" si="1"/>
        <v>0</v>
      </c>
      <c r="AE15" s="119" t="e">
        <f>COUNTIFS('PPa2019'!$AP$2:$AP$201,"&gt;30/11/2019",'PPa2019'!$AP$2:$AP$201,"&lt;01/01/2020",'PPa2019'!$P$2:$P$201,"H",'PPa2019'!#REF!,"CCLES")</f>
        <v>#REF!</v>
      </c>
      <c r="AF15" s="119" t="e">
        <f>COUNTIFS('PPa2019'!$AP$2:$AP$201,"&gt;30/11/2019",'PPa2019'!$AP$2:$AP$201,"&lt;01/01/2020",'PPa2019'!$P$2:$P$201,"F",'PPa2019'!#REF!,"CCLES")</f>
        <v>#REF!</v>
      </c>
      <c r="AG15" s="119">
        <f>COUNTIFS('PPa2019'!$AP$2:$AP$201,"&gt;30/11/2019",'PPa2019'!$AP$2:$AP$201,"&lt;01/01/2020",'PPa2019'!$P$2:$P$201,"H",'PPa2019'!$Y$2:$Y$201,"SALARIÉ")</f>
        <v>0</v>
      </c>
      <c r="AH15" s="119">
        <f>COUNTIFS('PPa2019'!$AP$2:$AP$201,"&gt;30/11/2019",'PPa2019'!$AP$2:$AP$201,"&lt;01/01/2020",'PPa2019'!$P$2:$P$201,"F",'PPa2019'!$Y$2:$Y$201,"SALARIÉ")</f>
        <v>0</v>
      </c>
      <c r="AI15" s="119">
        <f>COUNTIFS('PPa2019'!$AP$2:$AP$201,"&gt;30/11/2019",'PPa2019'!$AP$2:$AP$201,"&lt;01/01/2020",'PPa2019'!$P$2:$P$201,"H",'PPa2019'!$Y$2:$Y$201,"ÉTUDIANT")</f>
        <v>0</v>
      </c>
      <c r="AJ15" s="119">
        <f>COUNTIFS('PPa2019'!$AP$2:$AP$201,"&gt;30/11/2019",'PPa2019'!$AP$2:$AP$201,"&lt;01/01/2020",'PPa2019'!$P$2:$P$201,"F",'PPa2019'!$Y$2:$Y$201,"ÉTUDIANT")</f>
        <v>0</v>
      </c>
      <c r="AK15" s="119">
        <f>COUNTIFS('PPa2019'!$AP$2:$AP$201,"&gt;30/11/2019",'PPa2019'!$AP$2:$AP$201,"&lt;01/01/2020",'PPa2019'!$P$2:$P$201,"H",'PPa2019'!$Y$2:$Y$201,"RE")</f>
        <v>0</v>
      </c>
      <c r="AL15" s="119">
        <f>COUNTIFS('PPa2019'!$AP$2:$AP$201,"&gt;30/11/2019",'PPa2019'!$AP$2:$AP$201,"&lt;01/01/2020",'PPa2019'!$P$2:$P$201,"F",'PPa2019'!$Y$2:$Y$201,"RE")</f>
        <v>0</v>
      </c>
      <c r="AM15" s="119">
        <f>COUNTIFS('PPa2019'!$AP$2:$AP$201,"&gt;30/11/2019",'PPa2019'!$AP$2:$AP$201,"&lt;01/01/2020",'PPa2019'!$P$2:$P$201,"H",'PPa2019'!$Y$2:$Y$201,"AUTRE")</f>
        <v>0</v>
      </c>
      <c r="AN15" s="119">
        <f>COUNTIFS('PPa2019'!$AP$2:$AP$201,"&gt;30/11/2019",'PPa2019'!$AP$2:$AP$201,"&lt;01/01/2020",'PPa2019'!$P$2:$P$201,"F",'PPa2019'!$Y$2:$Y$201,"AUTRE")</f>
        <v>0</v>
      </c>
      <c r="AO15" s="38" t="e">
        <f t="shared" si="4"/>
        <v>#REF!</v>
      </c>
      <c r="AP15" s="119">
        <f>COUNTIFS('PPa2019'!$AP$2:$AP$201,"&gt;30/11/2019",'PPa2019'!$AP$2:$AP$201,"&lt;01/01/2020",'PPa2019'!$P$2:$P$201,"H",'PPa2019'!$AA$2:$AA$201,"&gt;"&amp;EDATE('PPa2019'!$AP2,-6))</f>
        <v>0</v>
      </c>
      <c r="AQ15" s="119">
        <f>COUNTIFS('PPa2019'!$AP$2:$AP$201,"&gt;30/11/2019",'PPa2019'!$AP$2:$AP$201,"&lt;01/01/2020",'PPa2019'!$P$2:$P$201,"F",'PPa2019'!$AA$2:$AA$201,"&gt;"&amp;EDATE('PPa2019'!$AP2,-6))</f>
        <v>0</v>
      </c>
      <c r="AR15" s="119">
        <f>COUNTIFS('PPa2019'!$AP$2:$AP$201,"&gt;30/11/2019",'PPa2019'!$AP$2:$AP$201,"&lt;01/01/2020",'PPa2019'!$P$2:$P$201,"H",'PPa2019'!$AA$2:$AA$201,"&lt;"&amp;EDATE('PPa2019'!$AP2,-6),'PPa2019'!$AA$2:$AA$201,"&gt;"&amp;EDATE('PPa2019'!$AP2,-11))</f>
        <v>0</v>
      </c>
      <c r="AS15" s="119">
        <f>COUNTIFS('PPa2019'!$AP$2:$AP$201,"&gt;30/11/2019",'PPa2019'!$AP$2:$AP$201,"&lt;01/01/2020",'PPa2019'!$P$2:$P$201,"F",'PPa2019'!$AA$2:$AA$201,"&lt;"&amp;EDATE('PPa2019'!$AP2,-6),'PPa2019'!$AA$2:$AA$201,"&gt;"&amp;EDATE('PPa2019'!$AP2,-11))</f>
        <v>0</v>
      </c>
      <c r="AT15" s="119">
        <f>COUNTIFS('PPa2019'!$AP$2:$AP$201,"&gt;30/11/2019",'PPa2019'!$AP$2:$AP$201,"&lt;01/01/2020",'PPa2019'!$P$2:$P$201,"H",'PPa2019'!$AA$2:$AA$201,"&lt;"&amp;EDATE('PPa2019'!$AP2,-11),'PPa2019'!$AA$2:$AA$201,"&gt;"&amp;EDATE('PPa2019'!$AP2,-23))</f>
        <v>0</v>
      </c>
      <c r="AU15" s="119">
        <f>COUNTIFS('PPa2019'!$AP$2:$AP$201,"&gt;30/11/2019",'PPa2019'!$AP$2:$AP$201,"&lt;01/01/2020",'PPa2019'!$P$2:$P$201,"F",'PPa2019'!$AA$2:$AA$201,"&lt;"&amp;EDATE('PPa2019'!$AP2,-11),'PPa2019'!$AA$2:$AA$201,"&gt;"&amp;EDATE('PPa2019'!$AP2,-23))</f>
        <v>0</v>
      </c>
      <c r="AV15" s="119">
        <f>COUNTIFS('PPa2019'!$AP$2:$AP$201,"&gt;30/11/2019",'PPa2019'!$AP$2:$AP$201,"&lt;01/01/2020",'PPa2019'!$P$2:$P$201,"H",'PPa2019'!$AA$2:$AA$201,"&lt;"&amp;EDATE('PPa2019'!$AP2,-23))</f>
        <v>0</v>
      </c>
      <c r="AW15" s="119">
        <f>COUNTIFS('PPa2019'!$AP$2:$AP$201,"&gt;30/11/2019",'PPa2019'!$AP$2:$AP$201,"&lt;01/01/2020",'PPa2019'!$P$2:$P$201,"F",'PPa2019'!$AA$2:$AA$201,"&lt;"&amp;EDATE('PPa2019'!$AP2,-23))</f>
        <v>0</v>
      </c>
      <c r="AX15" s="38">
        <f>SUM(AP15:AV15)</f>
        <v>0</v>
      </c>
      <c r="AY15" s="119">
        <f>COUNTIFS('PPa2019'!$AP$2:$AP$201,"&gt;30/11/2019",'PPa2019'!$AP$2:$AP$201,"&lt;01/01/2020",'PPa2019'!$P$2:$P$201,"H",'PPa2019'!$T$2:$T$201,"Voiture")</f>
        <v>0</v>
      </c>
      <c r="AZ15" s="119">
        <f>COUNTIFS('PPa2019'!$AP$2:$AP$201,"&gt;30/11/2019",'PPa2019'!$AP$2:$AP$201,"&lt;01/01/2020",'PPa2019'!$P$2:$P$201,"F",'PPa2019'!$T$2:$T$201,"Voiture")</f>
        <v>0</v>
      </c>
      <c r="BA15" s="119">
        <f>COUNTIFS('PPa2019'!$AP$2:$AP$201,"&gt;30/11/2019",'PPa2019'!$AP$2:$AP$201,"&lt;01/01/2020",'PPa2019'!$P$2:$P$201,"H",'PPa2019'!$T$2:$T$201,"Moto")</f>
        <v>0</v>
      </c>
      <c r="BB15" s="119">
        <f>COUNTIFS('PPa2019'!$AP$2:$AP$201,"&gt;30/11/2019",'PPa2019'!$AP$2:$AP$201,"&lt;01/01/2020",'PPa2019'!$P$2:$P$201,"F",'PPa2019'!$T$2:$T$201,"Moto")</f>
        <v>0</v>
      </c>
      <c r="BC15" s="119">
        <f>COUNTIFS('PPa2019'!$AP$2:$AP$201,"&gt;30/11/2019",'PPa2019'!$AP$2:$AP$201,"&lt;01/01/2020",'PPa2019'!$P$2:$P$201,"H",'PPa2019'!$T$2:$T$201,"Scooter")</f>
        <v>0</v>
      </c>
      <c r="BD15" s="119">
        <f>COUNTIFS('PPa2019'!$AP$2:$AP$201,"&gt;30/11/2019",'PPa2019'!$AP$2:$AP$201,"&lt;01/01/2020",'PPa2019'!$P$2:$P$201,"F",'PPa2019'!$T$2:$T$201,"Scooter")</f>
        <v>0</v>
      </c>
      <c r="BE15" s="119">
        <f>COUNTIFS('PPa2019'!$AP$2:$AP$201,"&gt;30/11/2019",'PPa2019'!$AP$2:$AP$201,"&lt;01/01/2020",'PPa2019'!$P$2:$P$201,"H",'PPa2019'!$T$2:$T$201,"Vélo")</f>
        <v>0</v>
      </c>
      <c r="BF15" s="119">
        <f>COUNTIFS('PPa2019'!$AP$2:$AP$201,"&gt;30/11/2019",'PPa2019'!$AP$2:$AP$201,"&lt;01/01/2020",'PPa2019'!$P$2:$P$201,"F",'PPa2019'!$T$2:$T$201,"Vélo")</f>
        <v>0</v>
      </c>
      <c r="BG15" s="119">
        <f>COUNTIFS('PPa2019'!$AP$2:$AP$201,"&gt;30/11/2019",'PPa2019'!$AP$2:$AP$201,"&lt;01/01/2020",'PPa2019'!$P$2:$P$201,"H",'PPa2019'!$T$2:$T$201,"Bus")</f>
        <v>0</v>
      </c>
      <c r="BH15" s="119">
        <f>COUNTIFS('PPa2019'!$AP$2:$AP$201,"&gt;30/11/2019",'PPa2019'!$AP$2:$AP$201,"&lt;01/01/2020",'PPa2019'!$P$2:$P$201,"F",'PPa2019'!$T$2:$T$201,"Bus")</f>
        <v>0</v>
      </c>
      <c r="BI15" s="119">
        <f>COUNTIFS('PPa2019'!$AP$2:$AP$201,"&gt;30/11/2019",'PPa2019'!$AP$2:$AP$201,"&lt;01/01/2020",'PPa2019'!$P$2:$P$201,"H",'PPa2019'!$T$2:$T$201,"Covoiturage")</f>
        <v>0</v>
      </c>
      <c r="BJ15" s="119">
        <f>COUNTIFS('PPa2019'!$AP$2:$AP$201,"&gt;30/11/2019",'PPa2019'!$AP$2:$AP$201,"&lt;01/01/2020",'PPa2019'!$P$2:$P$201,"F",'PPa2019'!$T$2:$T$201,"Covoiturage")</f>
        <v>0</v>
      </c>
      <c r="BK15" s="119">
        <f>COUNTIFS('PPa2019'!$AP$2:$AP$201,"&gt;30/11/2019",'PPa2019'!$AP$2:$AP$201,"&lt;01/01/2020",'PPa2019'!$P$2:$P$201,"H",'PPa2019'!$T$2:$T$201,"Plusieurs")</f>
        <v>0</v>
      </c>
      <c r="BL15" s="119">
        <f>COUNTIFS('PPa2019'!$AP$2:$AP$201,"&gt;30/11/2019",'PPa2019'!$AP$2:$AP$201,"&lt;01/01/2020",'PPa2019'!$P$2:$P$201,"F",'PPa2019'!$T$2:$T$201,"Plusieurs")</f>
        <v>0</v>
      </c>
      <c r="BM15" s="119">
        <f>COUNTIFS('PPa2019'!$AP$2:$AP$201,"&gt;30/11/2019",'PPa2019'!$AP$2:$AP$201,"&lt;01/01/2020",'PPa2019'!$P$2:$P$201,"H",'PPa2019'!$T$2:$T$201,"Autre")</f>
        <v>0</v>
      </c>
      <c r="BN15" s="119">
        <f>COUNTIFS('PPa2019'!$AP$2:$AP$201,"&gt;30/11/2019",'PPa2019'!$AP$2:$AP$201,"&lt;01/01/2020",'PPa2019'!$P$2:$P$201,"F",'PPa2019'!$T$2:$T$201,"Autre")</f>
        <v>0</v>
      </c>
      <c r="BO15" s="38">
        <f t="shared" si="6"/>
        <v>0</v>
      </c>
      <c r="BP15" s="119" t="e">
        <f>COUNTIFS('PPa2019'!$AP$2:$AP$201,"&gt;30/11/2019",'PPa2019'!$AP$2:$AP$201,"&lt;01/01/2020",'PPa2019'!$P$2:$P$201,"H",'PPa2019'!#REF!,"CCLES")</f>
        <v>#REF!</v>
      </c>
      <c r="BQ15" s="119" t="e">
        <f>COUNTIFS('PPa2019'!$AP$2:$AP$201,"&gt;30/11/2019",'PPa2019'!$AP$2:$AP$201,"&lt;01/01/2020",'PPa2019'!$P$2:$P$201,"H",'PPa2019'!#REF!,"CCLES")</f>
        <v>#REF!</v>
      </c>
      <c r="BR15" s="119" t="e">
        <f>COUNTIFS('PPa2019'!$AP$2:$AP$201,"&gt;30/11/2019",'PPa2019'!$AP$2:$AP$201,"&lt;01/01/2020",'PPa2019'!$P$2:$P$201,"H",'PPa2019'!#REF!,"PPI")</f>
        <v>#REF!</v>
      </c>
      <c r="BS15" s="119" t="e">
        <f>COUNTIFS('PPa2019'!$AP$2:$AP$201,"&gt;30/11/2019",'PPa2019'!$AP$2:$AP$201,"&lt;01/01/2020",'PPa2019'!$P$2:$P$201,"H",'PPa2019'!#REF!,"PPI")</f>
        <v>#REF!</v>
      </c>
      <c r="BT15" s="119" t="e">
        <f>COUNTIFS('PPa2019'!$AP$2:$AP$201,"&gt;30/11/2019",'PPa2019'!$AP$2:$AP$201,"&lt;01/01/2020",'PPa2019'!$P$2:$P$201,"H",'PPa2019'!#REF!,"POP")</f>
        <v>#REF!</v>
      </c>
      <c r="BU15" s="119" t="e">
        <f>COUNTIFS('PPa2019'!$AP$2:$AP$201,"&gt;30/11/2019",'PPa2019'!$AP$2:$AP$201,"&lt;01/01/2020",'PPa2019'!$P$2:$P$201,"H",'PPa2019'!#REF!,"POP")</f>
        <v>#REF!</v>
      </c>
      <c r="BV15" s="119" t="e">
        <f>COUNTIFS('PPa2019'!$AP$2:$AP$201,"&gt;30/11/2019",'PPa2019'!$AP$2:$AP$201,"&lt;01/01/2020",'PPa2019'!$P$2:$P$201,"H",'PPa2019'!#REF!,"PREFOS")</f>
        <v>#REF!</v>
      </c>
      <c r="BW15" s="119" t="e">
        <f>COUNTIFS('PPa2019'!$AP$2:$AP$201,"&gt;30/11/2019",'PPa2019'!$AP$2:$AP$201,"&lt;01/01/2020",'PPa2019'!$P$2:$P$201,"H",'PPa2019'!#REF!,"PREFOS")</f>
        <v>#REF!</v>
      </c>
      <c r="BX15" s="119" t="e">
        <f>COUNTIFS('PPa2019'!$AP$2:$AP$201,"&gt;30/11/2019",'PPa2019'!$AP$2:$AP$201,"&lt;01/01/2020",'PPa2019'!$P$2:$P$201,"H",'PPa2019'!#REF!,"FLE")</f>
        <v>#REF!</v>
      </c>
      <c r="BY15" s="119" t="e">
        <f>COUNTIFS('PPa2019'!$AP$2:$AP$201,"&gt;30/11/2019",'PPa2019'!$AP$2:$AP$201,"&lt;01/01/2020",'PPa2019'!$P$2:$P$201,"H",'PPa2019'!#REF!,"FLE")</f>
        <v>#REF!</v>
      </c>
      <c r="BZ15" s="119" t="e">
        <f>COUNTIFS('PPa2019'!$AP$2:$AP$201,"&gt;30/11/2019",'PPa2019'!$AP$2:$AP$201,"&lt;01/01/2020",'PPa2019'!$P$2:$P$201,"H",'PPa2019'!#REF!,"MGI MIJEC")</f>
        <v>#REF!</v>
      </c>
      <c r="CA15" s="119" t="e">
        <f>COUNTIFS('PPa2019'!$AP$2:$AP$201,"&gt;30/11/2019",'PPa2019'!$AP$2:$AP$201,"&lt;01/01/2020",'PPa2019'!$P$2:$P$201,"H",'PPa2019'!#REF!,"MGI MIJEC")</f>
        <v>#REF!</v>
      </c>
      <c r="CB15" s="119" t="e">
        <f>COUNTIFS('PPa2019'!$AP$2:$AP$201,"&gt;30/11/2019",'PPa2019'!$AP$2:$AP$201,"&lt;01/01/2020",'PPa2019'!$P$2:$P$201,"H",'PPa2019'!#REF!,"CAQ")</f>
        <v>#REF!</v>
      </c>
      <c r="CC15" s="119" t="e">
        <f>COUNTIFS('PPa2019'!$AP$2:$AP$201,"&gt;30/11/2019",'PPa2019'!$AP$2:$AP$201,"&lt;01/01/2020",'PPa2019'!$P$2:$P$201,"H",'PPa2019'!#REF!,"CAQ")</f>
        <v>#REF!</v>
      </c>
      <c r="CD15" s="119" t="e">
        <f>COUNTIFS('PPa2019'!$AP$2:$AP$201,"&gt;30/11/2019",'PPa2019'!$AP$2:$AP$201,"&lt;01/01/2020",'PPa2019'!$P$2:$P$201,"H",'PPa2019'!#REF!,"QUALIF")</f>
        <v>#REF!</v>
      </c>
      <c r="CE15" s="119" t="e">
        <f>COUNTIFS('PPa2019'!$AP$2:$AP$201,"&gt;30/11/2019",'PPa2019'!$AP$2:$AP$201,"&lt;01/01/2020",'PPa2019'!$P$2:$P$201,"H",'PPa2019'!#REF!,"QUALIF")</f>
        <v>#REF!</v>
      </c>
      <c r="CF15" s="119" t="e">
        <f>COUNTIFS('PPa2019'!$AP$2:$AP$201,"&gt;30/11/2019",'PPa2019'!$AP$2:$AP$201,"&lt;01/01/2020",'PPa2019'!$P$2:$P$201,"H",'PPa2019'!#REF!,"ALTERN")</f>
        <v>#REF!</v>
      </c>
      <c r="CG15" s="119" t="e">
        <f>COUNTIFS('PPa2019'!$AP$2:$AP$201,"&gt;30/11/2019",'PPa2019'!$AP$2:$AP$201,"&lt;01/01/2020",'PPa2019'!$P$2:$P$201,"H",'PPa2019'!#REF!,"ALTERN")</f>
        <v>#REF!</v>
      </c>
      <c r="CH15" s="119" t="e">
        <f>COUNTIFS('PPa2019'!$AP$2:$AP$201,"&gt;30/11/2019",'PPa2019'!$AP$2:$AP$201,"&lt;01/01/2020",'PPa2019'!$P$2:$P$201,"H",'PPa2019'!#REF!,"EMPLOI")</f>
        <v>#REF!</v>
      </c>
      <c r="CI15" s="119" t="e">
        <f>COUNTIFS('PPa2019'!$AP$2:$AP$201,"&gt;30/11/2019",'PPa2019'!$AP$2:$AP$201,"&lt;01/01/2020",'PPa2019'!$P$2:$P$201,"H",'PPa2019'!#REF!,"EMPLOI")</f>
        <v>#REF!</v>
      </c>
      <c r="CJ15" s="119" t="e">
        <f>COUNTIFS('PPa2019'!$AP$2:$AP$201,"&gt;30/11/2019",'PPa2019'!$AP$2:$AP$201,"&lt;01/01/2020",'PPa2019'!$P$2:$P$201,"H",'PPa2019'!#REF!,"AUTRE")</f>
        <v>#REF!</v>
      </c>
      <c r="CK15" s="119" t="e">
        <f>COUNTIFS('PPa2019'!$AP$2:$AP$201,"&gt;30/11/2019",'PPa2019'!$AP$2:$AP$201,"&lt;01/01/2020",'PPa2019'!$P$2:$P$201,"H",'PPa2019'!#REF!,"AUTRE")</f>
        <v>#REF!</v>
      </c>
      <c r="CL15" s="38" t="e">
        <f>SUM(CL2:CL14)</f>
        <v>#REF!</v>
      </c>
    </row>
    <row r="16" spans="1:90" ht="18" customHeight="1" x14ac:dyDescent="0.25">
      <c r="A16" s="36" t="s">
        <v>187</v>
      </c>
      <c r="B16" s="38">
        <f>SUM(B4:B15)</f>
        <v>0</v>
      </c>
      <c r="C16" s="38">
        <f>SUM(C4:C15)</f>
        <v>0</v>
      </c>
      <c r="D16" s="122">
        <f>SUM(D4:D15)</f>
        <v>0</v>
      </c>
      <c r="E16" s="83">
        <f>SUM(E4:E15)</f>
        <v>0</v>
      </c>
      <c r="F16" s="83">
        <f t="shared" ref="F16:P16" si="7">SUM(F4:F15)</f>
        <v>0</v>
      </c>
      <c r="G16" s="83">
        <f t="shared" si="7"/>
        <v>0</v>
      </c>
      <c r="H16" s="83">
        <f t="shared" si="7"/>
        <v>0</v>
      </c>
      <c r="I16" s="83">
        <f t="shared" si="7"/>
        <v>0</v>
      </c>
      <c r="J16" s="83">
        <f t="shared" si="7"/>
        <v>0</v>
      </c>
      <c r="K16" s="83">
        <f t="shared" si="7"/>
        <v>0</v>
      </c>
      <c r="L16" s="83">
        <f t="shared" si="7"/>
        <v>0</v>
      </c>
      <c r="M16" s="83">
        <f t="shared" si="7"/>
        <v>0</v>
      </c>
      <c r="N16" s="83">
        <f t="shared" si="7"/>
        <v>0</v>
      </c>
      <c r="O16" s="83">
        <f t="shared" si="7"/>
        <v>0</v>
      </c>
      <c r="P16" s="83">
        <f t="shared" si="7"/>
        <v>0</v>
      </c>
      <c r="Q16" s="85">
        <f>SUM(E16:P16)</f>
        <v>0</v>
      </c>
      <c r="R16" s="83">
        <f t="shared" ref="R16:AC16" si="8">SUM(R4:R15)</f>
        <v>0</v>
      </c>
      <c r="S16" s="83">
        <f t="shared" si="8"/>
        <v>0</v>
      </c>
      <c r="T16" s="83">
        <f t="shared" si="8"/>
        <v>0</v>
      </c>
      <c r="U16" s="83">
        <f t="shared" si="8"/>
        <v>0</v>
      </c>
      <c r="V16" s="83">
        <f t="shared" si="8"/>
        <v>0</v>
      </c>
      <c r="W16" s="83">
        <f t="shared" si="8"/>
        <v>0</v>
      </c>
      <c r="X16" s="83">
        <f t="shared" si="8"/>
        <v>0</v>
      </c>
      <c r="Y16" s="83">
        <f t="shared" si="8"/>
        <v>0</v>
      </c>
      <c r="Z16" s="83">
        <f t="shared" si="8"/>
        <v>0</v>
      </c>
      <c r="AA16" s="83">
        <f t="shared" si="8"/>
        <v>0</v>
      </c>
      <c r="AB16" s="83">
        <f t="shared" si="8"/>
        <v>0</v>
      </c>
      <c r="AC16" s="83">
        <f t="shared" si="8"/>
        <v>0</v>
      </c>
      <c r="AD16" s="84">
        <f>SUM(AD4:AD15)</f>
        <v>0</v>
      </c>
      <c r="AE16" s="90" t="e">
        <f t="shared" ref="AE16:AN16" si="9">SUM(AE4:AE15)</f>
        <v>#REF!</v>
      </c>
      <c r="AF16" s="90" t="e">
        <f t="shared" si="9"/>
        <v>#REF!</v>
      </c>
      <c r="AG16" s="90">
        <f t="shared" si="9"/>
        <v>0</v>
      </c>
      <c r="AH16" s="90">
        <f t="shared" si="9"/>
        <v>0</v>
      </c>
      <c r="AI16" s="90">
        <f t="shared" si="9"/>
        <v>0</v>
      </c>
      <c r="AJ16" s="90">
        <f t="shared" si="9"/>
        <v>0</v>
      </c>
      <c r="AK16" s="90">
        <f t="shared" si="9"/>
        <v>0</v>
      </c>
      <c r="AL16" s="90">
        <f t="shared" si="9"/>
        <v>0</v>
      </c>
      <c r="AM16" s="90">
        <f t="shared" si="9"/>
        <v>0</v>
      </c>
      <c r="AN16" s="90">
        <f t="shared" si="9"/>
        <v>0</v>
      </c>
      <c r="AO16" s="91" t="e">
        <f>SUM(AO4:AO15)</f>
        <v>#REF!</v>
      </c>
      <c r="AP16" s="90">
        <f t="shared" ref="AP16:AW16" si="10">SUM(AP4:AP15)</f>
        <v>0</v>
      </c>
      <c r="AQ16" s="90">
        <f t="shared" si="10"/>
        <v>0</v>
      </c>
      <c r="AR16" s="90">
        <f t="shared" si="10"/>
        <v>0</v>
      </c>
      <c r="AS16" s="90">
        <f>SUM(AS4:AS15)</f>
        <v>0</v>
      </c>
      <c r="AT16" s="90">
        <f t="shared" si="10"/>
        <v>0</v>
      </c>
      <c r="AU16" s="90">
        <f t="shared" si="10"/>
        <v>0</v>
      </c>
      <c r="AV16" s="90">
        <f t="shared" si="10"/>
        <v>0</v>
      </c>
      <c r="AW16" s="90">
        <f t="shared" si="10"/>
        <v>0</v>
      </c>
      <c r="AX16" s="91">
        <f>SUM(AX4:AX15)</f>
        <v>0</v>
      </c>
      <c r="AY16" s="90">
        <f t="shared" ref="AY16:BN16" si="11">SUM(AY4:AY15)</f>
        <v>0</v>
      </c>
      <c r="AZ16" s="90">
        <f t="shared" si="11"/>
        <v>0</v>
      </c>
      <c r="BA16" s="90">
        <f t="shared" si="11"/>
        <v>0</v>
      </c>
      <c r="BB16" s="90">
        <f t="shared" si="11"/>
        <v>0</v>
      </c>
      <c r="BC16" s="90">
        <f t="shared" si="11"/>
        <v>0</v>
      </c>
      <c r="BD16" s="90">
        <f t="shared" si="11"/>
        <v>0</v>
      </c>
      <c r="BE16" s="90">
        <f t="shared" si="11"/>
        <v>0</v>
      </c>
      <c r="BF16" s="90">
        <f t="shared" si="11"/>
        <v>0</v>
      </c>
      <c r="BG16" s="90">
        <f t="shared" si="11"/>
        <v>0</v>
      </c>
      <c r="BH16" s="90">
        <f t="shared" si="11"/>
        <v>0</v>
      </c>
      <c r="BI16" s="90">
        <f t="shared" si="11"/>
        <v>0</v>
      </c>
      <c r="BJ16" s="90">
        <f t="shared" si="11"/>
        <v>0</v>
      </c>
      <c r="BK16" s="90">
        <f t="shared" si="11"/>
        <v>0</v>
      </c>
      <c r="BL16" s="90">
        <f t="shared" si="11"/>
        <v>0</v>
      </c>
      <c r="BM16" s="90">
        <f t="shared" si="11"/>
        <v>0</v>
      </c>
      <c r="BN16" s="90">
        <f t="shared" si="11"/>
        <v>0</v>
      </c>
      <c r="BO16" s="91">
        <f>SUM(BO4:BO15)</f>
        <v>0</v>
      </c>
      <c r="BP16" s="90" t="e">
        <f t="shared" ref="BP16:CK16" si="12">SUM(BP4:BP15)</f>
        <v>#REF!</v>
      </c>
      <c r="BQ16" s="90" t="e">
        <f t="shared" si="12"/>
        <v>#REF!</v>
      </c>
      <c r="BR16" s="90" t="e">
        <f t="shared" si="12"/>
        <v>#REF!</v>
      </c>
      <c r="BS16" s="90" t="e">
        <f t="shared" si="12"/>
        <v>#REF!</v>
      </c>
      <c r="BT16" s="90" t="e">
        <f t="shared" si="12"/>
        <v>#REF!</v>
      </c>
      <c r="BU16" s="90" t="e">
        <f t="shared" si="12"/>
        <v>#REF!</v>
      </c>
      <c r="BV16" s="90" t="e">
        <f t="shared" si="12"/>
        <v>#REF!</v>
      </c>
      <c r="BW16" s="90" t="e">
        <f t="shared" si="12"/>
        <v>#REF!</v>
      </c>
      <c r="BX16" s="90" t="e">
        <f t="shared" si="12"/>
        <v>#REF!</v>
      </c>
      <c r="BY16" s="90" t="e">
        <f t="shared" si="12"/>
        <v>#REF!</v>
      </c>
      <c r="BZ16" s="90" t="e">
        <f t="shared" si="12"/>
        <v>#REF!</v>
      </c>
      <c r="CA16" s="90" t="e">
        <f t="shared" si="12"/>
        <v>#REF!</v>
      </c>
      <c r="CB16" s="90" t="e">
        <f t="shared" si="12"/>
        <v>#REF!</v>
      </c>
      <c r="CC16" s="90" t="e">
        <f t="shared" si="12"/>
        <v>#REF!</v>
      </c>
      <c r="CD16" s="90" t="e">
        <f t="shared" si="12"/>
        <v>#REF!</v>
      </c>
      <c r="CE16" s="90" t="e">
        <f t="shared" si="12"/>
        <v>#REF!</v>
      </c>
      <c r="CF16" s="90" t="e">
        <f t="shared" si="12"/>
        <v>#REF!</v>
      </c>
      <c r="CG16" s="90" t="e">
        <f t="shared" si="12"/>
        <v>#REF!</v>
      </c>
      <c r="CH16" s="90" t="e">
        <f t="shared" si="12"/>
        <v>#REF!</v>
      </c>
      <c r="CI16" s="90" t="e">
        <f t="shared" si="12"/>
        <v>#REF!</v>
      </c>
      <c r="CJ16" s="90" t="e">
        <f t="shared" si="12"/>
        <v>#REF!</v>
      </c>
      <c r="CK16" s="90" t="e">
        <f t="shared" si="12"/>
        <v>#REF!</v>
      </c>
      <c r="CL16" s="91" t="e">
        <f>SUM(CL4:CL15)</f>
        <v>#REF!</v>
      </c>
    </row>
    <row r="17" spans="1:90" ht="18" customHeight="1" x14ac:dyDescent="0.25">
      <c r="A17" s="36" t="s">
        <v>262</v>
      </c>
      <c r="B17" s="124" t="e">
        <f>B16/$B$18</f>
        <v>#DIV/0!</v>
      </c>
      <c r="C17" s="124" t="e">
        <f>C16/$B$18</f>
        <v>#DIV/0!</v>
      </c>
      <c r="D17" s="123" t="e">
        <f>SUM(B17:C17)</f>
        <v>#DIV/0!</v>
      </c>
      <c r="E17" s="163" t="e">
        <f>E16/E18</f>
        <v>#DIV/0!</v>
      </c>
      <c r="F17" s="163" t="e">
        <f>F16/E18</f>
        <v>#DIV/0!</v>
      </c>
      <c r="G17" s="163" t="e">
        <f>G16/G18</f>
        <v>#DIV/0!</v>
      </c>
      <c r="H17" s="163" t="e">
        <f>H16/G18</f>
        <v>#DIV/0!</v>
      </c>
      <c r="I17" s="163" t="e">
        <f>I16/I18</f>
        <v>#DIV/0!</v>
      </c>
      <c r="J17" s="163" t="e">
        <f>J16/I18</f>
        <v>#DIV/0!</v>
      </c>
      <c r="K17" s="163" t="e">
        <f>K16/K18</f>
        <v>#DIV/0!</v>
      </c>
      <c r="L17" s="163" t="e">
        <f>L16/K18</f>
        <v>#DIV/0!</v>
      </c>
      <c r="M17" s="163" t="e">
        <f>M16/M18</f>
        <v>#DIV/0!</v>
      </c>
      <c r="N17" s="163" t="e">
        <f>N16/M18</f>
        <v>#DIV/0!</v>
      </c>
      <c r="O17" s="163" t="e">
        <f>O16/O18</f>
        <v>#DIV/0!</v>
      </c>
      <c r="P17" s="163" t="e">
        <f>P16/O18</f>
        <v>#DIV/0!</v>
      </c>
      <c r="Q17" s="164"/>
      <c r="R17" s="163" t="e">
        <f>R16/R18</f>
        <v>#DIV/0!</v>
      </c>
      <c r="S17" s="163" t="e">
        <f>S16/R18</f>
        <v>#DIV/0!</v>
      </c>
      <c r="T17" s="163" t="e">
        <f>T16/T18</f>
        <v>#DIV/0!</v>
      </c>
      <c r="U17" s="163" t="e">
        <f>U16/T18</f>
        <v>#DIV/0!</v>
      </c>
      <c r="V17" s="163" t="e">
        <f>V16/V18</f>
        <v>#DIV/0!</v>
      </c>
      <c r="W17" s="163" t="e">
        <f>W16/V18</f>
        <v>#DIV/0!</v>
      </c>
      <c r="X17" s="163" t="e">
        <f>X16/X18</f>
        <v>#DIV/0!</v>
      </c>
      <c r="Y17" s="163" t="e">
        <f>Y16/X18</f>
        <v>#DIV/0!</v>
      </c>
      <c r="Z17" s="163" t="e">
        <f>Z16/Z18</f>
        <v>#DIV/0!</v>
      </c>
      <c r="AA17" s="163" t="e">
        <f>AA16/Z18</f>
        <v>#DIV/0!</v>
      </c>
      <c r="AB17" s="163" t="e">
        <f>AB16/AB18</f>
        <v>#DIV/0!</v>
      </c>
      <c r="AC17" s="163" t="e">
        <f>AC16/AB18</f>
        <v>#DIV/0!</v>
      </c>
      <c r="AD17" s="165"/>
      <c r="AE17" s="166" t="e">
        <f>AE16/AE18</f>
        <v>#REF!</v>
      </c>
      <c r="AF17" s="166" t="e">
        <f>AF16/AE18</f>
        <v>#REF!</v>
      </c>
      <c r="AG17" s="166" t="e">
        <f>AG16/AG18</f>
        <v>#DIV/0!</v>
      </c>
      <c r="AH17" s="166" t="e">
        <f>AH16/AG18</f>
        <v>#DIV/0!</v>
      </c>
      <c r="AI17" s="166" t="e">
        <f>AI16/AI18</f>
        <v>#DIV/0!</v>
      </c>
      <c r="AJ17" s="166" t="e">
        <f>AJ16/AI18</f>
        <v>#DIV/0!</v>
      </c>
      <c r="AK17" s="166" t="e">
        <f>AK16/AK18</f>
        <v>#DIV/0!</v>
      </c>
      <c r="AL17" s="166" t="e">
        <f>AL16/AK18</f>
        <v>#DIV/0!</v>
      </c>
      <c r="AM17" s="166" t="e">
        <f>AM16/AM18</f>
        <v>#DIV/0!</v>
      </c>
      <c r="AN17" s="166" t="e">
        <f>AN16/AM18</f>
        <v>#DIV/0!</v>
      </c>
      <c r="AO17" s="167"/>
      <c r="AP17" s="166" t="e">
        <f>AP16/AP18</f>
        <v>#DIV/0!</v>
      </c>
      <c r="AQ17" s="166" t="e">
        <f>AQ16/AP18</f>
        <v>#DIV/0!</v>
      </c>
      <c r="AR17" s="166" t="e">
        <f>AR16/AR18</f>
        <v>#DIV/0!</v>
      </c>
      <c r="AS17" s="166" t="e">
        <f>AS16/AR18</f>
        <v>#DIV/0!</v>
      </c>
      <c r="AT17" s="166" t="e">
        <f>AT16/AT18</f>
        <v>#DIV/0!</v>
      </c>
      <c r="AU17" s="166" t="e">
        <f>AU16/AT18</f>
        <v>#DIV/0!</v>
      </c>
      <c r="AV17" s="166" t="e">
        <f>AV16/AV18</f>
        <v>#DIV/0!</v>
      </c>
      <c r="AW17" s="166" t="e">
        <f>AW16/AV18</f>
        <v>#DIV/0!</v>
      </c>
      <c r="AX17" s="167"/>
      <c r="AY17" s="90" t="e">
        <f>AY16/AY18</f>
        <v>#DIV/0!</v>
      </c>
      <c r="AZ17" s="90" t="e">
        <f>AZ16/AY18</f>
        <v>#DIV/0!</v>
      </c>
      <c r="BA17" s="90" t="e">
        <f>BA16/BA18</f>
        <v>#DIV/0!</v>
      </c>
      <c r="BB17" s="90" t="e">
        <f>BB16/BA18</f>
        <v>#DIV/0!</v>
      </c>
      <c r="BC17" s="90" t="e">
        <f>BC16/BC18</f>
        <v>#DIV/0!</v>
      </c>
      <c r="BD17" s="90" t="e">
        <f>BD16/BC18</f>
        <v>#DIV/0!</v>
      </c>
      <c r="BE17" s="90" t="e">
        <f>BE16/BE18</f>
        <v>#DIV/0!</v>
      </c>
      <c r="BF17" s="90" t="e">
        <f>BF16/BE18</f>
        <v>#DIV/0!</v>
      </c>
      <c r="BG17" s="90" t="e">
        <f>BG16/BG18</f>
        <v>#DIV/0!</v>
      </c>
      <c r="BH17" s="90" t="e">
        <f>BH16/BG18</f>
        <v>#DIV/0!</v>
      </c>
      <c r="BI17" s="90" t="e">
        <f>BI16/BI18</f>
        <v>#DIV/0!</v>
      </c>
      <c r="BJ17" s="90" t="e">
        <f>BJ16/BI18</f>
        <v>#DIV/0!</v>
      </c>
      <c r="BK17" s="90" t="e">
        <f>BK16/BK18</f>
        <v>#DIV/0!</v>
      </c>
      <c r="BL17" s="90" t="e">
        <f>BL16/BK18</f>
        <v>#DIV/0!</v>
      </c>
      <c r="BM17" s="90" t="e">
        <f>BM16/BM18</f>
        <v>#DIV/0!</v>
      </c>
      <c r="BN17" s="90" t="e">
        <f>BN16/BM18</f>
        <v>#DIV/0!</v>
      </c>
      <c r="BO17" s="167"/>
      <c r="BP17" s="90" t="e">
        <f>BP16/BP18</f>
        <v>#REF!</v>
      </c>
      <c r="BQ17" s="90" t="e">
        <f>BQ16/BP18</f>
        <v>#REF!</v>
      </c>
      <c r="BR17" s="90" t="e">
        <f>BR16/BR18</f>
        <v>#REF!</v>
      </c>
      <c r="BS17" s="90" t="e">
        <f>BS16/BR18</f>
        <v>#REF!</v>
      </c>
      <c r="BT17" s="90" t="e">
        <f>BT16/BT18</f>
        <v>#REF!</v>
      </c>
      <c r="BU17" s="90" t="e">
        <f>BU16/BT18</f>
        <v>#REF!</v>
      </c>
      <c r="BV17" s="90" t="e">
        <f>BV16/BV18</f>
        <v>#REF!</v>
      </c>
      <c r="BW17" s="90" t="e">
        <f>BW16/BV18</f>
        <v>#REF!</v>
      </c>
      <c r="BX17" s="90" t="e">
        <f>BX16/BX18</f>
        <v>#REF!</v>
      </c>
      <c r="BY17" s="90" t="e">
        <f>BY16/BX18</f>
        <v>#REF!</v>
      </c>
      <c r="BZ17" s="90" t="e">
        <f>BZ16/BZ18</f>
        <v>#REF!</v>
      </c>
      <c r="CA17" s="90" t="e">
        <f>CA16/BZ18</f>
        <v>#REF!</v>
      </c>
      <c r="CB17" s="90" t="e">
        <f>CB16/CB18</f>
        <v>#REF!</v>
      </c>
      <c r="CC17" s="90" t="e">
        <f>CC16/CB18</f>
        <v>#REF!</v>
      </c>
      <c r="CD17" s="90" t="e">
        <f>CD16/CD18</f>
        <v>#REF!</v>
      </c>
      <c r="CE17" s="90" t="e">
        <f>CE16/CD18</f>
        <v>#REF!</v>
      </c>
      <c r="CF17" s="90" t="e">
        <f>CF16/CF18</f>
        <v>#REF!</v>
      </c>
      <c r="CG17" s="90" t="e">
        <f>CG16/CF18</f>
        <v>#REF!</v>
      </c>
      <c r="CH17" s="90" t="e">
        <f>CH16/CH18</f>
        <v>#REF!</v>
      </c>
      <c r="CI17" s="90" t="e">
        <f>CI16/CH18</f>
        <v>#REF!</v>
      </c>
      <c r="CJ17" s="90" t="e">
        <f>CJ16/CJ18</f>
        <v>#REF!</v>
      </c>
      <c r="CK17" s="90" t="e">
        <f>CK16/CJ18</f>
        <v>#REF!</v>
      </c>
      <c r="CL17" s="167"/>
    </row>
    <row r="18" spans="1:90" ht="18" customHeight="1" x14ac:dyDescent="0.25">
      <c r="A18" s="36" t="s">
        <v>86</v>
      </c>
      <c r="B18" s="356">
        <f>SUM(B16:C16)</f>
        <v>0</v>
      </c>
      <c r="C18" s="357"/>
      <c r="D18" s="82"/>
      <c r="E18" s="356">
        <f>SUM(E16:F16)</f>
        <v>0</v>
      </c>
      <c r="F18" s="357"/>
      <c r="G18" s="356">
        <f>SUM(G16:H16)</f>
        <v>0</v>
      </c>
      <c r="H18" s="357"/>
      <c r="I18" s="356">
        <f>SUM(I16:J16)</f>
        <v>0</v>
      </c>
      <c r="J18" s="357"/>
      <c r="K18" s="356">
        <f>SUM(K16:L16)</f>
        <v>0</v>
      </c>
      <c r="L18" s="357"/>
      <c r="M18" s="356">
        <f>SUM(M16:N16)</f>
        <v>0</v>
      </c>
      <c r="N18" s="357"/>
      <c r="O18" s="356">
        <f>SUM(O16:P16)</f>
        <v>0</v>
      </c>
      <c r="P18" s="357"/>
      <c r="Q18" s="86">
        <f>SUM(E18:P18)</f>
        <v>0</v>
      </c>
      <c r="R18" s="356">
        <f>SUM(R16:S16)</f>
        <v>0</v>
      </c>
      <c r="S18" s="357"/>
      <c r="T18" s="356">
        <f>SUM(T16:U16)</f>
        <v>0</v>
      </c>
      <c r="U18" s="357"/>
      <c r="V18" s="356">
        <f>SUM(V16:W16)</f>
        <v>0</v>
      </c>
      <c r="W18" s="357"/>
      <c r="X18" s="356">
        <f>SUM(X16:Y16)</f>
        <v>0</v>
      </c>
      <c r="Y18" s="357"/>
      <c r="Z18" s="356">
        <f>SUM(Z16:AA16)</f>
        <v>0</v>
      </c>
      <c r="AA18" s="357"/>
      <c r="AB18" s="356">
        <f>SUM(AB16:AC16)</f>
        <v>0</v>
      </c>
      <c r="AC18" s="357"/>
      <c r="AD18" s="37">
        <f>SUM(R18:AC18)</f>
        <v>0</v>
      </c>
      <c r="AE18" s="356" t="e">
        <f>SUM(AE16:AF16)</f>
        <v>#REF!</v>
      </c>
      <c r="AF18" s="357"/>
      <c r="AG18" s="356">
        <f>SUM(AG16:AH16)</f>
        <v>0</v>
      </c>
      <c r="AH18" s="357"/>
      <c r="AI18" s="356">
        <f>SUM(AI16:AJ16)</f>
        <v>0</v>
      </c>
      <c r="AJ18" s="357"/>
      <c r="AK18" s="356">
        <f>SUM(AK16:AL16)</f>
        <v>0</v>
      </c>
      <c r="AL18" s="357"/>
      <c r="AM18" s="356">
        <f>SUM(AM16:AN16)</f>
        <v>0</v>
      </c>
      <c r="AN18" s="357"/>
      <c r="AO18" s="37" t="e">
        <f>SUM(AE18:AJ18)</f>
        <v>#REF!</v>
      </c>
      <c r="AP18" s="356">
        <f t="shared" ref="AP18:AV18" si="13">SUM(AP16:AQ16)</f>
        <v>0</v>
      </c>
      <c r="AQ18" s="357"/>
      <c r="AR18" s="356">
        <f>SUM(AR16:AS16)</f>
        <v>0</v>
      </c>
      <c r="AS18" s="357"/>
      <c r="AT18" s="356">
        <f t="shared" si="13"/>
        <v>0</v>
      </c>
      <c r="AU18" s="357"/>
      <c r="AV18" s="356">
        <f t="shared" si="13"/>
        <v>0</v>
      </c>
      <c r="AW18" s="357"/>
      <c r="AX18" s="37">
        <f>SUM(AP18:AW18)</f>
        <v>0</v>
      </c>
      <c r="AY18" s="356">
        <f t="shared" ref="AY18:BM18" si="14">SUM(AY16:AZ16)</f>
        <v>0</v>
      </c>
      <c r="AZ18" s="357"/>
      <c r="BA18" s="356">
        <f>SUM(BA16:BB16)</f>
        <v>0</v>
      </c>
      <c r="BB18" s="357"/>
      <c r="BC18" s="356">
        <f t="shared" si="14"/>
        <v>0</v>
      </c>
      <c r="BD18" s="357"/>
      <c r="BE18" s="356">
        <f t="shared" si="14"/>
        <v>0</v>
      </c>
      <c r="BF18" s="357"/>
      <c r="BG18" s="356">
        <f t="shared" si="14"/>
        <v>0</v>
      </c>
      <c r="BH18" s="357"/>
      <c r="BI18" s="356">
        <f t="shared" si="14"/>
        <v>0</v>
      </c>
      <c r="BJ18" s="357"/>
      <c r="BK18" s="356">
        <f t="shared" si="14"/>
        <v>0</v>
      </c>
      <c r="BL18" s="357"/>
      <c r="BM18" s="356">
        <f t="shared" si="14"/>
        <v>0</v>
      </c>
      <c r="BN18" s="357"/>
      <c r="BO18" s="37">
        <f>SUM(AY18:BN18)</f>
        <v>0</v>
      </c>
      <c r="BP18" s="356" t="e">
        <f t="shared" ref="BP18:CJ18" si="15">SUM(BP16:BQ16)</f>
        <v>#REF!</v>
      </c>
      <c r="BQ18" s="357"/>
      <c r="BR18" s="356" t="e">
        <f t="shared" si="15"/>
        <v>#REF!</v>
      </c>
      <c r="BS18" s="357"/>
      <c r="BT18" s="356" t="e">
        <f t="shared" si="15"/>
        <v>#REF!</v>
      </c>
      <c r="BU18" s="357"/>
      <c r="BV18" s="356" t="e">
        <f t="shared" si="15"/>
        <v>#REF!</v>
      </c>
      <c r="BW18" s="357"/>
      <c r="BX18" s="356" t="e">
        <f t="shared" si="15"/>
        <v>#REF!</v>
      </c>
      <c r="BY18" s="357"/>
      <c r="BZ18" s="356" t="e">
        <f t="shared" si="15"/>
        <v>#REF!</v>
      </c>
      <c r="CA18" s="357"/>
      <c r="CB18" s="356" t="e">
        <f t="shared" si="15"/>
        <v>#REF!</v>
      </c>
      <c r="CC18" s="357"/>
      <c r="CD18" s="356" t="e">
        <f t="shared" si="15"/>
        <v>#REF!</v>
      </c>
      <c r="CE18" s="357"/>
      <c r="CF18" s="356" t="e">
        <f t="shared" si="15"/>
        <v>#REF!</v>
      </c>
      <c r="CG18" s="357"/>
      <c r="CH18" s="356" t="e">
        <f>SUM(CH16:CI16)</f>
        <v>#REF!</v>
      </c>
      <c r="CI18" s="357"/>
      <c r="CJ18" s="356" t="e">
        <f t="shared" si="15"/>
        <v>#REF!</v>
      </c>
      <c r="CK18" s="357"/>
      <c r="CL18" s="37" t="e">
        <f>SUM(BP18:CK18)</f>
        <v>#REF!</v>
      </c>
    </row>
    <row r="19" spans="1:90" ht="5.25" customHeight="1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</row>
    <row r="20" spans="1:90" x14ac:dyDescent="0.25">
      <c r="A20" s="31" t="s">
        <v>1</v>
      </c>
      <c r="B20" s="32"/>
      <c r="C20" s="32"/>
      <c r="D20" s="38">
        <f t="shared" ref="D20:D27" si="16">SUM(B20:C20)</f>
        <v>0</v>
      </c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8">
        <f t="shared" ref="Q20:Q27" si="17">SUM(F20:P20)</f>
        <v>0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8">
        <f t="shared" ref="AD20:AD27" si="18">SUM(R20:AB20)</f>
        <v>0</v>
      </c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8">
        <f>SUM(AE20:AN20)</f>
        <v>0</v>
      </c>
      <c r="AP20" s="32"/>
      <c r="AQ20" s="32"/>
      <c r="AR20" s="32"/>
      <c r="AS20" s="32"/>
      <c r="AT20" s="32"/>
      <c r="AU20" s="32"/>
      <c r="AV20" s="32"/>
      <c r="AW20" s="32"/>
      <c r="AX20" s="38">
        <f t="shared" ref="AX20:AX27" si="19">SUM(AP20:AV20)</f>
        <v>0</v>
      </c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8">
        <f t="shared" ref="BO20:BO27" si="20">SUM(AY20:BM20)</f>
        <v>0</v>
      </c>
    </row>
    <row r="21" spans="1:90" x14ac:dyDescent="0.25">
      <c r="A21" s="43" t="s">
        <v>2</v>
      </c>
      <c r="B21" s="34"/>
      <c r="C21" s="34"/>
      <c r="D21" s="38">
        <f t="shared" si="16"/>
        <v>0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8">
        <f t="shared" si="17"/>
        <v>0</v>
      </c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8">
        <f t="shared" si="18"/>
        <v>0</v>
      </c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8">
        <f t="shared" ref="AO21:AO27" si="21">SUM(AE21:AN21)</f>
        <v>0</v>
      </c>
      <c r="AP21" s="34"/>
      <c r="AQ21" s="34"/>
      <c r="AR21" s="34"/>
      <c r="AS21" s="34"/>
      <c r="AT21" s="34"/>
      <c r="AU21" s="34"/>
      <c r="AV21" s="34"/>
      <c r="AW21" s="34"/>
      <c r="AX21" s="38">
        <f t="shared" si="19"/>
        <v>0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8">
        <f t="shared" si="20"/>
        <v>0</v>
      </c>
    </row>
    <row r="22" spans="1:90" x14ac:dyDescent="0.25">
      <c r="A22" s="31" t="s">
        <v>3</v>
      </c>
      <c r="B22" s="32"/>
      <c r="C22" s="32"/>
      <c r="D22" s="38">
        <f t="shared" si="16"/>
        <v>0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8">
        <f t="shared" si="17"/>
        <v>0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8">
        <f t="shared" si="18"/>
        <v>0</v>
      </c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8">
        <f t="shared" si="21"/>
        <v>0</v>
      </c>
      <c r="AP22" s="32"/>
      <c r="AQ22" s="32"/>
      <c r="AR22" s="32"/>
      <c r="AS22" s="32"/>
      <c r="AT22" s="32"/>
      <c r="AU22" s="32"/>
      <c r="AV22" s="32"/>
      <c r="AW22" s="32"/>
      <c r="AX22" s="38">
        <f t="shared" si="19"/>
        <v>0</v>
      </c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8">
        <f t="shared" si="20"/>
        <v>0</v>
      </c>
    </row>
    <row r="23" spans="1:90" x14ac:dyDescent="0.25">
      <c r="A23" s="43" t="s">
        <v>4</v>
      </c>
      <c r="B23" s="34"/>
      <c r="C23" s="34"/>
      <c r="D23" s="38">
        <f t="shared" si="16"/>
        <v>0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8">
        <f t="shared" si="17"/>
        <v>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8">
        <f t="shared" si="18"/>
        <v>0</v>
      </c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8">
        <f t="shared" si="21"/>
        <v>0</v>
      </c>
      <c r="AP23" s="34"/>
      <c r="AQ23" s="34"/>
      <c r="AR23" s="34"/>
      <c r="AS23" s="34"/>
      <c r="AT23" s="34"/>
      <c r="AU23" s="34"/>
      <c r="AV23" s="34"/>
      <c r="AW23" s="34"/>
      <c r="AX23" s="38">
        <f t="shared" si="19"/>
        <v>0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8">
        <f t="shared" si="20"/>
        <v>0</v>
      </c>
    </row>
    <row r="24" spans="1:90" x14ac:dyDescent="0.25">
      <c r="A24" s="31" t="s">
        <v>5</v>
      </c>
      <c r="B24" s="32"/>
      <c r="C24" s="32"/>
      <c r="D24" s="38">
        <f t="shared" si="16"/>
        <v>0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8">
        <f t="shared" si="17"/>
        <v>0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8">
        <f t="shared" si="18"/>
        <v>0</v>
      </c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8">
        <f t="shared" si="21"/>
        <v>0</v>
      </c>
      <c r="AP24" s="32"/>
      <c r="AQ24" s="32"/>
      <c r="AR24" s="32"/>
      <c r="AS24" s="32"/>
      <c r="AT24" s="32"/>
      <c r="AU24" s="32"/>
      <c r="AV24" s="32"/>
      <c r="AW24" s="32"/>
      <c r="AX24" s="38">
        <f t="shared" si="19"/>
        <v>0</v>
      </c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8">
        <f t="shared" si="20"/>
        <v>0</v>
      </c>
    </row>
    <row r="25" spans="1:90" x14ac:dyDescent="0.25">
      <c r="A25" s="43" t="s">
        <v>6</v>
      </c>
      <c r="B25" s="34"/>
      <c r="C25" s="34"/>
      <c r="D25" s="38">
        <f t="shared" si="16"/>
        <v>0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8">
        <f t="shared" si="17"/>
        <v>0</v>
      </c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8">
        <f t="shared" si="18"/>
        <v>0</v>
      </c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8">
        <f t="shared" si="21"/>
        <v>0</v>
      </c>
      <c r="AP25" s="34"/>
      <c r="AQ25" s="34"/>
      <c r="AR25" s="34"/>
      <c r="AS25" s="34"/>
      <c r="AT25" s="34"/>
      <c r="AU25" s="34"/>
      <c r="AV25" s="34"/>
      <c r="AW25" s="34"/>
      <c r="AX25" s="38">
        <f t="shared" si="19"/>
        <v>0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8">
        <f t="shared" si="20"/>
        <v>0</v>
      </c>
    </row>
    <row r="26" spans="1:90" x14ac:dyDescent="0.25">
      <c r="A26" s="31" t="s">
        <v>7</v>
      </c>
      <c r="B26" s="32"/>
      <c r="C26" s="32"/>
      <c r="D26" s="38">
        <f t="shared" si="16"/>
        <v>0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8">
        <f t="shared" si="17"/>
        <v>0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8">
        <f t="shared" si="18"/>
        <v>0</v>
      </c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8">
        <f t="shared" si="21"/>
        <v>0</v>
      </c>
      <c r="AP26" s="32"/>
      <c r="AQ26" s="32"/>
      <c r="AR26" s="32"/>
      <c r="AS26" s="32"/>
      <c r="AT26" s="32"/>
      <c r="AU26" s="32"/>
      <c r="AV26" s="32"/>
      <c r="AW26" s="32"/>
      <c r="AX26" s="38">
        <f t="shared" si="19"/>
        <v>0</v>
      </c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8">
        <f t="shared" si="20"/>
        <v>0</v>
      </c>
    </row>
    <row r="27" spans="1:90" x14ac:dyDescent="0.25">
      <c r="A27" s="43" t="s">
        <v>8</v>
      </c>
      <c r="B27" s="34"/>
      <c r="C27" s="34"/>
      <c r="D27" s="38">
        <f t="shared" si="16"/>
        <v>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8">
        <f t="shared" si="17"/>
        <v>0</v>
      </c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8">
        <f t="shared" si="18"/>
        <v>0</v>
      </c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8">
        <f t="shared" si="21"/>
        <v>0</v>
      </c>
      <c r="AP27" s="34"/>
      <c r="AQ27" s="34"/>
      <c r="AR27" s="34"/>
      <c r="AS27" s="34"/>
      <c r="AT27" s="34"/>
      <c r="AU27" s="34"/>
      <c r="AV27" s="34"/>
      <c r="AW27" s="34"/>
      <c r="AX27" s="38">
        <f t="shared" si="19"/>
        <v>0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8">
        <f t="shared" si="20"/>
        <v>0</v>
      </c>
    </row>
    <row r="28" spans="1:90" ht="18" customHeight="1" x14ac:dyDescent="0.25">
      <c r="A28" s="36" t="s">
        <v>187</v>
      </c>
      <c r="B28" s="38">
        <f>SUM(B20:B27)</f>
        <v>0</v>
      </c>
      <c r="C28" s="38">
        <f>SUM(C20:C27)</f>
        <v>0</v>
      </c>
      <c r="D28" s="37">
        <f>SUM(D20:D27)</f>
        <v>0</v>
      </c>
      <c r="E28" s="83">
        <f t="shared" ref="E28:P28" si="22">SUM(E20:E27)</f>
        <v>0</v>
      </c>
      <c r="F28" s="83">
        <f t="shared" si="22"/>
        <v>0</v>
      </c>
      <c r="G28" s="83">
        <f t="shared" si="22"/>
        <v>0</v>
      </c>
      <c r="H28" s="83">
        <f t="shared" si="22"/>
        <v>0</v>
      </c>
      <c r="I28" s="83">
        <f t="shared" si="22"/>
        <v>0</v>
      </c>
      <c r="J28" s="83">
        <f t="shared" si="22"/>
        <v>0</v>
      </c>
      <c r="K28" s="83">
        <f t="shared" si="22"/>
        <v>0</v>
      </c>
      <c r="L28" s="83">
        <f t="shared" si="22"/>
        <v>0</v>
      </c>
      <c r="M28" s="83">
        <f t="shared" si="22"/>
        <v>0</v>
      </c>
      <c r="N28" s="83">
        <f t="shared" si="22"/>
        <v>0</v>
      </c>
      <c r="O28" s="83">
        <f t="shared" si="22"/>
        <v>0</v>
      </c>
      <c r="P28" s="83">
        <f t="shared" si="22"/>
        <v>0</v>
      </c>
      <c r="Q28" s="85">
        <f>SUM(E28:P28)</f>
        <v>0</v>
      </c>
      <c r="R28" s="83">
        <f t="shared" ref="R28:AC28" si="23">SUM(R20:R27)</f>
        <v>0</v>
      </c>
      <c r="S28" s="83">
        <f t="shared" si="23"/>
        <v>0</v>
      </c>
      <c r="T28" s="83">
        <f t="shared" si="23"/>
        <v>0</v>
      </c>
      <c r="U28" s="83">
        <f t="shared" si="23"/>
        <v>0</v>
      </c>
      <c r="V28" s="83">
        <f t="shared" si="23"/>
        <v>0</v>
      </c>
      <c r="W28" s="83">
        <f t="shared" si="23"/>
        <v>0</v>
      </c>
      <c r="X28" s="83">
        <f t="shared" si="23"/>
        <v>0</v>
      </c>
      <c r="Y28" s="83">
        <f>SUM(Y20:Y27)</f>
        <v>0</v>
      </c>
      <c r="Z28" s="83">
        <f t="shared" si="23"/>
        <v>0</v>
      </c>
      <c r="AA28" s="83">
        <f t="shared" si="23"/>
        <v>0</v>
      </c>
      <c r="AB28" s="83">
        <f t="shared" si="23"/>
        <v>0</v>
      </c>
      <c r="AC28" s="83">
        <f t="shared" si="23"/>
        <v>0</v>
      </c>
      <c r="AD28" s="84">
        <f>SUM(AD20:AD27)</f>
        <v>0</v>
      </c>
      <c r="AE28" s="90">
        <f t="shared" ref="AE28:AN28" si="24">SUM(AE20:AE27)</f>
        <v>0</v>
      </c>
      <c r="AF28" s="90">
        <f t="shared" si="24"/>
        <v>0</v>
      </c>
      <c r="AG28" s="90">
        <f t="shared" si="24"/>
        <v>0</v>
      </c>
      <c r="AH28" s="90">
        <f t="shared" si="24"/>
        <v>0</v>
      </c>
      <c r="AI28" s="90">
        <f t="shared" si="24"/>
        <v>0</v>
      </c>
      <c r="AJ28" s="90">
        <f t="shared" si="24"/>
        <v>0</v>
      </c>
      <c r="AK28" s="90">
        <f t="shared" si="24"/>
        <v>0</v>
      </c>
      <c r="AL28" s="90">
        <f t="shared" si="24"/>
        <v>0</v>
      </c>
      <c r="AM28" s="90">
        <f t="shared" si="24"/>
        <v>0</v>
      </c>
      <c r="AN28" s="90">
        <f t="shared" si="24"/>
        <v>0</v>
      </c>
      <c r="AO28" s="91">
        <f>SUM(AO20:AO27)</f>
        <v>0</v>
      </c>
      <c r="AP28" s="90">
        <f t="shared" ref="AP28:AW28" si="25">SUM(AP20:AP27)</f>
        <v>0</v>
      </c>
      <c r="AQ28" s="90">
        <f t="shared" si="25"/>
        <v>0</v>
      </c>
      <c r="AR28" s="90">
        <f t="shared" si="25"/>
        <v>0</v>
      </c>
      <c r="AS28" s="90">
        <f t="shared" si="25"/>
        <v>0</v>
      </c>
      <c r="AT28" s="90">
        <f t="shared" si="25"/>
        <v>0</v>
      </c>
      <c r="AU28" s="90">
        <f t="shared" si="25"/>
        <v>0</v>
      </c>
      <c r="AV28" s="90">
        <f t="shared" si="25"/>
        <v>0</v>
      </c>
      <c r="AW28" s="90">
        <f t="shared" si="25"/>
        <v>0</v>
      </c>
      <c r="AX28" s="91">
        <f>SUM(AX20:AX27)</f>
        <v>0</v>
      </c>
      <c r="AY28" s="90">
        <f t="shared" ref="AY28:BN28" si="26">SUM(AY20:AY27)</f>
        <v>0</v>
      </c>
      <c r="AZ28" s="90">
        <f t="shared" si="26"/>
        <v>0</v>
      </c>
      <c r="BA28" s="90"/>
      <c r="BB28" s="90"/>
      <c r="BC28" s="90"/>
      <c r="BD28" s="90"/>
      <c r="BE28" s="90"/>
      <c r="BF28" s="90"/>
      <c r="BG28" s="90">
        <f t="shared" si="26"/>
        <v>0</v>
      </c>
      <c r="BH28" s="90">
        <f t="shared" si="26"/>
        <v>0</v>
      </c>
      <c r="BI28" s="90">
        <f t="shared" si="26"/>
        <v>0</v>
      </c>
      <c r="BJ28" s="90">
        <f t="shared" si="26"/>
        <v>0</v>
      </c>
      <c r="BK28" s="90"/>
      <c r="BL28" s="90"/>
      <c r="BM28" s="90">
        <f t="shared" si="26"/>
        <v>0</v>
      </c>
      <c r="BN28" s="90">
        <f t="shared" si="26"/>
        <v>0</v>
      </c>
      <c r="BO28" s="91">
        <f>SUM(BO20:BO27)</f>
        <v>0</v>
      </c>
    </row>
    <row r="29" spans="1:90" ht="18" customHeight="1" x14ac:dyDescent="0.25">
      <c r="A29" s="36" t="s">
        <v>86</v>
      </c>
      <c r="B29" s="81"/>
      <c r="C29" s="81"/>
      <c r="D29" s="82"/>
      <c r="E29" s="356">
        <f>SUM(E28:F28)</f>
        <v>0</v>
      </c>
      <c r="F29" s="357"/>
      <c r="G29" s="356">
        <f>SUM(G28:H28)</f>
        <v>0</v>
      </c>
      <c r="H29" s="357"/>
      <c r="I29" s="356">
        <f>SUM(I28:J28)</f>
        <v>0</v>
      </c>
      <c r="J29" s="357"/>
      <c r="K29" s="356">
        <f>SUM(K28:L28)</f>
        <v>0</v>
      </c>
      <c r="L29" s="357"/>
      <c r="M29" s="356">
        <f>SUM(M28:N28)</f>
        <v>0</v>
      </c>
      <c r="N29" s="357"/>
      <c r="O29" s="356">
        <f>SUM(O28:P28)</f>
        <v>0</v>
      </c>
      <c r="P29" s="357"/>
      <c r="Q29" s="86">
        <f>SUM(E29:P29)</f>
        <v>0</v>
      </c>
      <c r="R29" s="356">
        <f>SUM(R28:S28)</f>
        <v>0</v>
      </c>
      <c r="S29" s="357"/>
      <c r="T29" s="356">
        <f>SUM(T28:U28)</f>
        <v>0</v>
      </c>
      <c r="U29" s="357"/>
      <c r="V29" s="356">
        <f>SUM(V28:W28)</f>
        <v>0</v>
      </c>
      <c r="W29" s="357"/>
      <c r="X29" s="356">
        <f>SUM(X28:Y28)</f>
        <v>0</v>
      </c>
      <c r="Y29" s="357"/>
      <c r="Z29" s="356">
        <f>SUM(Z28:AA28)</f>
        <v>0</v>
      </c>
      <c r="AA29" s="357"/>
      <c r="AB29" s="356">
        <f>SUM(AB28:AC28)</f>
        <v>0</v>
      </c>
      <c r="AC29" s="357"/>
      <c r="AD29" s="37">
        <f>SUM(R29:AC29)</f>
        <v>0</v>
      </c>
      <c r="AE29" s="356">
        <f t="shared" ref="AE29:AM29" si="27">SUM(AE28:AF28)</f>
        <v>0</v>
      </c>
      <c r="AF29" s="357"/>
      <c r="AG29" s="356">
        <f t="shared" si="27"/>
        <v>0</v>
      </c>
      <c r="AH29" s="357"/>
      <c r="AI29" s="356">
        <f t="shared" si="27"/>
        <v>0</v>
      </c>
      <c r="AJ29" s="357"/>
      <c r="AK29" s="356">
        <f t="shared" si="27"/>
        <v>0</v>
      </c>
      <c r="AL29" s="357"/>
      <c r="AM29" s="356">
        <f t="shared" si="27"/>
        <v>0</v>
      </c>
      <c r="AN29" s="357"/>
      <c r="AO29" s="37">
        <f>SUM(AE29:AJ29)</f>
        <v>0</v>
      </c>
      <c r="AP29" s="356">
        <f t="shared" ref="AP29:AV29" si="28">SUM(AP28:AQ28)</f>
        <v>0</v>
      </c>
      <c r="AQ29" s="357"/>
      <c r="AR29" s="356">
        <f t="shared" si="28"/>
        <v>0</v>
      </c>
      <c r="AS29" s="357"/>
      <c r="AT29" s="356">
        <f t="shared" si="28"/>
        <v>0</v>
      </c>
      <c r="AU29" s="357"/>
      <c r="AV29" s="356">
        <f t="shared" si="28"/>
        <v>0</v>
      </c>
      <c r="AW29" s="357"/>
      <c r="AX29" s="37">
        <f>SUM(AP29:AW29)</f>
        <v>0</v>
      </c>
      <c r="AY29" s="356">
        <f>SUM(AY28:AZ28)</f>
        <v>0</v>
      </c>
      <c r="AZ29" s="357"/>
      <c r="BA29" s="121"/>
      <c r="BB29" s="121"/>
      <c r="BC29" s="121"/>
      <c r="BD29" s="121"/>
      <c r="BE29" s="121"/>
      <c r="BF29" s="121"/>
      <c r="BG29" s="356">
        <f>SUM(BG28:BH28)</f>
        <v>0</v>
      </c>
      <c r="BH29" s="357"/>
      <c r="BI29" s="356">
        <f>SUM(BI28:BJ28)</f>
        <v>0</v>
      </c>
      <c r="BJ29" s="357"/>
      <c r="BK29" s="121"/>
      <c r="BL29" s="121"/>
      <c r="BM29" s="356">
        <f>SUM(BM28:BN28)</f>
        <v>0</v>
      </c>
      <c r="BN29" s="357"/>
      <c r="BO29" s="37">
        <f>SUM(AY29:BN29)</f>
        <v>0</v>
      </c>
    </row>
    <row r="30" spans="1:90" ht="5.25" customHeight="1" x14ac:dyDescent="0.2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</row>
    <row r="31" spans="1:90" x14ac:dyDescent="0.25">
      <c r="A31" s="31" t="s">
        <v>9</v>
      </c>
      <c r="B31" s="32"/>
      <c r="C31" s="32"/>
      <c r="D31" s="38">
        <f>SUM(B31:C31)</f>
        <v>0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8">
        <f>SUM(F31:P31)</f>
        <v>0</v>
      </c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8">
        <f>SUM(R31:AB31)</f>
        <v>0</v>
      </c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8">
        <f>SUM(AE31:AN31)</f>
        <v>0</v>
      </c>
      <c r="AP31" s="32"/>
      <c r="AQ31" s="32"/>
      <c r="AR31" s="32"/>
      <c r="AS31" s="32"/>
      <c r="AT31" s="32"/>
      <c r="AU31" s="32"/>
      <c r="AV31" s="32"/>
      <c r="AW31" s="32"/>
      <c r="AX31" s="38">
        <f>SUM(AP31:AV31)</f>
        <v>0</v>
      </c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8">
        <f>SUM(AY31:BM31)</f>
        <v>0</v>
      </c>
    </row>
    <row r="32" spans="1:90" x14ac:dyDescent="0.25">
      <c r="A32" s="43" t="s">
        <v>10</v>
      </c>
      <c r="B32" s="34"/>
      <c r="C32" s="34"/>
      <c r="D32" s="38">
        <f>SUM(B32:C32)</f>
        <v>0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8">
        <f>SUM(F32:P32)</f>
        <v>0</v>
      </c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8">
        <f>SUM(R32:AB32)</f>
        <v>0</v>
      </c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8">
        <f>SUM(AE32:AN32)</f>
        <v>0</v>
      </c>
      <c r="AP32" s="34"/>
      <c r="AQ32" s="34"/>
      <c r="AR32" s="34"/>
      <c r="AS32" s="34"/>
      <c r="AT32" s="34"/>
      <c r="AU32" s="34"/>
      <c r="AV32" s="34"/>
      <c r="AW32" s="34"/>
      <c r="AX32" s="38">
        <f>SUM(AP32:AV32)</f>
        <v>0</v>
      </c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8">
        <f>SUM(AY32:BM32)</f>
        <v>0</v>
      </c>
    </row>
    <row r="33" spans="1:67" x14ac:dyDescent="0.25">
      <c r="A33" s="31" t="s">
        <v>11</v>
      </c>
      <c r="B33" s="32"/>
      <c r="C33" s="32"/>
      <c r="D33" s="38">
        <f>SUM(B33:C33)</f>
        <v>0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8">
        <f>SUM(F33:P33)</f>
        <v>0</v>
      </c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8">
        <f>SUM(R33:AB33)</f>
        <v>0</v>
      </c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8">
        <f>SUM(AE33:AN33)</f>
        <v>0</v>
      </c>
      <c r="AP33" s="32"/>
      <c r="AQ33" s="32"/>
      <c r="AR33" s="32"/>
      <c r="AS33" s="32"/>
      <c r="AT33" s="32"/>
      <c r="AU33" s="32"/>
      <c r="AV33" s="32"/>
      <c r="AW33" s="32"/>
      <c r="AX33" s="38">
        <f>SUM(AP33:AV33)</f>
        <v>0</v>
      </c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8">
        <f>SUM(AY33:BM33)</f>
        <v>0</v>
      </c>
    </row>
    <row r="34" spans="1:67" x14ac:dyDescent="0.25">
      <c r="A34" s="43" t="s">
        <v>12</v>
      </c>
      <c r="B34" s="34"/>
      <c r="C34" s="34"/>
      <c r="D34" s="38">
        <f>SUM(B34:C34)</f>
        <v>0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8">
        <f>SUM(F34:P34)</f>
        <v>0</v>
      </c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8">
        <f>SUM(R34:AB34)</f>
        <v>0</v>
      </c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8">
        <f>SUM(AE34:AN34)</f>
        <v>0</v>
      </c>
      <c r="AP34" s="34"/>
      <c r="AQ34" s="34"/>
      <c r="AR34" s="34"/>
      <c r="AS34" s="34"/>
      <c r="AT34" s="34"/>
      <c r="AU34" s="34"/>
      <c r="AV34" s="34"/>
      <c r="AW34" s="34"/>
      <c r="AX34" s="38">
        <f>SUM(AP34:AV34)</f>
        <v>0</v>
      </c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8">
        <f>SUM(AY34:BM34)</f>
        <v>0</v>
      </c>
    </row>
    <row r="35" spans="1:67" x14ac:dyDescent="0.25">
      <c r="A35" s="31" t="s">
        <v>5</v>
      </c>
      <c r="B35" s="32"/>
      <c r="C35" s="32"/>
      <c r="D35" s="38">
        <f>SUM(B35:C35)</f>
        <v>0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8">
        <f>SUM(F35:P35)</f>
        <v>0</v>
      </c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8">
        <f>SUM(R35:AB35)</f>
        <v>0</v>
      </c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8">
        <f>SUM(AE35:AN35)</f>
        <v>0</v>
      </c>
      <c r="AP35" s="32"/>
      <c r="AQ35" s="32"/>
      <c r="AR35" s="32"/>
      <c r="AS35" s="32"/>
      <c r="AT35" s="32"/>
      <c r="AU35" s="32"/>
      <c r="AV35" s="32"/>
      <c r="AW35" s="32"/>
      <c r="AX35" s="38">
        <f>SUM(AP35:AV35)</f>
        <v>0</v>
      </c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8">
        <f>SUM(AY35:BM35)</f>
        <v>0</v>
      </c>
    </row>
    <row r="36" spans="1:67" ht="18" customHeight="1" x14ac:dyDescent="0.25">
      <c r="A36" s="36" t="s">
        <v>187</v>
      </c>
      <c r="B36" s="38">
        <f>SUM(B31:B35)</f>
        <v>0</v>
      </c>
      <c r="C36" s="38">
        <f>SUM(C31:C35)</f>
        <v>0</v>
      </c>
      <c r="D36" s="37">
        <f>SUM(D31:D35)</f>
        <v>0</v>
      </c>
      <c r="E36" s="83">
        <f t="shared" ref="E36:P36" si="29">SUM(E31:E35)</f>
        <v>0</v>
      </c>
      <c r="F36" s="83">
        <f t="shared" si="29"/>
        <v>0</v>
      </c>
      <c r="G36" s="83">
        <f t="shared" si="29"/>
        <v>0</v>
      </c>
      <c r="H36" s="83">
        <f t="shared" si="29"/>
        <v>0</v>
      </c>
      <c r="I36" s="83">
        <f t="shared" si="29"/>
        <v>0</v>
      </c>
      <c r="J36" s="83">
        <f t="shared" si="29"/>
        <v>0</v>
      </c>
      <c r="K36" s="83">
        <f t="shared" si="29"/>
        <v>0</v>
      </c>
      <c r="L36" s="83">
        <f t="shared" si="29"/>
        <v>0</v>
      </c>
      <c r="M36" s="83">
        <f t="shared" si="29"/>
        <v>0</v>
      </c>
      <c r="N36" s="83">
        <f t="shared" si="29"/>
        <v>0</v>
      </c>
      <c r="O36" s="83">
        <f t="shared" si="29"/>
        <v>0</v>
      </c>
      <c r="P36" s="83">
        <f t="shared" si="29"/>
        <v>0</v>
      </c>
      <c r="Q36" s="85">
        <f>SUM(E36:P36)</f>
        <v>0</v>
      </c>
      <c r="R36" s="83">
        <f t="shared" ref="R36:AB36" si="30">SUM(R31:R35)</f>
        <v>0</v>
      </c>
      <c r="S36" s="83">
        <f t="shared" si="30"/>
        <v>0</v>
      </c>
      <c r="T36" s="83">
        <f t="shared" si="30"/>
        <v>0</v>
      </c>
      <c r="U36" s="83">
        <f t="shared" si="30"/>
        <v>0</v>
      </c>
      <c r="V36" s="83">
        <f t="shared" si="30"/>
        <v>0</v>
      </c>
      <c r="W36" s="83">
        <f t="shared" si="30"/>
        <v>0</v>
      </c>
      <c r="X36" s="83">
        <f t="shared" si="30"/>
        <v>0</v>
      </c>
      <c r="Y36" s="83">
        <f t="shared" si="30"/>
        <v>0</v>
      </c>
      <c r="Z36" s="83">
        <f t="shared" si="30"/>
        <v>0</v>
      </c>
      <c r="AA36" s="83">
        <f t="shared" si="30"/>
        <v>0</v>
      </c>
      <c r="AB36" s="83">
        <f t="shared" si="30"/>
        <v>0</v>
      </c>
      <c r="AC36" s="83">
        <f>SUM(AC31:AC35)</f>
        <v>0</v>
      </c>
      <c r="AD36" s="84">
        <f>SUM(AD31:AD35)</f>
        <v>0</v>
      </c>
      <c r="AE36" s="90">
        <f t="shared" ref="AE36:AN36" si="31">SUM(AE31:AE35)</f>
        <v>0</v>
      </c>
      <c r="AF36" s="90">
        <f t="shared" si="31"/>
        <v>0</v>
      </c>
      <c r="AG36" s="90">
        <f t="shared" si="31"/>
        <v>0</v>
      </c>
      <c r="AH36" s="90">
        <f t="shared" si="31"/>
        <v>0</v>
      </c>
      <c r="AI36" s="90">
        <f t="shared" si="31"/>
        <v>0</v>
      </c>
      <c r="AJ36" s="90">
        <f t="shared" si="31"/>
        <v>0</v>
      </c>
      <c r="AK36" s="90">
        <f t="shared" si="31"/>
        <v>0</v>
      </c>
      <c r="AL36" s="90">
        <f t="shared" si="31"/>
        <v>0</v>
      </c>
      <c r="AM36" s="90">
        <f t="shared" si="31"/>
        <v>0</v>
      </c>
      <c r="AN36" s="90">
        <f t="shared" si="31"/>
        <v>0</v>
      </c>
      <c r="AO36" s="91">
        <f>SUM(AO31:AO35)</f>
        <v>0</v>
      </c>
      <c r="AP36" s="90">
        <f t="shared" ref="AP36:AW36" si="32">SUM(AP31:AP35)</f>
        <v>0</v>
      </c>
      <c r="AQ36" s="90">
        <f t="shared" si="32"/>
        <v>0</v>
      </c>
      <c r="AR36" s="90">
        <f t="shared" si="32"/>
        <v>0</v>
      </c>
      <c r="AS36" s="90">
        <f t="shared" si="32"/>
        <v>0</v>
      </c>
      <c r="AT36" s="90">
        <f t="shared" si="32"/>
        <v>0</v>
      </c>
      <c r="AU36" s="90">
        <f t="shared" si="32"/>
        <v>0</v>
      </c>
      <c r="AV36" s="90">
        <f t="shared" si="32"/>
        <v>0</v>
      </c>
      <c r="AW36" s="90">
        <f t="shared" si="32"/>
        <v>0</v>
      </c>
      <c r="AX36" s="91">
        <f>SUM(AX31:AX35)</f>
        <v>0</v>
      </c>
      <c r="AY36" s="90">
        <f t="shared" ref="AY36:BN36" si="33">SUM(AY31:AY35)</f>
        <v>0</v>
      </c>
      <c r="AZ36" s="90">
        <f t="shared" si="33"/>
        <v>0</v>
      </c>
      <c r="BA36" s="90"/>
      <c r="BB36" s="90"/>
      <c r="BC36" s="90"/>
      <c r="BD36" s="90"/>
      <c r="BE36" s="90"/>
      <c r="BF36" s="90"/>
      <c r="BG36" s="90">
        <f t="shared" si="33"/>
        <v>0</v>
      </c>
      <c r="BH36" s="90">
        <f t="shared" si="33"/>
        <v>0</v>
      </c>
      <c r="BI36" s="90">
        <f t="shared" si="33"/>
        <v>0</v>
      </c>
      <c r="BJ36" s="90">
        <f t="shared" si="33"/>
        <v>0</v>
      </c>
      <c r="BK36" s="90"/>
      <c r="BL36" s="90"/>
      <c r="BM36" s="90">
        <f t="shared" si="33"/>
        <v>0</v>
      </c>
      <c r="BN36" s="90">
        <f t="shared" si="33"/>
        <v>0</v>
      </c>
      <c r="BO36" s="91">
        <f>SUM(BO31:BO35)</f>
        <v>0</v>
      </c>
    </row>
    <row r="37" spans="1:67" ht="18" customHeight="1" x14ac:dyDescent="0.25">
      <c r="A37" s="36" t="s">
        <v>86</v>
      </c>
      <c r="B37" s="81"/>
      <c r="C37" s="81"/>
      <c r="D37" s="82"/>
      <c r="E37" s="356">
        <f>SUM(E36:F36)</f>
        <v>0</v>
      </c>
      <c r="F37" s="357"/>
      <c r="G37" s="356">
        <f>SUM(G36:H36)</f>
        <v>0</v>
      </c>
      <c r="H37" s="357"/>
      <c r="I37" s="356">
        <f>SUM(I36:J36)</f>
        <v>0</v>
      </c>
      <c r="J37" s="357"/>
      <c r="K37" s="356">
        <f>SUM(K36:L36)</f>
        <v>0</v>
      </c>
      <c r="L37" s="357"/>
      <c r="M37" s="356">
        <f>SUM(M36:N36)</f>
        <v>0</v>
      </c>
      <c r="N37" s="357"/>
      <c r="O37" s="356">
        <f>SUM(O36:P36)</f>
        <v>0</v>
      </c>
      <c r="P37" s="357"/>
      <c r="Q37" s="86">
        <f>SUM(E37:P37)</f>
        <v>0</v>
      </c>
      <c r="R37" s="356">
        <f>SUM(R36:S36)</f>
        <v>0</v>
      </c>
      <c r="S37" s="357"/>
      <c r="T37" s="356">
        <f>SUM(T36:U36)</f>
        <v>0</v>
      </c>
      <c r="U37" s="357"/>
      <c r="V37" s="356">
        <f>SUM(V36:W36)</f>
        <v>0</v>
      </c>
      <c r="W37" s="357"/>
      <c r="X37" s="356">
        <f>SUM(X36:Y36)</f>
        <v>0</v>
      </c>
      <c r="Y37" s="357"/>
      <c r="Z37" s="356">
        <f>SUM(Z36:AA36)</f>
        <v>0</v>
      </c>
      <c r="AA37" s="357"/>
      <c r="AB37" s="356">
        <f>SUM(AB36:AC36)</f>
        <v>0</v>
      </c>
      <c r="AC37" s="357"/>
      <c r="AD37" s="37">
        <f>SUM(R37:AC37)</f>
        <v>0</v>
      </c>
      <c r="AE37" s="356">
        <f t="shared" ref="AE37:AM37" si="34">SUM(AE36:AF36)</f>
        <v>0</v>
      </c>
      <c r="AF37" s="357"/>
      <c r="AG37" s="356">
        <f t="shared" si="34"/>
        <v>0</v>
      </c>
      <c r="AH37" s="357"/>
      <c r="AI37" s="356">
        <f t="shared" si="34"/>
        <v>0</v>
      </c>
      <c r="AJ37" s="357"/>
      <c r="AK37" s="356">
        <f t="shared" si="34"/>
        <v>0</v>
      </c>
      <c r="AL37" s="357"/>
      <c r="AM37" s="356">
        <f t="shared" si="34"/>
        <v>0</v>
      </c>
      <c r="AN37" s="357"/>
      <c r="AO37" s="37">
        <f>SUM(AE37:AJ37)</f>
        <v>0</v>
      </c>
      <c r="AP37" s="356">
        <f t="shared" ref="AP37:AV37" si="35">SUM(AP36:AQ36)</f>
        <v>0</v>
      </c>
      <c r="AQ37" s="357"/>
      <c r="AR37" s="356">
        <f t="shared" si="35"/>
        <v>0</v>
      </c>
      <c r="AS37" s="357"/>
      <c r="AT37" s="356">
        <f t="shared" si="35"/>
        <v>0</v>
      </c>
      <c r="AU37" s="357"/>
      <c r="AV37" s="356">
        <f t="shared" si="35"/>
        <v>0</v>
      </c>
      <c r="AW37" s="357"/>
      <c r="AX37" s="37">
        <f>SUM(AP37:AW37)</f>
        <v>0</v>
      </c>
      <c r="AY37" s="356">
        <f>SUM(AY36:AZ36)</f>
        <v>0</v>
      </c>
      <c r="AZ37" s="357"/>
      <c r="BA37" s="121"/>
      <c r="BB37" s="121"/>
      <c r="BC37" s="121"/>
      <c r="BD37" s="121"/>
      <c r="BE37" s="121"/>
      <c r="BF37" s="121"/>
      <c r="BG37" s="356">
        <f>SUM(BG36:BH36)</f>
        <v>0</v>
      </c>
      <c r="BH37" s="357"/>
      <c r="BI37" s="356">
        <f>SUM(BI36:BJ36)</f>
        <v>0</v>
      </c>
      <c r="BJ37" s="357"/>
      <c r="BK37" s="121"/>
      <c r="BL37" s="121"/>
      <c r="BM37" s="356">
        <f>SUM(BM36:BN36)</f>
        <v>0</v>
      </c>
      <c r="BN37" s="357"/>
      <c r="BO37" s="37">
        <f>SUM(AY37:BN37)</f>
        <v>0</v>
      </c>
    </row>
    <row r="38" spans="1:67" ht="5.25" customHeight="1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</row>
    <row r="40" spans="1:67" x14ac:dyDescent="0.25">
      <c r="A40" s="13" t="s">
        <v>106</v>
      </c>
      <c r="I40" s="13" t="s">
        <v>108</v>
      </c>
    </row>
    <row r="41" spans="1:67" x14ac:dyDescent="0.25">
      <c r="A41" s="13"/>
      <c r="F41" s="13"/>
    </row>
    <row r="42" spans="1:67" x14ac:dyDescent="0.25">
      <c r="A42" s="13"/>
      <c r="B42" s="46" t="s">
        <v>107</v>
      </c>
      <c r="H42" s="13"/>
      <c r="I42" s="13"/>
      <c r="J42" s="13"/>
      <c r="N42" s="87" t="s">
        <v>107</v>
      </c>
      <c r="O42" s="106"/>
      <c r="P42" s="106"/>
      <c r="Q42" s="103"/>
      <c r="R42" s="103"/>
      <c r="S42" s="103"/>
      <c r="T42" s="103"/>
      <c r="U42" s="103"/>
      <c r="V42" s="103"/>
    </row>
    <row r="43" spans="1:67" x14ac:dyDescent="0.25">
      <c r="A43" s="47"/>
      <c r="B43" s="362" t="s">
        <v>98</v>
      </c>
      <c r="C43" s="362"/>
      <c r="D43" s="362"/>
      <c r="E43" s="362" t="s">
        <v>99</v>
      </c>
      <c r="F43" s="362"/>
      <c r="G43" s="362"/>
      <c r="H43" s="362" t="s">
        <v>100</v>
      </c>
      <c r="I43" s="362"/>
      <c r="J43" s="362"/>
      <c r="K43" s="193" t="s">
        <v>287</v>
      </c>
      <c r="M43" s="107"/>
      <c r="N43" s="139" t="s">
        <v>98</v>
      </c>
      <c r="O43" s="140"/>
      <c r="P43" s="141"/>
      <c r="Q43" s="139" t="s">
        <v>99</v>
      </c>
      <c r="R43" s="140"/>
      <c r="S43" s="141"/>
      <c r="T43" s="139" t="s">
        <v>100</v>
      </c>
      <c r="U43" s="140"/>
      <c r="V43" s="141"/>
      <c r="W43" s="193" t="s">
        <v>287</v>
      </c>
    </row>
    <row r="44" spans="1:67" x14ac:dyDescent="0.25">
      <c r="A44" s="47"/>
      <c r="B44" s="108" t="s">
        <v>203</v>
      </c>
      <c r="C44" s="108" t="s">
        <v>202</v>
      </c>
      <c r="D44" s="33" t="s">
        <v>204</v>
      </c>
      <c r="E44" s="108" t="s">
        <v>203</v>
      </c>
      <c r="F44" s="108" t="s">
        <v>202</v>
      </c>
      <c r="G44" s="33" t="s">
        <v>204</v>
      </c>
      <c r="H44" s="108" t="s">
        <v>203</v>
      </c>
      <c r="I44" s="108" t="s">
        <v>202</v>
      </c>
      <c r="J44" s="33" t="s">
        <v>204</v>
      </c>
      <c r="K44" s="22" t="s">
        <v>204</v>
      </c>
      <c r="L44" s="196" t="s">
        <v>288</v>
      </c>
      <c r="M44" s="47"/>
      <c r="N44" s="108" t="s">
        <v>203</v>
      </c>
      <c r="O44" s="108" t="s">
        <v>202</v>
      </c>
      <c r="P44" s="138" t="s">
        <v>204</v>
      </c>
      <c r="Q44" s="108" t="s">
        <v>203</v>
      </c>
      <c r="R44" s="108" t="s">
        <v>202</v>
      </c>
      <c r="S44" s="138" t="s">
        <v>204</v>
      </c>
      <c r="T44" s="108" t="s">
        <v>203</v>
      </c>
      <c r="U44" s="108" t="s">
        <v>202</v>
      </c>
      <c r="V44" s="138" t="s">
        <v>204</v>
      </c>
      <c r="W44" s="22" t="s">
        <v>204</v>
      </c>
      <c r="X44" s="196" t="s">
        <v>288</v>
      </c>
    </row>
    <row r="45" spans="1:67" x14ac:dyDescent="0.25">
      <c r="A45" s="31" t="s">
        <v>1</v>
      </c>
      <c r="B45" s="170" t="e">
        <f>MIN('PPa2019'!$CL$2:$CL$201)</f>
        <v>#REF!</v>
      </c>
      <c r="C45" s="170" t="e">
        <f>MIN('PPa2019'!$BY$2:$BY$201)</f>
        <v>#REF!</v>
      </c>
      <c r="D45" s="187" t="e">
        <f>B45+C45</f>
        <v>#REF!</v>
      </c>
      <c r="E45" s="170" t="e">
        <f>MAX('PPa2019'!$CL$2:$CL$201)</f>
        <v>#REF!</v>
      </c>
      <c r="F45" s="170" t="e">
        <f>MAX('PPa2019'!$BY$2:$BY$201)</f>
        <v>#REF!</v>
      </c>
      <c r="G45" s="187" t="e">
        <f>E45+F45</f>
        <v>#REF!</v>
      </c>
      <c r="H45" s="170" t="e">
        <f>AVERAGE('PPa2019'!$CL$2:$CL$201)</f>
        <v>#REF!</v>
      </c>
      <c r="I45" s="170" t="e">
        <f>AVERAGE('PPa2019'!$BY$2:$BY$201)</f>
        <v>#REF!</v>
      </c>
      <c r="J45" s="187" t="e">
        <f>AVERAGE('PPa2019'!$BL$2:$BL$201)</f>
        <v>#REF!</v>
      </c>
      <c r="K45" s="197" t="e">
        <f>SUM('PPa2019'!$BL$2:$BL$201)</f>
        <v>#REF!</v>
      </c>
      <c r="L45" s="194" t="e">
        <f t="shared" ref="L45:L52" si="36">RANK(K45,$K$45:$K$52)</f>
        <v>#REF!</v>
      </c>
      <c r="M45" s="104" t="s">
        <v>9</v>
      </c>
      <c r="N45" s="189" t="e">
        <f>MIN('PPa2019'!$CT$2:$CT$201)</f>
        <v>#REF!</v>
      </c>
      <c r="O45" s="189" t="e">
        <f>MIN('PPa2019'!$CG$2:$CG$201)</f>
        <v>#REF!</v>
      </c>
      <c r="P45" s="191" t="e">
        <f>N45+O45</f>
        <v>#REF!</v>
      </c>
      <c r="Q45" s="189" t="e">
        <f>MAX('PPa2019'!$CT$2:$CT$201)</f>
        <v>#REF!</v>
      </c>
      <c r="R45" s="189" t="e">
        <f>MAX('PPa2019'!$CG$2:$CG$201)</f>
        <v>#REF!</v>
      </c>
      <c r="S45" s="191" t="e">
        <f>Q45+R45</f>
        <v>#REF!</v>
      </c>
      <c r="T45" s="189" t="e">
        <f>AVERAGE('PPa2019'!$CT$2:$CT$201)</f>
        <v>#REF!</v>
      </c>
      <c r="U45" s="189" t="e">
        <f>AVERAGE('PPa2019'!$CG$2:$CG$201)</f>
        <v>#REF!</v>
      </c>
      <c r="V45" s="191" t="e">
        <f>AVERAGE('PPa2019'!$BT$2:$BT$201)</f>
        <v>#REF!</v>
      </c>
      <c r="W45" s="197" t="e">
        <f>SUM('PPa2019'!$BT$2:$BT$201)</f>
        <v>#REF!</v>
      </c>
      <c r="X45" s="194" t="e">
        <f>RANK(W45,W45:W49)</f>
        <v>#REF!</v>
      </c>
    </row>
    <row r="46" spans="1:67" x14ac:dyDescent="0.25">
      <c r="A46" s="43" t="s">
        <v>2</v>
      </c>
      <c r="B46" s="171" t="e">
        <f>MIN('PPa2019'!$CM$2:$CM$201)</f>
        <v>#REF!</v>
      </c>
      <c r="C46" s="171" t="e">
        <f>MIN('PPa2019'!$BZ$2:$BZ$201)</f>
        <v>#REF!</v>
      </c>
      <c r="D46" s="188" t="e">
        <f t="shared" ref="D46:D52" si="37">B46+C46</f>
        <v>#REF!</v>
      </c>
      <c r="E46" s="171" t="e">
        <f>MAX('PPa2019'!$CM$2:$CM$201)</f>
        <v>#REF!</v>
      </c>
      <c r="F46" s="171" t="e">
        <f>MAX('PPa2019'!$BZ$2:$BZ$201)</f>
        <v>#REF!</v>
      </c>
      <c r="G46" s="188" t="e">
        <f t="shared" ref="G46:G52" si="38">E46+F46</f>
        <v>#REF!</v>
      </c>
      <c r="H46" s="171" t="e">
        <f>AVERAGE('PPa2019'!$CM$2:$CM$201)</f>
        <v>#REF!</v>
      </c>
      <c r="I46" s="171" t="e">
        <f>AVERAGE('PPa2019'!$BZ$2:$BZ$201)</f>
        <v>#REF!</v>
      </c>
      <c r="J46" s="188" t="e">
        <f>AVERAGE('PPa2019'!$BM$2:$BM$201)</f>
        <v>#REF!</v>
      </c>
      <c r="K46" s="197" t="e">
        <f>SUM('PPa2019'!$BM$2:$BM$201)</f>
        <v>#REF!</v>
      </c>
      <c r="L46" s="194" t="e">
        <f t="shared" si="36"/>
        <v>#REF!</v>
      </c>
      <c r="M46" s="105" t="s">
        <v>10</v>
      </c>
      <c r="N46" s="190" t="e">
        <f>MIN('PPa2019'!$CU$2:$CU$201)</f>
        <v>#REF!</v>
      </c>
      <c r="O46" s="190" t="e">
        <f>MIN('PPa2019'!$CH$2:$CH$201)</f>
        <v>#REF!</v>
      </c>
      <c r="P46" s="192" t="e">
        <f>N46+O46</f>
        <v>#REF!</v>
      </c>
      <c r="Q46" s="190" t="e">
        <f>MAX('PPa2019'!$CU$2:$CU$201)</f>
        <v>#REF!</v>
      </c>
      <c r="R46" s="190" t="e">
        <f>MAX('PPa2019'!$CH$2:$CH$201)</f>
        <v>#REF!</v>
      </c>
      <c r="S46" s="192" t="e">
        <f>Q46+R46</f>
        <v>#REF!</v>
      </c>
      <c r="T46" s="190" t="e">
        <f>AVERAGE('PPa2019'!$CU$2:$CU$201)</f>
        <v>#REF!</v>
      </c>
      <c r="U46" s="190" t="e">
        <f>AVERAGE('PPa2019'!$CH$2:$CH$201)</f>
        <v>#REF!</v>
      </c>
      <c r="V46" s="192" t="e">
        <f>AVERAGE('PPa2019'!$BU$2:$BU$201)</f>
        <v>#REF!</v>
      </c>
      <c r="W46" s="197" t="e">
        <f>SUM('PPa2019'!$BU$2:$BU$201)</f>
        <v>#REF!</v>
      </c>
      <c r="X46" s="194" t="e">
        <f>RANK(W46,W46:W50)</f>
        <v>#REF!</v>
      </c>
    </row>
    <row r="47" spans="1:67" x14ac:dyDescent="0.25">
      <c r="A47" s="31" t="s">
        <v>3</v>
      </c>
      <c r="B47" s="170" t="e">
        <f>MIN('PPa2019'!$CN$2:$CN$201)</f>
        <v>#REF!</v>
      </c>
      <c r="C47" s="170" t="e">
        <f>MIN('PPa2019'!$CA$2:$CA$201)</f>
        <v>#REF!</v>
      </c>
      <c r="D47" s="187" t="e">
        <f t="shared" si="37"/>
        <v>#REF!</v>
      </c>
      <c r="E47" s="170" t="e">
        <f>MAX('PPa2019'!$CN$2:$CN$201)</f>
        <v>#REF!</v>
      </c>
      <c r="F47" s="170" t="e">
        <f>MAX('PPa2019'!$CA$2:$CA$201)</f>
        <v>#REF!</v>
      </c>
      <c r="G47" s="187" t="e">
        <f t="shared" si="38"/>
        <v>#REF!</v>
      </c>
      <c r="H47" s="170" t="e">
        <f>AVERAGE('PPa2019'!$CN$2:$CN$201)</f>
        <v>#REF!</v>
      </c>
      <c r="I47" s="170" t="e">
        <f>AVERAGE('PPa2019'!$CA$2:$CA$201)</f>
        <v>#REF!</v>
      </c>
      <c r="J47" s="187" t="e">
        <f>AVERAGE('PPa2019'!$BN$2:$BN$201)</f>
        <v>#REF!</v>
      </c>
      <c r="K47" s="197" t="e">
        <f>SUM('PPa2019'!$BN$2:$BN$201)</f>
        <v>#REF!</v>
      </c>
      <c r="L47" s="194" t="e">
        <f t="shared" si="36"/>
        <v>#REF!</v>
      </c>
      <c r="M47" s="104" t="s">
        <v>11</v>
      </c>
      <c r="N47" s="189" t="e">
        <f>MIN('PPa2019'!$CV$2:$CV$201)</f>
        <v>#REF!</v>
      </c>
      <c r="O47" s="189" t="e">
        <f>MIN('PPa2019'!$CI$2:$CI$201)</f>
        <v>#REF!</v>
      </c>
      <c r="P47" s="191" t="e">
        <f>N47+O47</f>
        <v>#REF!</v>
      </c>
      <c r="Q47" s="189" t="e">
        <f>MAX('PPa2019'!$CV$2:$CV$201)</f>
        <v>#REF!</v>
      </c>
      <c r="R47" s="189" t="e">
        <f>MAX('PPa2019'!$CI$2:$CI$201)</f>
        <v>#REF!</v>
      </c>
      <c r="S47" s="191" t="e">
        <f>Q47+R47</f>
        <v>#REF!</v>
      </c>
      <c r="T47" s="189" t="e">
        <f>AVERAGE('PPa2019'!$CV$2:$CV$201)</f>
        <v>#REF!</v>
      </c>
      <c r="U47" s="189" t="e">
        <f>AVERAGE('PPa2019'!$CI$2:$CI$201)</f>
        <v>#REF!</v>
      </c>
      <c r="V47" s="191" t="e">
        <f>AVERAGE('PPa2019'!$BV$2:$BV$201)</f>
        <v>#REF!</v>
      </c>
      <c r="W47" s="197" t="e">
        <f>SUM('PPa2019'!$BV$2:$BV$201)</f>
        <v>#REF!</v>
      </c>
      <c r="X47" s="194" t="e">
        <f>RANK(W47,W47:W51)</f>
        <v>#REF!</v>
      </c>
    </row>
    <row r="48" spans="1:67" x14ac:dyDescent="0.25">
      <c r="A48" s="43" t="s">
        <v>4</v>
      </c>
      <c r="B48" s="171" t="e">
        <f>MIN('PPa2019'!$CO$2:$CO$201)</f>
        <v>#REF!</v>
      </c>
      <c r="C48" s="171" t="e">
        <f>MIN('PPa2019'!$CB$2:$CB$201)</f>
        <v>#REF!</v>
      </c>
      <c r="D48" s="188" t="e">
        <f t="shared" si="37"/>
        <v>#REF!</v>
      </c>
      <c r="E48" s="171" t="e">
        <f>MAX('PPa2019'!$CO$2:$CO$201)</f>
        <v>#REF!</v>
      </c>
      <c r="F48" s="171" t="e">
        <f>MAX('PPa2019'!$CB$2:$CB$201)</f>
        <v>#REF!</v>
      </c>
      <c r="G48" s="188" t="e">
        <f t="shared" si="38"/>
        <v>#REF!</v>
      </c>
      <c r="H48" s="171" t="e">
        <f>AVERAGE('PPa2019'!$CO$2:$CO$201)</f>
        <v>#REF!</v>
      </c>
      <c r="I48" s="171" t="e">
        <f>AVERAGE('PPa2019'!$CB$2:$CB$201)</f>
        <v>#REF!</v>
      </c>
      <c r="J48" s="188" t="e">
        <f>AVERAGE('PPa2019'!$BO$2:$BO$201)</f>
        <v>#REF!</v>
      </c>
      <c r="K48" s="197" t="e">
        <f>SUM('PPa2019'!$BO$2:$BO$201)</f>
        <v>#REF!</v>
      </c>
      <c r="L48" s="194" t="e">
        <f t="shared" si="36"/>
        <v>#REF!</v>
      </c>
      <c r="M48" s="105" t="s">
        <v>12</v>
      </c>
      <c r="N48" s="190" t="e">
        <f>MIN('PPa2019'!$CW$2:$CW$201)</f>
        <v>#REF!</v>
      </c>
      <c r="O48" s="190" t="e">
        <f>MIN('PPa2019'!$CJ$2:$CJ$201)</f>
        <v>#REF!</v>
      </c>
      <c r="P48" s="192" t="e">
        <f>N48+O48</f>
        <v>#REF!</v>
      </c>
      <c r="Q48" s="190" t="e">
        <f>MAX('PPa2019'!$CW$2:$CW$201)</f>
        <v>#REF!</v>
      </c>
      <c r="R48" s="190" t="e">
        <f>MAX('PPa2019'!$CJ$2:$CJ$201)</f>
        <v>#REF!</v>
      </c>
      <c r="S48" s="192" t="e">
        <f>Q48+R48</f>
        <v>#REF!</v>
      </c>
      <c r="T48" s="190" t="e">
        <f>AVERAGE('PPa2019'!$CW$2:$CW$201)</f>
        <v>#REF!</v>
      </c>
      <c r="U48" s="190" t="e">
        <f>AVERAGE('PPa2019'!$CJ$2:$CJ$201)</f>
        <v>#REF!</v>
      </c>
      <c r="V48" s="192" t="e">
        <f>AVERAGE('PPa2019'!$BW$2:$BW$201)</f>
        <v>#REF!</v>
      </c>
      <c r="W48" s="197" t="e">
        <f>SUM('PPa2019'!$BW$2:$BW$201)</f>
        <v>#REF!</v>
      </c>
      <c r="X48" s="194" t="e">
        <f>RANK(W48,W48:W52)</f>
        <v>#REF!</v>
      </c>
    </row>
    <row r="49" spans="1:24" x14ac:dyDescent="0.25">
      <c r="A49" s="31" t="s">
        <v>5</v>
      </c>
      <c r="B49" s="170" t="e">
        <f>MIN('PPa2019'!$CP$2:$CP$201)</f>
        <v>#REF!</v>
      </c>
      <c r="C49" s="170" t="e">
        <f>MIN('PPa2019'!$CC$2:$CC$201)</f>
        <v>#REF!</v>
      </c>
      <c r="D49" s="187" t="e">
        <f t="shared" si="37"/>
        <v>#REF!</v>
      </c>
      <c r="E49" s="170" t="e">
        <f>MAX('PPa2019'!$CP$2:$CP$201)</f>
        <v>#REF!</v>
      </c>
      <c r="F49" s="170" t="e">
        <f>MAX('PPa2019'!$CC$2:$CC$201)</f>
        <v>#REF!</v>
      </c>
      <c r="G49" s="187" t="e">
        <f t="shared" si="38"/>
        <v>#REF!</v>
      </c>
      <c r="H49" s="170" t="e">
        <f>AVERAGE('PPa2019'!$CP$2:$CP$201)</f>
        <v>#REF!</v>
      </c>
      <c r="I49" s="170" t="e">
        <f>AVERAGE('PPa2019'!$CC$2:$CC$201)</f>
        <v>#REF!</v>
      </c>
      <c r="J49" s="187" t="e">
        <f>AVERAGE('PPa2019'!$BP$2:$BP$201)</f>
        <v>#REF!</v>
      </c>
      <c r="K49" s="197" t="e">
        <f>SUM('PPa2019'!$BP$2:$BP$201)</f>
        <v>#REF!</v>
      </c>
      <c r="L49" s="194" t="e">
        <f t="shared" si="36"/>
        <v>#REF!</v>
      </c>
      <c r="M49" s="104" t="s">
        <v>13</v>
      </c>
      <c r="N49" s="189" t="e">
        <f>MIN('PPa2019'!$CX$2:$CX$201)</f>
        <v>#REF!</v>
      </c>
      <c r="O49" s="189" t="e">
        <f>MIN('PPa2019'!$CK$2:$CK$201)</f>
        <v>#REF!</v>
      </c>
      <c r="P49" s="191" t="e">
        <f>N49+O49</f>
        <v>#REF!</v>
      </c>
      <c r="Q49" s="189" t="e">
        <f>MAX('PPa2019'!$CX$2:$CX$201)</f>
        <v>#REF!</v>
      </c>
      <c r="R49" s="189" t="e">
        <f>MAX('PPa2019'!$CK$2:$CK$201)</f>
        <v>#REF!</v>
      </c>
      <c r="S49" s="191" t="e">
        <f>Q49+R49</f>
        <v>#REF!</v>
      </c>
      <c r="T49" s="189" t="e">
        <f>AVERAGE('PPa2019'!$CX$2:$CX$201)</f>
        <v>#REF!</v>
      </c>
      <c r="U49" s="189" t="e">
        <f>AVERAGE('PPa2019'!$CK$2:$CK$201)</f>
        <v>#REF!</v>
      </c>
      <c r="V49" s="191" t="e">
        <f>AVERAGE('PPa2019'!$BX$2:$BX$201)</f>
        <v>#REF!</v>
      </c>
      <c r="W49" s="197" t="e">
        <f>SUM('PPa2019'!$BX$2:$BX$201)</f>
        <v>#REF!</v>
      </c>
      <c r="X49" s="194" t="e">
        <f>RANK(W49,W49:W53)</f>
        <v>#REF!</v>
      </c>
    </row>
    <row r="50" spans="1:24" x14ac:dyDescent="0.25">
      <c r="A50" s="43" t="s">
        <v>6</v>
      </c>
      <c r="B50" s="171" t="e">
        <f>MIN('PPa2019'!$CQ$2:$CQ$201)</f>
        <v>#REF!</v>
      </c>
      <c r="C50" s="171" t="e">
        <f>MIN('PPa2019'!$CD$2:$CD$201)</f>
        <v>#REF!</v>
      </c>
      <c r="D50" s="188" t="e">
        <f t="shared" si="37"/>
        <v>#REF!</v>
      </c>
      <c r="E50" s="171" t="e">
        <f>MAX('PPa2019'!$CQ$2:$CQ$201)</f>
        <v>#REF!</v>
      </c>
      <c r="F50" s="171" t="e">
        <f>MAX('PPa2019'!$CD$2:$CD$201)</f>
        <v>#REF!</v>
      </c>
      <c r="G50" s="188" t="e">
        <f t="shared" si="38"/>
        <v>#REF!</v>
      </c>
      <c r="H50" s="171" t="e">
        <f>AVERAGE('PPa2019'!$CQ$2:$CQ$201)</f>
        <v>#REF!</v>
      </c>
      <c r="I50" s="171" t="e">
        <f>AVERAGE('PPa2019'!$CD$2:$CD$201)</f>
        <v>#REF!</v>
      </c>
      <c r="J50" s="188" t="e">
        <f>AVERAGE('PPa2019'!$BQ$2:$BQ$201)</f>
        <v>#REF!</v>
      </c>
      <c r="K50" s="197" t="e">
        <f>SUM('PPa2019'!$BQ$2:$BQ$201)</f>
        <v>#REF!</v>
      </c>
      <c r="L50" s="195" t="e">
        <f t="shared" si="36"/>
        <v>#REF!</v>
      </c>
      <c r="M50" s="48"/>
      <c r="N50" s="48"/>
      <c r="O50" s="48"/>
    </row>
    <row r="51" spans="1:24" x14ac:dyDescent="0.25">
      <c r="A51" s="31" t="s">
        <v>7</v>
      </c>
      <c r="B51" s="170" t="e">
        <f>MIN('PPa2019'!$CR$2:$CR$201)</f>
        <v>#REF!</v>
      </c>
      <c r="C51" s="170" t="e">
        <f>MIN('PPa2019'!$CE$2:$CE$201)</f>
        <v>#REF!</v>
      </c>
      <c r="D51" s="187" t="e">
        <f t="shared" si="37"/>
        <v>#REF!</v>
      </c>
      <c r="E51" s="170" t="e">
        <f>MAX('PPa2019'!$CR$2:$CR$201)</f>
        <v>#REF!</v>
      </c>
      <c r="F51" s="170" t="e">
        <f>MAX('PPa2019'!$CE$2:$CE$201)</f>
        <v>#REF!</v>
      </c>
      <c r="G51" s="187" t="e">
        <f t="shared" si="38"/>
        <v>#REF!</v>
      </c>
      <c r="H51" s="170" t="e">
        <f>AVERAGE('PPa2019'!$CR$2:$CR$201)</f>
        <v>#REF!</v>
      </c>
      <c r="I51" s="170" t="e">
        <f>AVERAGE('PPa2019'!$CE$2:$CE$201)</f>
        <v>#REF!</v>
      </c>
      <c r="J51" s="187" t="e">
        <f>AVERAGE('PPa2019'!$BR$2:$BR$201)</f>
        <v>#REF!</v>
      </c>
      <c r="K51" s="197" t="e">
        <f>SUM('PPa2019'!$BR$2:$BR$201)</f>
        <v>#REF!</v>
      </c>
      <c r="L51" s="195" t="e">
        <f t="shared" si="36"/>
        <v>#REF!</v>
      </c>
      <c r="M51" s="48"/>
      <c r="N51" s="48"/>
      <c r="O51" s="48"/>
    </row>
    <row r="52" spans="1:24" x14ac:dyDescent="0.25">
      <c r="A52" s="43" t="s">
        <v>8</v>
      </c>
      <c r="B52" s="171" t="e">
        <f>MIN('PPa2019'!$CS$2:$CS$201)</f>
        <v>#REF!</v>
      </c>
      <c r="C52" s="171" t="e">
        <f>MIN('PPa2019'!$CF$2:$CF$201)</f>
        <v>#REF!</v>
      </c>
      <c r="D52" s="188" t="e">
        <f t="shared" si="37"/>
        <v>#REF!</v>
      </c>
      <c r="E52" s="171" t="e">
        <f>MAX('PPa2019'!$CS$2:$CS$201)</f>
        <v>#REF!</v>
      </c>
      <c r="F52" s="171" t="e">
        <f>MAX('PPa2019'!$CF$2:$CF$201)</f>
        <v>#REF!</v>
      </c>
      <c r="G52" s="188" t="e">
        <f t="shared" si="38"/>
        <v>#REF!</v>
      </c>
      <c r="H52" s="171" t="e">
        <f>AVERAGE('PPa2019'!$CS$2:$CS$201)</f>
        <v>#REF!</v>
      </c>
      <c r="I52" s="171" t="e">
        <f>AVERAGE('PPa2019'!$CF$2:$CF$201)</f>
        <v>#REF!</v>
      </c>
      <c r="J52" s="188" t="e">
        <f>AVERAGE('PPa2019'!$BS$2:$BS$201)</f>
        <v>#REF!</v>
      </c>
      <c r="K52" s="197" t="e">
        <f>SUM('PPa2019'!$BS$2:$BS$201)</f>
        <v>#REF!</v>
      </c>
      <c r="L52" s="195" t="e">
        <f t="shared" si="36"/>
        <v>#REF!</v>
      </c>
      <c r="M52" s="48"/>
      <c r="N52" s="48"/>
      <c r="O52" s="48"/>
    </row>
    <row r="54" spans="1:24" x14ac:dyDescent="0.25">
      <c r="A54" s="55" t="s">
        <v>58</v>
      </c>
      <c r="F54" s="55" t="s">
        <v>178</v>
      </c>
    </row>
    <row r="56" spans="1:24" x14ac:dyDescent="0.25">
      <c r="A56" s="49"/>
      <c r="B56" s="33" t="s">
        <v>90</v>
      </c>
      <c r="C56" s="33" t="s">
        <v>91</v>
      </c>
      <c r="D56" s="36" t="s">
        <v>86</v>
      </c>
      <c r="F56" s="46" t="s">
        <v>59</v>
      </c>
      <c r="G56" s="33" t="s">
        <v>157</v>
      </c>
      <c r="H56" s="33" t="s">
        <v>158</v>
      </c>
      <c r="I56" s="33" t="s">
        <v>159</v>
      </c>
      <c r="J56" s="33" t="s">
        <v>160</v>
      </c>
      <c r="K56" s="33" t="s">
        <v>161</v>
      </c>
      <c r="L56" s="33" t="s">
        <v>162</v>
      </c>
      <c r="M56" s="33" t="s">
        <v>163</v>
      </c>
      <c r="N56" s="33" t="s">
        <v>164</v>
      </c>
      <c r="O56" s="33" t="s">
        <v>165</v>
      </c>
      <c r="P56" s="33" t="s">
        <v>166</v>
      </c>
      <c r="Q56" s="33" t="s">
        <v>167</v>
      </c>
      <c r="R56" s="33" t="s">
        <v>168</v>
      </c>
      <c r="S56" s="59" t="s">
        <v>86</v>
      </c>
    </row>
    <row r="57" spans="1:24" x14ac:dyDescent="0.25">
      <c r="A57" s="50" t="s">
        <v>110</v>
      </c>
      <c r="B57" s="198">
        <f>COUNTIF('PPa2019'!$P$2:$P$201,"H")</f>
        <v>0</v>
      </c>
      <c r="C57" s="198">
        <f>COUNTIF('PPa2019'!$P$2:$P$201,"F")</f>
        <v>0</v>
      </c>
      <c r="D57" s="198">
        <f>B57+C57</f>
        <v>0</v>
      </c>
      <c r="F57" s="73" t="s">
        <v>153</v>
      </c>
      <c r="G57" s="58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61"/>
      <c r="S57" s="63"/>
    </row>
    <row r="58" spans="1:24" x14ac:dyDescent="0.25">
      <c r="A58" s="53" t="s">
        <v>114</v>
      </c>
      <c r="B58" s="199" t="e">
        <f>COUNTIFS(#REF!,"VALIDÉ",#REF!,"MR")</f>
        <v>#REF!</v>
      </c>
      <c r="C58" s="199" t="e">
        <f>COUNTIFS(#REF!,"VALIDÉ",#REF!,"MME")</f>
        <v>#REF!</v>
      </c>
      <c r="D58" s="199" t="e">
        <f>B58+C58</f>
        <v>#REF!</v>
      </c>
      <c r="F58" s="74" t="s">
        <v>152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75"/>
      <c r="S58" s="63"/>
    </row>
    <row r="59" spans="1:24" x14ac:dyDescent="0.25">
      <c r="A59" s="53" t="s">
        <v>113</v>
      </c>
      <c r="B59" s="200" t="e">
        <f>B58/B57</f>
        <v>#REF!</v>
      </c>
      <c r="C59" s="200" t="e">
        <f>C58/C57</f>
        <v>#REF!</v>
      </c>
      <c r="D59" s="200" t="e">
        <f>D58/D57</f>
        <v>#REF!</v>
      </c>
      <c r="F59" s="73" t="s">
        <v>93</v>
      </c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61"/>
      <c r="S59" s="63"/>
    </row>
    <row r="60" spans="1:24" x14ac:dyDescent="0.25">
      <c r="A60" s="56" t="s">
        <v>109</v>
      </c>
      <c r="B60" s="201" t="e">
        <f>COUNTIFS(#REF!,"MR",#REF!,"EMPLOI")</f>
        <v>#REF!</v>
      </c>
      <c r="C60" s="201" t="e">
        <f>COUNTIFS(#REF!,"MME",#REF!,"EMPLOI")</f>
        <v>#REF!</v>
      </c>
      <c r="D60" s="202" t="e">
        <f>B60+C60</f>
        <v>#REF!</v>
      </c>
      <c r="F60" s="74" t="s">
        <v>154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75"/>
      <c r="S60" s="63"/>
    </row>
    <row r="61" spans="1:24" x14ac:dyDescent="0.25">
      <c r="A61" s="51" t="s">
        <v>113</v>
      </c>
      <c r="B61" s="203" t="e">
        <f>B60/B57</f>
        <v>#REF!</v>
      </c>
      <c r="C61" s="203" t="e">
        <f>C60/C57</f>
        <v>#REF!</v>
      </c>
      <c r="D61" s="204" t="e">
        <f>D60/D57</f>
        <v>#REF!</v>
      </c>
      <c r="F61" s="73" t="s">
        <v>124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61"/>
      <c r="S61" s="63"/>
    </row>
    <row r="62" spans="1:24" x14ac:dyDescent="0.25">
      <c r="A62" s="57" t="s">
        <v>111</v>
      </c>
      <c r="B62" s="205" t="e">
        <f>COUNTIFS(#REF!,"MR",#REF!,"FORMATION")</f>
        <v>#REF!</v>
      </c>
      <c r="C62" s="205" t="e">
        <f>COUNTIFS(#REF!,"MME",#REF!,"FORMATION")</f>
        <v>#REF!</v>
      </c>
      <c r="D62" s="206" t="e">
        <f>B62+C62</f>
        <v>#REF!</v>
      </c>
      <c r="F62" s="74" t="s">
        <v>125</v>
      </c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75"/>
      <c r="S62" s="63"/>
    </row>
    <row r="63" spans="1:24" x14ac:dyDescent="0.25">
      <c r="A63" s="52" t="s">
        <v>113</v>
      </c>
      <c r="B63" s="207" t="e">
        <f>B62/B57</f>
        <v>#REF!</v>
      </c>
      <c r="C63" s="207" t="e">
        <f>C62/C57</f>
        <v>#REF!</v>
      </c>
      <c r="D63" s="208" t="e">
        <f>D62/D57</f>
        <v>#REF!</v>
      </c>
      <c r="F63" s="73" t="s">
        <v>155</v>
      </c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61"/>
      <c r="S63" s="63"/>
    </row>
    <row r="64" spans="1:24" x14ac:dyDescent="0.25">
      <c r="A64" s="56" t="s">
        <v>112</v>
      </c>
      <c r="B64" s="201" t="e">
        <f>COUNTIFS(#REF!,"MR",#REF!,"AQ")</f>
        <v>#REF!</v>
      </c>
      <c r="C64" s="201" t="e">
        <f>COUNTIFS(#REF!,"MME",#REF!,"AQ")</f>
        <v>#REF!</v>
      </c>
      <c r="D64" s="202" t="e">
        <f>B64+C64</f>
        <v>#REF!</v>
      </c>
      <c r="F64" s="74" t="s">
        <v>127</v>
      </c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76"/>
      <c r="S64" s="63"/>
    </row>
    <row r="65" spans="1:19" x14ac:dyDescent="0.25">
      <c r="A65" s="51" t="s">
        <v>113</v>
      </c>
      <c r="B65" s="203" t="e">
        <f>B64/B57</f>
        <v>#REF!</v>
      </c>
      <c r="C65" s="203" t="e">
        <f>C64/C57</f>
        <v>#REF!</v>
      </c>
      <c r="D65" s="204" t="e">
        <f>D64/D57</f>
        <v>#REF!</v>
      </c>
      <c r="F65" s="60" t="s">
        <v>86</v>
      </c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2"/>
    </row>
    <row r="66" spans="1:19" x14ac:dyDescent="0.25">
      <c r="A66" s="57" t="s">
        <v>87</v>
      </c>
      <c r="B66" s="205" t="e">
        <f>COUNTIFS(#REF!,"MR",#REF!,"DE")</f>
        <v>#REF!</v>
      </c>
      <c r="C66" s="205" t="e">
        <f>COUNTIFS(#REF!,"MME",#REF!,"DE")</f>
        <v>#REF!</v>
      </c>
      <c r="D66" s="206" t="e">
        <f>B66+C66</f>
        <v>#REF!</v>
      </c>
    </row>
    <row r="67" spans="1:19" x14ac:dyDescent="0.25">
      <c r="A67" s="52" t="s">
        <v>113</v>
      </c>
      <c r="B67" s="207" t="e">
        <f>B66/B57</f>
        <v>#REF!</v>
      </c>
      <c r="C67" s="207" t="e">
        <f>C66/C57</f>
        <v>#REF!</v>
      </c>
      <c r="D67" s="208" t="e">
        <f>D66/D57</f>
        <v>#REF!</v>
      </c>
      <c r="F67" s="46" t="s">
        <v>169</v>
      </c>
      <c r="G67" s="33" t="s">
        <v>157</v>
      </c>
      <c r="H67" s="33" t="s">
        <v>158</v>
      </c>
      <c r="I67" s="33" t="s">
        <v>159</v>
      </c>
      <c r="J67" s="33" t="s">
        <v>160</v>
      </c>
      <c r="K67" s="33" t="s">
        <v>161</v>
      </c>
      <c r="L67" s="33" t="s">
        <v>162</v>
      </c>
      <c r="M67" s="33" t="s">
        <v>163</v>
      </c>
      <c r="N67" s="33" t="s">
        <v>164</v>
      </c>
      <c r="O67" s="33" t="s">
        <v>165</v>
      </c>
      <c r="P67" s="33" t="s">
        <v>166</v>
      </c>
      <c r="Q67" s="33" t="s">
        <v>167</v>
      </c>
      <c r="R67" s="33" t="s">
        <v>168</v>
      </c>
      <c r="S67" s="77" t="s">
        <v>86</v>
      </c>
    </row>
    <row r="68" spans="1:19" x14ac:dyDescent="0.25">
      <c r="A68" s="56" t="s">
        <v>289</v>
      </c>
      <c r="B68" s="209" t="e">
        <f>COUNTIFS(#REF!,"MR",#REF!,"SORTIE ANTICIPÉE")</f>
        <v>#REF!</v>
      </c>
      <c r="C68" s="209" t="e">
        <f>COUNTIFS(#REF!,"MME",#REF!,"SORTIE ANTICIPÉE")</f>
        <v>#REF!</v>
      </c>
      <c r="D68" s="210" t="e">
        <f>B68+C68</f>
        <v>#REF!</v>
      </c>
      <c r="F68" s="73" t="s">
        <v>170</v>
      </c>
      <c r="G68" s="58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61"/>
      <c r="S68" s="63"/>
    </row>
    <row r="69" spans="1:19" x14ac:dyDescent="0.25">
      <c r="A69" s="51" t="s">
        <v>113</v>
      </c>
      <c r="B69" s="203" t="e">
        <f>B68/B57</f>
        <v>#REF!</v>
      </c>
      <c r="C69" s="203" t="e">
        <f>C68/C57</f>
        <v>#REF!</v>
      </c>
      <c r="D69" s="204" t="e">
        <f>D68/D57</f>
        <v>#REF!</v>
      </c>
      <c r="F69" s="74" t="s">
        <v>123</v>
      </c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75"/>
      <c r="S69" s="63"/>
    </row>
    <row r="70" spans="1:19" x14ac:dyDescent="0.25">
      <c r="A70" s="57" t="s">
        <v>104</v>
      </c>
      <c r="B70" s="205" t="e">
        <f>COUNTIFS(#REF!,"MR",#REF!,"AUTRE")+COUNTIFS(#REF!,"MR",#REF!,"SANS NOUVELLES")+COUNTIFS(#REF!,"MR",#REF!,"CONGE MATER")+COUNTIFS(#REF!,"MR",#REF!,"CONGE LM")+COUNTIFS(#REF!,"MR",#REF!,"CONGE PARENT")</f>
        <v>#REF!</v>
      </c>
      <c r="C70" s="205" t="e">
        <f>COUNTIFS(#REF!,"MME",#REF!,"AUTRE")+COUNTIFS(#REF!,"MR",#REF!,"SANS NOUVELLES")+COUNTIFS(#REF!,"MR",#REF!,"CONGE MATER")+COUNTIFS(#REF!,"MR",#REF!,"CONGE LM")+COUNTIFS(#REF!,"MR",#REF!,"CONGE PARENT")</f>
        <v>#REF!</v>
      </c>
      <c r="D70" s="206" t="e">
        <f>B70+C70</f>
        <v>#REF!</v>
      </c>
      <c r="F70" s="60" t="s">
        <v>86</v>
      </c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2"/>
    </row>
    <row r="71" spans="1:19" x14ac:dyDescent="0.25">
      <c r="A71" s="52" t="s">
        <v>113</v>
      </c>
      <c r="B71" s="207" t="e">
        <f>B70/B57</f>
        <v>#REF!</v>
      </c>
      <c r="C71" s="207" t="e">
        <f>C70/C57</f>
        <v>#REF!</v>
      </c>
      <c r="D71" s="208" t="e">
        <f>D70/D57</f>
        <v>#REF!</v>
      </c>
    </row>
  </sheetData>
  <sheetProtection sheet="1" objects="1" scenarios="1" selectLockedCells="1" selectUnlockedCells="1"/>
  <mergeCells count="140">
    <mergeCell ref="BC18:BD18"/>
    <mergeCell ref="BE18:BF18"/>
    <mergeCell ref="BK18:BL18"/>
    <mergeCell ref="B43:D43"/>
    <mergeCell ref="E43:G43"/>
    <mergeCell ref="H43:J43"/>
    <mergeCell ref="AV37:AW37"/>
    <mergeCell ref="AY37:AZ37"/>
    <mergeCell ref="BG37:BH37"/>
    <mergeCell ref="E37:F37"/>
    <mergeCell ref="G37:H37"/>
    <mergeCell ref="I37:J37"/>
    <mergeCell ref="K37:L37"/>
    <mergeCell ref="M37:N37"/>
    <mergeCell ref="O37:P37"/>
    <mergeCell ref="BI37:BJ37"/>
    <mergeCell ref="AB29:AC29"/>
    <mergeCell ref="R37:S37"/>
    <mergeCell ref="T37:U37"/>
    <mergeCell ref="V37:W37"/>
    <mergeCell ref="X37:Y37"/>
    <mergeCell ref="Z37:AA37"/>
    <mergeCell ref="AB37:AC37"/>
    <mergeCell ref="R29:S29"/>
    <mergeCell ref="BM37:BN37"/>
    <mergeCell ref="BM29:BN29"/>
    <mergeCell ref="BI29:BJ29"/>
    <mergeCell ref="BG29:BH29"/>
    <mergeCell ref="AY29:AZ29"/>
    <mergeCell ref="AV29:AW29"/>
    <mergeCell ref="AE37:AF37"/>
    <mergeCell ref="AI37:AJ37"/>
    <mergeCell ref="AG37:AH37"/>
    <mergeCell ref="AP37:AQ37"/>
    <mergeCell ref="AR37:AS37"/>
    <mergeCell ref="AT37:AU37"/>
    <mergeCell ref="AK37:AL37"/>
    <mergeCell ref="AM37:AN37"/>
    <mergeCell ref="CF18:CG18"/>
    <mergeCell ref="CH18:CI18"/>
    <mergeCell ref="CJ18:CK18"/>
    <mergeCell ref="AE29:AF29"/>
    <mergeCell ref="AG29:AH29"/>
    <mergeCell ref="AI29:AJ29"/>
    <mergeCell ref="AP29:AQ29"/>
    <mergeCell ref="AR29:AS29"/>
    <mergeCell ref="AT29:AU29"/>
    <mergeCell ref="BT18:BU18"/>
    <mergeCell ref="BV18:BW18"/>
    <mergeCell ref="BX18:BY18"/>
    <mergeCell ref="BZ18:CA18"/>
    <mergeCell ref="CB18:CC18"/>
    <mergeCell ref="CD18:CE18"/>
    <mergeCell ref="AY18:AZ18"/>
    <mergeCell ref="BG18:BH18"/>
    <mergeCell ref="BI18:BJ18"/>
    <mergeCell ref="BM18:BN18"/>
    <mergeCell ref="BP18:BQ18"/>
    <mergeCell ref="BR18:BS18"/>
    <mergeCell ref="AK29:AL29"/>
    <mergeCell ref="AM29:AN29"/>
    <mergeCell ref="BA18:BB18"/>
    <mergeCell ref="CL2:CL3"/>
    <mergeCell ref="AX2:AX3"/>
    <mergeCell ref="AO2:AO3"/>
    <mergeCell ref="AE18:AF18"/>
    <mergeCell ref="AG18:AH18"/>
    <mergeCell ref="AI18:AJ18"/>
    <mergeCell ref="AP18:AQ18"/>
    <mergeCell ref="AR18:AS18"/>
    <mergeCell ref="AT18:AU18"/>
    <mergeCell ref="AV18:AW18"/>
    <mergeCell ref="BZ2:CA2"/>
    <mergeCell ref="CB2:CC2"/>
    <mergeCell ref="CD2:CE2"/>
    <mergeCell ref="CF2:CG2"/>
    <mergeCell ref="CH2:CI2"/>
    <mergeCell ref="CJ2:CK2"/>
    <mergeCell ref="BM2:BN2"/>
    <mergeCell ref="BP2:BQ2"/>
    <mergeCell ref="BR2:BS2"/>
    <mergeCell ref="BT2:BU2"/>
    <mergeCell ref="BV2:BW2"/>
    <mergeCell ref="BX2:BY2"/>
    <mergeCell ref="BO2:BO3"/>
    <mergeCell ref="AR2:AS2"/>
    <mergeCell ref="AT2:AU2"/>
    <mergeCell ref="AV2:AW2"/>
    <mergeCell ref="AY2:AZ2"/>
    <mergeCell ref="BG2:BH2"/>
    <mergeCell ref="BI2:BJ2"/>
    <mergeCell ref="Q2:Q3"/>
    <mergeCell ref="AD2:AD3"/>
    <mergeCell ref="AE2:AF2"/>
    <mergeCell ref="AG2:AH2"/>
    <mergeCell ref="AI2:AJ2"/>
    <mergeCell ref="AP2:AQ2"/>
    <mergeCell ref="BA2:BB2"/>
    <mergeCell ref="BC2:BD2"/>
    <mergeCell ref="BE2:BF2"/>
    <mergeCell ref="R2:S2"/>
    <mergeCell ref="T2:U2"/>
    <mergeCell ref="V2:W2"/>
    <mergeCell ref="X2:Y2"/>
    <mergeCell ref="Z2:AA2"/>
    <mergeCell ref="AB2:AC2"/>
    <mergeCell ref="T29:U29"/>
    <mergeCell ref="V29:W29"/>
    <mergeCell ref="X29:Y29"/>
    <mergeCell ref="Z29:AA29"/>
    <mergeCell ref="E29:F29"/>
    <mergeCell ref="G29:H29"/>
    <mergeCell ref="I29:J29"/>
    <mergeCell ref="K29:L29"/>
    <mergeCell ref="M29:N29"/>
    <mergeCell ref="O29:P29"/>
    <mergeCell ref="E18:F18"/>
    <mergeCell ref="G18:H18"/>
    <mergeCell ref="I18:J18"/>
    <mergeCell ref="K18:L18"/>
    <mergeCell ref="M18:N18"/>
    <mergeCell ref="O18:P18"/>
    <mergeCell ref="BK2:BL2"/>
    <mergeCell ref="B18:C18"/>
    <mergeCell ref="E2:F2"/>
    <mergeCell ref="G2:H2"/>
    <mergeCell ref="I2:J2"/>
    <mergeCell ref="K2:L2"/>
    <mergeCell ref="M2:N2"/>
    <mergeCell ref="O2:P2"/>
    <mergeCell ref="AK2:AL2"/>
    <mergeCell ref="AM2:AN2"/>
    <mergeCell ref="AK18:AL18"/>
    <mergeCell ref="AM18:AN18"/>
    <mergeCell ref="R18:S18"/>
    <mergeCell ref="T18:U18"/>
    <mergeCell ref="V18:W18"/>
    <mergeCell ref="X18:Y18"/>
    <mergeCell ref="Z18:AA18"/>
    <mergeCell ref="AB18:AC18"/>
  </mergeCells>
  <conditionalFormatting sqref="B45:B52">
    <cfRule type="expression" dxfId="10" priority="12">
      <formula>$B45=MIN($B$45:$B$52)</formula>
    </cfRule>
  </conditionalFormatting>
  <conditionalFormatting sqref="C45:C52">
    <cfRule type="expression" dxfId="9" priority="11">
      <formula>$C45=MIN($C$45:$C$52)</formula>
    </cfRule>
  </conditionalFormatting>
  <conditionalFormatting sqref="D45:D52">
    <cfRule type="expression" dxfId="8" priority="10">
      <formula>$D45=MIN($D$45:$D$52)</formula>
    </cfRule>
  </conditionalFormatting>
  <conditionalFormatting sqref="E45:E52">
    <cfRule type="expression" dxfId="7" priority="9">
      <formula>$E45=MAX($E$45:$E$52)</formula>
    </cfRule>
  </conditionalFormatting>
  <conditionalFormatting sqref="F45:F52">
    <cfRule type="expression" dxfId="6" priority="8">
      <formula>$F45=MAX($F$45:$F$52)</formula>
    </cfRule>
  </conditionalFormatting>
  <conditionalFormatting sqref="G45:G52">
    <cfRule type="expression" dxfId="5" priority="7">
      <formula>$G45=MAX($G$45:$G$52)</formula>
    </cfRule>
  </conditionalFormatting>
  <conditionalFormatting sqref="N45:N49">
    <cfRule type="expression" dxfId="4" priority="6">
      <formula>$N45=MIN($N$45:$N$49)</formula>
    </cfRule>
  </conditionalFormatting>
  <conditionalFormatting sqref="O45:O49">
    <cfRule type="expression" dxfId="3" priority="5">
      <formula>$O45=MIN($O$45:$O$49)</formula>
    </cfRule>
  </conditionalFormatting>
  <conditionalFormatting sqref="P45:P49">
    <cfRule type="expression" dxfId="2" priority="4">
      <formula>$P45=MIN($P$45:$P$49)</formula>
    </cfRule>
  </conditionalFormatting>
  <conditionalFormatting sqref="Q45:Q49">
    <cfRule type="expression" dxfId="1" priority="2">
      <formula>$Q45=MAX($Q$45:$Q$49)</formula>
    </cfRule>
  </conditionalFormatting>
  <conditionalFormatting sqref="R45:R49">
    <cfRule type="expression" dxfId="0" priority="1">
      <formula>$R45=MAX($R$45:$R$49)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33"/>
  <sheetViews>
    <sheetView showGridLines="0" topLeftCell="S1" workbookViewId="0">
      <selection activeCell="AE29" sqref="AE29"/>
    </sheetView>
  </sheetViews>
  <sheetFormatPr baseColWidth="10" defaultRowHeight="12" x14ac:dyDescent="0.2"/>
  <cols>
    <col min="1" max="1" width="3.7109375" style="42" bestFit="1" customWidth="1"/>
    <col min="2" max="2" width="5" style="42" bestFit="1" customWidth="1"/>
    <col min="3" max="3" width="4.5703125" style="42" bestFit="1" customWidth="1"/>
    <col min="4" max="4" width="4.42578125" style="42" bestFit="1" customWidth="1"/>
    <col min="5" max="5" width="10.140625" style="42" bestFit="1" customWidth="1"/>
    <col min="6" max="6" width="4.42578125" style="42" bestFit="1" customWidth="1"/>
    <col min="7" max="7" width="8.140625" style="42" bestFit="1" customWidth="1"/>
    <col min="8" max="8" width="8.5703125" style="42" bestFit="1" customWidth="1"/>
    <col min="9" max="9" width="28.85546875" style="42" customWidth="1"/>
    <col min="10" max="10" width="11.7109375" style="42" bestFit="1" customWidth="1"/>
    <col min="11" max="11" width="14.42578125" style="42" bestFit="1" customWidth="1"/>
    <col min="12" max="12" width="11.28515625" style="42" bestFit="1" customWidth="1"/>
    <col min="13" max="13" width="10.28515625" style="42" bestFit="1" customWidth="1"/>
    <col min="14" max="14" width="14.28515625" style="42" bestFit="1" customWidth="1"/>
    <col min="15" max="15" width="21" style="42" bestFit="1" customWidth="1"/>
    <col min="16" max="16" width="14.28515625" style="42" bestFit="1" customWidth="1"/>
    <col min="17" max="17" width="12" style="42" bestFit="1" customWidth="1"/>
    <col min="18" max="18" width="34.140625" style="42" bestFit="1" customWidth="1"/>
    <col min="19" max="19" width="6.85546875" style="42" bestFit="1" customWidth="1"/>
    <col min="20" max="20" width="11.28515625" style="42" bestFit="1" customWidth="1"/>
    <col min="21" max="21" width="10.7109375" style="42" bestFit="1" customWidth="1"/>
    <col min="22" max="22" width="17.42578125" style="42" bestFit="1" customWidth="1"/>
    <col min="23" max="25" width="11.5703125" style="42" bestFit="1" customWidth="1"/>
    <col min="26" max="28" width="11.42578125" style="42"/>
    <col min="29" max="29" width="28.140625" style="42" bestFit="1" customWidth="1"/>
    <col min="30" max="30" width="13" style="42" bestFit="1" customWidth="1"/>
    <col min="31" max="31" width="13.85546875" style="42" customWidth="1"/>
    <col min="32" max="16384" width="11.42578125" style="42"/>
  </cols>
  <sheetData>
    <row r="1" spans="1:37" x14ac:dyDescent="0.2">
      <c r="A1" s="217" t="s">
        <v>1</v>
      </c>
      <c r="B1" s="54" t="s">
        <v>35</v>
      </c>
      <c r="C1" s="54" t="s">
        <v>36</v>
      </c>
      <c r="D1" s="54" t="s">
        <v>50</v>
      </c>
      <c r="E1" s="54" t="s">
        <v>51</v>
      </c>
      <c r="F1" s="54" t="s">
        <v>52</v>
      </c>
      <c r="G1" s="54" t="s">
        <v>53</v>
      </c>
      <c r="H1" s="54" t="s">
        <v>181</v>
      </c>
      <c r="I1" s="54" t="s">
        <v>43</v>
      </c>
      <c r="J1" s="54" t="s">
        <v>48</v>
      </c>
      <c r="K1" s="54" t="s">
        <v>55</v>
      </c>
      <c r="L1" s="54" t="s">
        <v>105</v>
      </c>
      <c r="M1" s="54" t="s">
        <v>115</v>
      </c>
      <c r="N1" s="54" t="s">
        <v>205</v>
      </c>
      <c r="O1" s="54" t="s">
        <v>175</v>
      </c>
      <c r="P1" s="54" t="s">
        <v>182</v>
      </c>
      <c r="Q1" s="54" t="s">
        <v>249</v>
      </c>
      <c r="R1" s="54" t="s">
        <v>210</v>
      </c>
      <c r="S1" s="54" t="s">
        <v>211</v>
      </c>
      <c r="T1" s="54" t="s">
        <v>246</v>
      </c>
      <c r="U1" s="54" t="s">
        <v>247</v>
      </c>
      <c r="V1" s="54" t="s">
        <v>248</v>
      </c>
      <c r="W1" s="54" t="s">
        <v>257</v>
      </c>
      <c r="X1" s="54" t="s">
        <v>258</v>
      </c>
      <c r="Y1" s="54" t="s">
        <v>260</v>
      </c>
      <c r="Z1" s="54" t="s">
        <v>308</v>
      </c>
      <c r="AA1" s="54" t="s">
        <v>309</v>
      </c>
      <c r="AB1" s="211" t="s">
        <v>46</v>
      </c>
      <c r="AC1" s="211" t="s">
        <v>44</v>
      </c>
      <c r="AD1" s="211" t="s">
        <v>318</v>
      </c>
      <c r="AE1" s="212" t="s">
        <v>329</v>
      </c>
      <c r="AF1" s="213" t="s">
        <v>9</v>
      </c>
      <c r="AG1" s="213" t="s">
        <v>10</v>
      </c>
      <c r="AH1" s="213" t="s">
        <v>11</v>
      </c>
      <c r="AI1" s="213" t="s">
        <v>12</v>
      </c>
      <c r="AJ1" s="213" t="s">
        <v>13</v>
      </c>
      <c r="AK1" s="245" t="s">
        <v>359</v>
      </c>
    </row>
    <row r="2" spans="1:37" x14ac:dyDescent="0.2">
      <c r="A2" s="217" t="s">
        <v>189</v>
      </c>
      <c r="B2" s="42" t="s">
        <v>41</v>
      </c>
      <c r="C2" s="42" t="s">
        <v>90</v>
      </c>
      <c r="D2" s="42" t="s">
        <v>54</v>
      </c>
      <c r="E2" s="109" t="s">
        <v>101</v>
      </c>
      <c r="F2" s="42" t="s">
        <v>54</v>
      </c>
      <c r="G2" s="42" t="s">
        <v>121</v>
      </c>
      <c r="H2" s="42" t="s">
        <v>87</v>
      </c>
      <c r="I2" s="244" t="s">
        <v>315</v>
      </c>
      <c r="J2" s="42" t="s">
        <v>124</v>
      </c>
      <c r="K2" s="42" t="s">
        <v>131</v>
      </c>
      <c r="L2" s="42" t="s">
        <v>144</v>
      </c>
      <c r="M2" s="42" t="s">
        <v>147</v>
      </c>
      <c r="N2" s="42" t="s">
        <v>59</v>
      </c>
      <c r="O2" s="42" t="s">
        <v>176</v>
      </c>
      <c r="P2" s="42" t="s">
        <v>143</v>
      </c>
      <c r="Q2" s="42" t="s">
        <v>156</v>
      </c>
      <c r="R2" s="42" t="s">
        <v>212</v>
      </c>
      <c r="S2" s="42" t="s">
        <v>244</v>
      </c>
      <c r="T2" s="42" t="s">
        <v>54</v>
      </c>
      <c r="U2" s="42" t="s">
        <v>54</v>
      </c>
      <c r="V2" s="42" t="s">
        <v>251</v>
      </c>
      <c r="W2" s="42" t="s">
        <v>54</v>
      </c>
      <c r="X2" s="42" t="s">
        <v>259</v>
      </c>
      <c r="Y2" s="42" t="s">
        <v>54</v>
      </c>
      <c r="Z2" s="42" t="s">
        <v>54</v>
      </c>
      <c r="AA2" s="42" t="s">
        <v>54</v>
      </c>
      <c r="AB2" s="42" t="s">
        <v>336</v>
      </c>
      <c r="AC2" s="242" t="s">
        <v>314</v>
      </c>
      <c r="AD2" s="42" t="s">
        <v>319</v>
      </c>
      <c r="AE2" s="214" t="s">
        <v>271</v>
      </c>
      <c r="AF2" s="215" t="s">
        <v>325</v>
      </c>
      <c r="AG2" s="215" t="s">
        <v>328</v>
      </c>
      <c r="AH2" s="215" t="s">
        <v>323</v>
      </c>
      <c r="AI2" s="215" t="s">
        <v>327</v>
      </c>
      <c r="AJ2" s="216" t="s">
        <v>330</v>
      </c>
      <c r="AK2" s="242" t="s">
        <v>360</v>
      </c>
    </row>
    <row r="3" spans="1:37" x14ac:dyDescent="0.2">
      <c r="A3" s="217" t="s">
        <v>2</v>
      </c>
      <c r="B3" s="42" t="s">
        <v>67</v>
      </c>
      <c r="C3" s="42" t="s">
        <v>91</v>
      </c>
      <c r="D3" s="42" t="s">
        <v>116</v>
      </c>
      <c r="E3" s="42" t="s">
        <v>117</v>
      </c>
      <c r="F3" s="42" t="s">
        <v>116</v>
      </c>
      <c r="G3" s="42" t="s">
        <v>122</v>
      </c>
      <c r="H3" s="42" t="s">
        <v>88</v>
      </c>
      <c r="I3" s="242" t="s">
        <v>353</v>
      </c>
      <c r="J3" s="42" t="s">
        <v>125</v>
      </c>
      <c r="K3" s="42" t="s">
        <v>132</v>
      </c>
      <c r="L3" s="42" t="s">
        <v>145</v>
      </c>
      <c r="M3" s="42" t="s">
        <v>148</v>
      </c>
      <c r="N3" s="42" t="s">
        <v>55</v>
      </c>
      <c r="O3" s="42" t="s">
        <v>109</v>
      </c>
      <c r="P3" s="42" t="s">
        <v>141</v>
      </c>
      <c r="Q3" s="42" t="s">
        <v>149</v>
      </c>
      <c r="R3" s="42" t="s">
        <v>213</v>
      </c>
      <c r="S3" s="42" t="s">
        <v>245</v>
      </c>
      <c r="T3" s="42" t="s">
        <v>116</v>
      </c>
      <c r="U3" s="42" t="s">
        <v>116</v>
      </c>
      <c r="V3" s="42" t="s">
        <v>250</v>
      </c>
      <c r="W3" s="42" t="s">
        <v>116</v>
      </c>
      <c r="X3" s="42" t="s">
        <v>152</v>
      </c>
      <c r="Y3" s="42" t="s">
        <v>116</v>
      </c>
      <c r="Z3" s="42" t="s">
        <v>116</v>
      </c>
      <c r="AA3" s="42" t="s">
        <v>116</v>
      </c>
      <c r="AB3" s="42" t="s">
        <v>337</v>
      </c>
      <c r="AC3" s="242" t="s">
        <v>347</v>
      </c>
      <c r="AD3" s="42" t="s">
        <v>334</v>
      </c>
      <c r="AE3" s="214" t="s">
        <v>280</v>
      </c>
      <c r="AF3" s="215" t="s">
        <v>325</v>
      </c>
      <c r="AG3" s="215" t="s">
        <v>328</v>
      </c>
      <c r="AH3" s="215" t="s">
        <v>323</v>
      </c>
      <c r="AI3" s="215" t="s">
        <v>327</v>
      </c>
      <c r="AJ3" s="215"/>
      <c r="AK3" s="242" t="s">
        <v>361</v>
      </c>
    </row>
    <row r="4" spans="1:37" x14ac:dyDescent="0.2">
      <c r="A4" s="217" t="s">
        <v>190</v>
      </c>
      <c r="D4" s="42" t="s">
        <v>173</v>
      </c>
      <c r="E4" s="42" t="s">
        <v>118</v>
      </c>
      <c r="G4" s="109" t="s">
        <v>104</v>
      </c>
      <c r="H4" s="42" t="s">
        <v>311</v>
      </c>
      <c r="I4" s="242" t="s">
        <v>354</v>
      </c>
      <c r="J4" s="42" t="s">
        <v>126</v>
      </c>
      <c r="K4" s="42" t="s">
        <v>133</v>
      </c>
      <c r="L4" s="42" t="s">
        <v>146</v>
      </c>
      <c r="N4" s="42" t="s">
        <v>112</v>
      </c>
      <c r="O4" s="42" t="s">
        <v>111</v>
      </c>
      <c r="P4" s="42" t="s">
        <v>140</v>
      </c>
      <c r="Q4" s="42" t="s">
        <v>150</v>
      </c>
      <c r="R4" s="42" t="s">
        <v>214</v>
      </c>
      <c r="V4" s="42" t="s">
        <v>252</v>
      </c>
      <c r="X4" s="42" t="s">
        <v>93</v>
      </c>
      <c r="AB4" s="42" t="s">
        <v>339</v>
      </c>
      <c r="AC4" s="242" t="s">
        <v>348</v>
      </c>
      <c r="AD4" s="42" t="s">
        <v>335</v>
      </c>
      <c r="AE4" s="214" t="s">
        <v>42</v>
      </c>
      <c r="AF4" s="215" t="s">
        <v>323</v>
      </c>
      <c r="AG4" s="215" t="s">
        <v>324</v>
      </c>
      <c r="AH4" s="215" t="s">
        <v>325</v>
      </c>
      <c r="AI4" s="215" t="s">
        <v>326</v>
      </c>
      <c r="AJ4" s="215" t="s">
        <v>327</v>
      </c>
      <c r="AK4" s="242" t="s">
        <v>362</v>
      </c>
    </row>
    <row r="5" spans="1:37" x14ac:dyDescent="0.2">
      <c r="A5" s="217" t="s">
        <v>3</v>
      </c>
      <c r="E5" s="42" t="s">
        <v>119</v>
      </c>
      <c r="H5" s="42" t="s">
        <v>89</v>
      </c>
      <c r="I5" s="242" t="s">
        <v>355</v>
      </c>
      <c r="J5" s="42" t="s">
        <v>127</v>
      </c>
      <c r="K5" s="42" t="s">
        <v>134</v>
      </c>
      <c r="L5" s="42" t="s">
        <v>92</v>
      </c>
      <c r="N5" s="42" t="s">
        <v>174</v>
      </c>
      <c r="O5" s="42" t="s">
        <v>177</v>
      </c>
      <c r="P5" s="42" t="s">
        <v>183</v>
      </c>
      <c r="Q5" s="42" t="s">
        <v>151</v>
      </c>
      <c r="R5" s="42" t="s">
        <v>215</v>
      </c>
      <c r="V5" s="42" t="s">
        <v>253</v>
      </c>
      <c r="X5" s="42" t="s">
        <v>154</v>
      </c>
      <c r="AB5" s="42" t="s">
        <v>342</v>
      </c>
      <c r="AC5" s="242" t="s">
        <v>349</v>
      </c>
      <c r="AD5" s="42" t="s">
        <v>320</v>
      </c>
      <c r="AE5" s="214" t="s">
        <v>278</v>
      </c>
      <c r="AF5" s="215" t="s">
        <v>323</v>
      </c>
      <c r="AG5" s="215" t="s">
        <v>324</v>
      </c>
      <c r="AH5" s="215" t="s">
        <v>325</v>
      </c>
      <c r="AI5" s="215" t="s">
        <v>326</v>
      </c>
      <c r="AJ5" s="215" t="s">
        <v>327</v>
      </c>
      <c r="AK5" s="242" t="s">
        <v>363</v>
      </c>
    </row>
    <row r="6" spans="1:37" x14ac:dyDescent="0.2">
      <c r="A6" s="217" t="s">
        <v>191</v>
      </c>
      <c r="E6" s="109" t="s">
        <v>102</v>
      </c>
      <c r="H6" s="42" t="s">
        <v>261</v>
      </c>
      <c r="I6" s="242" t="s">
        <v>356</v>
      </c>
      <c r="J6" s="42" t="s">
        <v>128</v>
      </c>
      <c r="K6" s="42" t="s">
        <v>135</v>
      </c>
      <c r="L6" s="109" t="s">
        <v>123</v>
      </c>
      <c r="N6" s="42" t="s">
        <v>87</v>
      </c>
      <c r="O6" s="109" t="s">
        <v>104</v>
      </c>
      <c r="P6" s="110" t="s">
        <v>179</v>
      </c>
      <c r="Q6" s="42" t="s">
        <v>124</v>
      </c>
      <c r="R6" s="42" t="s">
        <v>216</v>
      </c>
      <c r="V6" s="42" t="s">
        <v>254</v>
      </c>
      <c r="AB6" s="42" t="s">
        <v>338</v>
      </c>
      <c r="AC6" s="242" t="s">
        <v>351</v>
      </c>
      <c r="AD6" s="42" t="s">
        <v>321</v>
      </c>
      <c r="AE6" s="214" t="s">
        <v>279</v>
      </c>
      <c r="AF6" s="215" t="s">
        <v>323</v>
      </c>
      <c r="AG6" s="215" t="s">
        <v>324</v>
      </c>
      <c r="AH6" s="215" t="s">
        <v>325</v>
      </c>
      <c r="AI6" s="215" t="s">
        <v>326</v>
      </c>
      <c r="AJ6" s="215"/>
      <c r="AK6" s="242" t="s">
        <v>364</v>
      </c>
    </row>
    <row r="7" spans="1:37" x14ac:dyDescent="0.2">
      <c r="A7" s="217" t="s">
        <v>4</v>
      </c>
      <c r="E7" s="109" t="s">
        <v>103</v>
      </c>
      <c r="H7" s="42" t="s">
        <v>310</v>
      </c>
      <c r="I7" s="242" t="s">
        <v>357</v>
      </c>
      <c r="J7" s="42" t="s">
        <v>129</v>
      </c>
      <c r="K7" s="42" t="s">
        <v>136</v>
      </c>
      <c r="N7" s="42" t="s">
        <v>206</v>
      </c>
      <c r="P7" s="42" t="s">
        <v>184</v>
      </c>
      <c r="Q7" s="42" t="s">
        <v>128</v>
      </c>
      <c r="R7" s="42" t="s">
        <v>217</v>
      </c>
      <c r="V7" s="42" t="s">
        <v>170</v>
      </c>
      <c r="AB7" s="42" t="s">
        <v>341</v>
      </c>
      <c r="AC7" s="242" t="s">
        <v>352</v>
      </c>
      <c r="AD7" s="42" t="s">
        <v>88</v>
      </c>
      <c r="AK7" s="242" t="s">
        <v>365</v>
      </c>
    </row>
    <row r="8" spans="1:37" x14ac:dyDescent="0.2">
      <c r="A8" s="217" t="s">
        <v>192</v>
      </c>
      <c r="E8" s="42" t="s">
        <v>120</v>
      </c>
      <c r="H8" s="109" t="s">
        <v>123</v>
      </c>
      <c r="I8" s="242" t="s">
        <v>358</v>
      </c>
      <c r="J8" s="42" t="s">
        <v>130</v>
      </c>
      <c r="K8" s="42" t="s">
        <v>137</v>
      </c>
      <c r="N8" s="42" t="s">
        <v>207</v>
      </c>
      <c r="P8" s="42" t="s">
        <v>180</v>
      </c>
      <c r="Q8" s="42" t="s">
        <v>127</v>
      </c>
      <c r="R8" s="42" t="s">
        <v>218</v>
      </c>
      <c r="V8" s="42" t="s">
        <v>255</v>
      </c>
      <c r="AB8" s="42" t="s">
        <v>340</v>
      </c>
      <c r="AC8" s="242" t="s">
        <v>350</v>
      </c>
      <c r="AD8" s="42" t="s">
        <v>123</v>
      </c>
      <c r="AK8" s="242" t="s">
        <v>366</v>
      </c>
    </row>
    <row r="9" spans="1:37" x14ac:dyDescent="0.2">
      <c r="A9" s="217" t="s">
        <v>5</v>
      </c>
      <c r="E9" s="109" t="s">
        <v>104</v>
      </c>
      <c r="J9" s="109" t="s">
        <v>123</v>
      </c>
      <c r="K9" s="42" t="s">
        <v>138</v>
      </c>
      <c r="N9" s="42" t="s">
        <v>208</v>
      </c>
      <c r="P9" s="42" t="s">
        <v>170</v>
      </c>
      <c r="Q9" s="109" t="s">
        <v>123</v>
      </c>
      <c r="R9" s="42" t="s">
        <v>219</v>
      </c>
      <c r="V9" s="42" t="s">
        <v>256</v>
      </c>
      <c r="AC9" s="242"/>
      <c r="AF9" s="273" t="s">
        <v>377</v>
      </c>
    </row>
    <row r="10" spans="1:37" x14ac:dyDescent="0.2">
      <c r="A10" s="217" t="s">
        <v>193</v>
      </c>
      <c r="K10" s="42" t="s">
        <v>139</v>
      </c>
      <c r="N10" s="42" t="s">
        <v>209</v>
      </c>
      <c r="P10" s="42" t="s">
        <v>185</v>
      </c>
      <c r="R10" s="42" t="s">
        <v>220</v>
      </c>
      <c r="V10" s="109" t="s">
        <v>123</v>
      </c>
      <c r="AF10" s="273" t="s">
        <v>378</v>
      </c>
    </row>
    <row r="11" spans="1:37" x14ac:dyDescent="0.2">
      <c r="A11" s="217" t="s">
        <v>6</v>
      </c>
      <c r="K11" s="42" t="s">
        <v>140</v>
      </c>
      <c r="N11" s="109" t="s">
        <v>123</v>
      </c>
      <c r="P11" s="42" t="s">
        <v>59</v>
      </c>
      <c r="R11" s="42" t="s">
        <v>221</v>
      </c>
      <c r="AF11" s="273" t="s">
        <v>379</v>
      </c>
    </row>
    <row r="12" spans="1:37" x14ac:dyDescent="0.2">
      <c r="A12" s="217" t="s">
        <v>194</v>
      </c>
      <c r="K12" s="42" t="s">
        <v>141</v>
      </c>
      <c r="P12" s="42" t="s">
        <v>310</v>
      </c>
      <c r="R12" s="42" t="s">
        <v>222</v>
      </c>
      <c r="AF12" s="273" t="s">
        <v>380</v>
      </c>
    </row>
    <row r="13" spans="1:37" x14ac:dyDescent="0.2">
      <c r="A13" s="217" t="s">
        <v>7</v>
      </c>
      <c r="K13" s="42" t="s">
        <v>142</v>
      </c>
      <c r="O13" s="109"/>
      <c r="P13" s="42" t="s">
        <v>311</v>
      </c>
      <c r="R13" s="42" t="s">
        <v>223</v>
      </c>
      <c r="AF13" s="273" t="s">
        <v>381</v>
      </c>
    </row>
    <row r="14" spans="1:37" x14ac:dyDescent="0.2">
      <c r="A14" s="217" t="s">
        <v>195</v>
      </c>
      <c r="K14" s="42" t="s">
        <v>143</v>
      </c>
      <c r="P14" s="109" t="s">
        <v>123</v>
      </c>
      <c r="R14" s="42" t="s">
        <v>224</v>
      </c>
      <c r="AF14" s="273" t="s">
        <v>382</v>
      </c>
    </row>
    <row r="15" spans="1:37" x14ac:dyDescent="0.2">
      <c r="A15" s="217" t="s">
        <v>8</v>
      </c>
      <c r="K15" s="42" t="s">
        <v>186</v>
      </c>
      <c r="R15" s="42" t="s">
        <v>225</v>
      </c>
      <c r="AF15" s="273" t="s">
        <v>383</v>
      </c>
    </row>
    <row r="16" spans="1:37" x14ac:dyDescent="0.2">
      <c r="A16" s="217" t="s">
        <v>196</v>
      </c>
      <c r="K16" s="109" t="s">
        <v>123</v>
      </c>
      <c r="N16" s="109"/>
      <c r="R16" s="42" t="s">
        <v>226</v>
      </c>
      <c r="AF16" s="273" t="s">
        <v>384</v>
      </c>
    </row>
    <row r="17" spans="1:32" x14ac:dyDescent="0.2">
      <c r="A17" s="217" t="s">
        <v>9</v>
      </c>
      <c r="R17" s="42" t="s">
        <v>227</v>
      </c>
      <c r="AF17" s="273" t="s">
        <v>385</v>
      </c>
    </row>
    <row r="18" spans="1:32" x14ac:dyDescent="0.2">
      <c r="A18" s="217" t="s">
        <v>197</v>
      </c>
      <c r="O18" s="109"/>
      <c r="R18" s="42" t="s">
        <v>228</v>
      </c>
    </row>
    <row r="19" spans="1:32" x14ac:dyDescent="0.2">
      <c r="A19" s="217" t="s">
        <v>10</v>
      </c>
      <c r="P19" s="109"/>
      <c r="R19" s="42" t="s">
        <v>229</v>
      </c>
    </row>
    <row r="20" spans="1:32" x14ac:dyDescent="0.2">
      <c r="A20" s="217" t="s">
        <v>198</v>
      </c>
      <c r="R20" s="42" t="s">
        <v>230</v>
      </c>
    </row>
    <row r="21" spans="1:32" x14ac:dyDescent="0.2">
      <c r="A21" s="217" t="s">
        <v>11</v>
      </c>
      <c r="R21" s="42" t="s">
        <v>231</v>
      </c>
    </row>
    <row r="22" spans="1:32" x14ac:dyDescent="0.2">
      <c r="A22" s="217" t="s">
        <v>199</v>
      </c>
      <c r="R22" s="42" t="s">
        <v>232</v>
      </c>
    </row>
    <row r="23" spans="1:32" x14ac:dyDescent="0.2">
      <c r="A23" s="217" t="s">
        <v>12</v>
      </c>
      <c r="R23" s="42" t="s">
        <v>233</v>
      </c>
    </row>
    <row r="24" spans="1:32" x14ac:dyDescent="0.2">
      <c r="A24" s="217" t="s">
        <v>200</v>
      </c>
      <c r="R24" s="42" t="s">
        <v>234</v>
      </c>
    </row>
    <row r="25" spans="1:32" x14ac:dyDescent="0.2">
      <c r="A25" s="217" t="s">
        <v>13</v>
      </c>
      <c r="R25" s="42" t="s">
        <v>235</v>
      </c>
    </row>
    <row r="26" spans="1:32" x14ac:dyDescent="0.2">
      <c r="A26" s="217" t="s">
        <v>201</v>
      </c>
      <c r="R26" s="42" t="s">
        <v>236</v>
      </c>
    </row>
    <row r="27" spans="1:32" x14ac:dyDescent="0.2">
      <c r="A27" s="217" t="s">
        <v>277</v>
      </c>
      <c r="R27" s="42" t="s">
        <v>237</v>
      </c>
    </row>
    <row r="28" spans="1:32" x14ac:dyDescent="0.2">
      <c r="A28" s="217" t="s">
        <v>16</v>
      </c>
      <c r="R28" s="42" t="s">
        <v>238</v>
      </c>
    </row>
    <row r="29" spans="1:32" x14ac:dyDescent="0.2">
      <c r="A29" s="217" t="s">
        <v>188</v>
      </c>
      <c r="R29" s="42" t="s">
        <v>239</v>
      </c>
    </row>
    <row r="30" spans="1:32" x14ac:dyDescent="0.2">
      <c r="A30" s="217" t="s">
        <v>14</v>
      </c>
      <c r="R30" s="42" t="s">
        <v>240</v>
      </c>
    </row>
    <row r="31" spans="1:32" x14ac:dyDescent="0.2">
      <c r="A31" s="217" t="s">
        <v>15</v>
      </c>
      <c r="R31" s="42" t="s">
        <v>241</v>
      </c>
    </row>
    <row r="32" spans="1:32" x14ac:dyDescent="0.2">
      <c r="A32" s="217" t="s">
        <v>0</v>
      </c>
      <c r="R32" s="42" t="s">
        <v>242</v>
      </c>
    </row>
    <row r="33" spans="18:18" x14ac:dyDescent="0.2">
      <c r="R33" s="42" t="s">
        <v>243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F31" sqref="F31"/>
    </sheetView>
  </sheetViews>
  <sheetFormatPr baseColWidth="10" defaultRowHeight="15" x14ac:dyDescent="0.25"/>
  <cols>
    <col min="2" max="2" width="23.42578125" customWidth="1"/>
  </cols>
  <sheetData>
    <row r="1" spans="1:3" x14ac:dyDescent="0.25">
      <c r="A1" t="s">
        <v>271</v>
      </c>
      <c r="B1" t="s">
        <v>281</v>
      </c>
      <c r="C1" t="s">
        <v>283</v>
      </c>
    </row>
    <row r="2" spans="1:3" x14ac:dyDescent="0.25">
      <c r="A2" t="s">
        <v>42</v>
      </c>
      <c r="B2" t="s">
        <v>281</v>
      </c>
      <c r="C2" t="s">
        <v>282</v>
      </c>
    </row>
    <row r="3" spans="1:3" x14ac:dyDescent="0.25">
      <c r="A3" t="s">
        <v>278</v>
      </c>
      <c r="B3" t="s">
        <v>281</v>
      </c>
      <c r="C3" t="s">
        <v>282</v>
      </c>
    </row>
    <row r="4" spans="1:3" x14ac:dyDescent="0.25">
      <c r="A4" t="s">
        <v>279</v>
      </c>
      <c r="B4" t="s">
        <v>281</v>
      </c>
      <c r="C4" t="s">
        <v>282</v>
      </c>
    </row>
    <row r="5" spans="1:3" x14ac:dyDescent="0.25">
      <c r="A5" t="s">
        <v>280</v>
      </c>
      <c r="B5" t="s">
        <v>281</v>
      </c>
      <c r="C5" t="s">
        <v>283</v>
      </c>
    </row>
    <row r="7" spans="1:3" x14ac:dyDescent="0.25">
      <c r="A7" s="142" t="s">
        <v>74</v>
      </c>
      <c r="B7">
        <v>2019</v>
      </c>
      <c r="C7" t="s">
        <v>269</v>
      </c>
    </row>
    <row r="8" spans="1:3" x14ac:dyDescent="0.25">
      <c r="A8" s="142" t="s">
        <v>75</v>
      </c>
      <c r="B8">
        <v>2020</v>
      </c>
      <c r="C8" t="s">
        <v>284</v>
      </c>
    </row>
    <row r="9" spans="1:3" x14ac:dyDescent="0.25">
      <c r="A9" s="142" t="s">
        <v>76</v>
      </c>
      <c r="B9">
        <v>2021</v>
      </c>
      <c r="C9" t="s">
        <v>285</v>
      </c>
    </row>
    <row r="10" spans="1:3" x14ac:dyDescent="0.25">
      <c r="A10" s="142" t="s">
        <v>77</v>
      </c>
      <c r="B10">
        <v>2022</v>
      </c>
      <c r="C10" t="s">
        <v>286</v>
      </c>
    </row>
    <row r="11" spans="1:3" x14ac:dyDescent="0.25">
      <c r="A11" s="142" t="s">
        <v>78</v>
      </c>
    </row>
    <row r="12" spans="1:3" x14ac:dyDescent="0.25">
      <c r="A12" s="142" t="s">
        <v>79</v>
      </c>
    </row>
    <row r="13" spans="1:3" x14ac:dyDescent="0.25">
      <c r="A13" s="142" t="s">
        <v>80</v>
      </c>
    </row>
    <row r="14" spans="1:3" x14ac:dyDescent="0.25">
      <c r="A14" s="142" t="s">
        <v>81</v>
      </c>
    </row>
    <row r="15" spans="1:3" x14ac:dyDescent="0.25">
      <c r="A15" s="142" t="s">
        <v>82</v>
      </c>
    </row>
    <row r="16" spans="1:3" x14ac:dyDescent="0.25">
      <c r="A16" s="142" t="s">
        <v>83</v>
      </c>
    </row>
    <row r="17" spans="1:1" x14ac:dyDescent="0.25">
      <c r="A17" s="142" t="s">
        <v>84</v>
      </c>
    </row>
    <row r="18" spans="1:1" x14ac:dyDescent="0.25">
      <c r="A18" s="14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BDD</vt:lpstr>
      <vt:lpstr>PPa2019</vt:lpstr>
      <vt:lpstr>PRESENCES C-E</vt:lpstr>
      <vt:lpstr>FEC</vt:lpstr>
      <vt:lpstr>FEAS</vt:lpstr>
      <vt:lpstr>STATS</vt:lpstr>
      <vt:lpstr>LISTES</vt:lpstr>
      <vt:lpstr>Feuil1</vt:lpstr>
      <vt:lpstr>FEAS!Impression_des_titres</vt:lpstr>
      <vt:lpstr>FEC!Impression_des_titres</vt:lpstr>
      <vt:lpstr>'PPa2019'!Impression_des_titres</vt:lpstr>
      <vt:lpstr>BDD!Zone_d_impression</vt:lpstr>
      <vt:lpstr>FEAS!Zone_d_impression</vt:lpstr>
      <vt:lpstr>FEC!Zone_d_impression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amisep</dc:creator>
  <cp:lastModifiedBy>BLANZIERI</cp:lastModifiedBy>
  <cp:lastPrinted>2019-04-30T08:51:16Z</cp:lastPrinted>
  <dcterms:created xsi:type="dcterms:W3CDTF">2019-01-25T12:30:25Z</dcterms:created>
  <dcterms:modified xsi:type="dcterms:W3CDTF">2019-05-01T16:56:30Z</dcterms:modified>
</cp:coreProperties>
</file>