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TMPDDCM005\Desktop\My Desktop\"/>
    </mc:Choice>
  </mc:AlternateContent>
  <bookViews>
    <workbookView xWindow="0" yWindow="0" windowWidth="20490" windowHeight="7155"/>
  </bookViews>
  <sheets>
    <sheet name="Janvier" sheetId="1" r:id="rId1"/>
    <sheet name="Février" sheetId="3" r:id="rId2"/>
    <sheet name="Mars" sheetId="4" r:id="rId3"/>
    <sheet name="Avril" sheetId="5" r:id="rId4"/>
    <sheet name="Mai" sheetId="6" r:id="rId5"/>
    <sheet name="Juin" sheetId="7" r:id="rId6"/>
    <sheet name="Juillet" sheetId="8" r:id="rId7"/>
    <sheet name="Août" sheetId="9" r:id="rId8"/>
    <sheet name="Septembre" sheetId="10" r:id="rId9"/>
    <sheet name="Octobre" sheetId="11" r:id="rId10"/>
    <sheet name="Novembre" sheetId="12" r:id="rId11"/>
    <sheet name="Décembre" sheetId="13" r:id="rId12"/>
    <sheet name="EMPLOYES" sheetId="2" r:id="rId13"/>
  </sheets>
  <externalReferences>
    <externalReference r:id="rId14"/>
  </externalReferences>
  <definedNames>
    <definedName name="_xlnm._FilterDatabase" localSheetId="12" hidden="1">EMPLOYES!$A$6:$K$11</definedName>
    <definedName name="AnnéeCalendrier">Janvier!$AG$4</definedName>
    <definedName name="CléCongé">[1]Janvier!$B$2</definedName>
    <definedName name="CléMaladie">[1]Janvier!$I$2</definedName>
    <definedName name="CléPersonnalisée1">[1]Janvier!$L$2</definedName>
    <definedName name="CléPersonnalisée2">[1]Janvier!$Q$2</definedName>
    <definedName name="CléPersonnel">[1]Janvier!$E$2</definedName>
    <definedName name="Congé">Janvier!$B$2</definedName>
    <definedName name="Deduire">Janvier!$Q$2</definedName>
    <definedName name="Maladie">Janvier!$I$2</definedName>
    <definedName name="Maternité">Janvier!$E$2</definedName>
    <definedName name="NomMois" localSheetId="7">Août!$A$4</definedName>
    <definedName name="NomMois" localSheetId="3">Avril!$A$4</definedName>
    <definedName name="NomMois" localSheetId="11">Décembre!$A$4</definedName>
    <definedName name="NomMois" localSheetId="1">Février!#REF!</definedName>
    <definedName name="NomMois" localSheetId="0">Janvier!$A$4</definedName>
    <definedName name="NomMois" localSheetId="6">Juillet!$A$4</definedName>
    <definedName name="NomMois" localSheetId="5">Juin!$A$4</definedName>
    <definedName name="NomMois" localSheetId="4">Mai!$A$4</definedName>
    <definedName name="NomMois" localSheetId="2">Mars!$A$4</definedName>
    <definedName name="NomMois" localSheetId="10">Novembre!$A$4</definedName>
    <definedName name="NomMois" localSheetId="9">Octobre!$A$4</definedName>
    <definedName name="NomMois" localSheetId="8">Septembre!$A$4</definedName>
    <definedName name="Permission">Janvier!$L$2</definedName>
    <definedName name="Titre_Absence_Employé">[1]Janvier!$A$1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F5" i="13" l="1"/>
  <c r="AE5" i="13"/>
  <c r="AD5" i="13"/>
  <c r="AC5" i="13"/>
  <c r="AB5" i="13"/>
  <c r="AA5" i="13"/>
  <c r="Z5" i="13"/>
  <c r="Y5" i="13"/>
  <c r="X5" i="13"/>
  <c r="W5" i="13"/>
  <c r="V5" i="13"/>
  <c r="U5" i="13"/>
  <c r="T5" i="13"/>
  <c r="S5" i="13"/>
  <c r="R5" i="13"/>
  <c r="Q5" i="13"/>
  <c r="P5" i="13"/>
  <c r="O5" i="13"/>
  <c r="N5" i="13"/>
  <c r="M5" i="13"/>
  <c r="L5" i="13"/>
  <c r="K5" i="13"/>
  <c r="J5" i="13"/>
  <c r="I5" i="13"/>
  <c r="H5" i="13"/>
  <c r="G5" i="13"/>
  <c r="F5" i="13"/>
  <c r="E5" i="13"/>
  <c r="D5" i="13"/>
  <c r="C5" i="13"/>
  <c r="B5" i="13"/>
  <c r="AF12" i="13"/>
  <c r="AE12" i="13"/>
  <c r="AD12" i="13"/>
  <c r="AC12" i="13"/>
  <c r="AB12" i="13"/>
  <c r="AA12" i="13"/>
  <c r="Z12" i="13"/>
  <c r="Y12" i="13"/>
  <c r="X12" i="13"/>
  <c r="W12" i="13"/>
  <c r="V12" i="13"/>
  <c r="U12" i="13"/>
  <c r="T12" i="13"/>
  <c r="S12" i="13"/>
  <c r="R12" i="13"/>
  <c r="Q12" i="13"/>
  <c r="P12" i="13"/>
  <c r="O12" i="13"/>
  <c r="N12" i="13"/>
  <c r="M12" i="13"/>
  <c r="L12" i="13"/>
  <c r="K12" i="13"/>
  <c r="J12" i="13"/>
  <c r="I12" i="13"/>
  <c r="H12" i="13"/>
  <c r="G12" i="13"/>
  <c r="F12" i="13"/>
  <c r="E12" i="13"/>
  <c r="D12" i="13"/>
  <c r="C12" i="13"/>
  <c r="B12" i="13"/>
  <c r="A12" i="13"/>
  <c r="AL11" i="13"/>
  <c r="AK11" i="13"/>
  <c r="AJ11" i="13"/>
  <c r="AI11" i="13"/>
  <c r="AH11" i="13"/>
  <c r="AG11" i="13"/>
  <c r="AL10" i="13"/>
  <c r="AK10" i="13"/>
  <c r="AJ10" i="13"/>
  <c r="AI10" i="13"/>
  <c r="AH10" i="13"/>
  <c r="AG10" i="13"/>
  <c r="AL9" i="13"/>
  <c r="AK9" i="13"/>
  <c r="AJ9" i="13"/>
  <c r="AI9" i="13"/>
  <c r="AH9" i="13"/>
  <c r="AG9" i="13"/>
  <c r="AL8" i="13"/>
  <c r="AK8" i="13"/>
  <c r="AJ8" i="13"/>
  <c r="AI8" i="13"/>
  <c r="AH8" i="13"/>
  <c r="AG8" i="13"/>
  <c r="AG12" i="13" s="1"/>
  <c r="AL7" i="13"/>
  <c r="AK7" i="13"/>
  <c r="AJ7" i="13"/>
  <c r="AI7" i="13"/>
  <c r="AH7" i="13"/>
  <c r="AG7" i="13"/>
  <c r="AG4" i="13"/>
  <c r="A1" i="13"/>
  <c r="B5" i="12"/>
  <c r="AE5" i="12"/>
  <c r="AD5" i="12"/>
  <c r="AC5" i="12"/>
  <c r="AB5" i="12"/>
  <c r="AA5" i="12"/>
  <c r="Z5" i="12"/>
  <c r="Y5" i="12"/>
  <c r="X5" i="12"/>
  <c r="W5" i="12"/>
  <c r="V5" i="12"/>
  <c r="U5" i="12"/>
  <c r="T5" i="12"/>
  <c r="S5" i="12"/>
  <c r="R5" i="12"/>
  <c r="Q5" i="12"/>
  <c r="P5" i="12"/>
  <c r="O5" i="12"/>
  <c r="N5" i="12"/>
  <c r="M5" i="12"/>
  <c r="L5" i="12"/>
  <c r="K5" i="12"/>
  <c r="J5" i="12"/>
  <c r="I5" i="12"/>
  <c r="H5" i="12"/>
  <c r="G5" i="12"/>
  <c r="F5" i="12"/>
  <c r="E5" i="12"/>
  <c r="D5" i="12"/>
  <c r="C5" i="12"/>
  <c r="AF12" i="12"/>
  <c r="AE12" i="12"/>
  <c r="AD12" i="12"/>
  <c r="AC12" i="12"/>
  <c r="AB12" i="12"/>
  <c r="AA12" i="12"/>
  <c r="Z12" i="12"/>
  <c r="Y12" i="12"/>
  <c r="X12" i="12"/>
  <c r="W12" i="12"/>
  <c r="V12" i="12"/>
  <c r="U12" i="12"/>
  <c r="T12" i="12"/>
  <c r="S12" i="12"/>
  <c r="R12" i="12"/>
  <c r="Q12" i="12"/>
  <c r="P12" i="12"/>
  <c r="O12" i="12"/>
  <c r="N12" i="12"/>
  <c r="M12" i="12"/>
  <c r="L12" i="12"/>
  <c r="K12" i="12"/>
  <c r="J12" i="12"/>
  <c r="I12" i="12"/>
  <c r="H12" i="12"/>
  <c r="G12" i="12"/>
  <c r="F12" i="12"/>
  <c r="E12" i="12"/>
  <c r="D12" i="12"/>
  <c r="C12" i="12"/>
  <c r="B12" i="12"/>
  <c r="A12" i="12"/>
  <c r="AL11" i="12"/>
  <c r="AK11" i="12"/>
  <c r="AJ11" i="12"/>
  <c r="AI11" i="12"/>
  <c r="AH11" i="12"/>
  <c r="AG11" i="12"/>
  <c r="AL10" i="12"/>
  <c r="AK10" i="12"/>
  <c r="AJ10" i="12"/>
  <c r="AI10" i="12"/>
  <c r="AH10" i="12"/>
  <c r="AG10" i="12"/>
  <c r="AL9" i="12"/>
  <c r="AK9" i="12"/>
  <c r="AJ9" i="12"/>
  <c r="AI9" i="12"/>
  <c r="AH9" i="12"/>
  <c r="AG9" i="12"/>
  <c r="AL8" i="12"/>
  <c r="AK8" i="12"/>
  <c r="AJ8" i="12"/>
  <c r="AI8" i="12"/>
  <c r="AH8" i="12"/>
  <c r="AG8" i="12"/>
  <c r="AL7" i="12"/>
  <c r="AK7" i="12"/>
  <c r="AJ7" i="12"/>
  <c r="AI7" i="12"/>
  <c r="AH7" i="12"/>
  <c r="AG7" i="12"/>
  <c r="AG12" i="12" s="1"/>
  <c r="AG4" i="12"/>
  <c r="A1" i="12"/>
  <c r="AE5" i="11"/>
  <c r="AD5" i="11"/>
  <c r="AC5" i="11"/>
  <c r="AB5" i="11"/>
  <c r="AA5" i="11"/>
  <c r="Z5" i="11"/>
  <c r="Y5" i="11"/>
  <c r="X5" i="11"/>
  <c r="W5" i="11"/>
  <c r="V5" i="11"/>
  <c r="U5" i="11"/>
  <c r="T5" i="11"/>
  <c r="S5" i="11"/>
  <c r="R5" i="11"/>
  <c r="Q5" i="11"/>
  <c r="P5" i="11"/>
  <c r="O5" i="11"/>
  <c r="N5" i="11"/>
  <c r="M5" i="11"/>
  <c r="L5" i="11"/>
  <c r="K5" i="11"/>
  <c r="J5" i="11"/>
  <c r="I5" i="11"/>
  <c r="H5" i="11"/>
  <c r="G5" i="11"/>
  <c r="F5" i="11"/>
  <c r="E5" i="11"/>
  <c r="D5" i="11"/>
  <c r="C5" i="11"/>
  <c r="B5" i="11"/>
  <c r="AF5" i="11"/>
  <c r="AF12" i="11"/>
  <c r="AE12" i="11"/>
  <c r="AD12" i="11"/>
  <c r="AC12" i="11"/>
  <c r="AB12" i="11"/>
  <c r="AA12" i="11"/>
  <c r="Z12" i="11"/>
  <c r="Y12" i="11"/>
  <c r="X12" i="11"/>
  <c r="W12" i="11"/>
  <c r="V12" i="11"/>
  <c r="U12" i="11"/>
  <c r="T12" i="11"/>
  <c r="S12" i="11"/>
  <c r="R12" i="11"/>
  <c r="Q12" i="11"/>
  <c r="P12" i="11"/>
  <c r="O12" i="11"/>
  <c r="N12" i="11"/>
  <c r="M12" i="11"/>
  <c r="L12" i="11"/>
  <c r="K12" i="11"/>
  <c r="J12" i="11"/>
  <c r="I12" i="11"/>
  <c r="H12" i="11"/>
  <c r="G12" i="11"/>
  <c r="F12" i="11"/>
  <c r="E12" i="11"/>
  <c r="D12" i="11"/>
  <c r="C12" i="11"/>
  <c r="B12" i="11"/>
  <c r="A12" i="11"/>
  <c r="AL11" i="11"/>
  <c r="AK11" i="11"/>
  <c r="AJ11" i="11"/>
  <c r="AI11" i="11"/>
  <c r="AH11" i="11"/>
  <c r="AG11" i="11"/>
  <c r="AL10" i="11"/>
  <c r="AK10" i="11"/>
  <c r="AJ10" i="11"/>
  <c r="AI10" i="11"/>
  <c r="AH10" i="11"/>
  <c r="AG10" i="11"/>
  <c r="AL9" i="11"/>
  <c r="AK9" i="11"/>
  <c r="AJ9" i="11"/>
  <c r="AI9" i="11"/>
  <c r="AH9" i="11"/>
  <c r="AG9" i="11"/>
  <c r="AL8" i="11"/>
  <c r="AK8" i="11"/>
  <c r="AJ8" i="11"/>
  <c r="AI8" i="11"/>
  <c r="AH8" i="11"/>
  <c r="AG8" i="11"/>
  <c r="AL7" i="11"/>
  <c r="AK7" i="11"/>
  <c r="AJ7" i="11"/>
  <c r="AI7" i="11"/>
  <c r="AH7" i="11"/>
  <c r="AG7" i="11"/>
  <c r="AG12" i="11" s="1"/>
  <c r="AG4" i="11"/>
  <c r="A1" i="11"/>
  <c r="AE5" i="10"/>
  <c r="AD5" i="10"/>
  <c r="AC5" i="10"/>
  <c r="AB5" i="10"/>
  <c r="AA5" i="10"/>
  <c r="Z5" i="10"/>
  <c r="Y5" i="10"/>
  <c r="X5" i="10"/>
  <c r="W5" i="10"/>
  <c r="V5" i="10"/>
  <c r="U5" i="10"/>
  <c r="T5" i="10"/>
  <c r="S5" i="10"/>
  <c r="R5" i="10"/>
  <c r="Q5" i="10"/>
  <c r="P5" i="10"/>
  <c r="O5" i="10"/>
  <c r="N5" i="10"/>
  <c r="M5" i="10"/>
  <c r="L5" i="10"/>
  <c r="K5" i="10"/>
  <c r="J5" i="10"/>
  <c r="I5" i="10"/>
  <c r="H5" i="10"/>
  <c r="G5" i="10"/>
  <c r="F5" i="10"/>
  <c r="E5" i="10"/>
  <c r="D5" i="10"/>
  <c r="C5" i="10"/>
  <c r="B5" i="10"/>
  <c r="AF12" i="10"/>
  <c r="AE12" i="10"/>
  <c r="AD12" i="10"/>
  <c r="AC12" i="10"/>
  <c r="AB12" i="10"/>
  <c r="AA12" i="10"/>
  <c r="Z12" i="10"/>
  <c r="Y12" i="10"/>
  <c r="X12" i="10"/>
  <c r="W12" i="10"/>
  <c r="V12" i="10"/>
  <c r="U12" i="10"/>
  <c r="T12" i="10"/>
  <c r="S12" i="10"/>
  <c r="R12" i="10"/>
  <c r="Q12" i="10"/>
  <c r="P12" i="10"/>
  <c r="O12" i="10"/>
  <c r="N12" i="10"/>
  <c r="M12" i="10"/>
  <c r="L12" i="10"/>
  <c r="K12" i="10"/>
  <c r="J12" i="10"/>
  <c r="I12" i="10"/>
  <c r="H12" i="10"/>
  <c r="G12" i="10"/>
  <c r="F12" i="10"/>
  <c r="E12" i="10"/>
  <c r="D12" i="10"/>
  <c r="C12" i="10"/>
  <c r="B12" i="10"/>
  <c r="A12" i="10"/>
  <c r="AL11" i="10"/>
  <c r="AK11" i="10"/>
  <c r="AJ11" i="10"/>
  <c r="AI11" i="10"/>
  <c r="AH11" i="10"/>
  <c r="AG11" i="10"/>
  <c r="AL10" i="10"/>
  <c r="AK10" i="10"/>
  <c r="AJ10" i="10"/>
  <c r="AI10" i="10"/>
  <c r="AH10" i="10"/>
  <c r="AG10" i="10"/>
  <c r="AL9" i="10"/>
  <c r="AK9" i="10"/>
  <c r="AJ9" i="10"/>
  <c r="AI9" i="10"/>
  <c r="AH9" i="10"/>
  <c r="AG9" i="10"/>
  <c r="AL8" i="10"/>
  <c r="AK8" i="10"/>
  <c r="AJ8" i="10"/>
  <c r="AI8" i="10"/>
  <c r="AH8" i="10"/>
  <c r="AG8" i="10"/>
  <c r="AL7" i="10"/>
  <c r="AK7" i="10"/>
  <c r="AJ7" i="10"/>
  <c r="AI7" i="10"/>
  <c r="AH7" i="10"/>
  <c r="AG7" i="10"/>
  <c r="AG12" i="10" s="1"/>
  <c r="AG4" i="10"/>
  <c r="A1" i="10"/>
  <c r="B12" i="7" l="1"/>
  <c r="C12" i="7"/>
  <c r="D12" i="7"/>
  <c r="E12" i="7"/>
  <c r="F12" i="7"/>
  <c r="G12" i="7"/>
  <c r="H12" i="7"/>
  <c r="I12" i="7"/>
  <c r="J12" i="7"/>
  <c r="K12" i="7"/>
  <c r="L12" i="7"/>
  <c r="M12" i="7"/>
  <c r="N12" i="7"/>
  <c r="O12" i="7"/>
  <c r="P12" i="7"/>
  <c r="Q12" i="7"/>
  <c r="R12" i="7"/>
  <c r="S12" i="7"/>
  <c r="T12" i="7"/>
  <c r="U12" i="7"/>
  <c r="V12" i="7"/>
  <c r="W12" i="7"/>
  <c r="X12" i="7"/>
  <c r="Y12" i="7"/>
  <c r="Z12" i="7"/>
  <c r="AA12" i="7"/>
  <c r="AB12" i="7"/>
  <c r="AC12" i="7"/>
  <c r="AD12" i="7"/>
  <c r="AE12" i="7"/>
  <c r="AF12" i="7"/>
  <c r="B12" i="6"/>
  <c r="C12" i="6"/>
  <c r="D12" i="6"/>
  <c r="E12" i="6"/>
  <c r="F12" i="6"/>
  <c r="G12" i="6"/>
  <c r="H12" i="6"/>
  <c r="I12" i="6"/>
  <c r="J12" i="6"/>
  <c r="K12" i="6"/>
  <c r="L12" i="6"/>
  <c r="M12" i="6"/>
  <c r="N12" i="6"/>
  <c r="O12" i="6"/>
  <c r="P12" i="6"/>
  <c r="Q12" i="6"/>
  <c r="R12" i="6"/>
  <c r="S12" i="6"/>
  <c r="T12" i="6"/>
  <c r="U12" i="6"/>
  <c r="V12" i="6"/>
  <c r="W12" i="6"/>
  <c r="X12" i="6"/>
  <c r="Y12" i="6"/>
  <c r="Z12" i="6"/>
  <c r="AA12" i="6"/>
  <c r="AB12" i="6"/>
  <c r="AC12" i="6"/>
  <c r="AD12" i="6"/>
  <c r="AE12" i="6"/>
  <c r="AF12" i="6"/>
  <c r="AL8" i="4" l="1"/>
  <c r="AL9" i="4"/>
  <c r="AL10" i="4"/>
  <c r="AL11" i="4"/>
  <c r="B12" i="1" l="1"/>
  <c r="C12" i="1"/>
  <c r="D12" i="1"/>
  <c r="E12" i="1"/>
  <c r="F12" i="1"/>
  <c r="G12" i="1"/>
  <c r="H12" i="1"/>
  <c r="I12" i="1"/>
  <c r="J12" i="1"/>
  <c r="K12" i="1"/>
  <c r="L12" i="1"/>
  <c r="M12" i="1"/>
  <c r="N12" i="1"/>
  <c r="O12" i="1"/>
  <c r="P12" i="1"/>
  <c r="Q12" i="1"/>
  <c r="R12" i="1"/>
  <c r="S12" i="1"/>
  <c r="T12" i="1"/>
  <c r="U12" i="1"/>
  <c r="V12" i="1"/>
  <c r="W12" i="1"/>
  <c r="X12" i="1"/>
  <c r="Y12" i="1"/>
  <c r="Z12" i="1"/>
  <c r="AA12" i="1"/>
  <c r="AB12" i="1"/>
  <c r="AC12" i="1"/>
  <c r="AD12" i="1"/>
  <c r="AE12" i="1"/>
  <c r="AF12" i="1"/>
  <c r="B12" i="3"/>
  <c r="C12" i="3"/>
  <c r="D12" i="3"/>
  <c r="E12" i="3"/>
  <c r="F12" i="3"/>
  <c r="G12" i="3"/>
  <c r="H12" i="3"/>
  <c r="I12" i="3"/>
  <c r="J12" i="3"/>
  <c r="K12" i="3"/>
  <c r="L12" i="3"/>
  <c r="M12" i="3"/>
  <c r="N12" i="3"/>
  <c r="O12" i="3"/>
  <c r="P12" i="3"/>
  <c r="Q12" i="3"/>
  <c r="R12" i="3"/>
  <c r="S12" i="3"/>
  <c r="T12" i="3"/>
  <c r="U12" i="3"/>
  <c r="V12" i="3"/>
  <c r="W12" i="3"/>
  <c r="X12" i="3"/>
  <c r="Y12" i="3"/>
  <c r="Z12" i="3"/>
  <c r="AA12" i="3"/>
  <c r="AB12" i="3"/>
  <c r="AC12" i="3"/>
  <c r="AD12" i="3"/>
  <c r="AE12" i="3"/>
  <c r="AF12" i="3"/>
  <c r="B12" i="4"/>
  <c r="C12" i="4"/>
  <c r="D12" i="4"/>
  <c r="E12" i="4"/>
  <c r="F12" i="4"/>
  <c r="G12" i="4"/>
  <c r="H12" i="4"/>
  <c r="I12" i="4"/>
  <c r="J12" i="4"/>
  <c r="K12" i="4"/>
  <c r="L12" i="4"/>
  <c r="M12" i="4"/>
  <c r="N12" i="4"/>
  <c r="O12" i="4"/>
  <c r="P12" i="4"/>
  <c r="Q12" i="4"/>
  <c r="R12" i="4"/>
  <c r="S12" i="4"/>
  <c r="T12" i="4"/>
  <c r="U12" i="4"/>
  <c r="V12" i="4"/>
  <c r="W12" i="4"/>
  <c r="X12" i="4"/>
  <c r="Y12" i="4"/>
  <c r="Z12" i="4"/>
  <c r="AA12" i="4"/>
  <c r="AB12" i="4"/>
  <c r="AC12" i="4"/>
  <c r="AD12" i="4"/>
  <c r="AE12" i="4"/>
  <c r="AF12" i="4"/>
  <c r="B12" i="5"/>
  <c r="C12" i="5"/>
  <c r="D12" i="5"/>
  <c r="E12" i="5"/>
  <c r="F12" i="5"/>
  <c r="G12" i="5"/>
  <c r="H12" i="5"/>
  <c r="I12" i="5"/>
  <c r="J12" i="5"/>
  <c r="K12" i="5"/>
  <c r="L12" i="5"/>
  <c r="M12" i="5"/>
  <c r="N12" i="5"/>
  <c r="O12" i="5"/>
  <c r="P12" i="5"/>
  <c r="Q12" i="5"/>
  <c r="R12" i="5"/>
  <c r="S12" i="5"/>
  <c r="T12" i="5"/>
  <c r="U12" i="5"/>
  <c r="V12" i="5"/>
  <c r="W12" i="5"/>
  <c r="X12" i="5"/>
  <c r="Y12" i="5"/>
  <c r="Z12" i="5"/>
  <c r="AA12" i="5"/>
  <c r="AB12" i="5"/>
  <c r="AC12" i="5"/>
  <c r="AD12" i="5"/>
  <c r="AE12" i="5"/>
  <c r="AF12" i="5"/>
  <c r="AF12" i="9" l="1"/>
  <c r="AE12" i="9"/>
  <c r="AD12" i="9"/>
  <c r="AC12" i="9"/>
  <c r="AB12" i="9"/>
  <c r="AA12" i="9"/>
  <c r="Z12" i="9"/>
  <c r="Y12" i="9"/>
  <c r="X12" i="9"/>
  <c r="W12" i="9"/>
  <c r="V12" i="9"/>
  <c r="U12" i="9"/>
  <c r="T12" i="9"/>
  <c r="S12" i="9"/>
  <c r="R12" i="9"/>
  <c r="Q12" i="9"/>
  <c r="P12" i="9"/>
  <c r="O12" i="9"/>
  <c r="N12" i="9"/>
  <c r="M12" i="9"/>
  <c r="L12" i="9"/>
  <c r="K12" i="9"/>
  <c r="J12" i="9"/>
  <c r="I12" i="9"/>
  <c r="H12" i="9"/>
  <c r="G12" i="9"/>
  <c r="F12" i="9"/>
  <c r="E12" i="9"/>
  <c r="D12" i="9"/>
  <c r="C12" i="9"/>
  <c r="B12" i="9"/>
  <c r="A12" i="9"/>
  <c r="AL11" i="9"/>
  <c r="I11" i="2" s="1"/>
  <c r="AK11" i="9"/>
  <c r="H11" i="2" s="1"/>
  <c r="AJ11" i="9"/>
  <c r="G11" i="2" s="1"/>
  <c r="AI11" i="9"/>
  <c r="F11" i="2" s="1"/>
  <c r="AH11" i="9"/>
  <c r="E11" i="2" s="1"/>
  <c r="AG11" i="9"/>
  <c r="AL10" i="9"/>
  <c r="I10" i="2" s="1"/>
  <c r="AK10" i="9"/>
  <c r="H10" i="2" s="1"/>
  <c r="AJ10" i="9"/>
  <c r="G10" i="2" s="1"/>
  <c r="AI10" i="9"/>
  <c r="F10" i="2" s="1"/>
  <c r="AH10" i="9"/>
  <c r="E10" i="2" s="1"/>
  <c r="J10" i="2" s="1"/>
  <c r="AG10" i="9"/>
  <c r="AL9" i="9"/>
  <c r="I9" i="2" s="1"/>
  <c r="AK9" i="9"/>
  <c r="H9" i="2" s="1"/>
  <c r="AJ9" i="9"/>
  <c r="G9" i="2" s="1"/>
  <c r="AI9" i="9"/>
  <c r="F9" i="2" s="1"/>
  <c r="AH9" i="9"/>
  <c r="E9" i="2" s="1"/>
  <c r="AG9" i="9"/>
  <c r="AL8" i="9"/>
  <c r="I8" i="2" s="1"/>
  <c r="AK8" i="9"/>
  <c r="H8" i="2" s="1"/>
  <c r="AJ8" i="9"/>
  <c r="G8" i="2" s="1"/>
  <c r="AI8" i="9"/>
  <c r="F8" i="2" s="1"/>
  <c r="AH8" i="9"/>
  <c r="E8" i="2" s="1"/>
  <c r="AG8" i="9"/>
  <c r="AL7" i="9"/>
  <c r="I7" i="2" s="1"/>
  <c r="AK7" i="9"/>
  <c r="H7" i="2" s="1"/>
  <c r="AJ7" i="9"/>
  <c r="G7" i="2" s="1"/>
  <c r="AI7" i="9"/>
  <c r="F7" i="2" s="1"/>
  <c r="AH7" i="9"/>
  <c r="E7" i="2" s="1"/>
  <c r="AG7" i="9"/>
  <c r="AF5" i="9"/>
  <c r="AE5" i="9"/>
  <c r="AD5" i="9"/>
  <c r="AC5" i="9"/>
  <c r="AB5" i="9"/>
  <c r="AA5" i="9"/>
  <c r="Z5" i="9"/>
  <c r="Y5" i="9"/>
  <c r="X5" i="9"/>
  <c r="W5" i="9"/>
  <c r="V5" i="9"/>
  <c r="U5" i="9"/>
  <c r="T5" i="9"/>
  <c r="S5" i="9"/>
  <c r="R5" i="9"/>
  <c r="Q5" i="9"/>
  <c r="P5" i="9"/>
  <c r="O5" i="9"/>
  <c r="N5" i="9"/>
  <c r="M5" i="9"/>
  <c r="L5" i="9"/>
  <c r="K5" i="9"/>
  <c r="J5" i="9"/>
  <c r="I5" i="9"/>
  <c r="H5" i="9"/>
  <c r="G5" i="9"/>
  <c r="F5" i="9"/>
  <c r="E5" i="9"/>
  <c r="D5" i="9"/>
  <c r="C5" i="9"/>
  <c r="B5" i="9"/>
  <c r="AG4" i="9"/>
  <c r="A1" i="9"/>
  <c r="AL8" i="8"/>
  <c r="AL9" i="8"/>
  <c r="AL10" i="8"/>
  <c r="AL11" i="8"/>
  <c r="AK8" i="8"/>
  <c r="AK9" i="8"/>
  <c r="AK10" i="8"/>
  <c r="AK11" i="8"/>
  <c r="AJ8" i="8"/>
  <c r="AJ9" i="8"/>
  <c r="AJ10" i="8"/>
  <c r="AJ11" i="8"/>
  <c r="AI8" i="8"/>
  <c r="AI9" i="8"/>
  <c r="AI10" i="8"/>
  <c r="AI11" i="8"/>
  <c r="AH8" i="8"/>
  <c r="AH9" i="8"/>
  <c r="AH10" i="8"/>
  <c r="AH11" i="8"/>
  <c r="AL7" i="8"/>
  <c r="AK7" i="8"/>
  <c r="AJ7" i="8"/>
  <c r="AI7" i="8"/>
  <c r="AH7" i="8"/>
  <c r="AG8" i="8"/>
  <c r="AG9" i="8"/>
  <c r="AG10" i="8"/>
  <c r="AG11" i="8"/>
  <c r="AG7" i="8"/>
  <c r="C12" i="8"/>
  <c r="D12" i="8"/>
  <c r="E12" i="8"/>
  <c r="F12" i="8"/>
  <c r="G12" i="8"/>
  <c r="H12" i="8"/>
  <c r="I12" i="8"/>
  <c r="J12" i="8"/>
  <c r="K12" i="8"/>
  <c r="L12" i="8"/>
  <c r="M12" i="8"/>
  <c r="N12" i="8"/>
  <c r="O12" i="8"/>
  <c r="P12" i="8"/>
  <c r="Q12" i="8"/>
  <c r="R12" i="8"/>
  <c r="S12" i="8"/>
  <c r="T12" i="8"/>
  <c r="U12" i="8"/>
  <c r="V12" i="8"/>
  <c r="W12" i="8"/>
  <c r="X12" i="8"/>
  <c r="Y12" i="8"/>
  <c r="Z12" i="8"/>
  <c r="AA12" i="8"/>
  <c r="AB12" i="8"/>
  <c r="AC12" i="8"/>
  <c r="AD12" i="8"/>
  <c r="AE12" i="8"/>
  <c r="AF12" i="8"/>
  <c r="B12" i="8"/>
  <c r="A12" i="8"/>
  <c r="AF5" i="8"/>
  <c r="AE5" i="8"/>
  <c r="AD5" i="8"/>
  <c r="AC5" i="8"/>
  <c r="AB5" i="8"/>
  <c r="AA5" i="8"/>
  <c r="Z5" i="8"/>
  <c r="Y5" i="8"/>
  <c r="X5" i="8"/>
  <c r="W5" i="8"/>
  <c r="V5" i="8"/>
  <c r="U5" i="8"/>
  <c r="T5" i="8"/>
  <c r="S5" i="8"/>
  <c r="R5" i="8"/>
  <c r="Q5" i="8"/>
  <c r="P5" i="8"/>
  <c r="O5" i="8"/>
  <c r="N5" i="8"/>
  <c r="M5" i="8"/>
  <c r="L5" i="8"/>
  <c r="K5" i="8"/>
  <c r="J5" i="8"/>
  <c r="I5" i="8"/>
  <c r="H5" i="8"/>
  <c r="G5" i="8"/>
  <c r="F5" i="8"/>
  <c r="E5" i="8"/>
  <c r="D5" i="8"/>
  <c r="C5" i="8"/>
  <c r="B5" i="8"/>
  <c r="AG4" i="8"/>
  <c r="A1" i="8"/>
  <c r="AL8" i="7"/>
  <c r="AL9" i="7"/>
  <c r="AL10" i="7"/>
  <c r="AL11" i="7"/>
  <c r="AK8" i="7"/>
  <c r="AK9" i="7"/>
  <c r="AK10" i="7"/>
  <c r="AK11" i="7"/>
  <c r="AJ8" i="7"/>
  <c r="AJ9" i="7"/>
  <c r="AJ10" i="7"/>
  <c r="AJ11" i="7"/>
  <c r="AI8" i="7"/>
  <c r="AI9" i="7"/>
  <c r="AI10" i="7"/>
  <c r="AI11" i="7"/>
  <c r="AH8" i="7"/>
  <c r="AH9" i="7"/>
  <c r="AH10" i="7"/>
  <c r="AH11" i="7"/>
  <c r="J8" i="2"/>
  <c r="AL7" i="7"/>
  <c r="AK7" i="7"/>
  <c r="AJ7" i="7"/>
  <c r="AI7" i="7"/>
  <c r="AH7" i="7"/>
  <c r="AG8" i="7"/>
  <c r="AG9" i="7"/>
  <c r="AG10" i="7"/>
  <c r="AG11" i="7"/>
  <c r="AG7" i="7"/>
  <c r="A12" i="7"/>
  <c r="AE5" i="7"/>
  <c r="AD5" i="7"/>
  <c r="AC5" i="7"/>
  <c r="AB5" i="7"/>
  <c r="AA5" i="7"/>
  <c r="Z5" i="7"/>
  <c r="Y5" i="7"/>
  <c r="X5" i="7"/>
  <c r="W5" i="7"/>
  <c r="V5" i="7"/>
  <c r="U5" i="7"/>
  <c r="T5" i="7"/>
  <c r="S5" i="7"/>
  <c r="R5" i="7"/>
  <c r="Q5" i="7"/>
  <c r="P5" i="7"/>
  <c r="O5" i="7"/>
  <c r="N5" i="7"/>
  <c r="M5" i="7"/>
  <c r="L5" i="7"/>
  <c r="K5" i="7"/>
  <c r="J5" i="7"/>
  <c r="I5" i="7"/>
  <c r="H5" i="7"/>
  <c r="G5" i="7"/>
  <c r="F5" i="7"/>
  <c r="E5" i="7"/>
  <c r="D5" i="7"/>
  <c r="C5" i="7"/>
  <c r="B5" i="7"/>
  <c r="AG4" i="7"/>
  <c r="A1" i="7"/>
  <c r="AG12" i="9" l="1"/>
  <c r="J11" i="2"/>
  <c r="J9" i="2"/>
  <c r="AG12" i="8"/>
  <c r="AG12" i="7"/>
  <c r="T5" i="6"/>
  <c r="AE5" i="6"/>
  <c r="AD5" i="6"/>
  <c r="AC5" i="6"/>
  <c r="AB5" i="6"/>
  <c r="AA5" i="6"/>
  <c r="Z5" i="6"/>
  <c r="Y5" i="6"/>
  <c r="X5" i="6"/>
  <c r="W5" i="6"/>
  <c r="V5" i="6"/>
  <c r="U5" i="6"/>
  <c r="S5" i="6"/>
  <c r="R5" i="6"/>
  <c r="Q5" i="6"/>
  <c r="P5" i="6"/>
  <c r="O5" i="6"/>
  <c r="N5" i="6"/>
  <c r="M5" i="6"/>
  <c r="L5" i="6"/>
  <c r="K5" i="6"/>
  <c r="J5" i="6"/>
  <c r="I5" i="6"/>
  <c r="H5" i="6"/>
  <c r="G5" i="6"/>
  <c r="F5" i="6"/>
  <c r="E5" i="6"/>
  <c r="D5" i="6"/>
  <c r="C5" i="6"/>
  <c r="B5" i="6"/>
  <c r="AF5" i="6"/>
  <c r="AG8" i="6"/>
  <c r="AG9" i="6"/>
  <c r="AG10" i="6"/>
  <c r="AG11" i="6"/>
  <c r="AG7" i="6"/>
  <c r="A12" i="6"/>
  <c r="AL11" i="6"/>
  <c r="AK11" i="6"/>
  <c r="AJ11" i="6"/>
  <c r="AI11" i="6"/>
  <c r="AH11" i="6"/>
  <c r="AL10" i="6"/>
  <c r="AK10" i="6"/>
  <c r="AJ10" i="6"/>
  <c r="AI10" i="6"/>
  <c r="AH10" i="6"/>
  <c r="AL9" i="6"/>
  <c r="AK9" i="6"/>
  <c r="AJ9" i="6"/>
  <c r="AI9" i="6"/>
  <c r="AH9" i="6"/>
  <c r="AL8" i="6"/>
  <c r="AK8" i="6"/>
  <c r="AJ8" i="6"/>
  <c r="AI8" i="6"/>
  <c r="AH8" i="6"/>
  <c r="AL7" i="6"/>
  <c r="AK7" i="6"/>
  <c r="AJ7" i="6"/>
  <c r="AI7" i="6"/>
  <c r="AH7" i="6"/>
  <c r="AG4" i="6"/>
  <c r="A1" i="6"/>
  <c r="AL8" i="5"/>
  <c r="AL9" i="5"/>
  <c r="AL10" i="5"/>
  <c r="AL11" i="5"/>
  <c r="AK8" i="5"/>
  <c r="AK9" i="5"/>
  <c r="AK10" i="5"/>
  <c r="AK11" i="5"/>
  <c r="AJ8" i="5"/>
  <c r="AJ9" i="5"/>
  <c r="AJ10" i="5"/>
  <c r="AJ11" i="5"/>
  <c r="AI8" i="5"/>
  <c r="AI9" i="5"/>
  <c r="AI10" i="5"/>
  <c r="AI11" i="5"/>
  <c r="AH8" i="5"/>
  <c r="AH9" i="5"/>
  <c r="AH10" i="5"/>
  <c r="AH11" i="5"/>
  <c r="AL7" i="5"/>
  <c r="AK7" i="5"/>
  <c r="AJ7" i="5"/>
  <c r="AI7" i="5"/>
  <c r="AH7" i="5"/>
  <c r="AG8" i="5"/>
  <c r="AG9" i="5"/>
  <c r="AG10" i="5"/>
  <c r="AG11" i="5"/>
  <c r="AG7" i="5"/>
  <c r="A12" i="5"/>
  <c r="AE5" i="5"/>
  <c r="AD5" i="5"/>
  <c r="AC5" i="5"/>
  <c r="AB5" i="5"/>
  <c r="AA5" i="5"/>
  <c r="Z5" i="5"/>
  <c r="Y5" i="5"/>
  <c r="X5" i="5"/>
  <c r="W5" i="5"/>
  <c r="V5" i="5"/>
  <c r="U5" i="5"/>
  <c r="T5" i="5"/>
  <c r="S5" i="5"/>
  <c r="R5" i="5"/>
  <c r="Q5" i="5"/>
  <c r="P5" i="5"/>
  <c r="O5" i="5"/>
  <c r="N5" i="5"/>
  <c r="M5" i="5"/>
  <c r="L5" i="5"/>
  <c r="K5" i="5"/>
  <c r="J5" i="5"/>
  <c r="I5" i="5"/>
  <c r="H5" i="5"/>
  <c r="G5" i="5"/>
  <c r="F5" i="5"/>
  <c r="E5" i="5"/>
  <c r="D5" i="5"/>
  <c r="C5" i="5"/>
  <c r="B5" i="5"/>
  <c r="AG4" i="5"/>
  <c r="A1" i="5"/>
  <c r="AK8" i="4"/>
  <c r="AK9" i="4"/>
  <c r="AK10" i="4"/>
  <c r="AK11" i="4"/>
  <c r="AJ8" i="4"/>
  <c r="AJ9" i="4"/>
  <c r="AJ10" i="4"/>
  <c r="AJ11" i="4"/>
  <c r="AI8" i="4"/>
  <c r="AI9" i="4"/>
  <c r="AI10" i="4"/>
  <c r="AI11" i="4"/>
  <c r="AH8" i="4"/>
  <c r="AH9" i="4"/>
  <c r="AH10" i="4"/>
  <c r="AH11" i="4"/>
  <c r="AL7" i="4"/>
  <c r="AK7" i="4"/>
  <c r="AJ7" i="4"/>
  <c r="AI7" i="4"/>
  <c r="AH7" i="4"/>
  <c r="AG8" i="4"/>
  <c r="AG9" i="4"/>
  <c r="AG10" i="4"/>
  <c r="AG11" i="4"/>
  <c r="AG7" i="4"/>
  <c r="A12" i="4"/>
  <c r="AD5" i="4"/>
  <c r="AC5" i="4"/>
  <c r="AB5" i="4"/>
  <c r="AA5" i="4"/>
  <c r="Z5" i="4"/>
  <c r="Y5" i="4"/>
  <c r="X5" i="4"/>
  <c r="W5" i="4"/>
  <c r="V5" i="4"/>
  <c r="U5" i="4"/>
  <c r="T5" i="4"/>
  <c r="S5" i="4"/>
  <c r="R5" i="4"/>
  <c r="Q5" i="4"/>
  <c r="P5" i="4"/>
  <c r="O5" i="4"/>
  <c r="N5" i="4"/>
  <c r="M5" i="4"/>
  <c r="L5" i="4"/>
  <c r="K5" i="4"/>
  <c r="J5" i="4"/>
  <c r="I5" i="4"/>
  <c r="H5" i="4"/>
  <c r="G5" i="4"/>
  <c r="F5" i="4"/>
  <c r="E5" i="4"/>
  <c r="D5" i="4"/>
  <c r="C5" i="4"/>
  <c r="B5" i="4"/>
  <c r="AG4" i="4"/>
  <c r="A1" i="4"/>
  <c r="AL8" i="3"/>
  <c r="AL9" i="3"/>
  <c r="AL10" i="3"/>
  <c r="AL11" i="3"/>
  <c r="AK8" i="3"/>
  <c r="AK9" i="3"/>
  <c r="AK10" i="3"/>
  <c r="AK11" i="3"/>
  <c r="AJ8" i="3"/>
  <c r="AJ9" i="3"/>
  <c r="AJ10" i="3"/>
  <c r="AJ11" i="3"/>
  <c r="AI8" i="3"/>
  <c r="AI9" i="3"/>
  <c r="AI10" i="3"/>
  <c r="AI11" i="3"/>
  <c r="AH8" i="3"/>
  <c r="AH9" i="3"/>
  <c r="AH10" i="3"/>
  <c r="AH11" i="3"/>
  <c r="AL7" i="3"/>
  <c r="AK7" i="3"/>
  <c r="AJ7" i="3"/>
  <c r="AI7" i="3"/>
  <c r="AH7" i="3"/>
  <c r="A12" i="3"/>
  <c r="AG8" i="3"/>
  <c r="AG9" i="3"/>
  <c r="AG10" i="3"/>
  <c r="AG11" i="3"/>
  <c r="AG7" i="3"/>
  <c r="AD5" i="3"/>
  <c r="AC5" i="3"/>
  <c r="AB5" i="3"/>
  <c r="AA5" i="3"/>
  <c r="Z5" i="3"/>
  <c r="Y5" i="3"/>
  <c r="X5" i="3"/>
  <c r="W5" i="3"/>
  <c r="V5" i="3"/>
  <c r="U5" i="3"/>
  <c r="T5" i="3"/>
  <c r="S5" i="3"/>
  <c r="R5" i="3"/>
  <c r="Q5" i="3"/>
  <c r="P5" i="3"/>
  <c r="O5" i="3"/>
  <c r="N5" i="3"/>
  <c r="M5" i="3"/>
  <c r="L5" i="3"/>
  <c r="K5" i="3"/>
  <c r="J5" i="3"/>
  <c r="I5" i="3"/>
  <c r="H5" i="3"/>
  <c r="G5" i="3"/>
  <c r="F5" i="3"/>
  <c r="E5" i="3"/>
  <c r="D5" i="3"/>
  <c r="C5" i="3"/>
  <c r="B5" i="3"/>
  <c r="AG4" i="3"/>
  <c r="A1" i="3"/>
  <c r="AG8" i="1"/>
  <c r="AG9" i="1"/>
  <c r="AG10" i="1"/>
  <c r="AG11" i="1"/>
  <c r="AG7" i="1"/>
  <c r="AL8" i="1"/>
  <c r="AL9" i="1"/>
  <c r="AL10" i="1"/>
  <c r="AL11" i="1"/>
  <c r="AK8" i="1"/>
  <c r="AK9" i="1"/>
  <c r="AK10" i="1"/>
  <c r="AK11" i="1"/>
  <c r="AJ8" i="1"/>
  <c r="AJ9" i="1"/>
  <c r="AJ10" i="1"/>
  <c r="AJ11" i="1"/>
  <c r="AI8" i="1"/>
  <c r="AI9" i="1"/>
  <c r="AI10" i="1"/>
  <c r="AI11" i="1"/>
  <c r="AH8" i="1"/>
  <c r="AH9" i="1"/>
  <c r="AH10" i="1"/>
  <c r="AH11" i="1"/>
  <c r="AL7" i="1"/>
  <c r="AK7" i="1"/>
  <c r="AJ7" i="1"/>
  <c r="AI7" i="1"/>
  <c r="AH7" i="1"/>
  <c r="A12" i="1"/>
  <c r="AF5" i="1"/>
  <c r="AE5" i="1"/>
  <c r="AD5" i="1"/>
  <c r="AC5" i="1"/>
  <c r="AB5" i="1"/>
  <c r="AA5" i="1"/>
  <c r="Z5" i="1"/>
  <c r="Y5" i="1"/>
  <c r="X5" i="1"/>
  <c r="W5" i="1"/>
  <c r="V5" i="1"/>
  <c r="U5" i="1"/>
  <c r="T5" i="1"/>
  <c r="S5" i="1"/>
  <c r="R5" i="1"/>
  <c r="Q5" i="1"/>
  <c r="P5" i="1"/>
  <c r="O5" i="1"/>
  <c r="N5" i="1"/>
  <c r="M5" i="1"/>
  <c r="L5" i="1"/>
  <c r="K5" i="1"/>
  <c r="J5" i="1"/>
  <c r="I5" i="1"/>
  <c r="H5" i="1"/>
  <c r="G5" i="1"/>
  <c r="F5" i="1"/>
  <c r="E5" i="1"/>
  <c r="D5" i="1"/>
  <c r="C5" i="1"/>
  <c r="B5" i="1"/>
  <c r="J7" i="2" l="1"/>
  <c r="AG12" i="6"/>
  <c r="AG12" i="5"/>
  <c r="AG12" i="4"/>
  <c r="AG12" i="3"/>
  <c r="AG12" i="1"/>
</calcChain>
</file>

<file path=xl/sharedStrings.xml><?xml version="1.0" encoding="utf-8"?>
<sst xmlns="http://schemas.openxmlformats.org/spreadsheetml/2006/main" count="703" uniqueCount="82">
  <si>
    <t>Calendrier des absences des employés</t>
  </si>
  <si>
    <t>Clé de motif d’absence</t>
  </si>
  <si>
    <t>C</t>
  </si>
  <si>
    <t>Congé An</t>
  </si>
  <si>
    <t>B</t>
  </si>
  <si>
    <t>Maternité</t>
  </si>
  <si>
    <t>M</t>
  </si>
  <si>
    <t>Maladie</t>
  </si>
  <si>
    <t>P</t>
  </si>
  <si>
    <t>Permission conv</t>
  </si>
  <si>
    <t>D</t>
  </si>
  <si>
    <t>A deduire des congés</t>
  </si>
  <si>
    <t>Entrez l’année :</t>
  </si>
  <si>
    <t>Janvier</t>
  </si>
  <si>
    <t>Dates d’absence</t>
  </si>
  <si>
    <t>Totaux détailés</t>
  </si>
  <si>
    <t>Nom de l’employé</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</si>
  <si>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</si>
  <si>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</si>
  <si>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</si>
  <si>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</si>
  <si>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</si>
  <si>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</si>
  <si>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</si>
  <si>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</si>
  <si>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</si>
  <si>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</si>
  <si>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</si>
  <si>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</si>
  <si>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</si>
  <si>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</si>
  <si>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</si>
  <si>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</si>
  <si>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</si>
  <si>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</si>
  <si>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</si>
  <si>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</si>
  <si>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</si>
  <si>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</si>
  <si>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</si>
  <si>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</si>
  <si>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</si>
  <si>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</si>
  <si>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</si>
  <si>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</si>
  <si>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</si>
  <si>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</si>
  <si>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</si>
  <si>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Total des jours</t>
  </si>
  <si>
    <t>NOM ET PRENOMS</t>
  </si>
  <si>
    <t>AGENCE</t>
  </si>
  <si>
    <t>MATRICULE</t>
  </si>
  <si>
    <t>FONCTION</t>
  </si>
  <si>
    <t>CONGE</t>
  </si>
  <si>
    <t>MATERNITE</t>
  </si>
  <si>
    <t>MALADIE</t>
  </si>
  <si>
    <t>PERMISSION CONV</t>
  </si>
  <si>
    <t>A DEDUIRE DES CONGES</t>
  </si>
  <si>
    <t>OBSERVATION</t>
  </si>
  <si>
    <t>Février</t>
  </si>
  <si>
    <t>Congé</t>
  </si>
  <si>
    <t xml:space="preserve"> </t>
  </si>
  <si>
    <t xml:space="preserve">  </t>
  </si>
  <si>
    <t>,</t>
  </si>
  <si>
    <t>A déduire des congés</t>
  </si>
  <si>
    <t>Mars</t>
  </si>
  <si>
    <t>Avril</t>
  </si>
  <si>
    <t>Mai</t>
  </si>
  <si>
    <t>Juin</t>
  </si>
  <si>
    <t>Personnel</t>
  </si>
  <si>
    <t>Juillet</t>
  </si>
  <si>
    <t>Août</t>
  </si>
  <si>
    <t>TOTAUX</t>
  </si>
  <si>
    <t>EMPLOYE 1</t>
  </si>
  <si>
    <t>EMPLOYE 2</t>
  </si>
  <si>
    <t>EMPLOYE 3</t>
  </si>
  <si>
    <t>EMPLOYE 4</t>
  </si>
  <si>
    <t>EMPLOYE 5</t>
  </si>
  <si>
    <t>Septembre</t>
  </si>
  <si>
    <t>Octobre</t>
  </si>
  <si>
    <t>Novembre</t>
  </si>
  <si>
    <t>Décembre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</si>
</sst>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1" x14ac:knownFonts="1">
    <font>
      <sz val="11"/>
      <color theme="1"/>
      <name val="Calibri"/>
      <family val="2"/>
      <scheme val="minor"/>
    </font>
    <font>
      <sz val="11"/>
      <color theme="1"/>
      <name val="Calibri"/>
      <family val="2"/>
      <scheme val="minor"/>
    </font>
    <font>
      <sz val="18"/>
      <color theme="3"/>
      <name val="Calibri Light"/>
      <family val="2"/>
      <scheme val="major"/>
    </font>
    <font>
      <b/>
      <sz val="13"/>
      <color theme="3"/>
      <name val="Calibri"/>
      <family val="2"/>
      <scheme val="minor"/>
    </font>
    <font>
      <b/>
      <sz val="11"/>
      <color theme="3"/>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1"/>
      <color theme="4" tint="-0.499984740745262"/>
      <name val="Calibri"/>
      <family val="2"/>
      <scheme val="minor"/>
    </font>
    <font>
      <sz val="10"/>
      <name val="Arial"/>
      <family val="2"/>
    </font>
    <font>
      <sz val="11"/>
      <color theme="1"/>
      <name val="Calibri"/>
      <family val="2"/>
      <scheme val="minor"/>
    </font>
  </fonts>
  <fills count="15">
    <fill>
      <patternFill patternType="none"/>
    </fill>
    <fill>
      <patternFill patternType="gray125"/>
    </fill>
    <fill>
      <patternFill patternType="solid">
        <fgColor theme="5" tint="0.59999389629810485"/>
        <bgColor indexed="65"/>
      </patternFill>
    </fill>
    <fill>
      <patternFill patternType="solid">
        <fgColor theme="6" tint="0.79998168889431442"/>
        <bgColor indexed="65"/>
      </patternFill>
    </fill>
    <fill>
      <patternFill patternType="solid">
        <fgColor theme="6" tint="0.39997558519241921"/>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0" tint="-4.9989318521683403E-2"/>
        <bgColor indexed="64"/>
      </patternFill>
    </fill>
    <fill>
      <patternFill patternType="solid">
        <fgColor theme="0"/>
        <bgColor indexed="64"/>
      </patternFill>
    </fill>
    <fill>
      <patternFill patternType="solid">
        <fgColor theme="9" tint="0.59999389629810485"/>
        <bgColor indexed="64"/>
      </patternFill>
    </fill>
    <fill>
      <patternFill patternType="solid">
        <fgColor theme="1" tint="0.249977111117893"/>
        <bgColor indexed="64"/>
      </patternFill>
    </fill>
    <fill>
      <patternFill patternType="solid">
        <fgColor theme="5"/>
        <bgColor indexed="64"/>
      </patternFill>
    </fill>
    <fill>
      <patternFill patternType="solid">
        <fgColor theme="0" tint="-0.249977111117893"/>
        <bgColor indexed="64"/>
      </patternFill>
    </fill>
    <fill>
      <patternFill patternType="solid">
        <fgColor theme="2" tint="-0.249977111117893"/>
        <bgColor indexed="64"/>
      </patternFill>
    </fill>
  </fills>
  <borders count="10">
    <border>
      <left/>
      <right/>
      <top/>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s>
  <cellStyleXfs count="1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6" fillId="0" borderId="3" applyNumberFormat="0" applyFill="0" applyAlignment="0" applyProtection="0"/>
    <xf numFmtId="0" fontId="1" fillId="2" borderId="0" applyNumberFormat="0" applyBorder="0" applyAlignment="0" applyProtection="0"/>
    <xf numFmtId="0" fontId="1" fillId="3" borderId="0" applyNumberFormat="0" applyBorder="0" applyAlignment="0" applyProtection="0"/>
    <xf numFmtId="0" fontId="7"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8" fillId="0" borderId="0">
      <alignment horizontal="center"/>
    </xf>
    <xf numFmtId="0" fontId="1" fillId="0" borderId="0" applyNumberFormat="0" applyFill="0" applyBorder="0">
      <alignment horizontal="left" vertical="center" wrapText="1" indent="2"/>
    </xf>
    <xf numFmtId="0" fontId="9" fillId="0" borderId="0"/>
  </cellStyleXfs>
  <cellXfs count="78">
    <xf numFmtId="0" fontId="0" fillId="0" borderId="0" xfId="0"/>
    <xf numFmtId="0" fontId="2" fillId="0" borderId="0" xfId="1" applyAlignment="1" applyProtection="1">
      <alignment vertical="top"/>
    </xf>
    <xf numFmtId="0" fontId="0" fillId="0" borderId="0" xfId="0" applyAlignment="1" applyProtection="1">
      <alignment horizontal="left" vertical="center"/>
    </xf>
    <xf numFmtId="0" fontId="0" fillId="0" borderId="0" xfId="0" applyAlignment="1">
      <alignment horizontal="left" vertical="center"/>
    </xf>
    <xf numFmtId="0" fontId="4" fillId="0" borderId="2" xfId="3" applyAlignment="1" applyProtection="1">
      <alignment horizontal="right" vertical="center" indent="1"/>
    </xf>
    <xf numFmtId="0" fontId="1" fillId="7" borderId="0" xfId="10" applyAlignment="1" applyProtection="1">
      <alignment horizontal="center" vertical="center"/>
    </xf>
    <xf numFmtId="0" fontId="1" fillId="2" borderId="0" xfId="5" applyAlignment="1" applyProtection="1">
      <alignment horizontal="center" vertical="center"/>
    </xf>
    <xf numFmtId="164" fontId="6" fillId="5" borderId="0" xfId="8" applyNumberFormat="1" applyFont="1" applyAlignment="1" applyProtection="1">
      <alignment horizontal="center" vertical="center"/>
    </xf>
    <xf numFmtId="164" fontId="6" fillId="6" borderId="0" xfId="9" applyNumberFormat="1" applyFont="1" applyAlignment="1" applyProtection="1">
      <alignment horizontal="center" vertical="center"/>
    </xf>
    <xf numFmtId="0" fontId="8" fillId="0" borderId="0" xfId="11" applyProtection="1">
      <alignment horizontal="center"/>
    </xf>
    <xf numFmtId="0" fontId="3" fillId="0" borderId="1" xfId="2" applyAlignment="1" applyProtection="1">
      <alignment horizontal="center" vertical="center"/>
    </xf>
    <xf numFmtId="0" fontId="3" fillId="0" borderId="1" xfId="2" applyAlignment="1" applyProtection="1">
      <alignment horizontal="center" vertical="center"/>
    </xf>
    <xf numFmtId="0" fontId="0" fillId="0" borderId="0" xfId="0" applyAlignment="1" applyProtection="1">
      <alignment horizontal="center" vertical="center"/>
    </xf>
    <xf numFmtId="0" fontId="1" fillId="3" borderId="4" xfId="6" applyBorder="1" applyAlignment="1" applyProtection="1">
      <alignment horizontal="left" vertical="center" indent="1"/>
    </xf>
    <xf numFmtId="0" fontId="0" fillId="0" borderId="0" xfId="0" applyFont="1" applyFill="1" applyBorder="1" applyAlignment="1" applyProtection="1">
      <alignment horizontal="center" vertical="center"/>
    </xf>
    <xf numFmtId="0" fontId="0" fillId="0" borderId="0" xfId="6" applyFont="1" applyFill="1" applyBorder="1" applyAlignment="1" applyProtection="1">
      <alignment horizontal="center" vertical="center"/>
    </xf>
    <xf numFmtId="0" fontId="6" fillId="0" borderId="4" xfId="4" applyFill="1" applyBorder="1" applyAlignment="1" applyProtection="1">
      <alignment horizontal="center" vertical="center"/>
    </xf>
    <xf numFmtId="0" fontId="0" fillId="0" borderId="4" xfId="0" applyBorder="1" applyAlignment="1">
      <alignment horizontal="center" vertical="center"/>
    </xf>
    <xf numFmtId="49" fontId="0" fillId="9" borderId="4" xfId="12" applyNumberFormat="1" applyFont="1" applyFill="1" applyBorder="1" applyAlignment="1">
      <alignment horizontal="left" vertical="center"/>
    </xf>
    <xf numFmtId="49" fontId="0" fillId="0" borderId="4" xfId="12" applyNumberFormat="1" applyFont="1" applyFill="1" applyBorder="1" applyAlignment="1">
      <alignment horizontal="left" vertical="center"/>
    </xf>
    <xf numFmtId="0" fontId="0" fillId="9" borderId="4" xfId="0" applyFont="1" applyFill="1" applyBorder="1" applyAlignment="1">
      <alignment vertical="center"/>
    </xf>
    <xf numFmtId="0" fontId="0" fillId="0" borderId="4" xfId="0" applyFont="1" applyFill="1" applyBorder="1" applyAlignment="1">
      <alignment vertical="center"/>
    </xf>
    <xf numFmtId="0" fontId="5" fillId="11" borderId="4" xfId="0" applyFont="1" applyFill="1" applyBorder="1" applyAlignment="1">
      <alignment horizontal="left" vertical="center"/>
    </xf>
    <xf numFmtId="0" fontId="5" fillId="11" borderId="4" xfId="0" applyFont="1" applyFill="1" applyBorder="1" applyAlignment="1">
      <alignment horizontal="center" vertical="center"/>
    </xf>
    <xf numFmtId="0" fontId="5" fillId="11" borderId="5" xfId="0" applyFont="1" applyFill="1" applyBorder="1" applyAlignment="1">
      <alignment horizontal="left" vertical="center"/>
    </xf>
    <xf numFmtId="0" fontId="0" fillId="0" borderId="5" xfId="0" applyBorder="1" applyAlignment="1">
      <alignment horizontal="center" vertical="center"/>
    </xf>
    <xf numFmtId="0" fontId="0" fillId="0" borderId="0" xfId="0" applyFont="1" applyBorder="1" applyAlignment="1">
      <alignment horizontal="left" vertical="center"/>
    </xf>
    <xf numFmtId="0" fontId="0" fillId="0" borderId="0" xfId="0" applyFont="1" applyBorder="1" applyAlignment="1">
      <alignment horizontal="center" vertical="center"/>
    </xf>
    <xf numFmtId="0" fontId="6" fillId="10" borderId="0" xfId="7" applyFont="1" applyFill="1" applyAlignment="1" applyProtection="1">
      <alignment horizontal="center" vertical="center"/>
    </xf>
    <xf numFmtId="0" fontId="1" fillId="12" borderId="0" xfId="10" applyFill="1" applyAlignment="1" applyProtection="1">
      <alignment horizontal="center" vertical="center"/>
    </xf>
    <xf numFmtId="0" fontId="0" fillId="0" borderId="4" xfId="0" applyFont="1" applyFill="1" applyBorder="1" applyAlignment="1" applyProtection="1">
      <alignment horizontal="center" vertical="center"/>
    </xf>
    <xf numFmtId="0" fontId="0" fillId="0" borderId="4" xfId="4" applyFont="1" applyFill="1" applyBorder="1" applyAlignment="1" applyProtection="1">
      <alignment horizontal="center" vertical="center"/>
    </xf>
    <xf numFmtId="0" fontId="6" fillId="0" borderId="4" xfId="4" applyFill="1" applyBorder="1" applyAlignment="1" applyProtection="1">
      <alignment horizontal="left" vertical="center"/>
    </xf>
    <xf numFmtId="0" fontId="1" fillId="3" borderId="0" xfId="6" applyBorder="1" applyAlignment="1" applyProtection="1">
      <alignment horizontal="left" vertical="center" indent="1"/>
    </xf>
    <xf numFmtId="49" fontId="0" fillId="0" borderId="6" xfId="12" applyNumberFormat="1" applyFont="1" applyFill="1" applyBorder="1" applyAlignment="1">
      <alignment horizontal="left" vertical="center"/>
    </xf>
    <xf numFmtId="0" fontId="0" fillId="0" borderId="4" xfId="0" applyBorder="1" applyAlignment="1" applyProtection="1">
      <alignment horizontal="left" vertical="center"/>
    </xf>
    <xf numFmtId="164" fontId="0" fillId="0" borderId="4" xfId="0" applyNumberFormat="1" applyFont="1" applyFill="1" applyBorder="1" applyAlignment="1" applyProtection="1">
      <alignment horizontal="center" vertical="center"/>
    </xf>
    <xf numFmtId="0" fontId="0" fillId="0" borderId="6" xfId="0" applyFont="1" applyFill="1" applyBorder="1" applyAlignment="1" applyProtection="1">
      <alignment horizontal="center" vertical="center"/>
    </xf>
    <xf numFmtId="0" fontId="0" fillId="0" borderId="6" xfId="0" applyBorder="1" applyAlignment="1" applyProtection="1">
      <alignment horizontal="left" vertical="center"/>
    </xf>
    <xf numFmtId="0" fontId="0" fillId="0" borderId="5" xfId="0" applyFont="1" applyFill="1" applyBorder="1" applyAlignment="1" applyProtection="1">
      <alignment horizontal="center" vertical="center"/>
    </xf>
    <xf numFmtId="0" fontId="0" fillId="0" borderId="5" xfId="0" applyBorder="1" applyAlignment="1" applyProtection="1">
      <alignment horizontal="left" vertical="center"/>
    </xf>
    <xf numFmtId="0" fontId="0" fillId="13" borderId="0" xfId="0" applyFont="1" applyFill="1" applyBorder="1" applyAlignment="1" applyProtection="1">
      <alignment horizontal="center" vertical="center"/>
    </xf>
    <xf numFmtId="0" fontId="0" fillId="0" borderId="7" xfId="0" applyBorder="1" applyAlignment="1">
      <alignment horizontal="left" vertical="center"/>
    </xf>
    <xf numFmtId="0" fontId="6" fillId="4" borderId="0" xfId="7" applyFont="1" applyAlignment="1" applyProtection="1">
      <alignment horizontal="center" vertical="center"/>
    </xf>
    <xf numFmtId="0" fontId="6" fillId="0" borderId="0" xfId="4" applyFill="1" applyBorder="1" applyAlignment="1" applyProtection="1">
      <alignment horizontal="center" vertical="center"/>
    </xf>
    <xf numFmtId="0" fontId="0" fillId="0" borderId="0" xfId="0" applyAlignment="1">
      <alignment horizontal="center" vertical="center"/>
    </xf>
    <xf numFmtId="164" fontId="6" fillId="0" borderId="4" xfId="4" applyNumberFormat="1" applyFill="1" applyBorder="1" applyAlignment="1" applyProtection="1">
      <alignment horizontal="center" vertical="center"/>
    </xf>
    <xf numFmtId="0" fontId="0" fillId="0" borderId="8" xfId="0" applyFont="1" applyFill="1" applyBorder="1" applyAlignment="1" applyProtection="1">
      <alignment horizontal="center" vertical="center"/>
    </xf>
    <xf numFmtId="0" fontId="0" fillId="0" borderId="5" xfId="0" applyBorder="1" applyAlignment="1" applyProtection="1">
      <alignment horizontal="center" vertical="center"/>
    </xf>
    <xf numFmtId="0" fontId="0" fillId="0" borderId="6" xfId="0" applyBorder="1" applyAlignment="1" applyProtection="1">
      <alignment horizontal="center" vertical="center"/>
    </xf>
    <xf numFmtId="0" fontId="0" fillId="13" borderId="7" xfId="0" applyFont="1" applyFill="1" applyBorder="1" applyAlignment="1" applyProtection="1">
      <alignment horizontal="center" vertical="center"/>
    </xf>
    <xf numFmtId="0" fontId="0" fillId="13" borderId="0" xfId="0" applyFill="1" applyBorder="1" applyAlignment="1" applyProtection="1">
      <alignment horizontal="center" vertical="center"/>
    </xf>
    <xf numFmtId="0" fontId="0" fillId="0" borderId="4" xfId="0" applyBorder="1" applyAlignment="1" applyProtection="1">
      <alignment horizontal="center" vertical="center"/>
    </xf>
    <xf numFmtId="0" fontId="6" fillId="0" borderId="5" xfId="4" applyFill="1" applyBorder="1" applyAlignment="1" applyProtection="1">
      <alignment horizontal="center" vertical="center"/>
    </xf>
    <xf numFmtId="164" fontId="0" fillId="0" borderId="6" xfId="0" applyNumberFormat="1" applyFont="1" applyFill="1" applyBorder="1" applyAlignment="1" applyProtection="1">
      <alignment horizontal="center" vertical="center"/>
    </xf>
    <xf numFmtId="164" fontId="0" fillId="0" borderId="5" xfId="0" applyNumberFormat="1" applyFont="1" applyFill="1" applyBorder="1" applyAlignment="1" applyProtection="1">
      <alignment horizontal="center" vertical="center"/>
    </xf>
    <xf numFmtId="0" fontId="0" fillId="14" borderId="0" xfId="0" applyFont="1" applyFill="1" applyBorder="1" applyAlignment="1" applyProtection="1">
      <alignment horizontal="center" vertical="center"/>
    </xf>
    <xf numFmtId="0" fontId="0" fillId="14" borderId="0" xfId="0" applyFill="1" applyBorder="1" applyAlignment="1" applyProtection="1">
      <alignment horizontal="left" vertical="center"/>
    </xf>
    <xf numFmtId="164" fontId="0" fillId="14" borderId="0" xfId="0" applyNumberFormat="1" applyFont="1" applyFill="1" applyBorder="1" applyAlignment="1" applyProtection="1">
      <alignment horizontal="center" vertical="center"/>
    </xf>
    <xf numFmtId="0" fontId="3" fillId="0" borderId="1" xfId="2" applyAlignment="1" applyProtection="1">
      <alignment horizontal="center" vertical="center"/>
    </xf>
    <xf numFmtId="0" fontId="0" fillId="0" borderId="4" xfId="0" applyFont="1" applyFill="1" applyBorder="1" applyAlignment="1">
      <alignment horizontal="center" vertical="center"/>
    </xf>
    <xf numFmtId="0" fontId="10" fillId="0" borderId="0" xfId="0" applyFont="1" applyFill="1" applyBorder="1" applyAlignment="1" applyProtection="1">
      <alignment horizontal="left" vertical="center" indent="1"/>
    </xf>
    <xf numFmtId="164" fontId="10" fillId="0" borderId="0" xfId="0" applyNumberFormat="1" applyFont="1" applyFill="1" applyBorder="1" applyAlignment="1" applyProtection="1">
      <alignment horizontal="center" vertical="center"/>
    </xf>
    <xf numFmtId="164" fontId="10" fillId="13" borderId="0" xfId="0" applyNumberFormat="1" applyFont="1" applyFill="1" applyBorder="1" applyAlignment="1" applyProtection="1">
      <alignment horizontal="center" vertical="center"/>
    </xf>
    <xf numFmtId="164" fontId="10" fillId="0" borderId="4" xfId="0" applyNumberFormat="1" applyFont="1" applyFill="1" applyBorder="1" applyAlignment="1" applyProtection="1">
      <alignment horizontal="center" vertical="center"/>
    </xf>
    <xf numFmtId="164" fontId="10" fillId="0" borderId="6" xfId="0" applyNumberFormat="1" applyFont="1" applyFill="1" applyBorder="1" applyAlignment="1" applyProtection="1">
      <alignment horizontal="center" vertical="center"/>
    </xf>
    <xf numFmtId="164" fontId="10" fillId="0" borderId="5" xfId="0" applyNumberFormat="1" applyFont="1" applyFill="1" applyBorder="1" applyAlignment="1" applyProtection="1">
      <alignment horizontal="center" vertical="center"/>
    </xf>
    <xf numFmtId="0" fontId="0" fillId="0" borderId="0" xfId="12" applyFont="1" applyFill="1" applyBorder="1" applyProtection="1">
      <alignment horizontal="left" vertical="center" wrapText="1" indent="2"/>
    </xf>
    <xf numFmtId="0" fontId="0" fillId="14" borderId="0" xfId="0" applyFill="1" applyBorder="1" applyAlignment="1" applyProtection="1">
      <alignment horizontal="center" vertical="center"/>
    </xf>
    <xf numFmtId="0" fontId="0" fillId="0" borderId="9" xfId="0" applyFont="1" applyFill="1" applyBorder="1" applyAlignment="1" applyProtection="1">
      <alignment horizontal="center" vertical="center"/>
    </xf>
    <xf numFmtId="0" fontId="0" fillId="0" borderId="4" xfId="0" applyFill="1" applyBorder="1" applyAlignment="1" applyProtection="1">
      <alignment horizontal="center" vertical="center"/>
    </xf>
    <xf numFmtId="0" fontId="0" fillId="0" borderId="5" xfId="0" applyFill="1" applyBorder="1" applyAlignment="1" applyProtection="1">
      <alignment horizontal="center" vertical="center"/>
    </xf>
    <xf numFmtId="0" fontId="0" fillId="0" borderId="5" xfId="0" applyFill="1" applyBorder="1" applyAlignment="1" applyProtection="1">
      <alignment horizontal="left" vertical="center"/>
    </xf>
    <xf numFmtId="0" fontId="0" fillId="0" borderId="9" xfId="0" applyFill="1" applyBorder="1" applyAlignment="1" applyProtection="1">
      <alignment horizontal="center" vertical="center"/>
    </xf>
    <xf numFmtId="0" fontId="0" fillId="8" borderId="0" xfId="0" applyFill="1" applyBorder="1" applyAlignment="1">
      <alignment horizontal="center" vertical="center"/>
    </xf>
    <xf numFmtId="0" fontId="0" fillId="3" borderId="0" xfId="6" applyFont="1" applyAlignment="1" applyProtection="1">
      <alignment horizontal="left" vertical="center"/>
    </xf>
    <xf numFmtId="0" fontId="1" fillId="3" borderId="0" xfId="6" applyAlignment="1" applyProtection="1">
      <alignment horizontal="left" vertical="center"/>
    </xf>
    <xf numFmtId="0" fontId="3" fillId="0" borderId="1" xfId="2" applyAlignment="1" applyProtection="1">
      <alignment horizontal="center" vertical="center"/>
    </xf>
  </cellXfs>
  <cellStyles count="14">
    <cellStyle name="20 % - Accent3" xfId="6" builtinId="38"/>
    <cellStyle name="40 % - Accent2" xfId="5" builtinId="35"/>
    <cellStyle name="40 % - Accent4" xfId="8" builtinId="43"/>
    <cellStyle name="40 % - Accent5" xfId="9" builtinId="47"/>
    <cellStyle name="40 % - Accent6" xfId="10" builtinId="51"/>
    <cellStyle name="60 % - Accent3" xfId="7" builtinId="40"/>
    <cellStyle name="Employé" xfId="12"/>
    <cellStyle name="Étiquette" xfId="11"/>
    <cellStyle name="Normal" xfId="0" builtinId="0"/>
    <cellStyle name="Normal 2" xfId="13"/>
    <cellStyle name="Titre" xfId="1" builtinId="15"/>
    <cellStyle name="Titre 2" xfId="2" builtinId="17"/>
    <cellStyle name="Titre 3" xfId="3" builtinId="18"/>
    <cellStyle name="Total" xfId="4" builtinId="25"/>
  </cellStyles>
  <dxfs count="946">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0" formatCode="Genera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indexed="64"/>
        </right>
        <top style="thin">
          <color indexed="64"/>
        </top>
        <bottom style="thin">
          <color indexed="64"/>
        </bottom>
      </border>
      <protection locked="1" hidden="0"/>
    </dxf>
    <dxf>
      <fill>
        <patternFill patternType="none">
          <fgColor indexed="64"/>
          <bgColor auto="1"/>
        </patternFill>
      </fill>
      <border diagonalUp="0" diagonalDown="0" outline="0">
        <left/>
        <right style="thin">
          <color indexed="64"/>
        </right>
        <top style="thin">
          <color indexed="64"/>
        </top>
        <bottom style="thin">
          <color indexed="64"/>
        </bottom>
      </border>
      <protection locked="1" hidden="0"/>
    </dxf>
    <dxf>
      <fill>
        <patternFill patternType="solid">
          <fgColor indexed="64"/>
          <bgColor theme="2" tint="-0.249977111117893"/>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indexed="64"/>
        </right>
        <top style="thin">
          <color indexed="64"/>
        </top>
        <bottom style="thin">
          <color indexed="64"/>
        </bottom>
      </border>
      <protection locked="1" hidden="0"/>
    </dxf>
    <dxf>
      <fill>
        <patternFill patternType="none">
          <fgColor indexed="64"/>
          <bgColor auto="1"/>
        </patternFill>
      </fill>
      <border diagonalUp="0" diagonalDown="0" outline="0">
        <left/>
        <right style="thin">
          <color indexed="64"/>
        </right>
        <top style="thin">
          <color indexed="64"/>
        </top>
        <bottom style="thin">
          <color indexed="64"/>
        </bottom>
      </border>
      <protection locked="1" hidden="0"/>
    </dxf>
    <dxf>
      <fill>
        <patternFill patternType="solid">
          <fgColor indexed="64"/>
          <bgColor theme="2" tint="-0.249977111117893"/>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indexed="64"/>
        </right>
        <top style="thin">
          <color indexed="64"/>
        </top>
        <bottom style="thin">
          <color indexed="64"/>
        </bottom>
      </border>
      <protection locked="1" hidden="0"/>
    </dxf>
    <dxf>
      <fill>
        <patternFill patternType="none">
          <fgColor indexed="64"/>
          <bgColor auto="1"/>
        </patternFill>
      </fill>
      <border diagonalUp="0" diagonalDown="0" outline="0">
        <left/>
        <right style="thin">
          <color indexed="64"/>
        </right>
        <top style="thin">
          <color indexed="64"/>
        </top>
        <bottom style="thin">
          <color indexed="64"/>
        </bottom>
      </border>
      <protection locked="1" hidden="0"/>
    </dxf>
    <dxf>
      <fill>
        <patternFill patternType="solid">
          <fgColor indexed="64"/>
          <bgColor theme="2" tint="-0.249977111117893"/>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indexed="64"/>
        </right>
        <top style="thin">
          <color indexed="64"/>
        </top>
        <bottom style="thin">
          <color indexed="64"/>
        </bottom>
      </border>
      <protection locked="1" hidden="0"/>
    </dxf>
    <dxf>
      <fill>
        <patternFill patternType="none">
          <fgColor indexed="64"/>
          <bgColor auto="1"/>
        </patternFill>
      </fill>
      <border diagonalUp="0" diagonalDown="0" outline="0">
        <left/>
        <right style="thin">
          <color indexed="64"/>
        </right>
        <top style="thin">
          <color indexed="64"/>
        </top>
        <bottom style="thin">
          <color indexed="64"/>
        </bottom>
      </border>
      <protection locked="1" hidden="0"/>
    </dxf>
    <dxf>
      <fill>
        <patternFill patternType="solid">
          <fgColor indexed="64"/>
          <bgColor theme="2" tint="-0.249977111117893"/>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30" formatCode="@"/>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protection locked="1" hidden="0"/>
    </dxf>
    <dxf>
      <protection locked="1" hidden="0"/>
    </dxf>
    <dxf>
      <protection locked="1" hidden="0"/>
    </dxf>
    <dxf>
      <fill>
        <patternFill>
          <bgColor theme="5"/>
        </patternFill>
      </fill>
    </dxf>
    <dxf>
      <fill>
        <patternFill>
          <bgColor theme="5" tint="0.39994506668294322"/>
        </patternFill>
      </fill>
    </dxf>
    <dxf>
      <fill>
        <patternFill>
          <bgColor theme="9" tint="0.59996337778862885"/>
        </patternFill>
      </fill>
    </dxf>
    <dxf>
      <fill>
        <patternFill>
          <bgColor theme="7" tint="0.59996337778862885"/>
        </patternFill>
      </fill>
    </dxf>
    <dxf>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0" formatCode="Genera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fill>
        <patternFill patternType="solid">
          <fgColor indexed="64"/>
          <bgColor theme="2" tint="-0.249977111117893"/>
        </patternFill>
      </fill>
      <alignment horizontal="center" vertical="center" textRotation="0" wrapText="0" indent="0" justifyLastLine="0" shrinkToFit="0" readingOrder="0"/>
      <protection locked="1" hidden="0"/>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protection locked="1" hidden="0"/>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fill>
        <patternFill patternType="solid">
          <fgColor indexed="64"/>
          <bgColor theme="2" tint="-0.249977111117893"/>
        </patternFill>
      </fill>
      <alignment horizontal="center" vertical="center" textRotation="0" wrapText="0" indent="0" justifyLastLine="0" shrinkToFit="0" readingOrder="0"/>
      <protection locked="1" hidden="0"/>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protection locked="1" hidden="0"/>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fill>
        <patternFill patternType="solid">
          <fgColor indexed="64"/>
          <bgColor theme="2" tint="-0.249977111117893"/>
        </patternFill>
      </fill>
      <alignment horizontal="center" vertical="center" textRotation="0" wrapText="0" indent="0" justifyLastLine="0" shrinkToFit="0" readingOrder="0"/>
      <protection locked="1" hidden="0"/>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protection locked="1" hidden="0"/>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fill>
        <patternFill patternType="solid">
          <fgColor indexed="64"/>
          <bgColor theme="2" tint="-0.249977111117893"/>
        </patternFill>
      </fill>
      <alignment horizontal="center" vertical="center" textRotation="0" wrapText="0" indent="0" justifyLastLine="0" shrinkToFit="0" readingOrder="0"/>
      <protection locked="1" hidden="0"/>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protection locked="1" hidden="0"/>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30" formatCode="@"/>
      <fill>
        <patternFill patternType="none">
          <fgColor indexed="64"/>
          <bgColor indexed="65"/>
        </patternFill>
      </fill>
      <alignment horizontal="left" vertical="center" textRotation="0" wrapText="0" indent="0" justifyLastLine="0" shrinkToFit="0" readingOrder="0"/>
      <border diagonalUp="0" diagonalDown="0" outline="0">
        <left style="thin">
          <color indexed="64"/>
        </left>
        <right/>
        <top style="thin">
          <color indexed="64"/>
        </top>
        <bottom style="thin">
          <color indexed="64"/>
        </bottom>
      </border>
      <protection locked="1" hidden="0"/>
    </dxf>
    <dxf>
      <protection locked="1" hidden="0"/>
    </dxf>
    <dxf>
      <alignment horizontal="left" vertical="center" textRotation="0" wrapText="0" indent="0" justifyLastLine="0" shrinkToFit="0" readingOrder="0"/>
      <protection locked="1" hidden="0"/>
    </dxf>
    <dxf>
      <protection locked="1" hidden="0"/>
    </dxf>
    <dxf>
      <fill>
        <patternFill>
          <bgColor theme="5"/>
        </patternFill>
      </fill>
    </dxf>
    <dxf>
      <fill>
        <patternFill>
          <bgColor theme="5" tint="0.39994506668294322"/>
        </patternFill>
      </fill>
    </dxf>
    <dxf>
      <fill>
        <patternFill>
          <bgColor theme="9" tint="0.39994506668294322"/>
        </patternFill>
      </fill>
    </dxf>
    <dxf>
      <fill>
        <patternFill>
          <bgColor theme="7" tint="0.39994506668294322"/>
        </patternFill>
      </fill>
    </dxf>
    <dxf>
      <fill>
        <patternFill>
          <bgColor theme="8" tint="0.39994506668294322"/>
        </patternFill>
      </fill>
    </dxf>
    <dxf>
      <font>
        <b val="0"/>
        <i val="0"/>
        <color theme="3"/>
      </font>
      <border>
        <vertical/>
        <horizontal/>
      </border>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0" formatCode="Genera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indexed="64"/>
        </right>
        <top style="thin">
          <color indexed="64"/>
        </top>
        <bottom style="thin">
          <color indexed="64"/>
        </bottom>
      </border>
      <protection locked="1" hidden="0"/>
    </dxf>
    <dxf>
      <fill>
        <patternFill patternType="none">
          <fgColor indexed="64"/>
          <bgColor auto="1"/>
        </patternFill>
      </fill>
      <border diagonalUp="0" diagonalDown="0" outline="0">
        <left/>
        <right style="thin">
          <color indexed="64"/>
        </right>
        <top style="thin">
          <color indexed="64"/>
        </top>
        <bottom style="thin">
          <color indexed="64"/>
        </bottom>
      </border>
      <protection locked="1" hidden="0"/>
    </dxf>
    <dxf>
      <fill>
        <patternFill patternType="solid">
          <fgColor indexed="64"/>
          <bgColor theme="2" tint="-0.249977111117893"/>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indexed="64"/>
        </right>
        <top style="thin">
          <color indexed="64"/>
        </top>
        <bottom style="thin">
          <color indexed="64"/>
        </bottom>
      </border>
      <protection locked="1" hidden="0"/>
    </dxf>
    <dxf>
      <fill>
        <patternFill patternType="none">
          <fgColor indexed="64"/>
          <bgColor auto="1"/>
        </patternFill>
      </fill>
      <border diagonalUp="0" diagonalDown="0" outline="0">
        <left/>
        <right style="thin">
          <color indexed="64"/>
        </right>
        <top style="thin">
          <color indexed="64"/>
        </top>
        <bottom style="thin">
          <color indexed="64"/>
        </bottom>
      </border>
      <protection locked="1" hidden="0"/>
    </dxf>
    <dxf>
      <fill>
        <patternFill patternType="solid">
          <fgColor indexed="64"/>
          <bgColor theme="2" tint="-0.249977111117893"/>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indexed="64"/>
        </right>
        <top style="thin">
          <color indexed="64"/>
        </top>
        <bottom style="thin">
          <color indexed="64"/>
        </bottom>
      </border>
      <protection locked="1" hidden="0"/>
    </dxf>
    <dxf>
      <fill>
        <patternFill patternType="none">
          <fgColor indexed="64"/>
          <bgColor auto="1"/>
        </patternFill>
      </fill>
      <border diagonalUp="0" diagonalDown="0" outline="0">
        <left/>
        <right style="thin">
          <color indexed="64"/>
        </right>
        <top style="thin">
          <color indexed="64"/>
        </top>
        <bottom style="thin">
          <color indexed="64"/>
        </bottom>
      </border>
      <protection locked="1" hidden="0"/>
    </dxf>
    <dxf>
      <fill>
        <patternFill patternType="solid">
          <fgColor indexed="64"/>
          <bgColor theme="2" tint="-0.249977111117893"/>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indexed="64"/>
        </right>
        <top style="thin">
          <color indexed="64"/>
        </top>
        <bottom style="thin">
          <color indexed="64"/>
        </bottom>
      </border>
      <protection locked="1" hidden="0"/>
    </dxf>
    <dxf>
      <fill>
        <patternFill patternType="none">
          <fgColor indexed="64"/>
          <bgColor auto="1"/>
        </patternFill>
      </fill>
      <border diagonalUp="0" diagonalDown="0" outline="0">
        <left/>
        <right style="thin">
          <color indexed="64"/>
        </right>
        <top style="thin">
          <color indexed="64"/>
        </top>
        <bottom style="thin">
          <color indexed="64"/>
        </bottom>
      </border>
      <protection locked="1" hidden="0"/>
    </dxf>
    <dxf>
      <fill>
        <patternFill patternType="solid">
          <fgColor indexed="64"/>
          <bgColor theme="2" tint="-0.249977111117893"/>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30" formatCode="@"/>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protection locked="1" hidden="0"/>
    </dxf>
    <dxf>
      <protection locked="1" hidden="0"/>
    </dxf>
    <dxf>
      <protection locked="1" hidden="0"/>
    </dxf>
    <dxf>
      <fill>
        <patternFill>
          <bgColor theme="5"/>
        </patternFill>
      </fill>
    </dxf>
    <dxf>
      <fill>
        <patternFill>
          <bgColor theme="5" tint="0.39994506668294322"/>
        </patternFill>
      </fill>
    </dxf>
    <dxf>
      <fill>
        <patternFill>
          <bgColor theme="9" tint="0.59996337778862885"/>
        </patternFill>
      </fill>
    </dxf>
    <dxf>
      <fill>
        <patternFill>
          <bgColor theme="7" tint="0.59996337778862885"/>
        </patternFill>
      </fill>
    </dxf>
    <dxf>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0" formatCode="Genera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fill>
        <patternFill patternType="solid">
          <fgColor indexed="64"/>
          <bgColor theme="2" tint="-0.249977111117893"/>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fill>
        <patternFill patternType="solid">
          <fgColor indexed="64"/>
          <bgColor theme="2" tint="-0.249977111117893"/>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fill>
        <patternFill patternType="solid">
          <fgColor indexed="64"/>
          <bgColor theme="2" tint="-0.249977111117893"/>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fill>
        <patternFill patternType="solid">
          <fgColor indexed="64"/>
          <bgColor theme="2" tint="-0.249977111117893"/>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fill>
        <patternFill patternType="solid">
          <fgColor indexed="64"/>
          <bgColor theme="2" tint="-0.249977111117893"/>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30" formatCode="@"/>
      <fill>
        <patternFill patternType="none">
          <fgColor indexed="64"/>
          <bgColor indexed="65"/>
        </patternFill>
      </fill>
      <alignment horizontal="left" vertical="center" textRotation="0" wrapText="0" indent="0" justifyLastLine="0" shrinkToFit="0" readingOrder="0"/>
      <border diagonalUp="0" diagonalDown="0" outline="0">
        <left style="thin">
          <color indexed="64"/>
        </left>
        <right/>
        <top style="thin">
          <color indexed="64"/>
        </top>
        <bottom style="thin">
          <color indexed="64"/>
        </bottom>
      </border>
      <protection locked="1" hidden="0"/>
    </dxf>
    <dxf>
      <protection locked="1" hidden="0"/>
    </dxf>
    <dxf>
      <alignment horizontal="left" vertical="center" textRotation="0" wrapText="0" indent="0" justifyLastLine="0" shrinkToFit="0" readingOrder="0"/>
      <protection locked="1" hidden="0"/>
    </dxf>
    <dxf>
      <protection locked="1" hidden="0"/>
    </dxf>
    <dxf>
      <fill>
        <patternFill>
          <bgColor theme="5"/>
        </patternFill>
      </fill>
    </dxf>
    <dxf>
      <fill>
        <patternFill>
          <bgColor theme="5" tint="0.39994506668294322"/>
        </patternFill>
      </fill>
    </dxf>
    <dxf>
      <fill>
        <patternFill>
          <bgColor theme="9" tint="0.39994506668294322"/>
        </patternFill>
      </fill>
    </dxf>
    <dxf>
      <fill>
        <patternFill>
          <bgColor theme="7" tint="0.39994506668294322"/>
        </patternFill>
      </fill>
    </dxf>
    <dxf>
      <fill>
        <patternFill>
          <bgColor theme="8" tint="0.39994506668294322"/>
        </patternFill>
      </fill>
    </dxf>
    <dxf>
      <font>
        <b val="0"/>
        <i val="0"/>
        <color theme="3"/>
      </font>
      <border>
        <vertical/>
        <horizontal/>
      </border>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2" tint="-0.249977111117893"/>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2" tint="-0.249977111117893"/>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2" tint="-0.249977111117893"/>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2" tint="-0.249977111117893"/>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0" formatCode="Genera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2" tint="-0.249977111117893"/>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2" tint="-0.249977111117893"/>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2" tint="-0.249977111117893"/>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2" tint="-0.249977111117893"/>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30" formatCode="@"/>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protection locked="1" hidden="0"/>
    </dxf>
    <dxf>
      <protection locked="1" hidden="0"/>
    </dxf>
    <dxf>
      <protection locked="1" hidden="0"/>
    </dxf>
    <dxf>
      <fill>
        <patternFill>
          <bgColor theme="5"/>
        </patternFill>
      </fill>
    </dxf>
    <dxf>
      <fill>
        <patternFill>
          <bgColor theme="5" tint="0.39994506668294322"/>
        </patternFill>
      </fill>
    </dxf>
    <dxf>
      <fill>
        <patternFill>
          <bgColor theme="9" tint="0.59996337778862885"/>
        </patternFill>
      </fill>
    </dxf>
    <dxf>
      <fill>
        <patternFill>
          <bgColor theme="7" tint="0.59996337778862885"/>
        </patternFill>
      </fill>
    </dxf>
    <dxf>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0" formatCode="Genera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fgColor indexed="64"/>
          <bgColor theme="0" tint="-0.249977111117893"/>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fgColor indexed="64"/>
          <bgColor theme="0" tint="-0.249977111117893"/>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fgColor indexed="64"/>
          <bgColor theme="0" tint="-0.249977111117893"/>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fgColor indexed="64"/>
          <bgColor theme="0" tint="-0.249977111117893"/>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fgColor indexed="64"/>
          <bgColor theme="0" tint="-0.249977111117893"/>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30" formatCode="@"/>
      <fill>
        <patternFill patternType="none">
          <fgColor indexed="64"/>
          <bgColor indexed="65"/>
        </patternFill>
      </fill>
      <alignment horizontal="left" vertical="center" textRotation="0" wrapText="0" indent="0" justifyLastLine="0" shrinkToFit="0" readingOrder="0"/>
      <border diagonalUp="0" diagonalDown="0" outline="0">
        <left style="thin">
          <color indexed="64"/>
        </left>
        <right/>
        <top style="thin">
          <color indexed="64"/>
        </top>
        <bottom style="thin">
          <color indexed="64"/>
        </bottom>
      </border>
      <protection locked="1" hidden="0"/>
    </dxf>
    <dxf>
      <protection locked="1" hidden="0"/>
    </dxf>
    <dxf>
      <alignment horizontal="left" vertical="center" textRotation="0" wrapText="0" indent="0" justifyLastLine="0" shrinkToFit="0" readingOrder="0"/>
      <protection locked="1" hidden="0"/>
    </dxf>
    <dxf>
      <protection locked="1" hidden="0"/>
    </dxf>
    <dxf>
      <fill>
        <patternFill>
          <bgColor theme="5"/>
        </patternFill>
      </fill>
    </dxf>
    <dxf>
      <fill>
        <patternFill>
          <bgColor theme="5" tint="0.39994506668294322"/>
        </patternFill>
      </fill>
    </dxf>
    <dxf>
      <fill>
        <patternFill>
          <bgColor theme="9" tint="0.39994506668294322"/>
        </patternFill>
      </fill>
    </dxf>
    <dxf>
      <fill>
        <patternFill>
          <bgColor theme="7" tint="0.39994506668294322"/>
        </patternFill>
      </fill>
    </dxf>
    <dxf>
      <fill>
        <patternFill>
          <bgColor theme="8" tint="0.39994506668294322"/>
        </patternFill>
      </fill>
    </dxf>
    <dxf>
      <font>
        <b val="0"/>
        <i val="0"/>
        <color theme="3"/>
      </font>
      <border>
        <vertical/>
        <horizontal/>
      </border>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0" formatCode="Genera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solid">
          <fgColor indexed="64"/>
          <bgColor theme="0" tint="-0.249977111117893"/>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0" tint="-0.249977111117893"/>
        </patternFill>
      </fill>
      <alignment horizontal="left"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solid">
          <fgColor indexed="64"/>
          <bgColor theme="0" tint="-0.249977111117893"/>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0" tint="-0.249977111117893"/>
        </patternFill>
      </fill>
      <alignment horizontal="left"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solid">
          <fgColor indexed="64"/>
          <bgColor theme="0" tint="-0.249977111117893"/>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0" tint="-0.249977111117893"/>
        </patternFill>
      </fill>
      <alignment horizontal="left"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solid">
          <fgColor indexed="64"/>
          <bgColor theme="0" tint="-0.249977111117893"/>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0" tint="-0.249977111117893"/>
        </patternFill>
      </fill>
      <alignment horizontal="left"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30" formatCode="@"/>
      <fill>
        <patternFill patternType="none">
          <fgColor indexed="64"/>
          <bgColor indexed="65"/>
        </patternFill>
      </fill>
      <alignment horizontal="left" vertical="center" textRotation="0" wrapText="0" indent="0" justifyLastLine="0" shrinkToFit="0" readingOrder="0"/>
      <border diagonalUp="0" diagonalDown="0">
        <left style="thin">
          <color indexed="64"/>
        </left>
        <right/>
        <top style="thin">
          <color indexed="64"/>
        </top>
        <bottom style="thin">
          <color indexed="64"/>
        </bottom>
        <vertical/>
        <horizontal/>
      </border>
      <protection locked="1" hidden="0"/>
    </dxf>
    <dxf>
      <protection locked="1" hidden="0"/>
    </dxf>
    <dxf>
      <protection locked="1" hidden="0"/>
    </dxf>
    <dxf>
      <protection locked="1" hidden="0"/>
    </dxf>
    <dxf>
      <fill>
        <patternFill>
          <bgColor theme="5"/>
        </patternFill>
      </fill>
    </dxf>
    <dxf>
      <fill>
        <patternFill>
          <bgColor theme="5" tint="0.59996337778862885"/>
        </patternFill>
      </fill>
    </dxf>
    <dxf>
      <fill>
        <patternFill>
          <bgColor theme="9" tint="0.59996337778862885"/>
        </patternFill>
      </fill>
    </dxf>
    <dxf>
      <fill>
        <patternFill>
          <bgColor theme="7" tint="0.59996337778862885"/>
        </patternFill>
      </fill>
    </dxf>
    <dxf>
      <fill>
        <patternFill>
          <bgColor theme="8" tint="0.59996337778862885"/>
        </patternFill>
      </fill>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0" formatCode="Genera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solid">
          <fgColor indexed="64"/>
          <bgColor theme="0" tint="-0.249977111117893"/>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0" tint="-0.249977111117893"/>
        </patternFill>
      </fill>
      <alignment horizontal="left"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solid">
          <fgColor indexed="64"/>
          <bgColor theme="0" tint="-0.249977111117893"/>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0" tint="-0.249977111117893"/>
        </patternFill>
      </fill>
      <alignment horizontal="left"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solid">
          <fgColor indexed="64"/>
          <bgColor theme="0" tint="-0.249977111117893"/>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0" tint="-0.249977111117893"/>
        </patternFill>
      </fill>
      <alignment horizontal="left"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solid">
          <fgColor indexed="64"/>
          <bgColor theme="0" tint="-0.249977111117893"/>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0" tint="-0.249977111117893"/>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30" formatCode="@"/>
      <fill>
        <patternFill patternType="none">
          <fgColor indexed="64"/>
          <bgColor indexed="65"/>
        </patternFill>
      </fill>
      <alignment horizontal="left" vertical="center" textRotation="0" wrapText="0" indent="0" justifyLastLine="0" shrinkToFit="0" readingOrder="0"/>
      <border diagonalUp="0" diagonalDown="0">
        <left style="thin">
          <color indexed="64"/>
        </left>
        <right/>
        <top style="thin">
          <color indexed="64"/>
        </top>
        <bottom style="thin">
          <color indexed="64"/>
        </bottom>
        <vertical/>
        <horizontal/>
      </border>
      <protection locked="1" hidden="0"/>
    </dxf>
    <dxf>
      <protection locked="1" hidden="0"/>
    </dxf>
    <dxf>
      <protection locked="1" hidden="0"/>
    </dxf>
    <dxf>
      <protection locked="1" hidden="0"/>
    </dxf>
    <dxf>
      <fill>
        <patternFill>
          <bgColor theme="5"/>
        </patternFill>
      </fill>
    </dxf>
    <dxf>
      <fill>
        <patternFill>
          <bgColor theme="5" tint="0.59996337778862885"/>
        </patternFill>
      </fill>
    </dxf>
    <dxf>
      <fill>
        <patternFill>
          <bgColor theme="9" tint="0.59996337778862885"/>
        </patternFill>
      </fill>
    </dxf>
    <dxf>
      <fill>
        <patternFill>
          <bgColor theme="7" tint="0.59996337778862885"/>
        </patternFill>
      </fill>
    </dxf>
    <dxf>
      <fill>
        <patternFill>
          <bgColor theme="8" tint="0.59996337778862885"/>
        </patternFill>
      </fill>
    </dxf>
    <dxf>
      <font>
        <b val="0"/>
        <i val="0"/>
        <color theme="3"/>
      </font>
      <border>
        <vertical/>
        <horizontal/>
      </border>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protection locked="1" hidden="0"/>
    </dxf>
    <dxf>
      <numFmt numFmtId="0" formatCode="Genera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solid">
          <fgColor indexed="64"/>
          <bgColor theme="0" tint="-0.249977111117893"/>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0" tint="-0.249977111117893"/>
        </patternFill>
      </fill>
      <alignment horizontal="left"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solid">
          <fgColor indexed="64"/>
          <bgColor theme="0" tint="-0.249977111117893"/>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0" tint="-0.249977111117893"/>
        </patternFill>
      </fill>
      <alignment horizontal="left"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solid">
          <fgColor indexed="64"/>
          <bgColor theme="0" tint="-0.249977111117893"/>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0" tint="-0.249977111117893"/>
        </patternFill>
      </fill>
      <alignment horizontal="left"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border diagonalUp="0" diagonalDown="0" outline="0">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solid">
          <fgColor indexed="64"/>
          <bgColor theme="0" tint="-0.249977111117893"/>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0" tint="-0.249977111117893"/>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protection locked="1" hidden="0"/>
    </dxf>
    <dxf>
      <border diagonalUp="0" diagonalDown="0" outline="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30" formatCode="@"/>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protection locked="1" hidden="0"/>
    </dxf>
    <dxf>
      <protection locked="1" hidden="0"/>
    </dxf>
    <dxf>
      <protection locked="1" hidden="0"/>
    </dxf>
    <dxf>
      <fill>
        <patternFill>
          <bgColor theme="5"/>
        </patternFill>
      </fill>
    </dxf>
    <dxf>
      <fill>
        <patternFill>
          <bgColor theme="5" tint="0.59996337778862885"/>
        </patternFill>
      </fill>
    </dxf>
    <dxf>
      <fill>
        <patternFill>
          <bgColor theme="9" tint="0.59996337778862885"/>
        </patternFill>
      </fill>
    </dxf>
    <dxf>
      <fill>
        <patternFill>
          <bgColor theme="7" tint="0.59996337778862885"/>
        </patternFill>
      </fill>
    </dxf>
    <dxf>
      <fill>
        <patternFill>
          <bgColor theme="8" tint="0.59996337778862885"/>
        </patternFill>
      </fill>
    </dxf>
    <dxf>
      <font>
        <b val="0"/>
        <i val="0"/>
        <color theme="3"/>
      </font>
      <border>
        <vertical/>
        <horizontal/>
      </border>
    </dxf>
    <dxf>
      <font>
        <b val="0"/>
        <i val="0"/>
        <color theme="3"/>
      </font>
      <border>
        <vertical/>
        <horizontal/>
      </border>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0" formatCode="Genera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0" tint="-0.249977111117893"/>
        </patternFill>
      </fill>
      <alignment horizontal="left"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solid">
          <fgColor indexed="64"/>
          <bgColor theme="0" tint="-0.249977111117893"/>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0" tint="-0.249977111117893"/>
        </patternFill>
      </fill>
      <alignment horizontal="left"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solid">
          <fgColor indexed="64"/>
          <bgColor theme="0" tint="-0.249977111117893"/>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0" tint="-0.249977111117893"/>
        </patternFill>
      </fill>
      <alignment horizontal="left"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solid">
          <fgColor indexed="64"/>
          <bgColor theme="0" tint="-0.249977111117893"/>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0" tint="-0.249977111117893"/>
        </patternFill>
      </fill>
      <alignment horizontal="left"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30" formatCode="@"/>
      <fill>
        <patternFill patternType="none">
          <fgColor indexed="64"/>
          <bgColor indexed="65"/>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protection locked="1" hidden="0"/>
    </dxf>
    <dxf>
      <protection locked="1" hidden="0"/>
    </dxf>
    <dxf>
      <fill>
        <patternFill>
          <bgColor theme="5"/>
        </patternFill>
      </fill>
    </dxf>
    <dxf>
      <fill>
        <patternFill>
          <bgColor theme="5" tint="0.59996337778862885"/>
        </patternFill>
      </fill>
    </dxf>
    <dxf>
      <fill>
        <patternFill>
          <bgColor theme="9" tint="0.59996337778862885"/>
        </patternFill>
      </fill>
    </dxf>
    <dxf>
      <fill>
        <patternFill>
          <bgColor theme="7" tint="0.59996337778862885"/>
        </patternFill>
      </fill>
    </dxf>
    <dxf>
      <fill>
        <patternFill>
          <bgColor theme="8" tint="0.59996337778862885"/>
        </patternFill>
      </fill>
    </dxf>
    <dxf>
      <font>
        <color theme="0"/>
      </font>
      <border>
        <vertical/>
        <horizontal/>
      </border>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0" formatCode="Genera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solid">
          <fgColor indexed="64"/>
          <bgColor theme="0" tint="-0.249977111117893"/>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0" tint="-0.249977111117893"/>
        </patternFill>
      </fill>
      <alignment horizontal="left"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solid">
          <fgColor indexed="64"/>
          <bgColor theme="0" tint="-0.249977111117893"/>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0" tint="-0.249977111117893"/>
        </patternFill>
      </fill>
      <alignment horizontal="left"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solid">
          <fgColor indexed="64"/>
          <bgColor theme="0" tint="-0.249977111117893"/>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0" tint="-0.249977111117893"/>
        </patternFill>
      </fill>
      <alignment horizontal="left"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solid">
          <fgColor indexed="64"/>
          <bgColor theme="0" tint="-0.249977111117893"/>
        </patternFill>
      </fill>
      <alignment horizontal="center" vertical="center" textRotation="0" wrapText="0" indent="0" justifyLastLine="0" shrinkToFit="0" readingOrder="0"/>
      <border diagonalUp="0" diagonalDown="0" outline="0">
        <left/>
        <right/>
        <top/>
        <bottom/>
      </border>
      <protection locked="1" hidden="0"/>
    </dxf>
    <dxf>
      <fill>
        <patternFill patternType="solid">
          <fgColor indexed="64"/>
          <bgColor theme="0" tint="-0.249977111117893"/>
        </patternFill>
      </fill>
      <alignment horizontal="left"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strike val="0"/>
        <outline val="0"/>
        <shadow val="0"/>
        <u val="none"/>
        <vertAlign val="baseline"/>
        <color theme="1"/>
        <name val="Calibri"/>
        <scheme val="minor"/>
      </font>
      <numFmt numFmtId="30" formatCode="@"/>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protection locked="1" hidden="0"/>
    </dxf>
    <dxf>
      <protection locked="1" hidden="0"/>
    </dxf>
    <dxf>
      <protection locked="1" hidden="0"/>
    </dxf>
    <dxf>
      <fill>
        <patternFill>
          <bgColor theme="5"/>
        </patternFill>
      </fill>
    </dxf>
    <dxf>
      <fill>
        <patternFill>
          <bgColor theme="5" tint="0.59996337778862885"/>
        </patternFill>
      </fill>
    </dxf>
    <dxf>
      <fill>
        <patternFill>
          <bgColor theme="9" tint="0.59996337778862885"/>
        </patternFill>
      </fill>
    </dxf>
    <dxf>
      <fill>
        <patternFill>
          <bgColor theme="7" tint="0.59996337778862885"/>
        </patternFill>
      </fill>
    </dxf>
    <dxf>
      <fill>
        <patternFill>
          <bgColor theme="8" tint="0.59996337778862885"/>
        </patternFill>
      </fill>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7" defaultTableStyle="TableStyleMedium2" defaultPivotStyle="PivotStyleLight16">
    <tableStyle name="Tableau des absences des employés" pivot="0" count="13">
      <tableStyleElement type="wholeTable" dxfId="945"/>
      <tableStyleElement type="headerRow" dxfId="944"/>
      <tableStyleElement type="totalRow" dxfId="943"/>
      <tableStyleElement type="firstColumn" dxfId="942"/>
      <tableStyleElement type="lastColumn" dxfId="941"/>
      <tableStyleElement type="firstRowStripe" dxfId="940"/>
      <tableStyleElement type="secondRowStripe" dxfId="939"/>
      <tableStyleElement type="firstColumnStripe" dxfId="938"/>
      <tableStyleElement type="secondColumnStripe" dxfId="937"/>
      <tableStyleElement type="firstHeaderCell" dxfId="936"/>
      <tableStyleElement type="lastHeaderCell" dxfId="935"/>
      <tableStyleElement type="firstTotalCell" dxfId="934"/>
      <tableStyleElement type="lastTotalCell" dxfId="933"/>
    </tableStyle>
    <tableStyle name="Tableau des absences des employés 2" pivot="0" count="13">
      <tableStyleElement type="wholeTable" dxfId="932"/>
      <tableStyleElement type="headerRow" dxfId="931"/>
      <tableStyleElement type="totalRow" dxfId="930"/>
      <tableStyleElement type="firstColumn" dxfId="929"/>
      <tableStyleElement type="lastColumn" dxfId="928"/>
      <tableStyleElement type="firstRowStripe" dxfId="927"/>
      <tableStyleElement type="secondRowStripe" dxfId="926"/>
      <tableStyleElement type="firstColumnStripe" dxfId="925"/>
      <tableStyleElement type="secondColumnStripe" dxfId="924"/>
      <tableStyleElement type="firstHeaderCell" dxfId="923"/>
      <tableStyleElement type="lastHeaderCell" dxfId="922"/>
      <tableStyleElement type="firstTotalCell" dxfId="921"/>
      <tableStyleElement type="lastTotalCell" dxfId="920"/>
    </tableStyle>
    <tableStyle name="Tableau des absences des employés 3" pivot="0" count="13">
      <tableStyleElement type="wholeTable" dxfId="919"/>
      <tableStyleElement type="headerRow" dxfId="918"/>
      <tableStyleElement type="totalRow" dxfId="917"/>
      <tableStyleElement type="firstColumn" dxfId="916"/>
      <tableStyleElement type="lastColumn" dxfId="915"/>
      <tableStyleElement type="firstRowStripe" dxfId="914"/>
      <tableStyleElement type="secondRowStripe" dxfId="913"/>
      <tableStyleElement type="firstColumnStripe" dxfId="912"/>
      <tableStyleElement type="secondColumnStripe" dxfId="911"/>
      <tableStyleElement type="firstHeaderCell" dxfId="910"/>
      <tableStyleElement type="lastHeaderCell" dxfId="909"/>
      <tableStyleElement type="firstTotalCell" dxfId="908"/>
      <tableStyleElement type="lastTotalCell" dxfId="907"/>
    </tableStyle>
    <tableStyle name="Tableau des absences des employés 4" pivot="0" count="13">
      <tableStyleElement type="wholeTable" dxfId="906"/>
      <tableStyleElement type="headerRow" dxfId="905"/>
      <tableStyleElement type="totalRow" dxfId="904"/>
      <tableStyleElement type="firstColumn" dxfId="903"/>
      <tableStyleElement type="lastColumn" dxfId="902"/>
      <tableStyleElement type="firstRowStripe" dxfId="901"/>
      <tableStyleElement type="secondRowStripe" dxfId="900"/>
      <tableStyleElement type="firstColumnStripe" dxfId="899"/>
      <tableStyleElement type="secondColumnStripe" dxfId="898"/>
      <tableStyleElement type="firstHeaderCell" dxfId="897"/>
      <tableStyleElement type="lastHeaderCell" dxfId="896"/>
      <tableStyleElement type="firstTotalCell" dxfId="895"/>
      <tableStyleElement type="lastTotalCell" dxfId="894"/>
    </tableStyle>
    <tableStyle name="Tableau des absences des employés 5" pivot="0" count="13">
      <tableStyleElement type="wholeTable" dxfId="893"/>
      <tableStyleElement type="headerRow" dxfId="892"/>
      <tableStyleElement type="totalRow" dxfId="891"/>
      <tableStyleElement type="firstColumn" dxfId="890"/>
      <tableStyleElement type="lastColumn" dxfId="889"/>
      <tableStyleElement type="firstRowStripe" dxfId="888"/>
      <tableStyleElement type="secondRowStripe" dxfId="887"/>
      <tableStyleElement type="firstColumnStripe" dxfId="886"/>
      <tableStyleElement type="secondColumnStripe" dxfId="885"/>
      <tableStyleElement type="firstHeaderCell" dxfId="884"/>
      <tableStyleElement type="lastHeaderCell" dxfId="883"/>
      <tableStyleElement type="firstTotalCell" dxfId="882"/>
      <tableStyleElement type="lastTotalCell" dxfId="881"/>
    </tableStyle>
    <tableStyle name="Tableau des absences des employés 6" pivot="0" count="13">
      <tableStyleElement type="wholeTable" dxfId="880"/>
      <tableStyleElement type="headerRow" dxfId="879"/>
      <tableStyleElement type="totalRow" dxfId="878"/>
      <tableStyleElement type="firstColumn" dxfId="877"/>
      <tableStyleElement type="lastColumn" dxfId="876"/>
      <tableStyleElement type="firstRowStripe" dxfId="875"/>
      <tableStyleElement type="secondRowStripe" dxfId="874"/>
      <tableStyleElement type="firstColumnStripe" dxfId="873"/>
      <tableStyleElement type="secondColumnStripe" dxfId="872"/>
      <tableStyleElement type="firstHeaderCell" dxfId="871"/>
      <tableStyleElement type="lastHeaderCell" dxfId="870"/>
      <tableStyleElement type="firstTotalCell" dxfId="869"/>
      <tableStyleElement type="lastTotalCell" dxfId="868"/>
    </tableStyle>
    <tableStyle name="Tableau des absences des employés 7" pivot="0" count="13">
      <tableStyleElement type="wholeTable" dxfId="867"/>
      <tableStyleElement type="headerRow" dxfId="866"/>
      <tableStyleElement type="totalRow" dxfId="865"/>
      <tableStyleElement type="firstColumn" dxfId="864"/>
      <tableStyleElement type="lastColumn" dxfId="863"/>
      <tableStyleElement type="firstRowStripe" dxfId="862"/>
      <tableStyleElement type="secondRowStripe" dxfId="861"/>
      <tableStyleElement type="firstColumnStripe" dxfId="860"/>
      <tableStyleElement type="secondColumnStripe" dxfId="859"/>
      <tableStyleElement type="firstHeaderCell" dxfId="858"/>
      <tableStyleElement type="lastHeaderCell" dxfId="857"/>
      <tableStyleElement type="firstTotalCell" dxfId="856"/>
      <tableStyleElement type="lastTotalCell" dxfId="85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TABLEAU%20DE%20BORD%20DES%20ABSENCES%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vier"/>
      <sheetName val="Février"/>
      <sheetName val="Mars"/>
      <sheetName val="Avril"/>
      <sheetName val="Mai"/>
      <sheetName val="Juin"/>
      <sheetName val="Juillet"/>
      <sheetName val="Août"/>
      <sheetName val="Septembre"/>
      <sheetName val="Octobre"/>
      <sheetName val="Novembre"/>
      <sheetName val="Décembre"/>
      <sheetName val="EMPLOYES"/>
    </sheetNames>
    <sheetDataSet>
      <sheetData sheetId="0">
        <row r="1">
          <cell r="A1" t="str">
            <v>Calendrier des absences des employés</v>
          </cell>
        </row>
        <row r="2">
          <cell r="B2" t="str">
            <v>C</v>
          </cell>
          <cell r="E2" t="str">
            <v>B</v>
          </cell>
          <cell r="I2" t="str">
            <v>M</v>
          </cell>
          <cell r="L2" t="str">
            <v>P</v>
          </cell>
          <cell r="Q2" t="str">
            <v>D</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ables/table1.xml><?xml version="1.0" encoding="utf-8"?>
<table xmlns="http://schemas.openxmlformats.org/spreadsheetml/2006/main" id="1" name="Janvier" displayName="Janvier" ref="A6:AG12" totalsRowCount="1" headerRowDxfId="849" dataDxfId="848" totalsRowDxfId="847">
  <tableColumns count="33">
    <tableColumn id="1" name="Nom de l’employé" totalsRowFunction="custom" dataDxfId="846" totalsRowDxfId="845" dataCellStyle="Employé">
      <totalsRowFormula>NomMois&amp;" Total"</totalsRowFormula>
    </tableColumn>
    <tableColumn id="2" name="1" totalsRowFunction="custom" dataDxfId="844" totalsRowDxfId="843" dataCellStyle="Total">
      <totalsRowFormula>SUBTOTAL(103,Janvier!$B$7:$B$11)</totalsRowFormula>
    </tableColumn>
    <tableColumn id="3" name="2" totalsRowFunction="custom" dataDxfId="842" totalsRowDxfId="841" dataCellStyle="Total">
      <totalsRowFormula>SUBTOTAL(103,Janvier!$B$7:$B$11)</totalsRowFormula>
    </tableColumn>
    <tableColumn id="4" name="3" totalsRowFunction="custom" dataDxfId="840" totalsRowDxfId="839" dataCellStyle="Total">
      <totalsRowFormula>SUBTOTAL(103,Janvier!$B$7:$B$11)</totalsRowFormula>
    </tableColumn>
    <tableColumn id="5" name="4" totalsRowFunction="custom" dataDxfId="838" totalsRowDxfId="837" dataCellStyle="Total">
      <totalsRowFormula>SUBTOTAL(103,Janvier!$B$7:$B$11)</totalsRowFormula>
    </tableColumn>
    <tableColumn id="6" name="5" totalsRowFunction="custom" dataDxfId="836" totalsRowDxfId="835" dataCellStyle="Total">
      <totalsRowFormula>SUBTOTAL(103,Janvier!$B$7:$B$11)</totalsRowFormula>
    </tableColumn>
    <tableColumn id="7" name="6" totalsRowFunction="custom" dataDxfId="834" totalsRowDxfId="833" dataCellStyle="Total">
      <totalsRowFormula>SUBTOTAL(103,Janvier!$B$7:$B$11)</totalsRowFormula>
    </tableColumn>
    <tableColumn id="8" name="7" totalsRowFunction="custom" dataDxfId="832" totalsRowDxfId="831" dataCellStyle="Total">
      <totalsRowFormula>SUBTOTAL(103,Janvier!$B$7:$B$11)</totalsRowFormula>
    </tableColumn>
    <tableColumn id="9" name="8" totalsRowFunction="custom" dataDxfId="830" totalsRowDxfId="829" dataCellStyle="Total">
      <totalsRowFormula>SUBTOTAL(103,Janvier!$B$7:$B$11)</totalsRowFormula>
    </tableColumn>
    <tableColumn id="10" name="9" totalsRowFunction="custom" dataDxfId="828" totalsRowDxfId="827" dataCellStyle="Total">
      <totalsRowFormula>SUBTOTAL(103,Janvier!$B$7:$B$11)</totalsRowFormula>
    </tableColumn>
    <tableColumn id="11" name="10" totalsRowFunction="custom" dataDxfId="826" totalsRowDxfId="825" dataCellStyle="Total">
      <totalsRowFormula>SUBTOTAL(103,Janvier!$B$7:$B$11)</totalsRowFormula>
    </tableColumn>
    <tableColumn id="12" name="11" totalsRowFunction="custom" dataDxfId="824" totalsRowDxfId="823" dataCellStyle="Total">
      <totalsRowFormula>SUBTOTAL(103,Janvier!$B$7:$B$11)</totalsRowFormula>
    </tableColumn>
    <tableColumn id="13" name="12" totalsRowFunction="custom" dataDxfId="822" totalsRowDxfId="821" dataCellStyle="Total">
      <totalsRowFormula>SUBTOTAL(103,Janvier!$B$7:$B$11)</totalsRowFormula>
    </tableColumn>
    <tableColumn id="14" name="13" totalsRowFunction="custom" dataDxfId="820" totalsRowDxfId="819" dataCellStyle="Total">
      <totalsRowFormula>SUBTOTAL(103,Janvier!$B$7:$B$11)</totalsRowFormula>
    </tableColumn>
    <tableColumn id="15" name="14" totalsRowFunction="custom" dataDxfId="818" totalsRowDxfId="817" dataCellStyle="Total">
      <totalsRowFormula>SUBTOTAL(103,Janvier!$B$7:$B$11)</totalsRowFormula>
    </tableColumn>
    <tableColumn id="16" name="15" totalsRowFunction="custom" dataDxfId="816" totalsRowDxfId="815" dataCellStyle="Total">
      <totalsRowFormula>SUBTOTAL(103,Janvier!$B$7:$B$11)</totalsRowFormula>
    </tableColumn>
    <tableColumn id="17" name="16" totalsRowFunction="custom" dataDxfId="814" totalsRowDxfId="813" dataCellStyle="Total">
      <totalsRowFormula>SUBTOTAL(103,Janvier!$B$7:$B$11)</totalsRowFormula>
    </tableColumn>
    <tableColumn id="18" name="17" totalsRowFunction="custom" dataDxfId="812" totalsRowDxfId="811" dataCellStyle="Total">
      <totalsRowFormula>SUBTOTAL(103,Janvier!$B$7:$B$11)</totalsRowFormula>
    </tableColumn>
    <tableColumn id="19" name="18" totalsRowFunction="custom" dataDxfId="810" totalsRowDxfId="809" dataCellStyle="Total">
      <totalsRowFormula>SUBTOTAL(103,Janvier!$B$7:$B$11)</totalsRowFormula>
    </tableColumn>
    <tableColumn id="20" name="19" totalsRowFunction="custom" dataDxfId="808" totalsRowDxfId="807" dataCellStyle="Total">
      <totalsRowFormula>SUBTOTAL(103,Janvier!$B$7:$B$11)</totalsRowFormula>
    </tableColumn>
    <tableColumn id="21" name="20" totalsRowFunction="custom" dataDxfId="806" totalsRowDxfId="805" dataCellStyle="Total">
      <totalsRowFormula>SUBTOTAL(103,Janvier!$B$7:$B$11)</totalsRowFormula>
    </tableColumn>
    <tableColumn id="22" name="21" totalsRowFunction="custom" dataDxfId="804" totalsRowDxfId="803" dataCellStyle="Total">
      <totalsRowFormula>SUBTOTAL(103,Janvier!$B$7:$B$11)</totalsRowFormula>
    </tableColumn>
    <tableColumn id="23" name="22" totalsRowFunction="custom" dataDxfId="802" totalsRowDxfId="801" dataCellStyle="Total">
      <totalsRowFormula>SUBTOTAL(103,Janvier!$B$7:$B$11)</totalsRowFormula>
    </tableColumn>
    <tableColumn id="24" name="23" totalsRowFunction="custom" dataDxfId="800" totalsRowDxfId="799" dataCellStyle="Total">
      <totalsRowFormula>SUBTOTAL(103,Janvier!$B$7:$B$11)</totalsRowFormula>
    </tableColumn>
    <tableColumn id="25" name="24" totalsRowFunction="custom" dataDxfId="798" totalsRowDxfId="797" dataCellStyle="Total">
      <totalsRowFormula>SUBTOTAL(103,Janvier!$B$7:$B$11)</totalsRowFormula>
    </tableColumn>
    <tableColumn id="26" name="25" totalsRowFunction="custom" dataDxfId="796" totalsRowDxfId="795" dataCellStyle="Total">
      <totalsRowFormula>SUBTOTAL(103,Janvier!$B$7:$B$11)</totalsRowFormula>
    </tableColumn>
    <tableColumn id="27" name="26" totalsRowFunction="custom" dataDxfId="794" totalsRowDxfId="793" dataCellStyle="Total">
      <totalsRowFormula>SUBTOTAL(103,Janvier!$B$7:$B$11)</totalsRowFormula>
    </tableColumn>
    <tableColumn id="28" name="27" totalsRowFunction="custom" dataDxfId="792" totalsRowDxfId="791" dataCellStyle="Total">
      <totalsRowFormula>SUBTOTAL(103,Janvier!$B$7:$B$11)</totalsRowFormula>
    </tableColumn>
    <tableColumn id="29" name="28" totalsRowFunction="custom" dataDxfId="790" totalsRowDxfId="789" dataCellStyle="Total">
      <totalsRowFormula>SUBTOTAL(103,Janvier!$B$7:$B$11)</totalsRowFormula>
    </tableColumn>
    <tableColumn id="30" name="29" totalsRowFunction="custom" dataDxfId="788" totalsRowDxfId="787" dataCellStyle="Total">
      <totalsRowFormula>SUBTOTAL(103,Janvier!$B$7:$B$11)</totalsRowFormula>
    </tableColumn>
    <tableColumn id="31" name="30" totalsRowFunction="custom" dataDxfId="786" totalsRowDxfId="785" dataCellStyle="Total">
      <totalsRowFormula>SUBTOTAL(103,Janvier!$B$7:$B$11)</totalsRowFormula>
    </tableColumn>
    <tableColumn id="32" name="31" totalsRowFunction="custom" dataDxfId="784" totalsRowDxfId="783" dataCellStyle="Total">
      <totalsRowFormula>SUBTOTAL(103,Janvier!$B$7:$B$11)</totalsRowFormula>
    </tableColumn>
    <tableColumn id="33" name="Total des jours" totalsRowFunction="sum" dataDxfId="782" totalsRowDxfId="781" dataCellStyle="Total">
      <calculatedColumnFormula>COUNTA(Janvier!$B7:$AF7)</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id="3" name="Février" displayName="Février" ref="A6:AG12" totalsRowCount="1" headerRowDxfId="774" dataDxfId="773" totalsRowDxfId="772">
  <tableColumns count="33">
    <tableColumn id="1" name="Nom de l’employé" totalsRowFunction="custom" dataDxfId="771" totalsRowDxfId="770" dataCellStyle="Employé">
      <totalsRowFormula>A4&amp;" Total"</totalsRowFormula>
    </tableColumn>
    <tableColumn id="2" name="1" totalsRowFunction="custom" dataDxfId="769" totalsRowDxfId="768" dataCellStyle="Total">
      <totalsRowFormula>SUBTOTAL(103,Février!$B$7:$B$11)</totalsRowFormula>
    </tableColumn>
    <tableColumn id="3" name="2" totalsRowFunction="custom" dataDxfId="767" totalsRowDxfId="766" dataCellStyle="Total">
      <totalsRowFormula>SUBTOTAL(103,Février!$B$7:$B$11)</totalsRowFormula>
    </tableColumn>
    <tableColumn id="4" name="3" totalsRowFunction="custom" dataDxfId="765" totalsRowDxfId="764" dataCellStyle="Total">
      <totalsRowFormula>SUBTOTAL(103,Février!$B$7:$B$11)</totalsRowFormula>
    </tableColumn>
    <tableColumn id="5" name="4" totalsRowFunction="custom" dataDxfId="763" totalsRowDxfId="762" dataCellStyle="Total">
      <totalsRowFormula>SUBTOTAL(103,Février!$B$7:$B$11)</totalsRowFormula>
    </tableColumn>
    <tableColumn id="6" name="5" totalsRowFunction="custom" dataDxfId="761" totalsRowDxfId="760" dataCellStyle="Total">
      <totalsRowFormula>SUBTOTAL(103,Février!$B$7:$B$11)</totalsRowFormula>
    </tableColumn>
    <tableColumn id="7" name="6" totalsRowFunction="custom" dataDxfId="759" totalsRowDxfId="758" dataCellStyle="Total">
      <totalsRowFormula>SUBTOTAL(103,Février!$B$7:$B$11)</totalsRowFormula>
    </tableColumn>
    <tableColumn id="8" name="7" totalsRowFunction="custom" dataDxfId="757" totalsRowDxfId="756" dataCellStyle="Total">
      <totalsRowFormula>SUBTOTAL(103,Février!$B$7:$B$11)</totalsRowFormula>
    </tableColumn>
    <tableColumn id="9" name="8" totalsRowFunction="custom" dataDxfId="755" totalsRowDxfId="754" dataCellStyle="Total">
      <totalsRowFormula>SUBTOTAL(103,Février!$B$7:$B$11)</totalsRowFormula>
    </tableColumn>
    <tableColumn id="10" name="9" totalsRowFunction="custom" dataDxfId="753" totalsRowDxfId="752" dataCellStyle="Total">
      <totalsRowFormula>SUBTOTAL(103,Février!$B$7:$B$11)</totalsRowFormula>
    </tableColumn>
    <tableColumn id="11" name="10" totalsRowFunction="custom" dataDxfId="751" totalsRowDxfId="750" dataCellStyle="Total">
      <totalsRowFormula>SUBTOTAL(103,Février!$B$7:$B$11)</totalsRowFormula>
    </tableColumn>
    <tableColumn id="12" name="11" totalsRowFunction="custom" dataDxfId="749" totalsRowDxfId="748" dataCellStyle="Total">
      <totalsRowFormula>SUBTOTAL(103,Février!$B$7:$B$11)</totalsRowFormula>
    </tableColumn>
    <tableColumn id="13" name="12" totalsRowFunction="custom" dataDxfId="747" totalsRowDxfId="746" dataCellStyle="Total">
      <totalsRowFormula>SUBTOTAL(103,Février!$B$7:$B$11)</totalsRowFormula>
    </tableColumn>
    <tableColumn id="14" name="13" totalsRowFunction="custom" dataDxfId="745" totalsRowDxfId="744" dataCellStyle="Total">
      <totalsRowFormula>SUBTOTAL(103,Février!$B$7:$B$11)</totalsRowFormula>
    </tableColumn>
    <tableColumn id="15" name="14" totalsRowFunction="custom" dataDxfId="743" totalsRowDxfId="742" dataCellStyle="Total">
      <totalsRowFormula>SUBTOTAL(103,Février!$B$7:$B$11)</totalsRowFormula>
    </tableColumn>
    <tableColumn id="16" name="15" totalsRowFunction="custom" dataDxfId="741" totalsRowDxfId="740" dataCellStyle="Total">
      <totalsRowFormula>SUBTOTAL(103,Février!$B$7:$B$11)</totalsRowFormula>
    </tableColumn>
    <tableColumn id="17" name="16" totalsRowFunction="custom" dataDxfId="739" totalsRowDxfId="738" dataCellStyle="Total">
      <totalsRowFormula>SUBTOTAL(103,Février!$B$7:$B$11)</totalsRowFormula>
    </tableColumn>
    <tableColumn id="18" name="17" totalsRowFunction="custom" dataDxfId="737" totalsRowDxfId="736" dataCellStyle="Total">
      <totalsRowFormula>SUBTOTAL(103,Février!$B$7:$B$11)</totalsRowFormula>
    </tableColumn>
    <tableColumn id="19" name="18" totalsRowFunction="custom" dataDxfId="735" totalsRowDxfId="734" dataCellStyle="Total">
      <totalsRowFormula>SUBTOTAL(103,Février!$B$7:$B$11)</totalsRowFormula>
    </tableColumn>
    <tableColumn id="20" name="19" totalsRowFunction="custom" dataDxfId="733" totalsRowDxfId="732" dataCellStyle="Total">
      <totalsRowFormula>SUBTOTAL(103,Février!$B$7:$B$11)</totalsRowFormula>
    </tableColumn>
    <tableColumn id="21" name="20" totalsRowFunction="custom" dataDxfId="731" totalsRowDxfId="730" dataCellStyle="Total">
      <totalsRowFormula>SUBTOTAL(103,Février!$B$7:$B$11)</totalsRowFormula>
    </tableColumn>
    <tableColumn id="22" name="21" totalsRowFunction="custom" dataDxfId="729" totalsRowDxfId="728" dataCellStyle="Total">
      <totalsRowFormula>SUBTOTAL(103,Février!$B$7:$B$11)</totalsRowFormula>
    </tableColumn>
    <tableColumn id="23" name="22" totalsRowFunction="custom" dataDxfId="727" totalsRowDxfId="726" dataCellStyle="Total">
      <totalsRowFormula>SUBTOTAL(103,Février!$B$7:$B$11)</totalsRowFormula>
    </tableColumn>
    <tableColumn id="24" name="23" totalsRowFunction="custom" dataDxfId="725" totalsRowDxfId="724" dataCellStyle="Total">
      <totalsRowFormula>SUBTOTAL(103,Février!$B$7:$B$11)</totalsRowFormula>
    </tableColumn>
    <tableColumn id="25" name="24" totalsRowFunction="custom" dataDxfId="723" totalsRowDxfId="722" dataCellStyle="Total">
      <totalsRowFormula>SUBTOTAL(103,Février!$B$7:$B$11)</totalsRowFormula>
    </tableColumn>
    <tableColumn id="26" name="25" totalsRowFunction="custom" dataDxfId="721" totalsRowDxfId="720" dataCellStyle="Total">
      <totalsRowFormula>SUBTOTAL(103,Février!$B$7:$B$11)</totalsRowFormula>
    </tableColumn>
    <tableColumn id="27" name="26" totalsRowFunction="custom" dataDxfId="719" totalsRowDxfId="718" dataCellStyle="Total">
      <totalsRowFormula>SUBTOTAL(103,Février!$B$7:$B$11)</totalsRowFormula>
    </tableColumn>
    <tableColumn id="28" name="27" totalsRowFunction="custom" dataDxfId="717" totalsRowDxfId="716" dataCellStyle="Total">
      <totalsRowFormula>SUBTOTAL(103,Février!$B$7:$B$11)</totalsRowFormula>
    </tableColumn>
    <tableColumn id="29" name="28" totalsRowFunction="custom" dataDxfId="715" totalsRowDxfId="714" dataCellStyle="Total">
      <totalsRowFormula>SUBTOTAL(103,Février!$B$7:$B$11)</totalsRowFormula>
    </tableColumn>
    <tableColumn id="30" name="29" totalsRowFunction="custom" dataDxfId="713" totalsRowDxfId="712" dataCellStyle="Total">
      <totalsRowFormula>SUBTOTAL(103,Février!$B$7:$B$11)</totalsRowFormula>
    </tableColumn>
    <tableColumn id="31" name=" " totalsRowFunction="custom" dataDxfId="711" totalsRowDxfId="710" dataCellStyle="Total">
      <totalsRowFormula>SUBTOTAL(103,Février!$B$7:$B$11)</totalsRowFormula>
    </tableColumn>
    <tableColumn id="32" name="  " totalsRowFunction="custom" dataDxfId="709" totalsRowDxfId="708" dataCellStyle="Total">
      <totalsRowFormula>SUBTOTAL(103,Février!$B$7:$B$11)</totalsRowFormula>
    </tableColumn>
    <tableColumn id="33" name="Total des jours" totalsRowFunction="sum" dataDxfId="707" totalsRowDxfId="706" dataCellStyle="Total">
      <calculatedColumnFormula>COUNTA(Février!$B7:$AF7)</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id="4" name="Mars" displayName="Mars" ref="A6:AG12" totalsRowCount="1" headerRowDxfId="698" dataDxfId="697" totalsRowDxfId="696">
  <tableColumns count="33">
    <tableColumn id="1" name="Nom de l’employé" totalsRowFunction="custom" dataDxfId="695" totalsRowDxfId="694" dataCellStyle="Employé">
      <totalsRowFormula>NomMois&amp;" Total"</totalsRowFormula>
    </tableColumn>
    <tableColumn id="2" name="1" totalsRowFunction="custom" dataDxfId="693" totalsRowDxfId="692">
      <totalsRowFormula>SUBTOTAL(103,Mars!$B$7:$B$11)</totalsRowFormula>
    </tableColumn>
    <tableColumn id="3" name="2" totalsRowFunction="custom" dataDxfId="691" totalsRowDxfId="690">
      <totalsRowFormula>SUBTOTAL(103,Mars!$B$7:$B$11)</totalsRowFormula>
    </tableColumn>
    <tableColumn id="4" name="3" totalsRowFunction="custom" dataDxfId="689" totalsRowDxfId="688">
      <totalsRowFormula>SUBTOTAL(103,Mars!$B$7:$B$11)</totalsRowFormula>
    </tableColumn>
    <tableColumn id="5" name="4" totalsRowFunction="custom" dataDxfId="687" totalsRowDxfId="686">
      <totalsRowFormula>SUBTOTAL(103,Mars!$B$7:$B$11)</totalsRowFormula>
    </tableColumn>
    <tableColumn id="6" name="5" totalsRowFunction="custom" dataDxfId="685" totalsRowDxfId="684">
      <totalsRowFormula>SUBTOTAL(103,Mars!$B$7:$B$11)</totalsRowFormula>
    </tableColumn>
    <tableColumn id="7" name="6" totalsRowFunction="custom" dataDxfId="683" totalsRowDxfId="682">
      <totalsRowFormula>SUBTOTAL(103,Mars!$B$7:$B$11)</totalsRowFormula>
    </tableColumn>
    <tableColumn id="8" name="7" totalsRowFunction="custom" dataDxfId="681" totalsRowDxfId="680">
      <totalsRowFormula>SUBTOTAL(103,Mars!$B$7:$B$11)</totalsRowFormula>
    </tableColumn>
    <tableColumn id="9" name="8" totalsRowFunction="custom" dataDxfId="679" totalsRowDxfId="678">
      <totalsRowFormula>SUBTOTAL(103,Mars!$B$7:$B$11)</totalsRowFormula>
    </tableColumn>
    <tableColumn id="10" name="9" totalsRowFunction="custom" dataDxfId="677" totalsRowDxfId="676">
      <totalsRowFormula>SUBTOTAL(103,Mars!$B$7:$B$11)</totalsRowFormula>
    </tableColumn>
    <tableColumn id="11" name="10" totalsRowFunction="custom" dataDxfId="675" totalsRowDxfId="674">
      <totalsRowFormula>SUBTOTAL(103,Mars!$B$7:$B$11)</totalsRowFormula>
    </tableColumn>
    <tableColumn id="12" name="11" totalsRowFunction="custom" dataDxfId="673" totalsRowDxfId="672">
      <totalsRowFormula>SUBTOTAL(103,Mars!$B$7:$B$11)</totalsRowFormula>
    </tableColumn>
    <tableColumn id="13" name="12" totalsRowFunction="custom" dataDxfId="671" totalsRowDxfId="670">
      <totalsRowFormula>SUBTOTAL(103,Mars!$B$7:$B$11)</totalsRowFormula>
    </tableColumn>
    <tableColumn id="14" name="13" totalsRowFunction="custom" dataDxfId="669" totalsRowDxfId="668">
      <totalsRowFormula>SUBTOTAL(103,Mars!$B$7:$B$11)</totalsRowFormula>
    </tableColumn>
    <tableColumn id="15" name="14" totalsRowFunction="custom" dataDxfId="667" totalsRowDxfId="666">
      <totalsRowFormula>SUBTOTAL(103,Mars!$B$7:$B$11)</totalsRowFormula>
    </tableColumn>
    <tableColumn id="16" name="15" totalsRowFunction="custom" dataDxfId="665" totalsRowDxfId="664">
      <totalsRowFormula>SUBTOTAL(103,Mars!$B$7:$B$11)</totalsRowFormula>
    </tableColumn>
    <tableColumn id="17" name="16" totalsRowFunction="custom" dataDxfId="663" totalsRowDxfId="662">
      <totalsRowFormula>SUBTOTAL(103,Mars!$B$7:$B$11)</totalsRowFormula>
    </tableColumn>
    <tableColumn id="18" name="17" totalsRowFunction="custom" dataDxfId="661" totalsRowDxfId="660">
      <totalsRowFormula>SUBTOTAL(103,Mars!$B$7:$B$11)</totalsRowFormula>
    </tableColumn>
    <tableColumn id="19" name="18" totalsRowFunction="custom" dataDxfId="659" totalsRowDxfId="658">
      <totalsRowFormula>SUBTOTAL(103,Mars!$B$7:$B$11)</totalsRowFormula>
    </tableColumn>
    <tableColumn id="20" name="19" totalsRowFunction="custom" dataDxfId="657" totalsRowDxfId="656">
      <totalsRowFormula>SUBTOTAL(103,Mars!$B$7:$B$11)</totalsRowFormula>
    </tableColumn>
    <tableColumn id="21" name="20" totalsRowFunction="custom" dataDxfId="655" totalsRowDxfId="654">
      <totalsRowFormula>SUBTOTAL(103,Mars!$B$7:$B$11)</totalsRowFormula>
    </tableColumn>
    <tableColumn id="22" name="21" totalsRowFunction="custom" dataDxfId="653" totalsRowDxfId="652">
      <totalsRowFormula>SUBTOTAL(103,Mars!$B$7:$B$11)</totalsRowFormula>
    </tableColumn>
    <tableColumn id="23" name="22" totalsRowFunction="custom" dataDxfId="651" totalsRowDxfId="650">
      <totalsRowFormula>SUBTOTAL(103,Mars!$B$7:$B$11)</totalsRowFormula>
    </tableColumn>
    <tableColumn id="24" name="23" totalsRowFunction="custom" dataDxfId="649" totalsRowDxfId="648">
      <totalsRowFormula>SUBTOTAL(103,Mars!$B$7:$B$11)</totalsRowFormula>
    </tableColumn>
    <tableColumn id="25" name="24" totalsRowFunction="custom" dataDxfId="647" totalsRowDxfId="646">
      <totalsRowFormula>SUBTOTAL(103,Mars!$B$7:$B$11)</totalsRowFormula>
    </tableColumn>
    <tableColumn id="26" name="25" totalsRowFunction="custom" dataDxfId="645" totalsRowDxfId="644">
      <totalsRowFormula>SUBTOTAL(103,Mars!$B$7:$B$11)</totalsRowFormula>
    </tableColumn>
    <tableColumn id="27" name="26" totalsRowFunction="custom" dataDxfId="643" totalsRowDxfId="642">
      <totalsRowFormula>SUBTOTAL(103,Mars!$B$7:$B$11)</totalsRowFormula>
    </tableColumn>
    <tableColumn id="28" name="27" totalsRowFunction="custom" dataDxfId="641" totalsRowDxfId="640">
      <totalsRowFormula>SUBTOTAL(103,Mars!$B$7:$B$11)</totalsRowFormula>
    </tableColumn>
    <tableColumn id="29" name="28" totalsRowFunction="custom" dataDxfId="639" totalsRowDxfId="638">
      <totalsRowFormula>SUBTOTAL(103,Mars!$B$7:$B$11)</totalsRowFormula>
    </tableColumn>
    <tableColumn id="30" name="29" totalsRowFunction="custom" dataDxfId="637" totalsRowDxfId="636">
      <totalsRowFormula>SUBTOTAL(103,Mars!$B$7:$B$11)</totalsRowFormula>
    </tableColumn>
    <tableColumn id="31" name="30" totalsRowFunction="custom" dataDxfId="635" totalsRowDxfId="634">
      <totalsRowFormula>SUBTOTAL(103,Mars!$B$7:$B$11)</totalsRowFormula>
    </tableColumn>
    <tableColumn id="32" name="31" totalsRowFunction="custom" dataDxfId="633" totalsRowDxfId="632" dataCellStyle="Total">
      <totalsRowFormula>SUBTOTAL(103,Mars!$B$7:$B$11)</totalsRowFormula>
    </tableColumn>
    <tableColumn id="33" name="Total des jours" totalsRowFunction="sum" dataDxfId="631" totalsRowDxfId="630" dataCellStyle="Total">
      <calculatedColumnFormula>COUNTA(Mars!$B7:$AF7)</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4.xml><?xml version="1.0" encoding="utf-8"?>
<table xmlns="http://schemas.openxmlformats.org/spreadsheetml/2006/main" id="5" name="Avril" displayName="Avril" ref="A6:AG12" totalsRowCount="1" headerRowDxfId="623" dataDxfId="622" totalsRowDxfId="621">
  <tableColumns count="33">
    <tableColumn id="1" name="Nom de l’employé" totalsRowFunction="custom" dataDxfId="620" totalsRowDxfId="619" dataCellStyle="Employé">
      <totalsRowFormula>NomMois&amp;" Total"</totalsRowFormula>
    </tableColumn>
    <tableColumn id="2" name="1" totalsRowFunction="custom" dataDxfId="618" totalsRowDxfId="617">
      <totalsRowFormula>SUBTOTAL(103,Avril!$B$7:$B$11)</totalsRowFormula>
    </tableColumn>
    <tableColumn id="3" name="2" totalsRowFunction="custom" dataDxfId="616" totalsRowDxfId="615">
      <totalsRowFormula>SUBTOTAL(103,Avril!$B$7:$B$11)</totalsRowFormula>
    </tableColumn>
    <tableColumn id="4" name="3" totalsRowFunction="custom" dataDxfId="614" totalsRowDxfId="613">
      <totalsRowFormula>SUBTOTAL(103,Avril!$B$7:$B$11)</totalsRowFormula>
    </tableColumn>
    <tableColumn id="5" name="4" totalsRowFunction="custom" dataDxfId="612" totalsRowDxfId="611">
      <totalsRowFormula>SUBTOTAL(103,Avril!$B$7:$B$11)</totalsRowFormula>
    </tableColumn>
    <tableColumn id="6" name="5" totalsRowFunction="custom" dataDxfId="610" totalsRowDxfId="609">
      <totalsRowFormula>SUBTOTAL(103,Avril!$B$7:$B$11)</totalsRowFormula>
    </tableColumn>
    <tableColumn id="7" name="6" totalsRowFunction="custom" dataDxfId="608" totalsRowDxfId="607">
      <totalsRowFormula>SUBTOTAL(103,Avril!$B$7:$B$11)</totalsRowFormula>
    </tableColumn>
    <tableColumn id="8" name="7" totalsRowFunction="custom" dataDxfId="606" totalsRowDxfId="605">
      <totalsRowFormula>SUBTOTAL(103,Avril!$B$7:$B$11)</totalsRowFormula>
    </tableColumn>
    <tableColumn id="9" name="8" totalsRowFunction="custom" dataDxfId="604" totalsRowDxfId="603">
      <totalsRowFormula>SUBTOTAL(103,Avril!$B$7:$B$11)</totalsRowFormula>
    </tableColumn>
    <tableColumn id="10" name="9" totalsRowFunction="custom" dataDxfId="602" totalsRowDxfId="601">
      <totalsRowFormula>SUBTOTAL(103,Avril!$B$7:$B$11)</totalsRowFormula>
    </tableColumn>
    <tableColumn id="11" name="10" totalsRowFunction="custom" dataDxfId="600" totalsRowDxfId="599">
      <totalsRowFormula>SUBTOTAL(103,Avril!$B$7:$B$11)</totalsRowFormula>
    </tableColumn>
    <tableColumn id="12" name="11" totalsRowFunction="custom" dataDxfId="598" totalsRowDxfId="597">
      <totalsRowFormula>SUBTOTAL(103,Avril!$B$7:$B$11)</totalsRowFormula>
    </tableColumn>
    <tableColumn id="13" name="12" totalsRowFunction="custom" dataDxfId="596" totalsRowDxfId="595">
      <totalsRowFormula>SUBTOTAL(103,Avril!$B$7:$B$11)</totalsRowFormula>
    </tableColumn>
    <tableColumn id="14" name="13" totalsRowFunction="custom" dataDxfId="594" totalsRowDxfId="593">
      <totalsRowFormula>SUBTOTAL(103,Avril!$B$7:$B$11)</totalsRowFormula>
    </tableColumn>
    <tableColumn id="15" name="14" totalsRowFunction="custom" dataDxfId="592" totalsRowDxfId="591">
      <totalsRowFormula>SUBTOTAL(103,Avril!$B$7:$B$11)</totalsRowFormula>
    </tableColumn>
    <tableColumn id="16" name="15" totalsRowFunction="custom" dataDxfId="590" totalsRowDxfId="589">
      <totalsRowFormula>SUBTOTAL(103,Avril!$B$7:$B$11)</totalsRowFormula>
    </tableColumn>
    <tableColumn id="17" name="16" totalsRowFunction="custom" dataDxfId="588" totalsRowDxfId="587">
      <totalsRowFormula>SUBTOTAL(103,Avril!$B$7:$B$11)</totalsRowFormula>
    </tableColumn>
    <tableColumn id="18" name="17" totalsRowFunction="custom" dataDxfId="586" totalsRowDxfId="585">
      <totalsRowFormula>SUBTOTAL(103,Avril!$B$7:$B$11)</totalsRowFormula>
    </tableColumn>
    <tableColumn id="19" name="18" totalsRowFunction="custom" dataDxfId="584" totalsRowDxfId="583">
      <totalsRowFormula>SUBTOTAL(103,Avril!$B$7:$B$11)</totalsRowFormula>
    </tableColumn>
    <tableColumn id="20" name="19" totalsRowFunction="custom" dataDxfId="582" totalsRowDxfId="581">
      <totalsRowFormula>SUBTOTAL(103,Avril!$B$7:$B$11)</totalsRowFormula>
    </tableColumn>
    <tableColumn id="21" name="20" totalsRowFunction="custom" dataDxfId="580" totalsRowDxfId="579">
      <totalsRowFormula>SUBTOTAL(103,Avril!$B$7:$B$11)</totalsRowFormula>
    </tableColumn>
    <tableColumn id="22" name="21" totalsRowFunction="custom" dataDxfId="578" totalsRowDxfId="577">
      <totalsRowFormula>SUBTOTAL(103,Avril!$B$7:$B$11)</totalsRowFormula>
    </tableColumn>
    <tableColumn id="23" name="22" totalsRowFunction="custom" dataDxfId="576" totalsRowDxfId="575">
      <totalsRowFormula>SUBTOTAL(103,Avril!$B$7:$B$11)</totalsRowFormula>
    </tableColumn>
    <tableColumn id="24" name="23" totalsRowFunction="custom" dataDxfId="574" totalsRowDxfId="573">
      <totalsRowFormula>SUBTOTAL(103,Avril!$B$7:$B$11)</totalsRowFormula>
    </tableColumn>
    <tableColumn id="25" name="24" totalsRowFunction="custom" dataDxfId="572" totalsRowDxfId="571">
      <totalsRowFormula>SUBTOTAL(103,Avril!$B$7:$B$11)</totalsRowFormula>
    </tableColumn>
    <tableColumn id="26" name="25" totalsRowFunction="custom" dataDxfId="570" totalsRowDxfId="569">
      <totalsRowFormula>SUBTOTAL(103,Avril!$B$7:$B$11)</totalsRowFormula>
    </tableColumn>
    <tableColumn id="27" name="26" totalsRowFunction="custom" dataDxfId="568" totalsRowDxfId="567">
      <totalsRowFormula>SUBTOTAL(103,Avril!$B$7:$B$11)</totalsRowFormula>
    </tableColumn>
    <tableColumn id="28" name="27" totalsRowFunction="custom" dataDxfId="566" totalsRowDxfId="565">
      <totalsRowFormula>SUBTOTAL(103,Avril!$B$7:$B$11)</totalsRowFormula>
    </tableColumn>
    <tableColumn id="29" name="28" totalsRowFunction="custom" dataDxfId="564" totalsRowDxfId="563">
      <totalsRowFormula>SUBTOTAL(103,Avril!$B$7:$B$11)</totalsRowFormula>
    </tableColumn>
    <tableColumn id="30" name="29" totalsRowFunction="custom" dataDxfId="562" totalsRowDxfId="561">
      <totalsRowFormula>SUBTOTAL(103,Avril!$B$7:$B$11)</totalsRowFormula>
    </tableColumn>
    <tableColumn id="31" name="30" totalsRowFunction="custom" dataDxfId="560" totalsRowDxfId="559">
      <totalsRowFormula>SUBTOTAL(103,Avril!$B$7:$B$11)</totalsRowFormula>
    </tableColumn>
    <tableColumn id="32" name="31" totalsRowFunction="custom" dataDxfId="558" totalsRowDxfId="557" dataCellStyle="Total">
      <totalsRowFormula>SUBTOTAL(103,Avril!$B$7:$B$11)</totalsRowFormula>
    </tableColumn>
    <tableColumn id="33" name="Total des jours" totalsRowFunction="sum" dataDxfId="556" totalsRowDxfId="555" dataCellStyle="Total">
      <calculatedColumnFormula>COUNTA(Avril!$B7:$AF7)</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5.xml><?xml version="1.0" encoding="utf-8"?>
<table xmlns="http://schemas.openxmlformats.org/spreadsheetml/2006/main" id="6" name="Avril7" displayName="Avril7" ref="A6:AG12" totalsRowCount="1" headerRowDxfId="549" dataDxfId="548" totalsRowDxfId="547">
  <tableColumns count="33">
    <tableColumn id="1" name="Nom de l’employé" totalsRowFunction="custom" dataDxfId="546" totalsRowDxfId="545" dataCellStyle="Employé">
      <totalsRowFormula>NomMois&amp;" Total"</totalsRowFormula>
    </tableColumn>
    <tableColumn id="2" name="1" totalsRowFunction="custom" dataDxfId="544" totalsRowDxfId="543">
      <totalsRowFormula>SUBTOTAL(103,Mai!$B$7:$B$11)</totalsRowFormula>
    </tableColumn>
    <tableColumn id="3" name="2" totalsRowFunction="custom" dataDxfId="542" totalsRowDxfId="541">
      <totalsRowFormula>SUBTOTAL(103,Mai!$B$7:$B$11)</totalsRowFormula>
    </tableColumn>
    <tableColumn id="4" name="3" totalsRowFunction="custom" dataDxfId="540" totalsRowDxfId="539">
      <totalsRowFormula>SUBTOTAL(103,Mai!$B$7:$B$11)</totalsRowFormula>
    </tableColumn>
    <tableColumn id="5" name="4" totalsRowFunction="custom" dataDxfId="538" totalsRowDxfId="537">
      <totalsRowFormula>SUBTOTAL(103,Mai!$B$7:$B$11)</totalsRowFormula>
    </tableColumn>
    <tableColumn id="6" name="5" totalsRowFunction="custom" dataDxfId="536" totalsRowDxfId="535">
      <totalsRowFormula>SUBTOTAL(103,Mai!$B$7:$B$11)</totalsRowFormula>
    </tableColumn>
    <tableColumn id="7" name="6" totalsRowFunction="custom" dataDxfId="534" totalsRowDxfId="533">
      <totalsRowFormula>SUBTOTAL(103,Mai!$B$7:$B$11)</totalsRowFormula>
    </tableColumn>
    <tableColumn id="8" name="7" totalsRowFunction="custom" dataDxfId="532" totalsRowDxfId="531">
      <totalsRowFormula>SUBTOTAL(103,Mai!$B$7:$B$11)</totalsRowFormula>
    </tableColumn>
    <tableColumn id="9" name="8" totalsRowFunction="custom" dataDxfId="530" totalsRowDxfId="529">
      <totalsRowFormula>SUBTOTAL(103,Mai!$B$7:$B$11)</totalsRowFormula>
    </tableColumn>
    <tableColumn id="10" name="9" totalsRowFunction="custom" dataDxfId="528" totalsRowDxfId="527">
      <totalsRowFormula>SUBTOTAL(103,Mai!$B$7:$B$11)</totalsRowFormula>
    </tableColumn>
    <tableColumn id="11" name="10" totalsRowFunction="custom" dataDxfId="526" totalsRowDxfId="525">
      <totalsRowFormula>SUBTOTAL(103,Mai!$B$7:$B$11)</totalsRowFormula>
    </tableColumn>
    <tableColumn id="12" name="11" totalsRowFunction="custom" dataDxfId="524" totalsRowDxfId="523">
      <totalsRowFormula>SUBTOTAL(103,Mai!$B$7:$B$11)</totalsRowFormula>
    </tableColumn>
    <tableColumn id="13" name="12" totalsRowFunction="custom" dataDxfId="522" totalsRowDxfId="521">
      <totalsRowFormula>SUBTOTAL(103,Mai!$B$7:$B$11)</totalsRowFormula>
    </tableColumn>
    <tableColumn id="14" name="13" totalsRowFunction="custom" dataDxfId="520" totalsRowDxfId="519">
      <totalsRowFormula>SUBTOTAL(103,Mai!$B$7:$B$11)</totalsRowFormula>
    </tableColumn>
    <tableColumn id="15" name="14" totalsRowFunction="custom" dataDxfId="518" totalsRowDxfId="517">
      <totalsRowFormula>SUBTOTAL(103,Mai!$B$7:$B$11)</totalsRowFormula>
    </tableColumn>
    <tableColumn id="16" name="15" totalsRowFunction="custom" dataDxfId="516" totalsRowDxfId="515">
      <totalsRowFormula>SUBTOTAL(103,Mai!$B$7:$B$11)</totalsRowFormula>
    </tableColumn>
    <tableColumn id="17" name="16" totalsRowFunction="custom" dataDxfId="514" totalsRowDxfId="513">
      <totalsRowFormula>SUBTOTAL(103,Mai!$B$7:$B$11)</totalsRowFormula>
    </tableColumn>
    <tableColumn id="18" name="17" totalsRowFunction="custom" dataDxfId="512" totalsRowDxfId="511">
      <totalsRowFormula>SUBTOTAL(103,Mai!$B$7:$B$11)</totalsRowFormula>
    </tableColumn>
    <tableColumn id="19" name="18" totalsRowFunction="custom" dataDxfId="510" totalsRowDxfId="509">
      <totalsRowFormula>SUBTOTAL(103,Mai!$B$7:$B$11)</totalsRowFormula>
    </tableColumn>
    <tableColumn id="20" name="19" totalsRowFunction="custom" dataDxfId="508" totalsRowDxfId="507">
      <totalsRowFormula>SUBTOTAL(103,Mai!$B$7:$B$11)</totalsRowFormula>
    </tableColumn>
    <tableColumn id="21" name="20" totalsRowFunction="custom" dataDxfId="506" totalsRowDxfId="505">
      <totalsRowFormula>SUBTOTAL(103,Mai!$B$7:$B$11)</totalsRowFormula>
    </tableColumn>
    <tableColumn id="22" name="21" totalsRowFunction="custom" dataDxfId="504" totalsRowDxfId="503">
      <totalsRowFormula>SUBTOTAL(103,Mai!$B$7:$B$11)</totalsRowFormula>
    </tableColumn>
    <tableColumn id="23" name="22" totalsRowFunction="custom" dataDxfId="502" totalsRowDxfId="501">
      <totalsRowFormula>SUBTOTAL(103,Mai!$B$7:$B$11)</totalsRowFormula>
    </tableColumn>
    <tableColumn id="24" name="23" totalsRowFunction="custom" dataDxfId="500" totalsRowDxfId="499">
      <totalsRowFormula>SUBTOTAL(103,Mai!$B$7:$B$11)</totalsRowFormula>
    </tableColumn>
    <tableColumn id="25" name="24" totalsRowFunction="custom" dataDxfId="498" totalsRowDxfId="497">
      <totalsRowFormula>SUBTOTAL(103,Mai!$B$7:$B$11)</totalsRowFormula>
    </tableColumn>
    <tableColumn id="26" name="25" totalsRowFunction="custom" dataDxfId="496" totalsRowDxfId="495">
      <totalsRowFormula>SUBTOTAL(103,Mai!$B$7:$B$11)</totalsRowFormula>
    </tableColumn>
    <tableColumn id="27" name="26" totalsRowFunction="custom" dataDxfId="494" totalsRowDxfId="493">
      <totalsRowFormula>SUBTOTAL(103,Mai!$B$7:$B$11)</totalsRowFormula>
    </tableColumn>
    <tableColumn id="28" name="27" totalsRowFunction="custom" dataDxfId="492" totalsRowDxfId="491">
      <totalsRowFormula>SUBTOTAL(103,Mai!$B$7:$B$11)</totalsRowFormula>
    </tableColumn>
    <tableColumn id="29" name="28" totalsRowFunction="custom" dataDxfId="490" totalsRowDxfId="489">
      <totalsRowFormula>SUBTOTAL(103,Mai!$B$7:$B$11)</totalsRowFormula>
    </tableColumn>
    <tableColumn id="30" name="29" totalsRowFunction="custom" dataDxfId="488" totalsRowDxfId="487">
      <totalsRowFormula>SUBTOTAL(103,Mai!$B$7:$B$11)</totalsRowFormula>
    </tableColumn>
    <tableColumn id="31" name="30" totalsRowFunction="custom" dataDxfId="486" totalsRowDxfId="485">
      <totalsRowFormula>SUBTOTAL(103,Mai!$B$7:$B$11)</totalsRowFormula>
    </tableColumn>
    <tableColumn id="32" name="31" totalsRowFunction="custom" dataDxfId="484" totalsRowDxfId="483" dataCellStyle="Total">
      <totalsRowFormula>SUBTOTAL(103,Mai!$B$7:$B$11)</totalsRowFormula>
    </tableColumn>
    <tableColumn id="33" name="Total des jours" totalsRowFunction="sum" dataDxfId="482" totalsRowDxfId="481" dataCellStyle="Total">
      <calculatedColumnFormula>COUNTA(Mai!$B7:$AF7)</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6.xml><?xml version="1.0" encoding="utf-8"?>
<table xmlns="http://schemas.openxmlformats.org/spreadsheetml/2006/main" id="2" name="Juin" displayName="Juin" ref="A6:AG12" totalsRowCount="1" headerRowDxfId="474" dataDxfId="473" totalsRowDxfId="472">
  <tableColumns count="33">
    <tableColumn id="1" name="Nom de l’employé" totalsRowFunction="custom" dataDxfId="471" totalsRowDxfId="470" dataCellStyle="Employé">
      <totalsRowFormula>NomMois&amp;" Total"</totalsRowFormula>
    </tableColumn>
    <tableColumn id="2" name="1" totalsRowFunction="custom" dataDxfId="469" totalsRowDxfId="468">
      <totalsRowFormula>SUBTOTAL(103,Juin!$B$7:$B$11)</totalsRowFormula>
    </tableColumn>
    <tableColumn id="3" name="2" totalsRowFunction="custom" dataDxfId="467" totalsRowDxfId="466">
      <totalsRowFormula>SUBTOTAL(103,Juin!$B$7:$B$11)</totalsRowFormula>
    </tableColumn>
    <tableColumn id="4" name="3" totalsRowFunction="custom" dataDxfId="465" totalsRowDxfId="464">
      <totalsRowFormula>SUBTOTAL(103,Juin!$B$7:$B$11)</totalsRowFormula>
    </tableColumn>
    <tableColumn id="5" name="4" totalsRowFunction="custom" dataDxfId="463" totalsRowDxfId="462">
      <totalsRowFormula>SUBTOTAL(103,Juin!$B$7:$B$11)</totalsRowFormula>
    </tableColumn>
    <tableColumn id="6" name="5" totalsRowFunction="custom" dataDxfId="461" totalsRowDxfId="460">
      <totalsRowFormula>SUBTOTAL(103,Juin!$B$7:$B$11)</totalsRowFormula>
    </tableColumn>
    <tableColumn id="7" name="6" totalsRowFunction="custom" dataDxfId="459" totalsRowDxfId="458">
      <totalsRowFormula>SUBTOTAL(103,Juin!$B$7:$B$11)</totalsRowFormula>
    </tableColumn>
    <tableColumn id="8" name="7" totalsRowFunction="custom" dataDxfId="457" totalsRowDxfId="456">
      <totalsRowFormula>SUBTOTAL(103,Juin!$B$7:$B$11)</totalsRowFormula>
    </tableColumn>
    <tableColumn id="9" name="8" totalsRowFunction="custom" dataDxfId="455" totalsRowDxfId="454">
      <totalsRowFormula>SUBTOTAL(103,Juin!$B$7:$B$11)</totalsRowFormula>
    </tableColumn>
    <tableColumn id="10" name="9" totalsRowFunction="custom" dataDxfId="453" totalsRowDxfId="452">
      <totalsRowFormula>SUBTOTAL(103,Juin!$B$7:$B$11)</totalsRowFormula>
    </tableColumn>
    <tableColumn id="11" name="10" totalsRowFunction="custom" dataDxfId="451" totalsRowDxfId="450">
      <totalsRowFormula>SUBTOTAL(103,Juin!$B$7:$B$11)</totalsRowFormula>
    </tableColumn>
    <tableColumn id="12" name="11" totalsRowFunction="custom" dataDxfId="449" totalsRowDxfId="448">
      <totalsRowFormula>SUBTOTAL(103,Juin!$B$7:$B$11)</totalsRowFormula>
    </tableColumn>
    <tableColumn id="13" name="12" totalsRowFunction="custom" dataDxfId="447" totalsRowDxfId="446">
      <totalsRowFormula>SUBTOTAL(103,Juin!$B$7:$B$11)</totalsRowFormula>
    </tableColumn>
    <tableColumn id="14" name="13" totalsRowFunction="custom" dataDxfId="445" totalsRowDxfId="444">
      <totalsRowFormula>SUBTOTAL(103,Juin!$B$7:$B$11)</totalsRowFormula>
    </tableColumn>
    <tableColumn id="15" name="14" totalsRowFunction="custom" dataDxfId="443" totalsRowDxfId="442">
      <totalsRowFormula>SUBTOTAL(103,Juin!$B$7:$B$11)</totalsRowFormula>
    </tableColumn>
    <tableColumn id="16" name="15" totalsRowFunction="custom" dataDxfId="441" totalsRowDxfId="440">
      <totalsRowFormula>SUBTOTAL(103,Juin!$B$7:$B$11)</totalsRowFormula>
    </tableColumn>
    <tableColumn id="17" name="16" totalsRowFunction="custom" dataDxfId="439" totalsRowDxfId="438">
      <totalsRowFormula>SUBTOTAL(103,Juin!$B$7:$B$11)</totalsRowFormula>
    </tableColumn>
    <tableColumn id="18" name="17" totalsRowFunction="custom" dataDxfId="437" totalsRowDxfId="436">
      <totalsRowFormula>SUBTOTAL(103,Juin!$B$7:$B$11)</totalsRowFormula>
    </tableColumn>
    <tableColumn id="19" name="18" totalsRowFunction="custom" dataDxfId="435" totalsRowDxfId="434">
      <totalsRowFormula>SUBTOTAL(103,Juin!$B$7:$B$11)</totalsRowFormula>
    </tableColumn>
    <tableColumn id="20" name="19" totalsRowFunction="custom" dataDxfId="433" totalsRowDxfId="432">
      <totalsRowFormula>SUBTOTAL(103,Juin!$B$7:$B$11)</totalsRowFormula>
    </tableColumn>
    <tableColumn id="21" name="20" totalsRowFunction="custom" dataDxfId="431" totalsRowDxfId="430">
      <totalsRowFormula>SUBTOTAL(103,Juin!$B$7:$B$11)</totalsRowFormula>
    </tableColumn>
    <tableColumn id="22" name="21" totalsRowFunction="custom" dataDxfId="429" totalsRowDxfId="428">
      <totalsRowFormula>SUBTOTAL(103,Juin!$B$7:$B$11)</totalsRowFormula>
    </tableColumn>
    <tableColumn id="23" name="22" totalsRowFunction="custom" dataDxfId="427" totalsRowDxfId="426">
      <totalsRowFormula>SUBTOTAL(103,Juin!$B$7:$B$11)</totalsRowFormula>
    </tableColumn>
    <tableColumn id="24" name="23" totalsRowFunction="custom" dataDxfId="425" totalsRowDxfId="424">
      <totalsRowFormula>SUBTOTAL(103,Juin!$B$7:$B$11)</totalsRowFormula>
    </tableColumn>
    <tableColumn id="25" name="24" totalsRowFunction="custom" dataDxfId="423" totalsRowDxfId="422">
      <totalsRowFormula>SUBTOTAL(103,Juin!$B$7:$B$11)</totalsRowFormula>
    </tableColumn>
    <tableColumn id="26" name="25" totalsRowFunction="custom" dataDxfId="421" totalsRowDxfId="420">
      <totalsRowFormula>SUBTOTAL(103,Juin!$B$7:$B$11)</totalsRowFormula>
    </tableColumn>
    <tableColumn id="27" name="26" totalsRowFunction="custom" dataDxfId="419" totalsRowDxfId="418">
      <totalsRowFormula>SUBTOTAL(103,Juin!$B$7:$B$11)</totalsRowFormula>
    </tableColumn>
    <tableColumn id="28" name="27" totalsRowFunction="custom" dataDxfId="417" totalsRowDxfId="416">
      <totalsRowFormula>SUBTOTAL(103,Juin!$B$7:$B$11)</totalsRowFormula>
    </tableColumn>
    <tableColumn id="29" name="28" totalsRowFunction="custom" dataDxfId="415" totalsRowDxfId="414">
      <totalsRowFormula>SUBTOTAL(103,Juin!$B$7:$B$11)</totalsRowFormula>
    </tableColumn>
    <tableColumn id="30" name="29" totalsRowFunction="custom" dataDxfId="413" totalsRowDxfId="412">
      <totalsRowFormula>SUBTOTAL(103,Juin!$B$7:$B$11)</totalsRowFormula>
    </tableColumn>
    <tableColumn id="31" name="30" totalsRowFunction="custom" dataDxfId="411" totalsRowDxfId="410">
      <totalsRowFormula>SUBTOTAL(103,Juin!$B$7:$B$11)</totalsRowFormula>
    </tableColumn>
    <tableColumn id="32" name="31" totalsRowFunction="custom" dataDxfId="409" totalsRowDxfId="408" dataCellStyle="Total">
      <totalsRowFormula>SUBTOTAL(103,Juin!$B$7:$B$11)</totalsRowFormula>
    </tableColumn>
    <tableColumn id="33" name="Total des jours" totalsRowFunction="sum" dataDxfId="407" totalsRowDxfId="406" dataCellStyle="Total">
      <calculatedColumnFormula>COUNTA(Juin!$B7:$AF7)</calculatedColumnFormula>
    </tableColumn>
  </tableColumns>
  <tableStyleInfo name="Tableau des absences des employés 5"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7.xml><?xml version="1.0" encoding="utf-8"?>
<table xmlns="http://schemas.openxmlformats.org/spreadsheetml/2006/main" id="7" name="Juillet" displayName="Juillet" ref="A6:AG12" totalsRowCount="1" headerRowDxfId="400" dataDxfId="399" totalsRowDxfId="398">
  <tableColumns count="33">
    <tableColumn id="1" name="Nom de l’employé" totalsRowFunction="custom" dataDxfId="397" totalsRowDxfId="396" dataCellStyle="Employé">
      <totalsRowFormula>NomMois&amp;" Total"</totalsRowFormula>
    </tableColumn>
    <tableColumn id="2" name="1" totalsRowFunction="custom" dataDxfId="395" totalsRowDxfId="394">
      <totalsRowFormula>SUBTOTAL(103,Juillet!$B$7:$B$11)</totalsRowFormula>
    </tableColumn>
    <tableColumn id="3" name="2" totalsRowFunction="custom" dataDxfId="393" totalsRowDxfId="392">
      <totalsRowFormula>SUBTOTAL(103,Juillet!$B$7:$B$11)</totalsRowFormula>
    </tableColumn>
    <tableColumn id="4" name="3" totalsRowFunction="custom" dataDxfId="391" totalsRowDxfId="390">
      <totalsRowFormula>SUBTOTAL(103,Juillet!$B$7:$B$11)</totalsRowFormula>
    </tableColumn>
    <tableColumn id="5" name="4" totalsRowFunction="custom" dataDxfId="389" totalsRowDxfId="388">
      <totalsRowFormula>SUBTOTAL(103,Juillet!$B$7:$B$11)</totalsRowFormula>
    </tableColumn>
    <tableColumn id="6" name="5" totalsRowFunction="custom" dataDxfId="387" totalsRowDxfId="386">
      <totalsRowFormula>SUBTOTAL(103,Juillet!$B$7:$B$11)</totalsRowFormula>
    </tableColumn>
    <tableColumn id="7" name="6" totalsRowFunction="custom" dataDxfId="385" totalsRowDxfId="384">
      <totalsRowFormula>SUBTOTAL(103,Juillet!$B$7:$B$11)</totalsRowFormula>
    </tableColumn>
    <tableColumn id="8" name="7" totalsRowFunction="custom" dataDxfId="383" totalsRowDxfId="382">
      <totalsRowFormula>SUBTOTAL(103,Juillet!$B$7:$B$11)</totalsRowFormula>
    </tableColumn>
    <tableColumn id="9" name="8" totalsRowFunction="custom" dataDxfId="381" totalsRowDxfId="380">
      <totalsRowFormula>SUBTOTAL(103,Juillet!$B$7:$B$11)</totalsRowFormula>
    </tableColumn>
    <tableColumn id="10" name="9" totalsRowFunction="custom" dataDxfId="379" totalsRowDxfId="378">
      <totalsRowFormula>SUBTOTAL(103,Juillet!$B$7:$B$11)</totalsRowFormula>
    </tableColumn>
    <tableColumn id="11" name="10" totalsRowFunction="custom" dataDxfId="377" totalsRowDxfId="376">
      <totalsRowFormula>SUBTOTAL(103,Juillet!$B$7:$B$11)</totalsRowFormula>
    </tableColumn>
    <tableColumn id="12" name="11" totalsRowFunction="custom" dataDxfId="375" totalsRowDxfId="374">
      <totalsRowFormula>SUBTOTAL(103,Juillet!$B$7:$B$11)</totalsRowFormula>
    </tableColumn>
    <tableColumn id="13" name="12" totalsRowFunction="custom" dataDxfId="373" totalsRowDxfId="372">
      <totalsRowFormula>SUBTOTAL(103,Juillet!$B$7:$B$11)</totalsRowFormula>
    </tableColumn>
    <tableColumn id="14" name="13" totalsRowFunction="custom" dataDxfId="371" totalsRowDxfId="370">
      <totalsRowFormula>SUBTOTAL(103,Juillet!$B$7:$B$11)</totalsRowFormula>
    </tableColumn>
    <tableColumn id="15" name="14" totalsRowFunction="custom" dataDxfId="369" totalsRowDxfId="368">
      <totalsRowFormula>SUBTOTAL(103,Juillet!$B$7:$B$11)</totalsRowFormula>
    </tableColumn>
    <tableColumn id="16" name="15" totalsRowFunction="custom" dataDxfId="367" totalsRowDxfId="366">
      <totalsRowFormula>SUBTOTAL(103,Juillet!$B$7:$B$11)</totalsRowFormula>
    </tableColumn>
    <tableColumn id="17" name="16" totalsRowFunction="custom" dataDxfId="365" totalsRowDxfId="364">
      <totalsRowFormula>SUBTOTAL(103,Juillet!$B$7:$B$11)</totalsRowFormula>
    </tableColumn>
    <tableColumn id="18" name="17" totalsRowFunction="custom" dataDxfId="363" totalsRowDxfId="362">
      <totalsRowFormula>SUBTOTAL(103,Juillet!$B$7:$B$11)</totalsRowFormula>
    </tableColumn>
    <tableColumn id="19" name="18" totalsRowFunction="custom" dataDxfId="361" totalsRowDxfId="360">
      <totalsRowFormula>SUBTOTAL(103,Juillet!$B$7:$B$11)</totalsRowFormula>
    </tableColumn>
    <tableColumn id="20" name="19" totalsRowFunction="custom" dataDxfId="359" totalsRowDxfId="358">
      <totalsRowFormula>SUBTOTAL(103,Juillet!$B$7:$B$11)</totalsRowFormula>
    </tableColumn>
    <tableColumn id="21" name="20" totalsRowFunction="custom" dataDxfId="357" totalsRowDxfId="356">
      <totalsRowFormula>SUBTOTAL(103,Juillet!$B$7:$B$11)</totalsRowFormula>
    </tableColumn>
    <tableColumn id="22" name="21" totalsRowFunction="custom" dataDxfId="355" totalsRowDxfId="354">
      <totalsRowFormula>SUBTOTAL(103,Juillet!$B$7:$B$11)</totalsRowFormula>
    </tableColumn>
    <tableColumn id="23" name="22" totalsRowFunction="custom" dataDxfId="353" totalsRowDxfId="352">
      <totalsRowFormula>SUBTOTAL(103,Juillet!$B$7:$B$11)</totalsRowFormula>
    </tableColumn>
    <tableColumn id="24" name="23" totalsRowFunction="custom" dataDxfId="351" totalsRowDxfId="350">
      <totalsRowFormula>SUBTOTAL(103,Juillet!$B$7:$B$11)</totalsRowFormula>
    </tableColumn>
    <tableColumn id="25" name="24" totalsRowFunction="custom" dataDxfId="349" totalsRowDxfId="348">
      <totalsRowFormula>SUBTOTAL(103,Juillet!$B$7:$B$11)</totalsRowFormula>
    </tableColumn>
    <tableColumn id="26" name="25" totalsRowFunction="custom" dataDxfId="347" totalsRowDxfId="346">
      <totalsRowFormula>SUBTOTAL(103,Juillet!$B$7:$B$11)</totalsRowFormula>
    </tableColumn>
    <tableColumn id="27" name="26" totalsRowFunction="custom" dataDxfId="345" totalsRowDxfId="344">
      <totalsRowFormula>SUBTOTAL(103,Juillet!$B$7:$B$11)</totalsRowFormula>
    </tableColumn>
    <tableColumn id="28" name="27" totalsRowFunction="custom" dataDxfId="343" totalsRowDxfId="342">
      <totalsRowFormula>SUBTOTAL(103,Juillet!$B$7:$B$11)</totalsRowFormula>
    </tableColumn>
    <tableColumn id="29" name="28" totalsRowFunction="custom" dataDxfId="341" totalsRowDxfId="340">
      <totalsRowFormula>SUBTOTAL(103,Juillet!$B$7:$B$11)</totalsRowFormula>
    </tableColumn>
    <tableColumn id="30" name="29" totalsRowFunction="custom" dataDxfId="339" totalsRowDxfId="338">
      <totalsRowFormula>SUBTOTAL(103,Juillet!$B$7:$B$11)</totalsRowFormula>
    </tableColumn>
    <tableColumn id="31" name="30" totalsRowFunction="custom" dataDxfId="337" totalsRowDxfId="336">
      <totalsRowFormula>SUBTOTAL(103,Juillet!$B$7:$B$11)</totalsRowFormula>
    </tableColumn>
    <tableColumn id="32" name="31" totalsRowFunction="custom" dataDxfId="335" totalsRowDxfId="334" dataCellStyle="Total">
      <totalsRowFormula>SUBTOTAL(103,Juillet!$B$7:$B$11)</totalsRowFormula>
    </tableColumn>
    <tableColumn id="33" name="Total des jours" totalsRowFunction="sum" dataDxfId="333" totalsRowDxfId="332" dataCellStyle="Total">
      <calculatedColumnFormula>COUNTA(Juillet!$B7:$AF7)</calculatedColumnFormula>
    </tableColumn>
  </tableColumns>
  <tableStyleInfo name="Tableau des absences des employés 6"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8.xml><?xml version="1.0" encoding="utf-8"?>
<table xmlns="http://schemas.openxmlformats.org/spreadsheetml/2006/main" id="8" name="Août" displayName="Août" ref="A6:AG12" totalsRowCount="1" headerRowDxfId="326" dataDxfId="325" totalsRowDxfId="324">
  <tableColumns count="33">
    <tableColumn id="1" name="Nom de l’employé" totalsRowFunction="custom" dataDxfId="323" totalsRowDxfId="322">
      <totalsRowFormula>NomMois&amp;" Total"</totalsRowFormula>
    </tableColumn>
    <tableColumn id="2" name="1" totalsRowFunction="count" dataDxfId="321" totalsRowDxfId="320"/>
    <tableColumn id="3" name="2" totalsRowFunction="count" dataDxfId="319" totalsRowDxfId="318"/>
    <tableColumn id="4" name="3" totalsRowFunction="count" dataDxfId="317" totalsRowDxfId="316"/>
    <tableColumn id="5" name="4" totalsRowFunction="count" dataDxfId="315" totalsRowDxfId="314"/>
    <tableColumn id="6" name="5" totalsRowFunction="count" dataDxfId="313" totalsRowDxfId="312"/>
    <tableColumn id="7" name="6" totalsRowFunction="count" dataDxfId="311" totalsRowDxfId="310"/>
    <tableColumn id="8" name="7" totalsRowFunction="count" dataDxfId="309" totalsRowDxfId="308"/>
    <tableColumn id="9" name="8" totalsRowFunction="count" dataDxfId="307" totalsRowDxfId="306"/>
    <tableColumn id="10" name="9" totalsRowFunction="count" dataDxfId="305" totalsRowDxfId="304"/>
    <tableColumn id="11" name="10" totalsRowFunction="count" dataDxfId="303" totalsRowDxfId="302"/>
    <tableColumn id="12" name="11" totalsRowFunction="count" dataDxfId="301" totalsRowDxfId="300"/>
    <tableColumn id="13" name="12" totalsRowFunction="count" dataDxfId="299" totalsRowDxfId="298"/>
    <tableColumn id="14" name="13" totalsRowFunction="count" dataDxfId="297" totalsRowDxfId="296"/>
    <tableColumn id="15" name="14" totalsRowFunction="count" dataDxfId="295" totalsRowDxfId="294"/>
    <tableColumn id="16" name="15" totalsRowFunction="count" dataDxfId="293" totalsRowDxfId="292"/>
    <tableColumn id="17" name="16" totalsRowFunction="count" dataDxfId="291" totalsRowDxfId="290"/>
    <tableColumn id="18" name="17" totalsRowFunction="count" dataDxfId="289" totalsRowDxfId="288"/>
    <tableColumn id="19" name="18" totalsRowFunction="count" dataDxfId="287" totalsRowDxfId="286"/>
    <tableColumn id="20" name="19" totalsRowFunction="count" dataDxfId="285" totalsRowDxfId="284"/>
    <tableColumn id="21" name="20" totalsRowFunction="count" dataDxfId="283" totalsRowDxfId="282"/>
    <tableColumn id="22" name="21" totalsRowFunction="count" dataDxfId="281" totalsRowDxfId="280"/>
    <tableColumn id="23" name="22" totalsRowFunction="count" dataDxfId="279" totalsRowDxfId="278"/>
    <tableColumn id="24" name="23" totalsRowFunction="count" dataDxfId="277" totalsRowDxfId="276"/>
    <tableColumn id="25" name="24" totalsRowFunction="count" dataDxfId="275" totalsRowDxfId="274"/>
    <tableColumn id="26" name="25" totalsRowFunction="count" dataDxfId="273" totalsRowDxfId="272"/>
    <tableColumn id="27" name="26" totalsRowFunction="count" dataDxfId="271" totalsRowDxfId="270"/>
    <tableColumn id="28" name="27" totalsRowFunction="count" dataDxfId="269" totalsRowDxfId="268"/>
    <tableColumn id="29" name="28" totalsRowFunction="count" dataDxfId="267" totalsRowDxfId="266"/>
    <tableColumn id="30" name="29" totalsRowFunction="count" dataDxfId="265" totalsRowDxfId="264"/>
    <tableColumn id="31" name="30" totalsRowFunction="sum" dataDxfId="263" totalsRowDxfId="262"/>
    <tableColumn id="32" name="31" totalsRowFunction="sum" dataDxfId="261" totalsRowDxfId="260" dataCellStyle="Total"/>
    <tableColumn id="33" name="Total des jours" totalsRowFunction="sum" dataDxfId="259" totalsRowDxfId="258" dataCellStyle="Total">
      <calculatedColumnFormula>COUNTA(Août[[#This Row],[1]:[31]])</calculatedColumnFormula>
    </tableColumn>
  </tableColumns>
  <tableStyleInfo name="Tableau des absences des employés 7"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9.xml><?xml version="1.0" encoding="utf-8"?>
<table xmlns="http://schemas.openxmlformats.org/spreadsheetml/2006/main" id="9" name="Juin10" displayName="Juin10" ref="A6:AG12" totalsRowCount="1" headerRowDxfId="251" dataDxfId="250" totalsRowDxfId="249">
  <tableColumns count="33">
    <tableColumn id="1" name="Nom de l’employé" totalsRowFunction="custom" dataDxfId="248" totalsRowDxfId="247" dataCellStyle="Employé">
      <totalsRowFormula>NomMois&amp;" Total"</totalsRowFormula>
    </tableColumn>
    <tableColumn id="2" name="1" totalsRowFunction="custom" dataDxfId="246">
      <totalsRowFormula>SUBTOTAL(103,Juin!$B$7:$B$11)</totalsRowFormula>
    </tableColumn>
    <tableColumn id="3" name="2" totalsRowFunction="custom" dataDxfId="245">
      <totalsRowFormula>SUBTOTAL(103,Juin!$B$7:$B$11)</totalsRowFormula>
    </tableColumn>
    <tableColumn id="4" name="3" totalsRowFunction="custom" dataDxfId="244" totalsRowDxfId="243">
      <totalsRowFormula>SUBTOTAL(103,Juin!$B$7:$B$11)</totalsRowFormula>
    </tableColumn>
    <tableColumn id="5" name="4" totalsRowFunction="custom" dataDxfId="242" totalsRowDxfId="241">
      <totalsRowFormula>SUBTOTAL(103,Juin!$B$7:$B$11)</totalsRowFormula>
    </tableColumn>
    <tableColumn id="6" name="5" totalsRowFunction="custom" dataDxfId="240" totalsRowDxfId="239">
      <totalsRowFormula>SUBTOTAL(103,Juin!$B$7:$B$11)</totalsRowFormula>
    </tableColumn>
    <tableColumn id="7" name="6" totalsRowFunction="custom" dataDxfId="238" totalsRowDxfId="237">
      <totalsRowFormula>SUBTOTAL(103,Juin!$B$7:$B$11)</totalsRowFormula>
    </tableColumn>
    <tableColumn id="8" name="7" totalsRowFunction="custom" dataDxfId="236" totalsRowDxfId="235">
      <totalsRowFormula>SUBTOTAL(103,Juin!$B$7:$B$11)</totalsRowFormula>
    </tableColumn>
    <tableColumn id="9" name="8" totalsRowFunction="custom" dataDxfId="234">
      <totalsRowFormula>SUBTOTAL(103,Juin!$B$7:$B$11)</totalsRowFormula>
    </tableColumn>
    <tableColumn id="10" name="9" totalsRowFunction="custom" dataDxfId="233">
      <totalsRowFormula>SUBTOTAL(103,Juin!$B$7:$B$11)</totalsRowFormula>
    </tableColumn>
    <tableColumn id="11" name="10" totalsRowFunction="custom" dataDxfId="232" totalsRowDxfId="231">
      <totalsRowFormula>SUBTOTAL(103,Juin!$B$7:$B$11)</totalsRowFormula>
    </tableColumn>
    <tableColumn id="12" name="11" totalsRowFunction="custom" dataDxfId="230" totalsRowDxfId="229">
      <totalsRowFormula>SUBTOTAL(103,Juin!$B$7:$B$11)</totalsRowFormula>
    </tableColumn>
    <tableColumn id="13" name="12" totalsRowFunction="custom" dataDxfId="228" totalsRowDxfId="227">
      <totalsRowFormula>SUBTOTAL(103,Juin!$B$7:$B$11)</totalsRowFormula>
    </tableColumn>
    <tableColumn id="14" name="13" totalsRowFunction="custom" dataDxfId="226" totalsRowDxfId="225">
      <totalsRowFormula>SUBTOTAL(103,Juin!$B$7:$B$11)</totalsRowFormula>
    </tableColumn>
    <tableColumn id="15" name="14" totalsRowFunction="custom" dataDxfId="224" totalsRowDxfId="223">
      <totalsRowFormula>SUBTOTAL(103,Juin!$B$7:$B$11)</totalsRowFormula>
    </tableColumn>
    <tableColumn id="16" name="15" totalsRowFunction="custom" dataDxfId="222">
      <totalsRowFormula>SUBTOTAL(103,Juin!$B$7:$B$11)</totalsRowFormula>
    </tableColumn>
    <tableColumn id="17" name="16" totalsRowFunction="custom" dataDxfId="221">
      <totalsRowFormula>SUBTOTAL(103,Juin!$B$7:$B$11)</totalsRowFormula>
    </tableColumn>
    <tableColumn id="18" name="17" totalsRowFunction="custom" dataDxfId="220" totalsRowDxfId="219">
      <totalsRowFormula>SUBTOTAL(103,Juin!$B$7:$B$11)</totalsRowFormula>
    </tableColumn>
    <tableColumn id="19" name="18" totalsRowFunction="custom" dataDxfId="218" totalsRowDxfId="217">
      <totalsRowFormula>SUBTOTAL(103,Juin!$B$7:$B$11)</totalsRowFormula>
    </tableColumn>
    <tableColumn id="20" name="19" totalsRowFunction="custom" dataDxfId="216" totalsRowDxfId="215">
      <totalsRowFormula>SUBTOTAL(103,Juin!$B$7:$B$11)</totalsRowFormula>
    </tableColumn>
    <tableColumn id="21" name="20" totalsRowFunction="custom" dataDxfId="214" totalsRowDxfId="213">
      <totalsRowFormula>SUBTOTAL(103,Juin!$B$7:$B$11)</totalsRowFormula>
    </tableColumn>
    <tableColumn id="22" name="21" totalsRowFunction="custom" dataDxfId="212" totalsRowDxfId="211">
      <totalsRowFormula>SUBTOTAL(103,Juin!$B$7:$B$11)</totalsRowFormula>
    </tableColumn>
    <tableColumn id="23" name="22" totalsRowFunction="custom" dataDxfId="210">
      <totalsRowFormula>SUBTOTAL(103,Juin!$B$7:$B$11)</totalsRowFormula>
    </tableColumn>
    <tableColumn id="24" name="23" totalsRowFunction="custom" dataDxfId="209">
      <totalsRowFormula>SUBTOTAL(103,Juin!$B$7:$B$11)</totalsRowFormula>
    </tableColumn>
    <tableColumn id="25" name="24" totalsRowFunction="custom" dataDxfId="208" totalsRowDxfId="207">
      <totalsRowFormula>SUBTOTAL(103,Juin!$B$7:$B$11)</totalsRowFormula>
    </tableColumn>
    <tableColumn id="26" name="25" totalsRowFunction="custom" dataDxfId="206" totalsRowDxfId="205">
      <totalsRowFormula>SUBTOTAL(103,Juin!$B$7:$B$11)</totalsRowFormula>
    </tableColumn>
    <tableColumn id="27" name="26" totalsRowFunction="custom" dataDxfId="204" totalsRowDxfId="203">
      <totalsRowFormula>SUBTOTAL(103,Juin!$B$7:$B$11)</totalsRowFormula>
    </tableColumn>
    <tableColumn id="28" name="27" totalsRowFunction="custom" dataDxfId="202" totalsRowDxfId="201">
      <totalsRowFormula>SUBTOTAL(103,Juin!$B$7:$B$11)</totalsRowFormula>
    </tableColumn>
    <tableColumn id="29" name="28" totalsRowFunction="custom" dataDxfId="200" totalsRowDxfId="199">
      <totalsRowFormula>SUBTOTAL(103,Juin!$B$7:$B$11)</totalsRowFormula>
    </tableColumn>
    <tableColumn id="30" name="29" totalsRowFunction="custom" dataDxfId="198">
      <totalsRowFormula>SUBTOTAL(103,Juin!$B$7:$B$11)</totalsRowFormula>
    </tableColumn>
    <tableColumn id="31" name="30" totalsRowFunction="custom" dataDxfId="197">
      <totalsRowFormula>SUBTOTAL(103,Juin!$B$7:$B$11)</totalsRowFormula>
    </tableColumn>
    <tableColumn id="32" name="31" totalsRowFunction="custom" dataDxfId="196" totalsRowDxfId="195" dataCellStyle="Total">
      <totalsRowFormula>SUBTOTAL(103,Juin!$B$7:$B$11)</totalsRowFormula>
    </tableColumn>
    <tableColumn id="33" name="Total des jours" totalsRowFunction="sum" dataDxfId="194" totalsRowDxfId="193" dataCellStyle="Total">
      <calculatedColumnFormula>COUNTA(Juin!$B7:$AF7)</calculatedColumnFormula>
    </tableColumn>
  </tableColumns>
  <tableStyleInfo name="Tableau des absences des employés 5"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0.xml><?xml version="1.0" encoding="utf-8"?>
<table xmlns="http://schemas.openxmlformats.org/spreadsheetml/2006/main" id="10" name="Juillet11" displayName="Juillet11" ref="A6:AG12" totalsRowCount="1" headerRowDxfId="187" dataDxfId="186" totalsRowDxfId="185">
  <tableColumns count="33">
    <tableColumn id="1" name="Nom de l’employé" totalsRowFunction="custom" dataDxfId="184" totalsRowDxfId="183" dataCellStyle="Employé">
      <totalsRowFormula>NomMois&amp;" Total"</totalsRowFormula>
    </tableColumn>
    <tableColumn id="2" name="1" totalsRowFunction="custom" dataDxfId="182" totalsRowDxfId="181">
      <totalsRowFormula>SUBTOTAL(103,Juillet!$B$7:$B$11)</totalsRowFormula>
    </tableColumn>
    <tableColumn id="3" name="2" totalsRowFunction="custom" dataDxfId="180" totalsRowDxfId="179">
      <totalsRowFormula>SUBTOTAL(103,Juillet!$B$7:$B$11)</totalsRowFormula>
    </tableColumn>
    <tableColumn id="4" name="3" totalsRowFunction="custom" dataDxfId="178" totalsRowDxfId="177">
      <totalsRowFormula>SUBTOTAL(103,Juillet!$B$7:$B$11)</totalsRowFormula>
    </tableColumn>
    <tableColumn id="5" name="4" totalsRowFunction="custom" dataDxfId="176" totalsRowDxfId="175">
      <totalsRowFormula>SUBTOTAL(103,Juillet!$B$7:$B$11)</totalsRowFormula>
    </tableColumn>
    <tableColumn id="6" name="5" totalsRowFunction="custom" dataDxfId="174" totalsRowDxfId="173">
      <totalsRowFormula>SUBTOTAL(103,Juillet!$B$7:$B$11)</totalsRowFormula>
    </tableColumn>
    <tableColumn id="7" name="6" totalsRowFunction="custom" dataDxfId="172">
      <totalsRowFormula>SUBTOTAL(103,Juillet!$B$7:$B$11)</totalsRowFormula>
    </tableColumn>
    <tableColumn id="8" name="7" totalsRowFunction="custom" dataDxfId="171">
      <totalsRowFormula>SUBTOTAL(103,Juillet!$B$7:$B$11)</totalsRowFormula>
    </tableColumn>
    <tableColumn id="9" name="8" totalsRowFunction="custom" dataDxfId="170" totalsRowDxfId="169">
      <totalsRowFormula>SUBTOTAL(103,Juillet!$B$7:$B$11)</totalsRowFormula>
    </tableColumn>
    <tableColumn id="10" name="9" totalsRowFunction="custom" dataDxfId="168" totalsRowDxfId="167">
      <totalsRowFormula>SUBTOTAL(103,Juillet!$B$7:$B$11)</totalsRowFormula>
    </tableColumn>
    <tableColumn id="11" name="10" totalsRowFunction="custom" dataDxfId="166" totalsRowDxfId="165">
      <totalsRowFormula>SUBTOTAL(103,Juillet!$B$7:$B$11)</totalsRowFormula>
    </tableColumn>
    <tableColumn id="12" name="11" totalsRowFunction="custom" dataDxfId="164" totalsRowDxfId="163">
      <totalsRowFormula>SUBTOTAL(103,Juillet!$B$7:$B$11)</totalsRowFormula>
    </tableColumn>
    <tableColumn id="13" name="12" totalsRowFunction="custom" dataDxfId="162" totalsRowDxfId="161">
      <totalsRowFormula>SUBTOTAL(103,Juillet!$B$7:$B$11)</totalsRowFormula>
    </tableColumn>
    <tableColumn id="14" name="13" totalsRowFunction="custom" dataDxfId="160">
      <totalsRowFormula>SUBTOTAL(103,Juillet!$B$7:$B$11)</totalsRowFormula>
    </tableColumn>
    <tableColumn id="15" name="14" totalsRowFunction="custom" dataDxfId="159">
      <totalsRowFormula>SUBTOTAL(103,Juillet!$B$7:$B$11)</totalsRowFormula>
    </tableColumn>
    <tableColumn id="16" name="15" totalsRowFunction="custom" dataDxfId="158" totalsRowDxfId="157">
      <totalsRowFormula>SUBTOTAL(103,Juillet!$B$7:$B$11)</totalsRowFormula>
    </tableColumn>
    <tableColumn id="17" name="16" totalsRowFunction="custom" dataDxfId="156" totalsRowDxfId="155">
      <totalsRowFormula>SUBTOTAL(103,Juillet!$B$7:$B$11)</totalsRowFormula>
    </tableColumn>
    <tableColumn id="18" name="17" totalsRowFunction="custom" dataDxfId="154" totalsRowDxfId="153">
      <totalsRowFormula>SUBTOTAL(103,Juillet!$B$7:$B$11)</totalsRowFormula>
    </tableColumn>
    <tableColumn id="19" name="18" totalsRowFunction="custom" dataDxfId="152" totalsRowDxfId="151">
      <totalsRowFormula>SUBTOTAL(103,Juillet!$B$7:$B$11)</totalsRowFormula>
    </tableColumn>
    <tableColumn id="20" name="19" totalsRowFunction="custom" dataDxfId="150" totalsRowDxfId="149">
      <totalsRowFormula>SUBTOTAL(103,Juillet!$B$7:$B$11)</totalsRowFormula>
    </tableColumn>
    <tableColumn id="21" name="20" totalsRowFunction="custom" dataDxfId="148">
      <totalsRowFormula>SUBTOTAL(103,Juillet!$B$7:$B$11)</totalsRowFormula>
    </tableColumn>
    <tableColumn id="22" name="21" totalsRowFunction="custom" dataDxfId="147">
      <totalsRowFormula>SUBTOTAL(103,Juillet!$B$7:$B$11)</totalsRowFormula>
    </tableColumn>
    <tableColumn id="23" name="22" totalsRowFunction="custom" dataDxfId="146" totalsRowDxfId="145">
      <totalsRowFormula>SUBTOTAL(103,Juillet!$B$7:$B$11)</totalsRowFormula>
    </tableColumn>
    <tableColumn id="24" name="23" totalsRowFunction="custom" dataDxfId="144" totalsRowDxfId="143">
      <totalsRowFormula>SUBTOTAL(103,Juillet!$B$7:$B$11)</totalsRowFormula>
    </tableColumn>
    <tableColumn id="25" name="24" totalsRowFunction="custom" dataDxfId="142" totalsRowDxfId="141">
      <totalsRowFormula>SUBTOTAL(103,Juillet!$B$7:$B$11)</totalsRowFormula>
    </tableColumn>
    <tableColumn id="26" name="25" totalsRowFunction="custom" dataDxfId="140" totalsRowDxfId="139">
      <totalsRowFormula>SUBTOTAL(103,Juillet!$B$7:$B$11)</totalsRowFormula>
    </tableColumn>
    <tableColumn id="27" name="26" totalsRowFunction="custom" dataDxfId="138" totalsRowDxfId="137">
      <totalsRowFormula>SUBTOTAL(103,Juillet!$B$7:$B$11)</totalsRowFormula>
    </tableColumn>
    <tableColumn id="28" name="27" totalsRowFunction="custom" dataDxfId="136">
      <totalsRowFormula>SUBTOTAL(103,Juillet!$B$7:$B$11)</totalsRowFormula>
    </tableColumn>
    <tableColumn id="29" name="28" totalsRowFunction="custom" dataDxfId="135">
      <totalsRowFormula>SUBTOTAL(103,Juillet!$B$7:$B$11)</totalsRowFormula>
    </tableColumn>
    <tableColumn id="30" name="29" totalsRowFunction="custom" dataDxfId="134" totalsRowDxfId="133">
      <totalsRowFormula>SUBTOTAL(103,Juillet!$B$7:$B$11)</totalsRowFormula>
    </tableColumn>
    <tableColumn id="31" name="30" totalsRowFunction="custom" dataDxfId="132" totalsRowDxfId="131">
      <totalsRowFormula>SUBTOTAL(103,Juillet!$B$7:$B$11)</totalsRowFormula>
    </tableColumn>
    <tableColumn id="32" name="31" totalsRowFunction="custom" dataDxfId="130" totalsRowDxfId="129" dataCellStyle="Total">
      <totalsRowFormula>SUBTOTAL(103,Juillet!$B$7:$B$11)</totalsRowFormula>
    </tableColumn>
    <tableColumn id="33" name="Total des jours" totalsRowFunction="sum" dataDxfId="128" totalsRowDxfId="127" dataCellStyle="Total">
      <calculatedColumnFormula>COUNTA(Juillet!$B7:$AF7)</calculatedColumnFormula>
    </tableColumn>
  </tableColumns>
  <tableStyleInfo name="Tableau des absences des employés 6"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1.xml><?xml version="1.0" encoding="utf-8"?>
<table xmlns="http://schemas.openxmlformats.org/spreadsheetml/2006/main" id="11" name="Juin1012" displayName="Juin1012" ref="A6:AG12" totalsRowCount="1" headerRowDxfId="120" dataDxfId="119" totalsRowDxfId="118">
  <tableColumns count="33">
    <tableColumn id="1" name="Nom de l’employé" totalsRowFunction="custom" dataDxfId="117" totalsRowDxfId="116" dataCellStyle="Employé">
      <totalsRowFormula>NomMois&amp;" Total"</totalsRowFormula>
    </tableColumn>
    <tableColumn id="2" name="1" totalsRowFunction="custom" dataDxfId="115">
      <totalsRowFormula>SUBTOTAL(103,Juin!$B$7:$B$11)</totalsRowFormula>
    </tableColumn>
    <tableColumn id="3" name="2" totalsRowFunction="custom" dataDxfId="114">
      <totalsRowFormula>SUBTOTAL(103,Juin!$B$7:$B$11)</totalsRowFormula>
    </tableColumn>
    <tableColumn id="4" name="3" totalsRowFunction="custom" dataDxfId="113">
      <totalsRowFormula>SUBTOTAL(103,Juin!$B$7:$B$11)</totalsRowFormula>
    </tableColumn>
    <tableColumn id="5" name="4" totalsRowFunction="custom" dataDxfId="112" totalsRowDxfId="111">
      <totalsRowFormula>SUBTOTAL(103,Juin!$B$7:$B$11)</totalsRowFormula>
    </tableColumn>
    <tableColumn id="6" name="5" totalsRowFunction="custom" dataDxfId="110" totalsRowDxfId="109">
      <totalsRowFormula>SUBTOTAL(103,Juin!$B$7:$B$11)</totalsRowFormula>
    </tableColumn>
    <tableColumn id="7" name="6" totalsRowFunction="custom" dataDxfId="108" totalsRowDxfId="107">
      <totalsRowFormula>SUBTOTAL(103,Juin!$B$7:$B$11)</totalsRowFormula>
    </tableColumn>
    <tableColumn id="8" name="7" totalsRowFunction="custom" dataDxfId="106" totalsRowDxfId="105">
      <totalsRowFormula>SUBTOTAL(103,Juin!$B$7:$B$11)</totalsRowFormula>
    </tableColumn>
    <tableColumn id="9" name="8" totalsRowFunction="custom" dataDxfId="104">
      <totalsRowFormula>SUBTOTAL(103,Juin!$B$7:$B$11)</totalsRowFormula>
    </tableColumn>
    <tableColumn id="10" name="9" totalsRowFunction="custom" dataDxfId="103">
      <totalsRowFormula>SUBTOTAL(103,Juin!$B$7:$B$11)</totalsRowFormula>
    </tableColumn>
    <tableColumn id="11" name="10" totalsRowFunction="custom" dataDxfId="102">
      <totalsRowFormula>SUBTOTAL(103,Juin!$B$7:$B$11)</totalsRowFormula>
    </tableColumn>
    <tableColumn id="12" name="11" totalsRowFunction="custom" dataDxfId="101" totalsRowDxfId="100">
      <totalsRowFormula>SUBTOTAL(103,Juin!$B$7:$B$11)</totalsRowFormula>
    </tableColumn>
    <tableColumn id="13" name="12" totalsRowFunction="custom" dataDxfId="99" totalsRowDxfId="98">
      <totalsRowFormula>SUBTOTAL(103,Juin!$B$7:$B$11)</totalsRowFormula>
    </tableColumn>
    <tableColumn id="14" name="13" totalsRowFunction="custom" dataDxfId="97" totalsRowDxfId="96">
      <totalsRowFormula>SUBTOTAL(103,Juin!$B$7:$B$11)</totalsRowFormula>
    </tableColumn>
    <tableColumn id="15" name="14" totalsRowFunction="custom" dataDxfId="95" totalsRowDxfId="94">
      <totalsRowFormula>SUBTOTAL(103,Juin!$B$7:$B$11)</totalsRowFormula>
    </tableColumn>
    <tableColumn id="16" name="15" totalsRowFunction="custom" dataDxfId="93">
      <totalsRowFormula>SUBTOTAL(103,Juin!$B$7:$B$11)</totalsRowFormula>
    </tableColumn>
    <tableColumn id="17" name="16" totalsRowFunction="custom" dataDxfId="92">
      <totalsRowFormula>SUBTOTAL(103,Juin!$B$7:$B$11)</totalsRowFormula>
    </tableColumn>
    <tableColumn id="18" name="17" totalsRowFunction="custom" dataDxfId="91">
      <totalsRowFormula>SUBTOTAL(103,Juin!$B$7:$B$11)</totalsRowFormula>
    </tableColumn>
    <tableColumn id="19" name="18" totalsRowFunction="custom" dataDxfId="90" totalsRowDxfId="89">
      <totalsRowFormula>SUBTOTAL(103,Juin!$B$7:$B$11)</totalsRowFormula>
    </tableColumn>
    <tableColumn id="20" name="19" totalsRowFunction="custom" dataDxfId="88" totalsRowDxfId="87">
      <totalsRowFormula>SUBTOTAL(103,Juin!$B$7:$B$11)</totalsRowFormula>
    </tableColumn>
    <tableColumn id="21" name="20" totalsRowFunction="custom" dataDxfId="86" totalsRowDxfId="85">
      <totalsRowFormula>SUBTOTAL(103,Juin!$B$7:$B$11)</totalsRowFormula>
    </tableColumn>
    <tableColumn id="22" name="21" totalsRowFunction="custom" dataDxfId="84" totalsRowDxfId="83">
      <totalsRowFormula>SUBTOTAL(103,Juin!$B$7:$B$11)</totalsRowFormula>
    </tableColumn>
    <tableColumn id="23" name="22" totalsRowFunction="custom" dataDxfId="82">
      <totalsRowFormula>SUBTOTAL(103,Juin!$B$7:$B$11)</totalsRowFormula>
    </tableColumn>
    <tableColumn id="24" name="23" totalsRowFunction="custom" dataDxfId="81">
      <totalsRowFormula>SUBTOTAL(103,Juin!$B$7:$B$11)</totalsRowFormula>
    </tableColumn>
    <tableColumn id="25" name="24" totalsRowFunction="custom" dataDxfId="80">
      <totalsRowFormula>SUBTOTAL(103,Juin!$B$7:$B$11)</totalsRowFormula>
    </tableColumn>
    <tableColumn id="26" name="25" totalsRowFunction="custom" dataDxfId="79" totalsRowDxfId="78">
      <totalsRowFormula>SUBTOTAL(103,Juin!$B$7:$B$11)</totalsRowFormula>
    </tableColumn>
    <tableColumn id="27" name="26" totalsRowFunction="custom" dataDxfId="77" totalsRowDxfId="76">
      <totalsRowFormula>SUBTOTAL(103,Juin!$B$7:$B$11)</totalsRowFormula>
    </tableColumn>
    <tableColumn id="28" name="27" totalsRowFunction="custom" dataDxfId="75" totalsRowDxfId="74">
      <totalsRowFormula>SUBTOTAL(103,Juin!$B$7:$B$11)</totalsRowFormula>
    </tableColumn>
    <tableColumn id="29" name="28" totalsRowFunction="custom" dataDxfId="73" totalsRowDxfId="72">
      <totalsRowFormula>SUBTOTAL(103,Juin!$B$7:$B$11)</totalsRowFormula>
    </tableColumn>
    <tableColumn id="30" name="29" totalsRowFunction="custom" dataDxfId="71">
      <totalsRowFormula>SUBTOTAL(103,Juin!$B$7:$B$11)</totalsRowFormula>
    </tableColumn>
    <tableColumn id="31" name="30" totalsRowFunction="custom" dataDxfId="70">
      <totalsRowFormula>SUBTOTAL(103,Juin!$B$7:$B$11)</totalsRowFormula>
    </tableColumn>
    <tableColumn id="32" name="31" totalsRowFunction="custom" dataDxfId="69" totalsRowDxfId="68" dataCellStyle="Total">
      <totalsRowFormula>SUBTOTAL(103,Juin!$B$7:$B$11)</totalsRowFormula>
    </tableColumn>
    <tableColumn id="33" name="Total des jours" totalsRowFunction="sum" dataDxfId="67" totalsRowDxfId="66" dataCellStyle="Total">
      <calculatedColumnFormula>COUNTA(Juin!$B7:$AF7)</calculatedColumnFormula>
    </tableColumn>
  </tableColumns>
  <tableStyleInfo name="Tableau des absences des employés 5"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2.xml><?xml version="1.0" encoding="utf-8"?>
<table xmlns="http://schemas.openxmlformats.org/spreadsheetml/2006/main" id="12" name="Juillet1113" displayName="Juillet1113" ref="A6:AG12" totalsRowCount="1" headerRowDxfId="60" dataDxfId="59" totalsRowDxfId="58">
  <tableColumns count="33">
    <tableColumn id="1" name="Nom de l’employé" totalsRowFunction="custom" dataDxfId="57" totalsRowDxfId="56" dataCellStyle="Employé">
      <totalsRowFormula>NomMois&amp;" Total"</totalsRowFormula>
    </tableColumn>
    <tableColumn id="2" name="1" totalsRowFunction="custom" dataDxfId="55" totalsRowDxfId="54">
      <totalsRowFormula>SUBTOTAL(103,Juillet!$B$7:$B$11)</totalsRowFormula>
    </tableColumn>
    <tableColumn id="3" name="2" totalsRowFunction="custom" dataDxfId="53" totalsRowDxfId="52">
      <totalsRowFormula>SUBTOTAL(103,Juillet!$B$7:$B$11)</totalsRowFormula>
    </tableColumn>
    <tableColumn id="4" name="3" totalsRowFunction="custom" dataDxfId="51" totalsRowDxfId="50">
      <totalsRowFormula>SUBTOTAL(103,Juillet!$B$7:$B$11)</totalsRowFormula>
    </tableColumn>
    <tableColumn id="5" name="4" totalsRowFunction="custom" dataDxfId="49" totalsRowDxfId="48">
      <totalsRowFormula>SUBTOTAL(103,Juillet!$B$7:$B$11)</totalsRowFormula>
    </tableColumn>
    <tableColumn id="6" name="5" totalsRowFunction="custom" dataDxfId="47" totalsRowDxfId="46">
      <totalsRowFormula>SUBTOTAL(103,Juillet!$B$7:$B$11)</totalsRowFormula>
    </tableColumn>
    <tableColumn id="7" name="6" totalsRowFunction="custom" dataDxfId="45">
      <totalsRowFormula>SUBTOTAL(103,Juillet!$B$7:$B$11)</totalsRowFormula>
    </tableColumn>
    <tableColumn id="8" name="7" totalsRowFunction="custom" dataDxfId="44">
      <totalsRowFormula>SUBTOTAL(103,Juillet!$B$7:$B$11)</totalsRowFormula>
    </tableColumn>
    <tableColumn id="9" name="8" totalsRowFunction="custom" dataDxfId="43" totalsRowDxfId="42">
      <totalsRowFormula>SUBTOTAL(103,Juillet!$B$7:$B$11)</totalsRowFormula>
    </tableColumn>
    <tableColumn id="10" name="9" totalsRowFunction="custom" dataDxfId="41" totalsRowDxfId="40">
      <totalsRowFormula>SUBTOTAL(103,Juillet!$B$7:$B$11)</totalsRowFormula>
    </tableColumn>
    <tableColumn id="11" name="10" totalsRowFunction="custom" dataDxfId="39" totalsRowDxfId="38">
      <totalsRowFormula>SUBTOTAL(103,Juillet!$B$7:$B$11)</totalsRowFormula>
    </tableColumn>
    <tableColumn id="12" name="11" totalsRowFunction="custom" dataDxfId="37" totalsRowDxfId="36">
      <totalsRowFormula>SUBTOTAL(103,Juillet!$B$7:$B$11)</totalsRowFormula>
    </tableColumn>
    <tableColumn id="13" name="12" totalsRowFunction="custom" dataDxfId="35" totalsRowDxfId="34">
      <totalsRowFormula>SUBTOTAL(103,Juillet!$B$7:$B$11)</totalsRowFormula>
    </tableColumn>
    <tableColumn id="14" name="13" totalsRowFunction="custom" dataDxfId="33">
      <totalsRowFormula>SUBTOTAL(103,Juillet!$B$7:$B$11)</totalsRowFormula>
    </tableColumn>
    <tableColumn id="15" name="14" totalsRowFunction="custom" dataDxfId="32">
      <totalsRowFormula>SUBTOTAL(103,Juillet!$B$7:$B$11)</totalsRowFormula>
    </tableColumn>
    <tableColumn id="16" name="15" totalsRowFunction="custom" dataDxfId="31" totalsRowDxfId="30">
      <totalsRowFormula>SUBTOTAL(103,Juillet!$B$7:$B$11)</totalsRowFormula>
    </tableColumn>
    <tableColumn id="17" name="16" totalsRowFunction="custom" dataDxfId="29" totalsRowDxfId="28">
      <totalsRowFormula>SUBTOTAL(103,Juillet!$B$7:$B$11)</totalsRowFormula>
    </tableColumn>
    <tableColumn id="18" name="17" totalsRowFunction="custom" dataDxfId="27" totalsRowDxfId="26">
      <totalsRowFormula>SUBTOTAL(103,Juillet!$B$7:$B$11)</totalsRowFormula>
    </tableColumn>
    <tableColumn id="19" name="18" totalsRowFunction="custom" dataDxfId="25" totalsRowDxfId="24">
      <totalsRowFormula>SUBTOTAL(103,Juillet!$B$7:$B$11)</totalsRowFormula>
    </tableColumn>
    <tableColumn id="20" name="19" totalsRowFunction="custom" dataDxfId="23" totalsRowDxfId="22">
      <totalsRowFormula>SUBTOTAL(103,Juillet!$B$7:$B$11)</totalsRowFormula>
    </tableColumn>
    <tableColumn id="21" name="20" totalsRowFunction="custom" dataDxfId="21">
      <totalsRowFormula>SUBTOTAL(103,Juillet!$B$7:$B$11)</totalsRowFormula>
    </tableColumn>
    <tableColumn id="22" name="21" totalsRowFunction="custom" dataDxfId="20">
      <totalsRowFormula>SUBTOTAL(103,Juillet!$B$7:$B$11)</totalsRowFormula>
    </tableColumn>
    <tableColumn id="23" name="22" totalsRowFunction="custom" dataDxfId="19" totalsRowDxfId="18">
      <totalsRowFormula>SUBTOTAL(103,Juillet!$B$7:$B$11)</totalsRowFormula>
    </tableColumn>
    <tableColumn id="24" name="23" totalsRowFunction="custom" dataDxfId="17" totalsRowDxfId="16">
      <totalsRowFormula>SUBTOTAL(103,Juillet!$B$7:$B$11)</totalsRowFormula>
    </tableColumn>
    <tableColumn id="25" name="24" totalsRowFunction="custom" dataDxfId="15" totalsRowDxfId="14">
      <totalsRowFormula>SUBTOTAL(103,Juillet!$B$7:$B$11)</totalsRowFormula>
    </tableColumn>
    <tableColumn id="26" name="25" totalsRowFunction="custom" dataDxfId="13" totalsRowDxfId="12">
      <totalsRowFormula>SUBTOTAL(103,Juillet!$B$7:$B$11)</totalsRowFormula>
    </tableColumn>
    <tableColumn id="27" name="26" totalsRowFunction="custom" dataDxfId="11" totalsRowDxfId="10">
      <totalsRowFormula>SUBTOTAL(103,Juillet!$B$7:$B$11)</totalsRowFormula>
    </tableColumn>
    <tableColumn id="28" name="27" totalsRowFunction="custom" dataDxfId="9">
      <totalsRowFormula>SUBTOTAL(103,Juillet!$B$7:$B$11)</totalsRowFormula>
    </tableColumn>
    <tableColumn id="29" name="28" totalsRowFunction="custom" dataDxfId="8">
      <totalsRowFormula>SUBTOTAL(103,Juillet!$B$7:$B$11)</totalsRowFormula>
    </tableColumn>
    <tableColumn id="30" name="29" totalsRowFunction="custom" dataDxfId="7" totalsRowDxfId="6">
      <totalsRowFormula>SUBTOTAL(103,Juillet!$B$7:$B$11)</totalsRowFormula>
    </tableColumn>
    <tableColumn id="31" name="30" totalsRowFunction="custom" dataDxfId="5" totalsRowDxfId="4">
      <totalsRowFormula>SUBTOTAL(103,Juillet!$B$7:$B$11)</totalsRowFormula>
    </tableColumn>
    <tableColumn id="32" name="31" totalsRowFunction="custom" dataDxfId="3" totalsRowDxfId="2" dataCellStyle="Total">
      <totalsRowFormula>SUBTOTAL(103,Juillet!$B$7:$B$11)</totalsRowFormula>
    </tableColumn>
    <tableColumn id="33" name="Total des jours" totalsRowFunction="sum" dataDxfId="1" totalsRowDxfId="0" dataCellStyle="Total">
      <calculatedColumnFormula>COUNTA(Juillet!$B7:$AF7)</calculatedColumnFormula>
    </tableColumn>
  </tableColumns>
  <tableStyleInfo name="Tableau des absences des employés 6"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_rels/sheet8.xml.rels><?xml version="1.0" encoding="UTF-8" standalone="yes"?>
<Relationships xmlns="http://schemas.openxmlformats.org/package/2006/relationships"><Relationship Id="rId1" Type="http://schemas.openxmlformats.org/officeDocument/2006/relationships/table" Target="../tables/table8.xml"/></Relationships>
</file>

<file path=xl/worksheets/_rels/sheet9.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2"/>
  <sheetViews>
    <sheetView tabSelected="1" workbookViewId="0">
      <selection activeCell="E18" sqref="E18"/>
    </sheetView>
  </sheetViews>
  <sheetFormatPr baseColWidth="10" defaultColWidth="9.140625" defaultRowHeight="15" x14ac:dyDescent="0.25"/>
  <cols>
    <col min="1" max="1" width="54.42578125" style="2" bestFit="1" customWidth="1"/>
    <col min="2" max="20" width="4.7109375" style="2" customWidth="1"/>
    <col min="21" max="21" width="5.5703125" style="2" customWidth="1"/>
    <col min="22" max="32" width="4.7109375" style="2" customWidth="1"/>
    <col min="33" max="33" width="13.5703125" style="2" customWidth="1"/>
    <col min="34" max="34" width="8.140625" style="3" customWidth="1"/>
    <col min="35" max="16384" width="9.140625" style="3"/>
  </cols>
  <sheetData>
    <row r="1" spans="1:38" ht="23.25" x14ac:dyDescent="0.25">
      <c r="A1" s="1" t="s">
        <v>0</v>
      </c>
    </row>
    <row r="2" spans="1:38" ht="15" customHeight="1" thickBot="1" x14ac:dyDescent="0.3">
      <c r="A2" s="4" t="s">
        <v>1</v>
      </c>
      <c r="B2" s="29" t="s">
        <v>2</v>
      </c>
      <c r="C2" s="75" t="s">
        <v>3</v>
      </c>
      <c r="D2" s="76"/>
      <c r="E2" s="6" t="s">
        <v>4</v>
      </c>
      <c r="F2" s="75" t="s">
        <v>5</v>
      </c>
      <c r="G2" s="76"/>
      <c r="H2" s="76"/>
      <c r="I2" s="28" t="s">
        <v>6</v>
      </c>
      <c r="J2" s="76" t="s">
        <v>7</v>
      </c>
      <c r="K2" s="76"/>
      <c r="L2" s="7" t="s">
        <v>8</v>
      </c>
      <c r="M2" s="75" t="s">
        <v>9</v>
      </c>
      <c r="N2" s="76"/>
      <c r="O2" s="76"/>
      <c r="P2" s="76"/>
      <c r="Q2" s="8" t="s">
        <v>10</v>
      </c>
      <c r="R2" s="75" t="s">
        <v>11</v>
      </c>
      <c r="S2" s="76"/>
      <c r="T2" s="76"/>
      <c r="U2" s="76"/>
    </row>
    <row r="3" spans="1:38" ht="15" customHeight="1" x14ac:dyDescent="0.25">
      <c r="AG3" s="9" t="s">
        <v>12</v>
      </c>
    </row>
    <row r="4" spans="1:38" ht="18" thickBot="1" x14ac:dyDescent="0.3">
      <c r="A4" s="10" t="s">
        <v>13</v>
      </c>
      <c r="B4" s="77" t="s">
        <v>14</v>
      </c>
      <c r="C4" s="77"/>
      <c r="D4" s="77"/>
      <c r="E4" s="77"/>
      <c r="F4" s="77"/>
      <c r="G4" s="77"/>
      <c r="H4" s="77"/>
      <c r="I4" s="77"/>
      <c r="J4" s="77"/>
      <c r="K4" s="77"/>
      <c r="L4" s="77"/>
      <c r="M4" s="77"/>
      <c r="N4" s="77"/>
      <c r="O4" s="77"/>
      <c r="P4" s="77"/>
      <c r="Q4" s="77"/>
      <c r="R4" s="77"/>
      <c r="S4" s="77"/>
      <c r="T4" s="77"/>
      <c r="U4" s="77"/>
      <c r="V4" s="77"/>
      <c r="W4" s="77"/>
      <c r="X4" s="77"/>
      <c r="Y4" s="77"/>
      <c r="Z4" s="77"/>
      <c r="AA4" s="77"/>
      <c r="AB4" s="77"/>
      <c r="AC4" s="77"/>
      <c r="AD4" s="77"/>
      <c r="AE4" s="77"/>
      <c r="AF4" s="77"/>
      <c r="AG4" s="10">
        <v>2019</v>
      </c>
    </row>
    <row r="5" spans="1:38" ht="18.75" thickTop="1" thickBot="1" x14ac:dyDescent="0.3">
      <c r="A5" s="10"/>
      <c r="B5" s="12" t="str">
        <f>TEXT(WEEKDAY(DATE(AnnéeCalendrier,1,1),1),"jjj")</f>
        <v>mar</v>
      </c>
      <c r="C5" s="12" t="str">
        <f>TEXT(WEEKDAY(DATE(AnnéeCalendrier,1,2),1),"jjj")</f>
        <v>mer</v>
      </c>
      <c r="D5" s="12" t="str">
        <f>TEXT(WEEKDAY(DATE(AnnéeCalendrier,1,3),1),"jjj")</f>
        <v>jeu</v>
      </c>
      <c r="E5" s="12" t="str">
        <f>TEXT(WEEKDAY(DATE(AnnéeCalendrier,1,4),1),"jjj")</f>
        <v>ven</v>
      </c>
      <c r="F5" s="12" t="str">
        <f>TEXT(WEEKDAY(DATE(AnnéeCalendrier,1,5),1),"jjj")</f>
        <v>sam</v>
      </c>
      <c r="G5" s="12" t="str">
        <f>TEXT(WEEKDAY(DATE(AnnéeCalendrier,1,6),1),"jjj")</f>
        <v>dim</v>
      </c>
      <c r="H5" s="12" t="str">
        <f>TEXT(WEEKDAY(DATE(AnnéeCalendrier,1,7),1),"jjj")</f>
        <v>lun</v>
      </c>
      <c r="I5" s="12" t="str">
        <f>TEXT(WEEKDAY(DATE(AnnéeCalendrier,1,8),1),"jjj")</f>
        <v>mar</v>
      </c>
      <c r="J5" s="12" t="str">
        <f>TEXT(WEEKDAY(DATE(AnnéeCalendrier,1,9),1),"jjj")</f>
        <v>mer</v>
      </c>
      <c r="K5" s="12" t="str">
        <f>TEXT(WEEKDAY(DATE(AnnéeCalendrier,1,10),1),"jjj")</f>
        <v>jeu</v>
      </c>
      <c r="L5" s="12" t="str">
        <f>TEXT(WEEKDAY(DATE(AnnéeCalendrier,1,11),1),"jjj")</f>
        <v>ven</v>
      </c>
      <c r="M5" s="12" t="str">
        <f>TEXT(WEEKDAY(DATE(AnnéeCalendrier,1,12),1),"jjj")</f>
        <v>sam</v>
      </c>
      <c r="N5" s="12" t="str">
        <f>TEXT(WEEKDAY(DATE(AnnéeCalendrier,1,13),1),"jjj")</f>
        <v>dim</v>
      </c>
      <c r="O5" s="12" t="str">
        <f>TEXT(WEEKDAY(DATE(AnnéeCalendrier,1,14),1),"jjj")</f>
        <v>lun</v>
      </c>
      <c r="P5" s="12" t="str">
        <f>TEXT(WEEKDAY(DATE(AnnéeCalendrier,1,15),1),"jjj")</f>
        <v>mar</v>
      </c>
      <c r="Q5" s="12" t="str">
        <f>TEXT(WEEKDAY(DATE(AnnéeCalendrier,1,16),1),"jjj")</f>
        <v>mer</v>
      </c>
      <c r="R5" s="12" t="str">
        <f>TEXT(WEEKDAY(DATE(AnnéeCalendrier,1,17),1),"jjj")</f>
        <v>jeu</v>
      </c>
      <c r="S5" s="12" t="str">
        <f>TEXT(WEEKDAY(DATE(AnnéeCalendrier,1,18),1),"jjj")</f>
        <v>ven</v>
      </c>
      <c r="T5" s="12" t="str">
        <f>TEXT(WEEKDAY(DATE(AnnéeCalendrier,1,19),1),"jjj")</f>
        <v>sam</v>
      </c>
      <c r="U5" s="12" t="str">
        <f>TEXT(WEEKDAY(DATE(AnnéeCalendrier,1,20),1),"jjj")</f>
        <v>dim</v>
      </c>
      <c r="V5" s="12" t="str">
        <f>TEXT(WEEKDAY(DATE(AnnéeCalendrier,1,21),1),"jjj")</f>
        <v>lun</v>
      </c>
      <c r="W5" s="12" t="str">
        <f>TEXT(WEEKDAY(DATE(AnnéeCalendrier,1,22),1),"jjj")</f>
        <v>mar</v>
      </c>
      <c r="X5" s="12" t="str">
        <f>TEXT(WEEKDAY(DATE(AnnéeCalendrier,1,23),1),"jjj")</f>
        <v>mer</v>
      </c>
      <c r="Y5" s="12" t="str">
        <f>TEXT(WEEKDAY(DATE(AnnéeCalendrier,1,24),1),"jjj")</f>
        <v>jeu</v>
      </c>
      <c r="Z5" s="12" t="str">
        <f>TEXT(WEEKDAY(DATE(AnnéeCalendrier,1,25),1),"jjj")</f>
        <v>ven</v>
      </c>
      <c r="AA5" s="12" t="str">
        <f>TEXT(WEEKDAY(DATE(AnnéeCalendrier,1,26),1),"jjj")</f>
        <v>sam</v>
      </c>
      <c r="AB5" s="12" t="str">
        <f>TEXT(WEEKDAY(DATE(AnnéeCalendrier,1,27),1),"jjj")</f>
        <v>dim</v>
      </c>
      <c r="AC5" s="12" t="str">
        <f>TEXT(WEEKDAY(DATE(AnnéeCalendrier,1,28),1),"jjj")</f>
        <v>lun</v>
      </c>
      <c r="AD5" s="12" t="str">
        <f>TEXT(WEEKDAY(DATE(AnnéeCalendrier,1,29),1),"jjj")</f>
        <v>mar</v>
      </c>
      <c r="AE5" s="12" t="str">
        <f>TEXT(WEEKDAY(DATE(AnnéeCalendrier,1,30),1),"jjj")</f>
        <v>mer</v>
      </c>
      <c r="AF5" s="12" t="str">
        <f>TEXT(WEEKDAY(DATE(AnnéeCalendrier,1,31),1),"jjj")</f>
        <v>jeu</v>
      </c>
      <c r="AG5" s="10"/>
      <c r="AH5" s="74" t="s">
        <v>15</v>
      </c>
      <c r="AI5" s="74"/>
      <c r="AJ5" s="74"/>
      <c r="AK5" s="74"/>
      <c r="AL5" s="74"/>
    </row>
    <row r="6" spans="1:38" ht="22.5" customHeight="1" thickTop="1" x14ac:dyDescent="0.25">
      <c r="A6" s="13" t="s">
        <v>16</v>
      </c>
      <c r="B6" s="14" t="s">
        <v>17</v>
      </c>
      <c r="C6" s="14" t="s">
        <v>18</v>
      </c>
      <c r="D6" s="14" t="s">
        <v>19</v>
      </c>
      <c r="E6" s="14" t="s">
        <v>20</v>
      </c>
      <c r="F6" s="14" t="s">
        <v>21</v>
      </c>
      <c r="G6" s="14" t="s">
        <v>22</v>
      </c>
      <c r="H6" s="14" t="s">
        <v>23</v>
      </c>
      <c r="I6" s="14" t="s">
        <v>24</v>
      </c>
      <c r="J6" s="14" t="s">
        <v>25</v>
      </c>
      <c r="K6" s="14" t="s">
        <v>26</v>
      </c>
      <c r="L6" s="14" t="s">
        <v>27</v>
      </c>
      <c r="M6" s="14" t="s">
        <v>28</v>
      </c>
      <c r="N6" s="14" t="s">
        <v>29</v>
      </c>
      <c r="O6" s="14" t="s">
        <v>30</v>
      </c>
      <c r="P6" s="14" t="s">
        <v>31</v>
      </c>
      <c r="Q6" s="14" t="s">
        <v>32</v>
      </c>
      <c r="R6" s="14" t="s">
        <v>33</v>
      </c>
      <c r="S6" s="14" t="s">
        <v>34</v>
      </c>
      <c r="T6" s="14" t="s">
        <v>35</v>
      </c>
      <c r="U6" s="14" t="s">
        <v>36</v>
      </c>
      <c r="V6" s="14" t="s">
        <v>37</v>
      </c>
      <c r="W6" s="14" t="s">
        <v>38</v>
      </c>
      <c r="X6" s="14" t="s">
        <v>39</v>
      </c>
      <c r="Y6" s="14" t="s">
        <v>40</v>
      </c>
      <c r="Z6" s="14" t="s">
        <v>41</v>
      </c>
      <c r="AA6" s="14" t="s">
        <v>42</v>
      </c>
      <c r="AB6" s="14" t="s">
        <v>43</v>
      </c>
      <c r="AC6" s="14" t="s">
        <v>44</v>
      </c>
      <c r="AD6" s="14" t="s">
        <v>45</v>
      </c>
      <c r="AE6" s="14" t="s">
        <v>46</v>
      </c>
      <c r="AF6" s="14" t="s">
        <v>47</v>
      </c>
      <c r="AG6" s="15" t="s">
        <v>48</v>
      </c>
      <c r="AH6" s="29" t="s">
        <v>2</v>
      </c>
      <c r="AI6" s="6" t="s">
        <v>4</v>
      </c>
      <c r="AJ6" s="28" t="s">
        <v>6</v>
      </c>
      <c r="AK6" s="7" t="s">
        <v>8</v>
      </c>
      <c r="AL6" s="8" t="s">
        <v>10</v>
      </c>
    </row>
    <row r="7" spans="1:38" x14ac:dyDescent="0.25">
      <c r="A7" s="19" t="s">
        <v>73</v>
      </c>
      <c r="B7" s="30"/>
      <c r="C7" s="30"/>
      <c r="D7" s="30"/>
      <c r="E7" s="30"/>
      <c r="F7" s="30"/>
      <c r="G7" s="41"/>
      <c r="H7" s="30"/>
      <c r="I7" s="30"/>
      <c r="J7" s="30"/>
      <c r="K7" s="30"/>
      <c r="L7" s="30"/>
      <c r="M7" s="30"/>
      <c r="N7" s="41"/>
      <c r="O7" s="30"/>
      <c r="P7" s="30"/>
      <c r="Q7" s="30"/>
      <c r="R7" s="30"/>
      <c r="S7" s="30"/>
      <c r="T7" s="30"/>
      <c r="U7" s="41"/>
      <c r="V7" s="30"/>
      <c r="W7" s="30"/>
      <c r="X7" s="30"/>
      <c r="Y7" s="30"/>
      <c r="Z7" s="30"/>
      <c r="AA7" s="30"/>
      <c r="AB7" s="41"/>
      <c r="AC7" s="30"/>
      <c r="AD7" s="30"/>
      <c r="AE7" s="30"/>
      <c r="AF7" s="30"/>
      <c r="AG7" s="16">
        <f>COUNTA(Janvier!$B7:$AF7)</f>
        <v>0</v>
      </c>
      <c r="AH7" s="17">
        <f t="shared" ref="AH7:AH11" si="0">COUNTIF(B7:AF7,Congé)</f>
        <v>0</v>
      </c>
      <c r="AI7" s="17">
        <f t="shared" ref="AI7:AI11" si="1">COUNTIF(B7:AF7,Maternité)</f>
        <v>0</v>
      </c>
      <c r="AJ7" s="17">
        <f t="shared" ref="AJ7:AJ11" si="2">COUNTIF(B7:AF7,Maladie)</f>
        <v>0</v>
      </c>
      <c r="AK7" s="17">
        <f t="shared" ref="AK7:AK11" si="3">COUNTIF(B7:AF7,Permission)</f>
        <v>0</v>
      </c>
      <c r="AL7" s="17">
        <f t="shared" ref="AL7:AL11" si="4">COUNTIF(B7:AF7,Deduire)</f>
        <v>0</v>
      </c>
    </row>
    <row r="8" spans="1:38" x14ac:dyDescent="0.25">
      <c r="A8" s="19" t="s">
        <v>74</v>
      </c>
      <c r="B8" s="30"/>
      <c r="C8" s="30"/>
      <c r="D8" s="30"/>
      <c r="E8" s="30"/>
      <c r="F8" s="30"/>
      <c r="G8" s="41"/>
      <c r="H8" s="30"/>
      <c r="I8" s="30"/>
      <c r="J8" s="30"/>
      <c r="K8" s="30"/>
      <c r="L8" s="30"/>
      <c r="M8" s="30"/>
      <c r="N8" s="41"/>
      <c r="O8" s="30"/>
      <c r="P8" s="30"/>
      <c r="Q8" s="30"/>
      <c r="R8" s="30"/>
      <c r="S8" s="30"/>
      <c r="T8" s="30"/>
      <c r="U8" s="41"/>
      <c r="V8" s="30"/>
      <c r="W8" s="30"/>
      <c r="X8" s="30"/>
      <c r="Y8" s="30"/>
      <c r="Z8" s="30"/>
      <c r="AA8" s="30"/>
      <c r="AB8" s="41"/>
      <c r="AC8" s="30"/>
      <c r="AD8" s="30"/>
      <c r="AE8" s="30"/>
      <c r="AF8" s="30"/>
      <c r="AG8" s="16">
        <f>COUNTA(Janvier!$B8:$AF8)</f>
        <v>0</v>
      </c>
      <c r="AH8" s="17">
        <f t="shared" si="0"/>
        <v>0</v>
      </c>
      <c r="AI8" s="17">
        <f t="shared" si="1"/>
        <v>0</v>
      </c>
      <c r="AJ8" s="17">
        <f t="shared" si="2"/>
        <v>0</v>
      </c>
      <c r="AK8" s="17">
        <f t="shared" si="3"/>
        <v>0</v>
      </c>
      <c r="AL8" s="17">
        <f t="shared" si="4"/>
        <v>0</v>
      </c>
    </row>
    <row r="9" spans="1:38" x14ac:dyDescent="0.25">
      <c r="A9" s="19" t="s">
        <v>75</v>
      </c>
      <c r="B9" s="30"/>
      <c r="C9" s="30"/>
      <c r="D9" s="30"/>
      <c r="E9" s="30"/>
      <c r="F9" s="30"/>
      <c r="G9" s="41"/>
      <c r="H9" s="30"/>
      <c r="I9" s="30"/>
      <c r="J9" s="30"/>
      <c r="K9" s="30"/>
      <c r="L9" s="30"/>
      <c r="M9" s="30"/>
      <c r="N9" s="41"/>
      <c r="O9" s="30"/>
      <c r="P9" s="30"/>
      <c r="Q9" s="30"/>
      <c r="R9" s="30"/>
      <c r="S9" s="30"/>
      <c r="T9" s="30"/>
      <c r="U9" s="41"/>
      <c r="V9" s="30"/>
      <c r="W9" s="30"/>
      <c r="X9" s="30"/>
      <c r="Y9" s="30"/>
      <c r="Z9" s="30"/>
      <c r="AA9" s="30"/>
      <c r="AB9" s="41"/>
      <c r="AC9" s="30"/>
      <c r="AD9" s="30"/>
      <c r="AE9" s="30"/>
      <c r="AF9" s="30"/>
      <c r="AG9" s="16">
        <f>COUNTA(Janvier!$B9:$AF9)</f>
        <v>0</v>
      </c>
      <c r="AH9" s="17">
        <f t="shared" si="0"/>
        <v>0</v>
      </c>
      <c r="AI9" s="17">
        <f t="shared" si="1"/>
        <v>0</v>
      </c>
      <c r="AJ9" s="17">
        <f t="shared" si="2"/>
        <v>0</v>
      </c>
      <c r="AK9" s="17">
        <f t="shared" si="3"/>
        <v>0</v>
      </c>
      <c r="AL9" s="17">
        <f t="shared" si="4"/>
        <v>0</v>
      </c>
    </row>
    <row r="10" spans="1:38" x14ac:dyDescent="0.25">
      <c r="A10" s="19" t="s">
        <v>76</v>
      </c>
      <c r="B10" s="30"/>
      <c r="C10" s="30"/>
      <c r="D10" s="30"/>
      <c r="E10" s="30"/>
      <c r="F10" s="30"/>
      <c r="G10" s="41"/>
      <c r="H10" s="30"/>
      <c r="I10" s="30"/>
      <c r="J10" s="30"/>
      <c r="K10" s="30"/>
      <c r="L10" s="30"/>
      <c r="M10" s="30"/>
      <c r="N10" s="41"/>
      <c r="O10" s="30"/>
      <c r="P10" s="30"/>
      <c r="Q10" s="30"/>
      <c r="R10" s="30"/>
      <c r="S10" s="30"/>
      <c r="T10" s="30"/>
      <c r="U10" s="41"/>
      <c r="V10" s="30"/>
      <c r="W10" s="30"/>
      <c r="X10" s="30"/>
      <c r="Y10" s="30"/>
      <c r="Z10" s="30"/>
      <c r="AA10" s="30"/>
      <c r="AB10" s="41"/>
      <c r="AC10" s="30"/>
      <c r="AD10" s="30"/>
      <c r="AE10" s="30"/>
      <c r="AF10" s="30"/>
      <c r="AG10" s="16">
        <f>COUNTA(Janvier!$B10:$AF10)</f>
        <v>0</v>
      </c>
      <c r="AH10" s="17">
        <f t="shared" si="0"/>
        <v>0</v>
      </c>
      <c r="AI10" s="17">
        <f t="shared" si="1"/>
        <v>0</v>
      </c>
      <c r="AJ10" s="17">
        <f t="shared" si="2"/>
        <v>0</v>
      </c>
      <c r="AK10" s="17">
        <f t="shared" si="3"/>
        <v>0</v>
      </c>
      <c r="AL10" s="17">
        <f t="shared" si="4"/>
        <v>0</v>
      </c>
    </row>
    <row r="11" spans="1:38" x14ac:dyDescent="0.25">
      <c r="A11" s="19" t="s">
        <v>77</v>
      </c>
      <c r="B11" s="30"/>
      <c r="C11" s="30"/>
      <c r="D11" s="30"/>
      <c r="E11" s="30"/>
      <c r="F11" s="30"/>
      <c r="G11" s="41"/>
      <c r="H11" s="30"/>
      <c r="I11" s="30"/>
      <c r="J11" s="30"/>
      <c r="K11" s="30"/>
      <c r="L11" s="30"/>
      <c r="M11" s="30"/>
      <c r="N11" s="41"/>
      <c r="O11" s="30"/>
      <c r="P11" s="30"/>
      <c r="Q11" s="30"/>
      <c r="R11" s="30"/>
      <c r="S11" s="30"/>
      <c r="T11" s="30"/>
      <c r="U11" s="41"/>
      <c r="V11" s="30"/>
      <c r="W11" s="30"/>
      <c r="X11" s="30"/>
      <c r="Y11" s="30"/>
      <c r="Z11" s="30"/>
      <c r="AA11" s="30"/>
      <c r="AB11" s="41"/>
      <c r="AC11" s="30"/>
      <c r="AD11" s="30"/>
      <c r="AE11" s="30"/>
      <c r="AF11" s="30"/>
      <c r="AG11" s="16">
        <f>COUNTA(Janvier!$B11:$AF11)</f>
        <v>0</v>
      </c>
      <c r="AH11" s="17">
        <f t="shared" si="0"/>
        <v>0</v>
      </c>
      <c r="AI11" s="17">
        <f t="shared" si="1"/>
        <v>0</v>
      </c>
      <c r="AJ11" s="17">
        <f t="shared" si="2"/>
        <v>0</v>
      </c>
      <c r="AK11" s="17">
        <f t="shared" si="3"/>
        <v>0</v>
      </c>
      <c r="AL11" s="17">
        <f t="shared" si="4"/>
        <v>0</v>
      </c>
    </row>
    <row r="12" spans="1:38" x14ac:dyDescent="0.25">
      <c r="A12" s="61" t="str">
        <f>NomMois&amp;" Total"</f>
        <v>Janvier Total</v>
      </c>
      <c r="B12" s="62">
        <f>SUBTOTAL(103,Janvier!$B$7:$B$11)</f>
        <v>0</v>
      </c>
      <c r="C12" s="62">
        <f>SUBTOTAL(103,Janvier!$B$7:$B$11)</f>
        <v>0</v>
      </c>
      <c r="D12" s="62">
        <f>SUBTOTAL(103,Janvier!$B$7:$B$11)</f>
        <v>0</v>
      </c>
      <c r="E12" s="62">
        <f>SUBTOTAL(103,Janvier!$B$7:$B$11)</f>
        <v>0</v>
      </c>
      <c r="F12" s="62">
        <f>SUBTOTAL(103,Janvier!$B$7:$B$11)</f>
        <v>0</v>
      </c>
      <c r="G12" s="63">
        <f>SUBTOTAL(103,Janvier!$B$7:$B$11)</f>
        <v>0</v>
      </c>
      <c r="H12" s="62">
        <f>SUBTOTAL(103,Janvier!$B$7:$B$11)</f>
        <v>0</v>
      </c>
      <c r="I12" s="62">
        <f>SUBTOTAL(103,Janvier!$B$7:$B$11)</f>
        <v>0</v>
      </c>
      <c r="J12" s="62">
        <f>SUBTOTAL(103,Janvier!$B$7:$B$11)</f>
        <v>0</v>
      </c>
      <c r="K12" s="62">
        <f>SUBTOTAL(103,Janvier!$B$7:$B$11)</f>
        <v>0</v>
      </c>
      <c r="L12" s="62">
        <f>SUBTOTAL(103,Janvier!$B$7:$B$11)</f>
        <v>0</v>
      </c>
      <c r="M12" s="62">
        <f>SUBTOTAL(103,Janvier!$B$7:$B$11)</f>
        <v>0</v>
      </c>
      <c r="N12" s="63">
        <f>SUBTOTAL(103,Janvier!$B$7:$B$11)</f>
        <v>0</v>
      </c>
      <c r="O12" s="62">
        <f>SUBTOTAL(103,Janvier!$B$7:$B$11)</f>
        <v>0</v>
      </c>
      <c r="P12" s="62">
        <f>SUBTOTAL(103,Janvier!$B$7:$B$11)</f>
        <v>0</v>
      </c>
      <c r="Q12" s="62">
        <f>SUBTOTAL(103,Janvier!$B$7:$B$11)</f>
        <v>0</v>
      </c>
      <c r="R12" s="62">
        <f>SUBTOTAL(103,Janvier!$B$7:$B$11)</f>
        <v>0</v>
      </c>
      <c r="S12" s="62">
        <f>SUBTOTAL(103,Janvier!$B$7:$B$11)</f>
        <v>0</v>
      </c>
      <c r="T12" s="62">
        <f>SUBTOTAL(103,Janvier!$B$7:$B$11)</f>
        <v>0</v>
      </c>
      <c r="U12" s="63">
        <f>SUBTOTAL(103,Janvier!$B$7:$B$11)</f>
        <v>0</v>
      </c>
      <c r="V12" s="62">
        <f>SUBTOTAL(103,Janvier!$B$7:$B$11)</f>
        <v>0</v>
      </c>
      <c r="W12" s="62">
        <f>SUBTOTAL(103,Janvier!$B$7:$B$11)</f>
        <v>0</v>
      </c>
      <c r="X12" s="62">
        <f>SUBTOTAL(103,Janvier!$B$7:$B$11)</f>
        <v>0</v>
      </c>
      <c r="Y12" s="62">
        <f>SUBTOTAL(103,Janvier!$B$7:$B$11)</f>
        <v>0</v>
      </c>
      <c r="Z12" s="62">
        <f>SUBTOTAL(103,Janvier!$B$7:$B$11)</f>
        <v>0</v>
      </c>
      <c r="AA12" s="62">
        <f>SUBTOTAL(103,Janvier!$B$7:$B$11)</f>
        <v>0</v>
      </c>
      <c r="AB12" s="63">
        <f>SUBTOTAL(103,Janvier!$B$7:$B$11)</f>
        <v>0</v>
      </c>
      <c r="AC12" s="62">
        <f>SUBTOTAL(103,Janvier!$B$7:$B$11)</f>
        <v>0</v>
      </c>
      <c r="AD12" s="62">
        <f>SUBTOTAL(103,Janvier!$B$7:$B$11)</f>
        <v>0</v>
      </c>
      <c r="AE12" s="62">
        <f>SUBTOTAL(103,Janvier!$B$7:$B$11)</f>
        <v>0</v>
      </c>
      <c r="AF12" s="62">
        <f>SUBTOTAL(103,Janvier!$B$7:$B$11)</f>
        <v>0</v>
      </c>
      <c r="AG12" s="62">
        <f>SUBTOTAL(109,Janvier[Total des jours])</f>
        <v>0</v>
      </c>
    </row>
  </sheetData>
  <mergeCells count="7">
    <mergeCell ref="AH5:AL5"/>
    <mergeCell ref="C2:D2"/>
    <mergeCell ref="F2:H2"/>
    <mergeCell ref="J2:K2"/>
    <mergeCell ref="M2:P2"/>
    <mergeCell ref="R2:U2"/>
    <mergeCell ref="B4:AF4"/>
  </mergeCells>
  <conditionalFormatting sqref="AG7:AG11">
    <cfRule type="dataBar" priority="21">
      <dataBar>
        <cfvo type="num" val="0"/>
        <cfvo type="num" val="31"/>
        <color theme="4"/>
      </dataBar>
      <extLst>
        <ext xmlns:x14="http://schemas.microsoft.com/office/spreadsheetml/2009/9/main" uri="{B025F937-C7B1-47D3-B67F-A62EFF666E3E}">
          <x14:id>{2470BA6B-C3EF-479C-8F72-A30A868B93FF}</x14:id>
        </ext>
      </extLst>
    </cfRule>
  </conditionalFormatting>
  <conditionalFormatting sqref="B7:AF11">
    <cfRule type="cellIs" dxfId="854" priority="23" operator="equal">
      <formula>"D"</formula>
    </cfRule>
    <cfRule type="cellIs" dxfId="853" priority="24" operator="equal">
      <formula>"P"</formula>
    </cfRule>
    <cfRule type="cellIs" dxfId="852" priority="25" operator="equal">
      <formula>"M"</formula>
    </cfRule>
    <cfRule type="cellIs" dxfId="851" priority="26" operator="equal">
      <formula>"B"</formula>
    </cfRule>
    <cfRule type="cellIs" dxfId="850" priority="27" operator="equal">
      <formula>"C"</formula>
    </cfRule>
  </conditionalFormatting>
  <dataValidations count="15">
    <dataValidation allowBlank="1" showInputMessage="1" showErrorMessage="1" prompt="Entrez l’année dans la cellule ci-dessous" sqref="AG3"/>
    <dataValidation allowBlank="1" showInputMessage="1" showErrorMessage="1" prompt="Entrez une étiquette pour décrire la clé personnalisée à gauche" sqref="M2 R2"/>
    <dataValidation allowBlank="1" showInputMessage="1" showErrorMessage="1" prompt="Entrez une lettre et personnalisez l’étiquette à droite pour ajouter un élément de clé" sqref="L2 Q2"/>
    <dataValidation allowBlank="1" showInputMessage="1" showErrorMessage="1" prompt="La lettre « M » indique une absence pour cause de maladie" sqref="I2"/>
    <dataValidation allowBlank="1" showInputMessage="1" showErrorMessage="1" prompt="La lettre « P » indique une absence pour motifs personnels" sqref="E2"/>
    <dataValidation allowBlank="1" showInputMessage="1" showErrorMessage="1" prompt="La lettre « C » indique une absence pour cause de congé" sqref="B2"/>
    <dataValidation allowBlank="1" showInputMessage="1" showErrorMessage="1" prompt="Cette ligne définit les clés utilisées dans le tableau : Congé en C2, Personnel en F2 et Congé maladie en J2. Les cellules M2 et R2 sont personnalisables " sqref="A2"/>
    <dataValidation allowBlank="1" showInputMessage="1" showErrorMessage="1" prompt="Mois de ce calendrier des absences. Mettez à jour l’année dans la cellule AH4. Suivez les totaux mensuels dans la dernière cellule du tableau. Entrez les noms des employés dans la colonne B du tableau" sqref="A4"/>
    <dataValidation allowBlank="1" showInputMessage="1" showErrorMessage="1" prompt="Le titre de la feuille de calcul figure dans cette cellule. Si vous mettez à jour le titre, le changement est automatiquement répercuté sur chaque feuille de calcul" sqref="A1"/>
    <dataValidation allowBlank="1" showInputMessage="1" showErrorMessage="1" prompt="Calcule automatiquement le nombre total de jours d’absence d’un employé durant ce mois" sqref="AG6"/>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B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A6"/>
    <dataValidation allowBlank="1" showInputMessage="1" showErrorMessage="1" prompt="Entrez l’année dans cette cellule" sqref="AG4"/>
    <dataValidation type="list" allowBlank="1" showInputMessage="1" showErrorMessage="1" sqref="B7:AF11">
      <formula1>"C,B,M,P,D"</formula1>
    </dataValidation>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2470BA6B-C3EF-479C-8F72-A30A868B93FF}">
            <x14:dataBar minLength="0" maxLength="100">
              <x14:cfvo type="num">
                <xm:f>0</xm:f>
              </x14:cfvo>
              <x14:cfvo type="num">
                <xm:f>31</xm:f>
              </x14:cfvo>
              <x14:negativeFillColor rgb="FFFF0000"/>
              <x14:axisColor rgb="FF000000"/>
            </x14:dataBar>
          </x14:cfRule>
          <xm:sqref>AG7:AG11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3"/>
  <sheetViews>
    <sheetView topLeftCell="A2" workbookViewId="0">
      <selection activeCell="H8" sqref="H8"/>
    </sheetView>
  </sheetViews>
  <sheetFormatPr baseColWidth="10" defaultColWidth="9.140625" defaultRowHeight="15" x14ac:dyDescent="0.25"/>
  <cols>
    <col min="1" max="1" width="54.42578125" style="2" bestFit="1" customWidth="1"/>
    <col min="2" max="32" width="4.7109375" style="2" customWidth="1"/>
    <col min="33" max="33" width="13.5703125" style="2" customWidth="1"/>
    <col min="34" max="34" width="9.140625" style="3" customWidth="1"/>
    <col min="35" max="16384" width="9.140625" style="3"/>
  </cols>
  <sheetData>
    <row r="1" spans="1:38" ht="50.1" customHeight="1" x14ac:dyDescent="0.25">
      <c r="A1" s="1" t="str">
        <f>Titre_Absence_Employé</f>
        <v>Calendrier des absences des employés</v>
      </c>
    </row>
    <row r="2" spans="1:38" ht="15" customHeight="1" thickBot="1" x14ac:dyDescent="0.3">
      <c r="A2" s="4" t="s">
        <v>1</v>
      </c>
      <c r="B2" s="29" t="s">
        <v>2</v>
      </c>
      <c r="C2" s="76" t="s">
        <v>60</v>
      </c>
      <c r="D2" s="76"/>
      <c r="E2" s="6" t="s">
        <v>4</v>
      </c>
      <c r="F2" s="75" t="s">
        <v>5</v>
      </c>
      <c r="G2" s="76"/>
      <c r="H2" s="76"/>
      <c r="I2" s="28" t="s">
        <v>6</v>
      </c>
      <c r="J2" s="76" t="s">
        <v>7</v>
      </c>
      <c r="K2" s="76"/>
      <c r="L2" s="7" t="s">
        <v>8</v>
      </c>
      <c r="M2" s="75" t="s">
        <v>9</v>
      </c>
      <c r="N2" s="76"/>
      <c r="O2" s="76"/>
      <c r="P2" s="76"/>
      <c r="Q2" s="8" t="s">
        <v>10</v>
      </c>
      <c r="R2" s="75" t="s">
        <v>11</v>
      </c>
      <c r="S2" s="76"/>
      <c r="T2" s="76"/>
      <c r="U2" s="76"/>
    </row>
    <row r="3" spans="1:38" ht="15" customHeight="1" x14ac:dyDescent="0.25">
      <c r="A3" s="3"/>
    </row>
    <row r="4" spans="1:38" ht="30" customHeight="1" thickBot="1" x14ac:dyDescent="0.3">
      <c r="A4" s="10" t="s">
        <v>59</v>
      </c>
      <c r="B4" s="77" t="s">
        <v>14</v>
      </c>
      <c r="C4" s="77"/>
      <c r="D4" s="77"/>
      <c r="E4" s="77"/>
      <c r="F4" s="77"/>
      <c r="G4" s="77"/>
      <c r="H4" s="77"/>
      <c r="I4" s="77"/>
      <c r="J4" s="77"/>
      <c r="K4" s="77"/>
      <c r="L4" s="77"/>
      <c r="M4" s="77"/>
      <c r="N4" s="77"/>
      <c r="O4" s="77"/>
      <c r="P4" s="77"/>
      <c r="Q4" s="77"/>
      <c r="R4" s="77"/>
      <c r="S4" s="77"/>
      <c r="T4" s="77"/>
      <c r="U4" s="77"/>
      <c r="V4" s="77"/>
      <c r="W4" s="77"/>
      <c r="X4" s="77"/>
      <c r="Y4" s="77"/>
      <c r="Z4" s="77"/>
      <c r="AA4" s="77"/>
      <c r="AB4" s="77"/>
      <c r="AC4" s="77"/>
      <c r="AD4" s="77"/>
      <c r="AE4" s="77"/>
      <c r="AF4" s="77"/>
      <c r="AG4" s="10">
        <f>AnnéeCalendrier</f>
        <v>2019</v>
      </c>
    </row>
    <row r="5" spans="1:38" ht="15" customHeight="1" thickTop="1" thickBot="1" x14ac:dyDescent="0.3">
      <c r="A5" s="10"/>
      <c r="B5" s="12" t="str">
        <f>TEXT(WEEKDAY(DATE(AnnéeCalendrier,2,1),1),"jjj")</f>
        <v>ven</v>
      </c>
      <c r="C5" s="12" t="str">
        <f>TEXT(WEEKDAY(DATE(AnnéeCalendrier,2,2),1),"jjj")</f>
        <v>sam</v>
      </c>
      <c r="D5" s="12" t="str">
        <f>TEXT(WEEKDAY(DATE(AnnéeCalendrier,2,3),1),"jjj")</f>
        <v>dim</v>
      </c>
      <c r="E5" s="12" t="str">
        <f>TEXT(WEEKDAY(DATE(AnnéeCalendrier,2,4),1),"jjj")</f>
        <v>lun</v>
      </c>
      <c r="F5" s="12" t="str">
        <f>TEXT(WEEKDAY(DATE(AnnéeCalendrier,2,5),1),"jjj")</f>
        <v>mar</v>
      </c>
      <c r="G5" s="12" t="str">
        <f>TEXT(WEEKDAY(DATE(AnnéeCalendrier,2,6),1),"jjj")</f>
        <v>mer</v>
      </c>
      <c r="H5" s="12" t="str">
        <f>TEXT(WEEKDAY(DATE(AnnéeCalendrier,2,7),1),"jjj")</f>
        <v>jeu</v>
      </c>
      <c r="I5" s="12" t="str">
        <f>TEXT(WEEKDAY(DATE(AnnéeCalendrier,2,8),1),"jjj")</f>
        <v>ven</v>
      </c>
      <c r="J5" s="12" t="str">
        <f>TEXT(WEEKDAY(DATE(AnnéeCalendrier,2,9),1),"jjj")</f>
        <v>sam</v>
      </c>
      <c r="K5" s="12" t="str">
        <f>TEXT(WEEKDAY(DATE(AnnéeCalendrier,2,10),1),"jjj")</f>
        <v>dim</v>
      </c>
      <c r="L5" s="12" t="str">
        <f>TEXT(WEEKDAY(DATE(AnnéeCalendrier,2,11),1),"jjj")</f>
        <v>lun</v>
      </c>
      <c r="M5" s="12" t="str">
        <f>TEXT(WEEKDAY(DATE(AnnéeCalendrier,2,12),1),"jjj")</f>
        <v>mar</v>
      </c>
      <c r="N5" s="12" t="str">
        <f>TEXT(WEEKDAY(DATE(AnnéeCalendrier,2,13),1),"jjj")</f>
        <v>mer</v>
      </c>
      <c r="O5" s="12" t="str">
        <f>TEXT(WEEKDAY(DATE(AnnéeCalendrier,2,14),1),"jjj")</f>
        <v>jeu</v>
      </c>
      <c r="P5" s="12" t="str">
        <f>TEXT(WEEKDAY(DATE(AnnéeCalendrier,2,15),1),"jjj")</f>
        <v>ven</v>
      </c>
      <c r="Q5" s="12" t="str">
        <f>TEXT(WEEKDAY(DATE(AnnéeCalendrier,2,16),1),"jjj")</f>
        <v>sam</v>
      </c>
      <c r="R5" s="12" t="str">
        <f>TEXT(WEEKDAY(DATE(AnnéeCalendrier,2,17),1),"jjj")</f>
        <v>dim</v>
      </c>
      <c r="S5" s="12" t="str">
        <f>TEXT(WEEKDAY(DATE(AnnéeCalendrier,2,18),1),"jjj")</f>
        <v>lun</v>
      </c>
      <c r="T5" s="12" t="str">
        <f>TEXT(WEEKDAY(DATE(AnnéeCalendrier,2,19),1),"jjj")</f>
        <v>mar</v>
      </c>
      <c r="U5" s="12" t="str">
        <f>TEXT(WEEKDAY(DATE(AnnéeCalendrier,2,20),1),"jjj")</f>
        <v>mer</v>
      </c>
      <c r="V5" s="12" t="str">
        <f>TEXT(WEEKDAY(DATE(AnnéeCalendrier,2,21),1),"jjj")</f>
        <v>jeu</v>
      </c>
      <c r="W5" s="12" t="str">
        <f>TEXT(WEEKDAY(DATE(AnnéeCalendrier,2,22),1),"jjj")</f>
        <v>ven</v>
      </c>
      <c r="X5" s="12" t="str">
        <f>TEXT(WEEKDAY(DATE(AnnéeCalendrier,2,23),1),"jjj")</f>
        <v>sam</v>
      </c>
      <c r="Y5" s="12" t="str">
        <f>TEXT(WEEKDAY(DATE(AnnéeCalendrier,2,24),1),"jjj")</f>
        <v>dim</v>
      </c>
      <c r="Z5" s="12" t="str">
        <f>TEXT(WEEKDAY(DATE(AnnéeCalendrier,2,25),1),"jjj")</f>
        <v>lun</v>
      </c>
      <c r="AA5" s="12" t="str">
        <f>TEXT(WEEKDAY(DATE(AnnéeCalendrier,2,26),1),"jjj")</f>
        <v>mar</v>
      </c>
      <c r="AB5" s="12" t="str">
        <f>TEXT(WEEKDAY(DATE(AnnéeCalendrier,2,27),1),"jjj")</f>
        <v>mer</v>
      </c>
      <c r="AC5" s="12" t="str">
        <f>TEXT(WEEKDAY(DATE(AnnéeCalendrier,2,28),1),"jjj")</f>
        <v>jeu</v>
      </c>
      <c r="AD5" s="12" t="str">
        <f>TEXT(WEEKDAY(DATE(AnnéeCalendrier,2,29),1),"jjj")</f>
        <v>ven</v>
      </c>
      <c r="AE5" s="12"/>
      <c r="AF5" s="12"/>
      <c r="AG5" s="10"/>
      <c r="AH5" s="74" t="s">
        <v>15</v>
      </c>
      <c r="AI5" s="74"/>
      <c r="AJ5" s="74"/>
      <c r="AK5" s="74"/>
      <c r="AL5" s="74"/>
    </row>
    <row r="6" spans="1:38" ht="15" customHeight="1" thickTop="1" x14ac:dyDescent="0.25">
      <c r="A6" s="13" t="s">
        <v>16</v>
      </c>
      <c r="B6" s="14" t="s">
        <v>17</v>
      </c>
      <c r="C6" s="14" t="s">
        <v>18</v>
      </c>
      <c r="D6" s="14" t="s">
        <v>19</v>
      </c>
      <c r="E6" s="14" t="s">
        <v>20</v>
      </c>
      <c r="F6" s="14" t="s">
        <v>21</v>
      </c>
      <c r="G6" s="14" t="s">
        <v>22</v>
      </c>
      <c r="H6" s="14" t="s">
        <v>23</v>
      </c>
      <c r="I6" s="14" t="s">
        <v>24</v>
      </c>
      <c r="J6" s="14" t="s">
        <v>25</v>
      </c>
      <c r="K6" s="14" t="s">
        <v>26</v>
      </c>
      <c r="L6" s="14" t="s">
        <v>27</v>
      </c>
      <c r="M6" s="14" t="s">
        <v>28</v>
      </c>
      <c r="N6" s="14" t="s">
        <v>29</v>
      </c>
      <c r="O6" s="14" t="s">
        <v>30</v>
      </c>
      <c r="P6" s="14" t="s">
        <v>31</v>
      </c>
      <c r="Q6" s="14" t="s">
        <v>32</v>
      </c>
      <c r="R6" s="14" t="s">
        <v>33</v>
      </c>
      <c r="S6" s="14" t="s">
        <v>34</v>
      </c>
      <c r="T6" s="14" t="s">
        <v>35</v>
      </c>
      <c r="U6" s="14" t="s">
        <v>36</v>
      </c>
      <c r="V6" s="14" t="s">
        <v>37</v>
      </c>
      <c r="W6" s="14" t="s">
        <v>38</v>
      </c>
      <c r="X6" s="14" t="s">
        <v>39</v>
      </c>
      <c r="Y6" s="14" t="s">
        <v>40</v>
      </c>
      <c r="Z6" s="14" t="s">
        <v>41</v>
      </c>
      <c r="AA6" s="14" t="s">
        <v>42</v>
      </c>
      <c r="AB6" s="14" t="s">
        <v>43</v>
      </c>
      <c r="AC6" s="14" t="s">
        <v>44</v>
      </c>
      <c r="AD6" s="14" t="s">
        <v>45</v>
      </c>
      <c r="AE6" s="14" t="s">
        <v>61</v>
      </c>
      <c r="AF6" s="14" t="s">
        <v>62</v>
      </c>
      <c r="AG6" s="15" t="s">
        <v>48</v>
      </c>
      <c r="AH6" s="29" t="s">
        <v>2</v>
      </c>
      <c r="AI6" s="6" t="s">
        <v>4</v>
      </c>
      <c r="AJ6" s="28" t="s">
        <v>6</v>
      </c>
      <c r="AK6" s="7" t="s">
        <v>8</v>
      </c>
      <c r="AL6" s="8" t="s">
        <v>10</v>
      </c>
    </row>
    <row r="7" spans="1:38" x14ac:dyDescent="0.25">
      <c r="A7" s="19" t="s">
        <v>73</v>
      </c>
      <c r="B7" s="30"/>
      <c r="C7" s="30"/>
      <c r="D7" s="41"/>
      <c r="E7" s="30"/>
      <c r="F7" s="30"/>
      <c r="G7" s="30"/>
      <c r="H7" s="30"/>
      <c r="I7" s="30"/>
      <c r="J7" s="30"/>
      <c r="K7" s="41"/>
      <c r="L7" s="30"/>
      <c r="M7" s="30"/>
      <c r="N7" s="30"/>
      <c r="O7" s="30"/>
      <c r="P7" s="30"/>
      <c r="Q7" s="30"/>
      <c r="R7" s="41"/>
      <c r="S7" s="30"/>
      <c r="T7" s="30"/>
      <c r="U7" s="30"/>
      <c r="V7" s="30"/>
      <c r="W7" s="30"/>
      <c r="X7" s="30"/>
      <c r="Y7" s="41"/>
      <c r="Z7" s="30"/>
      <c r="AA7" s="30"/>
      <c r="AB7" s="30"/>
      <c r="AC7" s="30"/>
      <c r="AD7" s="30"/>
      <c r="AE7" s="30"/>
      <c r="AF7" s="30"/>
      <c r="AG7" s="16">
        <f>COUNTA(Février!$B7:$AF7)</f>
        <v>0</v>
      </c>
      <c r="AH7" s="17">
        <f t="shared" ref="AH7:AH11" si="0">COUNTIF(B7:AF7,Congé)</f>
        <v>0</v>
      </c>
      <c r="AI7" s="17">
        <f t="shared" ref="AI7:AI11" si="1">COUNTIF(B7:AF7,Maternité)</f>
        <v>0</v>
      </c>
      <c r="AJ7" s="17">
        <f t="shared" ref="AJ7:AJ11" si="2">COUNTIF(B7:AF7,Maladie)</f>
        <v>0</v>
      </c>
      <c r="AK7" s="17">
        <f t="shared" ref="AK7:AK11" si="3">COUNTIF(B7:AF7,Permission)</f>
        <v>0</v>
      </c>
      <c r="AL7" s="17">
        <f t="shared" ref="AL7:AL11" si="4">COUNTIF(B7:AF7,Deduire)</f>
        <v>0</v>
      </c>
    </row>
    <row r="8" spans="1:38" x14ac:dyDescent="0.25">
      <c r="A8" s="19" t="s">
        <v>74</v>
      </c>
      <c r="B8" s="30"/>
      <c r="C8" s="30"/>
      <c r="D8" s="41"/>
      <c r="E8" s="30"/>
      <c r="F8" s="30"/>
      <c r="G8" s="30"/>
      <c r="H8" s="30"/>
      <c r="I8" s="30"/>
      <c r="J8" s="30"/>
      <c r="K8" s="41"/>
      <c r="L8" s="30"/>
      <c r="M8" s="30"/>
      <c r="N8" s="30"/>
      <c r="O8" s="30"/>
      <c r="P8" s="30"/>
      <c r="Q8" s="30"/>
      <c r="R8" s="41"/>
      <c r="S8" s="30"/>
      <c r="T8" s="30"/>
      <c r="U8" s="30"/>
      <c r="V8" s="30"/>
      <c r="W8" s="30"/>
      <c r="X8" s="30"/>
      <c r="Y8" s="41"/>
      <c r="Z8" s="30"/>
      <c r="AA8" s="30"/>
      <c r="AB8" s="30"/>
      <c r="AC8" s="30"/>
      <c r="AD8" s="30"/>
      <c r="AE8" s="30"/>
      <c r="AF8" s="30"/>
      <c r="AG8" s="16">
        <f>COUNTA(Février!$B8:$AF8)</f>
        <v>0</v>
      </c>
      <c r="AH8" s="17">
        <f t="shared" si="0"/>
        <v>0</v>
      </c>
      <c r="AI8" s="17">
        <f t="shared" si="1"/>
        <v>0</v>
      </c>
      <c r="AJ8" s="17">
        <f t="shared" si="2"/>
        <v>0</v>
      </c>
      <c r="AK8" s="17">
        <f t="shared" si="3"/>
        <v>0</v>
      </c>
      <c r="AL8" s="17">
        <f t="shared" si="4"/>
        <v>0</v>
      </c>
    </row>
    <row r="9" spans="1:38" x14ac:dyDescent="0.25">
      <c r="A9" s="19" t="s">
        <v>75</v>
      </c>
      <c r="B9" s="30"/>
      <c r="C9" s="30"/>
      <c r="D9" s="41"/>
      <c r="E9" s="30"/>
      <c r="F9" s="30"/>
      <c r="G9" s="30"/>
      <c r="H9" s="30"/>
      <c r="I9" s="30"/>
      <c r="J9" s="30"/>
      <c r="K9" s="41"/>
      <c r="L9" s="30"/>
      <c r="M9" s="30"/>
      <c r="N9" s="30"/>
      <c r="O9" s="30"/>
      <c r="P9" s="30"/>
      <c r="Q9" s="30"/>
      <c r="R9" s="41"/>
      <c r="S9" s="30"/>
      <c r="T9" s="30"/>
      <c r="U9" s="30"/>
      <c r="V9" s="30"/>
      <c r="W9" s="30"/>
      <c r="X9" s="30"/>
      <c r="Y9" s="41"/>
      <c r="Z9" s="30"/>
      <c r="AA9" s="30"/>
      <c r="AB9" s="30"/>
      <c r="AC9" s="30"/>
      <c r="AD9" s="30"/>
      <c r="AE9" s="30"/>
      <c r="AF9" s="30"/>
      <c r="AG9" s="16">
        <f>COUNTA(Février!$B9:$AF9)</f>
        <v>0</v>
      </c>
      <c r="AH9" s="17">
        <f t="shared" si="0"/>
        <v>0</v>
      </c>
      <c r="AI9" s="17">
        <f t="shared" si="1"/>
        <v>0</v>
      </c>
      <c r="AJ9" s="17">
        <f t="shared" si="2"/>
        <v>0</v>
      </c>
      <c r="AK9" s="17">
        <f t="shared" si="3"/>
        <v>0</v>
      </c>
      <c r="AL9" s="17">
        <f t="shared" si="4"/>
        <v>0</v>
      </c>
    </row>
    <row r="10" spans="1:38" x14ac:dyDescent="0.25">
      <c r="A10" s="19" t="s">
        <v>76</v>
      </c>
      <c r="B10" s="30"/>
      <c r="C10" s="30"/>
      <c r="D10" s="41"/>
      <c r="E10" s="30"/>
      <c r="F10" s="30"/>
      <c r="G10" s="30"/>
      <c r="H10" s="30"/>
      <c r="I10" s="30"/>
      <c r="J10" s="30"/>
      <c r="K10" s="41"/>
      <c r="L10" s="30"/>
      <c r="M10" s="30"/>
      <c r="N10" s="30"/>
      <c r="O10" s="30"/>
      <c r="P10" s="30"/>
      <c r="Q10" s="30"/>
      <c r="R10" s="41"/>
      <c r="S10" s="30"/>
      <c r="T10" s="30"/>
      <c r="U10" s="30"/>
      <c r="V10" s="30"/>
      <c r="W10" s="30"/>
      <c r="X10" s="30"/>
      <c r="Y10" s="41"/>
      <c r="Z10" s="30"/>
      <c r="AA10" s="30"/>
      <c r="AB10" s="30"/>
      <c r="AC10" s="30"/>
      <c r="AD10" s="30"/>
      <c r="AE10" s="30"/>
      <c r="AF10" s="30"/>
      <c r="AG10" s="16">
        <f>COUNTA(Février!$B10:$AF10)</f>
        <v>0</v>
      </c>
      <c r="AH10" s="17">
        <f t="shared" si="0"/>
        <v>0</v>
      </c>
      <c r="AI10" s="17">
        <f t="shared" si="1"/>
        <v>0</v>
      </c>
      <c r="AJ10" s="17">
        <f t="shared" si="2"/>
        <v>0</v>
      </c>
      <c r="AK10" s="17">
        <f t="shared" si="3"/>
        <v>0</v>
      </c>
      <c r="AL10" s="17">
        <f t="shared" si="4"/>
        <v>0</v>
      </c>
    </row>
    <row r="11" spans="1:38" x14ac:dyDescent="0.25">
      <c r="A11" s="19" t="s">
        <v>77</v>
      </c>
      <c r="B11" s="30"/>
      <c r="C11" s="30"/>
      <c r="D11" s="41"/>
      <c r="E11" s="30"/>
      <c r="F11" s="30"/>
      <c r="G11" s="30"/>
      <c r="H11" s="30"/>
      <c r="I11" s="30"/>
      <c r="J11" s="30"/>
      <c r="K11" s="41"/>
      <c r="L11" s="30"/>
      <c r="M11" s="30"/>
      <c r="N11" s="30"/>
      <c r="O11" s="30"/>
      <c r="P11" s="30"/>
      <c r="Q11" s="30"/>
      <c r="R11" s="41"/>
      <c r="S11" s="30"/>
      <c r="T11" s="30"/>
      <c r="U11" s="30"/>
      <c r="V11" s="30"/>
      <c r="W11" s="30"/>
      <c r="X11" s="30"/>
      <c r="Y11" s="41"/>
      <c r="Z11" s="30"/>
      <c r="AA11" s="30"/>
      <c r="AB11" s="30"/>
      <c r="AC11" s="30"/>
      <c r="AD11" s="30"/>
      <c r="AE11" s="30"/>
      <c r="AF11" s="30"/>
      <c r="AG11" s="16">
        <f>COUNTA(Février!$B11:$AF11)</f>
        <v>0</v>
      </c>
      <c r="AH11" s="17">
        <f t="shared" si="0"/>
        <v>0</v>
      </c>
      <c r="AI11" s="17">
        <f t="shared" si="1"/>
        <v>0</v>
      </c>
      <c r="AJ11" s="17">
        <f t="shared" si="2"/>
        <v>0</v>
      </c>
      <c r="AK11" s="17">
        <f t="shared" si="3"/>
        <v>0</v>
      </c>
      <c r="AL11" s="17">
        <f t="shared" si="4"/>
        <v>0</v>
      </c>
    </row>
    <row r="12" spans="1:38" x14ac:dyDescent="0.25">
      <c r="A12" s="61" t="str">
        <f>A4&amp;" Total"</f>
        <v>Février Total</v>
      </c>
      <c r="B12" s="62">
        <f>SUBTOTAL(103,Février!$B$7:$B$11)</f>
        <v>0</v>
      </c>
      <c r="C12" s="62">
        <f>SUBTOTAL(103,Février!$B$7:$B$11)</f>
        <v>0</v>
      </c>
      <c r="D12" s="63">
        <f>SUBTOTAL(103,Février!$B$7:$B$11)</f>
        <v>0</v>
      </c>
      <c r="E12" s="62">
        <f>SUBTOTAL(103,Février!$B$7:$B$11)</f>
        <v>0</v>
      </c>
      <c r="F12" s="62">
        <f>SUBTOTAL(103,Février!$B$7:$B$11)</f>
        <v>0</v>
      </c>
      <c r="G12" s="62">
        <f>SUBTOTAL(103,Février!$B$7:$B$11)</f>
        <v>0</v>
      </c>
      <c r="H12" s="62">
        <f>SUBTOTAL(103,Février!$B$7:$B$11)</f>
        <v>0</v>
      </c>
      <c r="I12" s="62">
        <f>SUBTOTAL(103,Février!$B$7:$B$11)</f>
        <v>0</v>
      </c>
      <c r="J12" s="62">
        <f>SUBTOTAL(103,Février!$B$7:$B$11)</f>
        <v>0</v>
      </c>
      <c r="K12" s="63">
        <f>SUBTOTAL(103,Février!$B$7:$B$11)</f>
        <v>0</v>
      </c>
      <c r="L12" s="62">
        <f>SUBTOTAL(103,Février!$B$7:$B$11)</f>
        <v>0</v>
      </c>
      <c r="M12" s="62">
        <f>SUBTOTAL(103,Février!$B$7:$B$11)</f>
        <v>0</v>
      </c>
      <c r="N12" s="62">
        <f>SUBTOTAL(103,Février!$B$7:$B$11)</f>
        <v>0</v>
      </c>
      <c r="O12" s="62">
        <f>SUBTOTAL(103,Février!$B$7:$B$11)</f>
        <v>0</v>
      </c>
      <c r="P12" s="62">
        <f>SUBTOTAL(103,Février!$B$7:$B$11)</f>
        <v>0</v>
      </c>
      <c r="Q12" s="62">
        <f>SUBTOTAL(103,Février!$B$7:$B$11)</f>
        <v>0</v>
      </c>
      <c r="R12" s="63">
        <f>SUBTOTAL(103,Février!$B$7:$B$11)</f>
        <v>0</v>
      </c>
      <c r="S12" s="62">
        <f>SUBTOTAL(103,Février!$B$7:$B$11)</f>
        <v>0</v>
      </c>
      <c r="T12" s="62">
        <f>SUBTOTAL(103,Février!$B$7:$B$11)</f>
        <v>0</v>
      </c>
      <c r="U12" s="62">
        <f>SUBTOTAL(103,Février!$B$7:$B$11)</f>
        <v>0</v>
      </c>
      <c r="V12" s="62">
        <f>SUBTOTAL(103,Février!$B$7:$B$11)</f>
        <v>0</v>
      </c>
      <c r="W12" s="62">
        <f>SUBTOTAL(103,Février!$B$7:$B$11)</f>
        <v>0</v>
      </c>
      <c r="X12" s="62">
        <f>SUBTOTAL(103,Février!$B$7:$B$11)</f>
        <v>0</v>
      </c>
      <c r="Y12" s="62">
        <f>SUBTOTAL(103,Février!$B$7:$B$11)</f>
        <v>0</v>
      </c>
      <c r="Z12" s="62">
        <f>SUBTOTAL(103,Février!$B$7:$B$11)</f>
        <v>0</v>
      </c>
      <c r="AA12" s="62">
        <f>SUBTOTAL(103,Février!$B$7:$B$11)</f>
        <v>0</v>
      </c>
      <c r="AB12" s="62">
        <f>SUBTOTAL(103,Février!$B$7:$B$11)</f>
        <v>0</v>
      </c>
      <c r="AC12" s="62">
        <f>SUBTOTAL(103,Février!$B$7:$B$11)</f>
        <v>0</v>
      </c>
      <c r="AD12" s="62">
        <f>SUBTOTAL(103,Février!$B$7:$B$11)</f>
        <v>0</v>
      </c>
      <c r="AE12" s="62">
        <f>SUBTOTAL(103,Février!$B$7:$B$11)</f>
        <v>0</v>
      </c>
      <c r="AF12" s="62">
        <f>SUBTOTAL(103,Février!$B$7:$B$11)</f>
        <v>0</v>
      </c>
      <c r="AG12" s="62">
        <f>SUBTOTAL(109,Février[Total des jours])</f>
        <v>0</v>
      </c>
    </row>
    <row r="13" spans="1:38" x14ac:dyDescent="0.25">
      <c r="V13" s="2" t="s">
        <v>63</v>
      </c>
    </row>
  </sheetData>
  <mergeCells count="7">
    <mergeCell ref="B4:AF4"/>
    <mergeCell ref="AH5:AL5"/>
    <mergeCell ref="C2:D2"/>
    <mergeCell ref="F2:H2"/>
    <mergeCell ref="J2:K2"/>
    <mergeCell ref="M2:P2"/>
    <mergeCell ref="R2:U2"/>
  </mergeCells>
  <conditionalFormatting sqref="AD5">
    <cfRule type="expression" dxfId="780" priority="34">
      <formula>MONTH(DATE(AnnéeCalendrier,2,29))&lt;&gt;2</formula>
    </cfRule>
  </conditionalFormatting>
  <conditionalFormatting sqref="B7:AF11">
    <cfRule type="cellIs" dxfId="779" priority="22" operator="equal">
      <formula>"D"</formula>
    </cfRule>
    <cfRule type="cellIs" dxfId="778" priority="23" operator="equal">
      <formula>"P"</formula>
    </cfRule>
    <cfRule type="cellIs" dxfId="777" priority="24" operator="equal">
      <formula>"M"</formula>
    </cfRule>
    <cfRule type="cellIs" dxfId="776" priority="25" operator="equal">
      <formula>"B"</formula>
    </cfRule>
    <cfRule type="cellIs" dxfId="775" priority="26" operator="equal">
      <formula>"C"</formula>
    </cfRule>
  </conditionalFormatting>
  <conditionalFormatting sqref="AG7:AG11">
    <cfRule type="dataBar" priority="21">
      <dataBar>
        <cfvo type="num" val="0"/>
        <cfvo type="num" val="28"/>
        <color theme="4"/>
      </dataBar>
      <extLst>
        <ext xmlns:x14="http://schemas.microsoft.com/office/spreadsheetml/2009/9/main" uri="{B025F937-C7B1-47D3-B67F-A62EFF666E3E}">
          <x14:id>{E0274940-579E-468D-B059-FB6DD3F4D868}</x14:id>
        </ext>
      </extLst>
    </cfRule>
  </conditionalFormatting>
  <dataValidations count="1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allowBlank="1" showInputMessage="1" showErrorMessage="1" prompt="Cette ligne définit les clés utilisées dans le tableau : Congé en C2, Personnel en F2 et Congé maladie en J2. Les cellules M2 et R2 sont personnalisables " sqref="A2"/>
    <dataValidation allowBlank="1" showInputMessage="1" showErrorMessage="1" prompt="La lettre « C » indique une absence pour cause de congé" sqref="B2"/>
    <dataValidation allowBlank="1" showInputMessage="1" showErrorMessage="1" prompt="La lettre « P » indique une absence pour motifs personnels" sqref="E2"/>
    <dataValidation allowBlank="1" showInputMessage="1" showErrorMessage="1" prompt="La lettre « M » indique une absence pour cause de maladie" sqref="I2"/>
    <dataValidation allowBlank="1" showInputMessage="1" showErrorMessage="1" prompt="Entrez une lettre et personnalisez l’étiquette à droite pour ajouter un élément de clé" sqref="L2 Q2"/>
    <dataValidation allowBlank="1" showInputMessage="1" showErrorMessage="1" prompt="Entrez une étiquette pour décrire la clé personnalisée à gauche" sqref="M2 R2"/>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5"/>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4"/>
    <dataValidation allowBlank="1" showInputMessage="1" showErrorMessage="1" prompt="Le titre mis à jour automatiquement figure dans cette cellule. Pour modifier le titre, mettez à jour la cellule B1 de la feuille de calcul Janvier" sqref="A1"/>
    <dataValidation allowBlank="1" showInputMessage="1" showErrorMessage="1" prompt="Calcule automatiquement le nombre total de jours d’absence d’un employé durant ce mois dans cette colonne" sqref="AG6"/>
    <dataValidation allowBlank="1" showInputMessage="1" showErrorMessage="1" prompt="Année mise à jour automatiquement en fonction de l’année entrée dans la feuille de calcul Janvier" sqref="AG4"/>
    <dataValidation type="list" allowBlank="1" showInputMessage="1" showErrorMessage="1" sqref="B7:AF11">
      <formula1>"C,B,M,P,D"</formula1>
    </dataValidation>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E0274940-579E-468D-B059-FB6DD3F4D868}">
            <x14:dataBar minLength="0" maxLength="100">
              <x14:cfvo type="num">
                <xm:f>0</xm:f>
              </x14:cfvo>
              <x14:cfvo type="num">
                <xm:f>28</xm:f>
              </x14:cfvo>
              <x14:negativeFillColor rgb="FFFF0000"/>
              <x14:axisColor rgb="FF000000"/>
            </x14:dataBar>
          </x14:cfRule>
          <xm:sqref>AG7:AG11</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2"/>
  <sheetViews>
    <sheetView topLeftCell="A2" workbookViewId="0">
      <selection activeCell="A16" sqref="A16"/>
    </sheetView>
  </sheetViews>
  <sheetFormatPr baseColWidth="10" defaultColWidth="9.140625" defaultRowHeight="15" x14ac:dyDescent="0.25"/>
  <cols>
    <col min="1" max="1" width="54.42578125" style="2" bestFit="1" customWidth="1"/>
    <col min="2" max="32" width="4.7109375" style="2" customWidth="1"/>
    <col min="33" max="33" width="13.5703125" style="2" customWidth="1"/>
    <col min="34" max="34" width="8.5703125" style="3" customWidth="1"/>
    <col min="35" max="16384" width="9.140625" style="3"/>
  </cols>
  <sheetData>
    <row r="1" spans="1:38" ht="23.25" x14ac:dyDescent="0.25">
      <c r="A1" s="1" t="str">
        <f>Titre_Absence_Employé</f>
        <v>Calendrier des absences des employés</v>
      </c>
    </row>
    <row r="2" spans="1:38" ht="15" customHeight="1" thickBot="1" x14ac:dyDescent="0.3">
      <c r="A2" s="4" t="s">
        <v>1</v>
      </c>
      <c r="B2" s="29" t="s">
        <v>2</v>
      </c>
      <c r="C2" s="76" t="s">
        <v>60</v>
      </c>
      <c r="D2" s="76"/>
      <c r="E2" s="6" t="s">
        <v>4</v>
      </c>
      <c r="F2" s="75" t="s">
        <v>5</v>
      </c>
      <c r="G2" s="76"/>
      <c r="H2" s="76"/>
      <c r="I2" s="28" t="s">
        <v>6</v>
      </c>
      <c r="J2" s="76" t="s">
        <v>7</v>
      </c>
      <c r="K2" s="76"/>
      <c r="L2" s="7" t="s">
        <v>8</v>
      </c>
      <c r="M2" s="75" t="s">
        <v>9</v>
      </c>
      <c r="N2" s="76"/>
      <c r="O2" s="76"/>
      <c r="P2" s="76"/>
      <c r="Q2" s="8" t="s">
        <v>10</v>
      </c>
      <c r="R2" s="75" t="s">
        <v>64</v>
      </c>
      <c r="S2" s="76"/>
      <c r="T2" s="76"/>
      <c r="U2" s="76"/>
    </row>
    <row r="3" spans="1:38" ht="23.25" x14ac:dyDescent="0.25">
      <c r="A3" s="1"/>
    </row>
    <row r="4" spans="1:38" ht="18" thickBot="1" x14ac:dyDescent="0.3">
      <c r="A4" s="10" t="s">
        <v>65</v>
      </c>
      <c r="B4" s="77" t="s">
        <v>14</v>
      </c>
      <c r="C4" s="77"/>
      <c r="D4" s="77"/>
      <c r="E4" s="77"/>
      <c r="F4" s="77"/>
      <c r="G4" s="77"/>
      <c r="H4" s="77"/>
      <c r="I4" s="77"/>
      <c r="J4" s="77"/>
      <c r="K4" s="77"/>
      <c r="L4" s="77"/>
      <c r="M4" s="77"/>
      <c r="N4" s="77"/>
      <c r="O4" s="77"/>
      <c r="P4" s="77"/>
      <c r="Q4" s="77"/>
      <c r="R4" s="77"/>
      <c r="S4" s="77"/>
      <c r="T4" s="77"/>
      <c r="U4" s="77"/>
      <c r="V4" s="77"/>
      <c r="W4" s="77"/>
      <c r="X4" s="77"/>
      <c r="Y4" s="77"/>
      <c r="Z4" s="77"/>
      <c r="AA4" s="77"/>
      <c r="AB4" s="77"/>
      <c r="AC4" s="77"/>
      <c r="AD4" s="77"/>
      <c r="AE4" s="77"/>
      <c r="AF4" s="77"/>
      <c r="AG4" s="10">
        <f>AnnéeCalendrier</f>
        <v>2019</v>
      </c>
    </row>
    <row r="5" spans="1:38" ht="18.75" thickTop="1" thickBot="1" x14ac:dyDescent="0.3">
      <c r="A5" s="10"/>
      <c r="B5" s="12" t="str">
        <f>TEXT(WEEKDAY(DATE(AnnéeCalendrier,3,1),1),"jjj")</f>
        <v>ven</v>
      </c>
      <c r="C5" s="12" t="str">
        <f>TEXT(WEEKDAY(DATE(AnnéeCalendrier,3,2),1),"jjj")</f>
        <v>sam</v>
      </c>
      <c r="D5" s="12" t="str">
        <f>TEXT(WEEKDAY(DATE(AnnéeCalendrier,3,3),1),"jjj")</f>
        <v>dim</v>
      </c>
      <c r="E5" s="12" t="str">
        <f>TEXT(WEEKDAY(DATE(AnnéeCalendrier,3,4),1),"jjj")</f>
        <v>lun</v>
      </c>
      <c r="F5" s="12" t="str">
        <f>TEXT(WEEKDAY(DATE(AnnéeCalendrier,3,5),1),"jjj")</f>
        <v>mar</v>
      </c>
      <c r="G5" s="12" t="str">
        <f>TEXT(WEEKDAY(DATE(AnnéeCalendrier,3,6),1),"jjj")</f>
        <v>mer</v>
      </c>
      <c r="H5" s="12" t="str">
        <f>TEXT(WEEKDAY(DATE(AnnéeCalendrier,3,7),1),"jjj")</f>
        <v>jeu</v>
      </c>
      <c r="I5" s="12" t="str">
        <f>TEXT(WEEKDAY(DATE(AnnéeCalendrier,3,8),1),"jjj")</f>
        <v>ven</v>
      </c>
      <c r="J5" s="12" t="str">
        <f>TEXT(WEEKDAY(DATE(AnnéeCalendrier,3,9),1),"jjj")</f>
        <v>sam</v>
      </c>
      <c r="K5" s="12" t="str">
        <f>TEXT(WEEKDAY(DATE(AnnéeCalendrier,3,10),1),"jjj")</f>
        <v>dim</v>
      </c>
      <c r="L5" s="12" t="str">
        <f>TEXT(WEEKDAY(DATE(AnnéeCalendrier,3,11),1),"jjj")</f>
        <v>lun</v>
      </c>
      <c r="M5" s="12" t="str">
        <f>TEXT(WEEKDAY(DATE(AnnéeCalendrier,3,12),1),"jjj")</f>
        <v>mar</v>
      </c>
      <c r="N5" s="12" t="str">
        <f>TEXT(WEEKDAY(DATE(AnnéeCalendrier,3,13),1),"jjj")</f>
        <v>mer</v>
      </c>
      <c r="O5" s="12" t="str">
        <f>TEXT(WEEKDAY(DATE(AnnéeCalendrier,3,14),1),"jjj")</f>
        <v>jeu</v>
      </c>
      <c r="P5" s="12" t="str">
        <f>TEXT(WEEKDAY(DATE(AnnéeCalendrier,3,15),1),"jjj")</f>
        <v>ven</v>
      </c>
      <c r="Q5" s="12" t="str">
        <f>TEXT(WEEKDAY(DATE(AnnéeCalendrier,3,16),1),"jjj")</f>
        <v>sam</v>
      </c>
      <c r="R5" s="12" t="str">
        <f>TEXT(WEEKDAY(DATE(AnnéeCalendrier,3,17),1),"jjj")</f>
        <v>dim</v>
      </c>
      <c r="S5" s="12" t="str">
        <f>TEXT(WEEKDAY(DATE(AnnéeCalendrier,3,18),1),"jjj")</f>
        <v>lun</v>
      </c>
      <c r="T5" s="12" t="str">
        <f>TEXT(WEEKDAY(DATE(AnnéeCalendrier,3,19),1),"jjj")</f>
        <v>mar</v>
      </c>
      <c r="U5" s="12" t="str">
        <f>TEXT(WEEKDAY(DATE(AnnéeCalendrier,3,20),1),"jjj")</f>
        <v>mer</v>
      </c>
      <c r="V5" s="12" t="str">
        <f>TEXT(WEEKDAY(DATE(AnnéeCalendrier,3,21),1),"jjj")</f>
        <v>jeu</v>
      </c>
      <c r="W5" s="12" t="str">
        <f>TEXT(WEEKDAY(DATE(AnnéeCalendrier,3,22),1),"jjj")</f>
        <v>ven</v>
      </c>
      <c r="X5" s="12" t="str">
        <f>TEXT(WEEKDAY(DATE(AnnéeCalendrier,3,23),1),"jjj")</f>
        <v>sam</v>
      </c>
      <c r="Y5" s="12" t="str">
        <f>TEXT(WEEKDAY(DATE(AnnéeCalendrier,3,24),1),"jjj")</f>
        <v>dim</v>
      </c>
      <c r="Z5" s="12" t="str">
        <f>TEXT(WEEKDAY(DATE(AnnéeCalendrier,3,25),1),"jjj")</f>
        <v>lun</v>
      </c>
      <c r="AA5" s="12" t="str">
        <f>TEXT(WEEKDAY(DATE(AnnéeCalendrier,3,26),1),"jjj")</f>
        <v>mar</v>
      </c>
      <c r="AB5" s="12" t="str">
        <f>TEXT(WEEKDAY(DATE(AnnéeCalendrier,3,27),1),"jjj")</f>
        <v>mer</v>
      </c>
      <c r="AC5" s="12" t="str">
        <f>TEXT(WEEKDAY(DATE(AnnéeCalendrier,3,28),1),"jjj")</f>
        <v>jeu</v>
      </c>
      <c r="AD5" s="12" t="str">
        <f>TEXT(WEEKDAY(DATE(AnnéeCalendrier,3,29),1),"jjj")</f>
        <v>ven</v>
      </c>
      <c r="AE5" s="12"/>
      <c r="AF5" s="12"/>
      <c r="AG5" s="10"/>
      <c r="AH5" s="74" t="s">
        <v>15</v>
      </c>
      <c r="AI5" s="74"/>
      <c r="AJ5" s="74"/>
      <c r="AK5" s="74"/>
      <c r="AL5" s="74"/>
    </row>
    <row r="6" spans="1:38" ht="15" customHeight="1" thickTop="1" x14ac:dyDescent="0.25">
      <c r="A6" s="33" t="s">
        <v>16</v>
      </c>
      <c r="B6" s="14" t="s">
        <v>17</v>
      </c>
      <c r="C6" s="14" t="s">
        <v>18</v>
      </c>
      <c r="D6" s="14" t="s">
        <v>19</v>
      </c>
      <c r="E6" s="14" t="s">
        <v>20</v>
      </c>
      <c r="F6" s="14" t="s">
        <v>21</v>
      </c>
      <c r="G6" s="14" t="s">
        <v>22</v>
      </c>
      <c r="H6" s="14" t="s">
        <v>23</v>
      </c>
      <c r="I6" s="14" t="s">
        <v>24</v>
      </c>
      <c r="J6" s="14" t="s">
        <v>25</v>
      </c>
      <c r="K6" s="14" t="s">
        <v>26</v>
      </c>
      <c r="L6" s="14" t="s">
        <v>27</v>
      </c>
      <c r="M6" s="14" t="s">
        <v>28</v>
      </c>
      <c r="N6" s="14" t="s">
        <v>29</v>
      </c>
      <c r="O6" s="14" t="s">
        <v>30</v>
      </c>
      <c r="P6" s="14" t="s">
        <v>31</v>
      </c>
      <c r="Q6" s="14" t="s">
        <v>32</v>
      </c>
      <c r="R6" s="14" t="s">
        <v>33</v>
      </c>
      <c r="S6" s="14" t="s">
        <v>34</v>
      </c>
      <c r="T6" s="14" t="s">
        <v>35</v>
      </c>
      <c r="U6" s="14" t="s">
        <v>36</v>
      </c>
      <c r="V6" s="14" t="s">
        <v>37</v>
      </c>
      <c r="W6" s="14" t="s">
        <v>38</v>
      </c>
      <c r="X6" s="14" t="s">
        <v>39</v>
      </c>
      <c r="Y6" s="14" t="s">
        <v>40</v>
      </c>
      <c r="Z6" s="14" t="s">
        <v>41</v>
      </c>
      <c r="AA6" s="14" t="s">
        <v>42</v>
      </c>
      <c r="AB6" s="14" t="s">
        <v>43</v>
      </c>
      <c r="AC6" s="14" t="s">
        <v>44</v>
      </c>
      <c r="AD6" s="14" t="s">
        <v>45</v>
      </c>
      <c r="AE6" s="14" t="s">
        <v>46</v>
      </c>
      <c r="AF6" s="14" t="s">
        <v>47</v>
      </c>
      <c r="AG6" s="15" t="s">
        <v>48</v>
      </c>
      <c r="AH6" s="29" t="s">
        <v>2</v>
      </c>
      <c r="AI6" s="6" t="s">
        <v>4</v>
      </c>
      <c r="AJ6" s="5" t="s">
        <v>6</v>
      </c>
      <c r="AK6" s="7" t="s">
        <v>8</v>
      </c>
      <c r="AL6" s="8" t="s">
        <v>10</v>
      </c>
    </row>
    <row r="7" spans="1:38" x14ac:dyDescent="0.25">
      <c r="A7" s="34" t="s">
        <v>73</v>
      </c>
      <c r="B7" s="30"/>
      <c r="C7" s="37"/>
      <c r="D7" s="41"/>
      <c r="E7" s="39"/>
      <c r="F7" s="30"/>
      <c r="G7" s="30"/>
      <c r="H7" s="30"/>
      <c r="I7" s="30"/>
      <c r="J7" s="30"/>
      <c r="K7" s="41"/>
      <c r="L7" s="30"/>
      <c r="M7" s="30"/>
      <c r="N7" s="30"/>
      <c r="O7" s="30"/>
      <c r="P7" s="30"/>
      <c r="Q7" s="30"/>
      <c r="R7" s="41"/>
      <c r="S7" s="30"/>
      <c r="T7" s="30"/>
      <c r="U7" s="30"/>
      <c r="V7" s="30"/>
      <c r="W7" s="30"/>
      <c r="X7" s="30"/>
      <c r="Y7" s="41"/>
      <c r="Z7" s="30"/>
      <c r="AA7" s="30"/>
      <c r="AB7" s="30"/>
      <c r="AC7" s="30"/>
      <c r="AD7" s="30"/>
      <c r="AE7" s="30"/>
      <c r="AF7" s="30"/>
      <c r="AG7" s="16">
        <f>COUNTA(Mars!$B7:$AF7)</f>
        <v>0</v>
      </c>
      <c r="AH7" s="17">
        <f t="shared" ref="AH7:AH11" si="0">COUNTIF(B7:AF7,Congé)</f>
        <v>0</v>
      </c>
      <c r="AI7" s="17">
        <f t="shared" ref="AI7:AI11" si="1">COUNTIF(B7:AF7,Maternité)</f>
        <v>0</v>
      </c>
      <c r="AJ7" s="17">
        <f t="shared" ref="AJ7:AJ11" si="2">COUNTIF(B7:AF7,Maladie)</f>
        <v>0</v>
      </c>
      <c r="AK7" s="17">
        <f t="shared" ref="AK7:AK11" si="3">COUNTIF(B7:AF7,Permission)</f>
        <v>0</v>
      </c>
      <c r="AL7" s="17">
        <f t="shared" ref="AL7:AL11" si="4">COUNTIF(B7:AF7,Deduire)</f>
        <v>0</v>
      </c>
    </row>
    <row r="8" spans="1:38" x14ac:dyDescent="0.25">
      <c r="A8" s="34" t="s">
        <v>74</v>
      </c>
      <c r="B8" s="30"/>
      <c r="C8" s="37"/>
      <c r="D8" s="41"/>
      <c r="E8" s="39"/>
      <c r="F8" s="30"/>
      <c r="G8" s="30"/>
      <c r="H8" s="30"/>
      <c r="I8" s="30"/>
      <c r="J8" s="30"/>
      <c r="K8" s="41"/>
      <c r="L8" s="30"/>
      <c r="M8" s="30"/>
      <c r="N8" s="30"/>
      <c r="O8" s="30"/>
      <c r="P8" s="30"/>
      <c r="Q8" s="30"/>
      <c r="R8" s="41"/>
      <c r="S8" s="30"/>
      <c r="T8" s="30"/>
      <c r="U8" s="30"/>
      <c r="V8" s="30"/>
      <c r="W8" s="30"/>
      <c r="X8" s="30"/>
      <c r="Y8" s="41"/>
      <c r="Z8" s="30"/>
      <c r="AA8" s="30"/>
      <c r="AB8" s="30"/>
      <c r="AC8" s="30"/>
      <c r="AD8" s="30"/>
      <c r="AE8" s="30"/>
      <c r="AF8" s="30"/>
      <c r="AG8" s="16">
        <f>COUNTA(Mars!$B8:$AF8)</f>
        <v>0</v>
      </c>
      <c r="AH8" s="17">
        <f t="shared" si="0"/>
        <v>0</v>
      </c>
      <c r="AI8" s="17">
        <f t="shared" si="1"/>
        <v>0</v>
      </c>
      <c r="AJ8" s="17">
        <f t="shared" si="2"/>
        <v>0</v>
      </c>
      <c r="AK8" s="17">
        <f t="shared" si="3"/>
        <v>0</v>
      </c>
      <c r="AL8" s="17">
        <f t="shared" si="4"/>
        <v>0</v>
      </c>
    </row>
    <row r="9" spans="1:38" x14ac:dyDescent="0.25">
      <c r="A9" s="34" t="s">
        <v>75</v>
      </c>
      <c r="B9" s="30"/>
      <c r="C9" s="37"/>
      <c r="D9" s="41"/>
      <c r="E9" s="39"/>
      <c r="F9" s="30"/>
      <c r="G9" s="30"/>
      <c r="H9" s="30"/>
      <c r="I9" s="30"/>
      <c r="J9" s="30"/>
      <c r="K9" s="41"/>
      <c r="L9" s="30"/>
      <c r="M9" s="30"/>
      <c r="N9" s="30"/>
      <c r="O9" s="30"/>
      <c r="P9" s="30"/>
      <c r="Q9" s="30"/>
      <c r="R9" s="41"/>
      <c r="S9" s="30"/>
      <c r="T9" s="30"/>
      <c r="U9" s="30"/>
      <c r="V9" s="30"/>
      <c r="W9" s="30"/>
      <c r="X9" s="30"/>
      <c r="Y9" s="41"/>
      <c r="Z9" s="30"/>
      <c r="AA9" s="30"/>
      <c r="AB9" s="30"/>
      <c r="AC9" s="30"/>
      <c r="AD9" s="30"/>
      <c r="AE9" s="30"/>
      <c r="AF9" s="30"/>
      <c r="AG9" s="16">
        <f>COUNTA(Mars!$B9:$AF9)</f>
        <v>0</v>
      </c>
      <c r="AH9" s="17">
        <f t="shared" si="0"/>
        <v>0</v>
      </c>
      <c r="AI9" s="17">
        <f t="shared" si="1"/>
        <v>0</v>
      </c>
      <c r="AJ9" s="17">
        <f t="shared" si="2"/>
        <v>0</v>
      </c>
      <c r="AK9" s="17">
        <f t="shared" si="3"/>
        <v>0</v>
      </c>
      <c r="AL9" s="17">
        <f t="shared" si="4"/>
        <v>0</v>
      </c>
    </row>
    <row r="10" spans="1:38" x14ac:dyDescent="0.25">
      <c r="A10" s="34" t="s">
        <v>76</v>
      </c>
      <c r="B10" s="30"/>
      <c r="C10" s="37"/>
      <c r="D10" s="41"/>
      <c r="E10" s="39"/>
      <c r="F10" s="30"/>
      <c r="G10" s="30"/>
      <c r="H10" s="30"/>
      <c r="I10" s="30"/>
      <c r="J10" s="30"/>
      <c r="K10" s="41"/>
      <c r="L10" s="30"/>
      <c r="M10" s="30"/>
      <c r="N10" s="30"/>
      <c r="O10" s="30"/>
      <c r="P10" s="30"/>
      <c r="Q10" s="30"/>
      <c r="R10" s="41"/>
      <c r="S10" s="30"/>
      <c r="T10" s="30"/>
      <c r="U10" s="30"/>
      <c r="V10" s="30"/>
      <c r="W10" s="30"/>
      <c r="X10" s="30"/>
      <c r="Y10" s="41"/>
      <c r="Z10" s="30"/>
      <c r="AA10" s="30"/>
      <c r="AB10" s="30"/>
      <c r="AC10" s="30"/>
      <c r="AD10" s="30"/>
      <c r="AE10" s="30"/>
      <c r="AF10" s="30"/>
      <c r="AG10" s="16">
        <f>COUNTA(Mars!$B10:$AF10)</f>
        <v>0</v>
      </c>
      <c r="AH10" s="17">
        <f t="shared" si="0"/>
        <v>0</v>
      </c>
      <c r="AI10" s="17">
        <f t="shared" si="1"/>
        <v>0</v>
      </c>
      <c r="AJ10" s="17">
        <f t="shared" si="2"/>
        <v>0</v>
      </c>
      <c r="AK10" s="17">
        <f t="shared" si="3"/>
        <v>0</v>
      </c>
      <c r="AL10" s="17">
        <f t="shared" si="4"/>
        <v>0</v>
      </c>
    </row>
    <row r="11" spans="1:38" x14ac:dyDescent="0.25">
      <c r="A11" s="34" t="s">
        <v>77</v>
      </c>
      <c r="B11" s="30"/>
      <c r="C11" s="37"/>
      <c r="D11" s="41"/>
      <c r="E11" s="39"/>
      <c r="F11" s="30"/>
      <c r="G11" s="30"/>
      <c r="H11" s="30"/>
      <c r="I11" s="30"/>
      <c r="J11" s="30"/>
      <c r="K11" s="41"/>
      <c r="L11" s="30"/>
      <c r="M11" s="30"/>
      <c r="N11" s="30"/>
      <c r="O11" s="30"/>
      <c r="P11" s="30"/>
      <c r="Q11" s="30"/>
      <c r="R11" s="41"/>
      <c r="S11" s="30"/>
      <c r="T11" s="30"/>
      <c r="U11" s="30"/>
      <c r="V11" s="30"/>
      <c r="W11" s="30"/>
      <c r="X11" s="30"/>
      <c r="Y11" s="41"/>
      <c r="Z11" s="30"/>
      <c r="AA11" s="30"/>
      <c r="AB11" s="30"/>
      <c r="AC11" s="30"/>
      <c r="AD11" s="30"/>
      <c r="AE11" s="30"/>
      <c r="AF11" s="31"/>
      <c r="AG11" s="16">
        <f>COUNTA(Mars!$B11:$AF11)</f>
        <v>0</v>
      </c>
      <c r="AH11" s="17">
        <f t="shared" si="0"/>
        <v>0</v>
      </c>
      <c r="AI11" s="17">
        <f t="shared" si="1"/>
        <v>0</v>
      </c>
      <c r="AJ11" s="17">
        <f t="shared" si="2"/>
        <v>0</v>
      </c>
      <c r="AK11" s="17">
        <f t="shared" si="3"/>
        <v>0</v>
      </c>
      <c r="AL11" s="17">
        <f t="shared" si="4"/>
        <v>0</v>
      </c>
    </row>
    <row r="12" spans="1:38" x14ac:dyDescent="0.25">
      <c r="A12" s="61" t="str">
        <f>NomMois&amp;" Total"</f>
        <v>Mars Total</v>
      </c>
      <c r="B12" s="64">
        <f>SUBTOTAL(103,Mars!$B$7:$B$11)</f>
        <v>0</v>
      </c>
      <c r="C12" s="65">
        <f>SUBTOTAL(103,Mars!$B$7:$B$11)</f>
        <v>0</v>
      </c>
      <c r="D12" s="63">
        <f>SUBTOTAL(103,Mars!$B$7:$B$11)</f>
        <v>0</v>
      </c>
      <c r="E12" s="66">
        <f>SUBTOTAL(103,Mars!$B$7:$B$11)</f>
        <v>0</v>
      </c>
      <c r="F12" s="64">
        <f>SUBTOTAL(103,Mars!$B$7:$B$11)</f>
        <v>0</v>
      </c>
      <c r="G12" s="64">
        <f>SUBTOTAL(103,Mars!$B$7:$B$11)</f>
        <v>0</v>
      </c>
      <c r="H12" s="64">
        <f>SUBTOTAL(103,Mars!$B$7:$B$11)</f>
        <v>0</v>
      </c>
      <c r="I12" s="64">
        <f>SUBTOTAL(103,Mars!$B$7:$B$11)</f>
        <v>0</v>
      </c>
      <c r="J12" s="64">
        <f>SUBTOTAL(103,Mars!$B$7:$B$11)</f>
        <v>0</v>
      </c>
      <c r="K12" s="63">
        <f>SUBTOTAL(103,Mars!$B$7:$B$11)</f>
        <v>0</v>
      </c>
      <c r="L12" s="64">
        <f>SUBTOTAL(103,Mars!$B$7:$B$11)</f>
        <v>0</v>
      </c>
      <c r="M12" s="64">
        <f>SUBTOTAL(103,Mars!$B$7:$B$11)</f>
        <v>0</v>
      </c>
      <c r="N12" s="64">
        <f>SUBTOTAL(103,Mars!$B$7:$B$11)</f>
        <v>0</v>
      </c>
      <c r="O12" s="64">
        <f>SUBTOTAL(103,Mars!$B$7:$B$11)</f>
        <v>0</v>
      </c>
      <c r="P12" s="64">
        <f>SUBTOTAL(103,Mars!$B$7:$B$11)</f>
        <v>0</v>
      </c>
      <c r="Q12" s="64">
        <f>SUBTOTAL(103,Mars!$B$7:$B$11)</f>
        <v>0</v>
      </c>
      <c r="R12" s="63">
        <f>SUBTOTAL(103,Mars!$B$7:$B$11)</f>
        <v>0</v>
      </c>
      <c r="S12" s="64">
        <f>SUBTOTAL(103,Mars!$B$7:$B$11)</f>
        <v>0</v>
      </c>
      <c r="T12" s="64">
        <f>SUBTOTAL(103,Mars!$B$7:$B$11)</f>
        <v>0</v>
      </c>
      <c r="U12" s="64">
        <f>SUBTOTAL(103,Mars!$B$7:$B$11)</f>
        <v>0</v>
      </c>
      <c r="V12" s="64">
        <f>SUBTOTAL(103,Mars!$B$7:$B$11)</f>
        <v>0</v>
      </c>
      <c r="W12" s="64">
        <f>SUBTOTAL(103,Mars!$B$7:$B$11)</f>
        <v>0</v>
      </c>
      <c r="X12" s="64">
        <f>SUBTOTAL(103,Mars!$B$7:$B$11)</f>
        <v>0</v>
      </c>
      <c r="Y12" s="63">
        <f>SUBTOTAL(103,Mars!$B$7:$B$11)</f>
        <v>0</v>
      </c>
      <c r="Z12" s="64">
        <f>SUBTOTAL(103,Mars!$B$7:$B$11)</f>
        <v>0</v>
      </c>
      <c r="AA12" s="64">
        <f>SUBTOTAL(103,Mars!$B$7:$B$11)</f>
        <v>0</v>
      </c>
      <c r="AB12" s="64">
        <f>SUBTOTAL(103,Mars!$B$7:$B$11)</f>
        <v>0</v>
      </c>
      <c r="AC12" s="64">
        <f>SUBTOTAL(103,Mars!$B$7:$B$11)</f>
        <v>0</v>
      </c>
      <c r="AD12" s="64">
        <f>SUBTOTAL(103,Mars!$B$7:$B$11)</f>
        <v>0</v>
      </c>
      <c r="AE12" s="64">
        <f>SUBTOTAL(103,Mars!$B$7:$B$11)</f>
        <v>0</v>
      </c>
      <c r="AF12" s="64">
        <f>SUBTOTAL(103,Mars!$B$7:$B$11)</f>
        <v>0</v>
      </c>
      <c r="AG12" s="65">
        <f>SUBTOTAL(109,Mars[Total des jours])</f>
        <v>0</v>
      </c>
      <c r="AH12" s="42"/>
      <c r="AI12" s="42"/>
      <c r="AJ12" s="42"/>
      <c r="AK12" s="42"/>
      <c r="AL12" s="42"/>
    </row>
  </sheetData>
  <mergeCells count="7">
    <mergeCell ref="AH5:AL5"/>
    <mergeCell ref="C2:D2"/>
    <mergeCell ref="F2:H2"/>
    <mergeCell ref="J2:K2"/>
    <mergeCell ref="M2:P2"/>
    <mergeCell ref="R2:U2"/>
    <mergeCell ref="B4:AF4"/>
  </mergeCells>
  <conditionalFormatting sqref="AE6">
    <cfRule type="expression" dxfId="705" priority="23">
      <formula>MONTH(DATE(AnnéeCalendrier,2,29))&lt;&gt;2</formula>
    </cfRule>
  </conditionalFormatting>
  <conditionalFormatting sqref="AF6">
    <cfRule type="expression" dxfId="704" priority="22">
      <formula>MONTH(DATE(AnnéeCalendrier,2,29))&lt;&gt;2</formula>
    </cfRule>
  </conditionalFormatting>
  <conditionalFormatting sqref="B7:AF11">
    <cfRule type="cellIs" dxfId="703" priority="17" operator="equal">
      <formula>"D"</formula>
    </cfRule>
    <cfRule type="cellIs" dxfId="702" priority="18" operator="equal">
      <formula>"P"</formula>
    </cfRule>
    <cfRule type="cellIs" dxfId="701" priority="19" operator="equal">
      <formula>"M"</formula>
    </cfRule>
    <cfRule type="cellIs" dxfId="700" priority="20" operator="equal">
      <formula>"B"</formula>
    </cfRule>
    <cfRule type="cellIs" dxfId="699" priority="21" operator="equal">
      <formula>"C"</formula>
    </cfRule>
  </conditionalFormatting>
  <conditionalFormatting sqref="AG7:AG11">
    <cfRule type="dataBar" priority="16">
      <dataBar>
        <cfvo type="num" val="0"/>
        <cfvo type="num" val="29"/>
        <color theme="4"/>
      </dataBar>
      <extLst>
        <ext xmlns:x14="http://schemas.microsoft.com/office/spreadsheetml/2009/9/main" uri="{B025F937-C7B1-47D3-B67F-A62EFF666E3E}">
          <x14:id>{4666D437-D1CC-41B5-A8C2-2C52B5A86639}</x14:id>
        </ext>
      </extLst>
    </cfRule>
  </conditionalFormatting>
  <dataValidations count="14">
    <dataValidation allowBlank="1" showInputMessage="1" showErrorMessage="1" prompt="Année mise à jour automatiquement en fonction de l’année entrée dans la feuille de calcul Janvier" sqref="AG4"/>
    <dataValidation allowBlank="1" showInputMessage="1" showErrorMessage="1" prompt="Calcule automatiquement le nombre total de jours d’absence d’un employé durant ce mois dans cette colonne" sqref="AG6"/>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Le titre mis à jour automatiquement figure dans cette cellule. Pour modifier le titre, mettez à jour la cellule B1 de la feuille de calcul Janvier" sqref="A1"/>
    <dataValidation allowBlank="1" showInputMessage="1" showErrorMessage="1" prompt="La lettre « C » indique une absence pour cause de congé" sqref="B2"/>
    <dataValidation allowBlank="1" showInputMessage="1" showErrorMessage="1" prompt="La lettre « P » indique une absence pour motifs personnels" sqref="E2"/>
    <dataValidation allowBlank="1" showInputMessage="1" showErrorMessage="1" prompt="La lettre « M » indique une absence pour cause de maladie" sqref="I2"/>
    <dataValidation allowBlank="1" showInputMessage="1" showErrorMessage="1" prompt="Entrez une lettre et personnalisez l’étiquette à droite pour ajouter un élément de clé" sqref="L2 Q2"/>
    <dataValidation allowBlank="1" showInputMessage="1" showErrorMessage="1" prompt="Entrez une étiquette pour décrire la clé personnalisée à gauche" sqref="M2 R2"/>
    <dataValidation allowBlank="1" showInputMessage="1" showErrorMessage="1" prompt="Cette ligne définit les clés utilisées dans le tableau : Congé en C2, Personnel en F2 et Congé maladie en J2. Les cellules M2 et R2 sont personnalisables " sqref="A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type="list" allowBlank="1" showInputMessage="1" showErrorMessage="1" sqref="B7:AF11">
      <formula1>"C,B,M,P,D"</formula1>
    </dataValidation>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4666D437-D1CC-41B5-A8C2-2C52B5A86639}">
            <x14:dataBar minLength="0" maxLength="100">
              <x14:cfvo type="num">
                <xm:f>0</xm:f>
              </x14:cfvo>
              <x14:cfvo type="num">
                <xm:f>29</xm:f>
              </x14:cfvo>
              <x14:negativeFillColor rgb="FFFF0000"/>
              <x14:axisColor rgb="FF000000"/>
            </x14:dataBar>
          </x14:cfRule>
          <xm:sqref>AG7:AG11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2"/>
  <sheetViews>
    <sheetView topLeftCell="A2" workbookViewId="0">
      <selection activeCell="C14" sqref="C14"/>
    </sheetView>
  </sheetViews>
  <sheetFormatPr baseColWidth="10" defaultColWidth="9.140625" defaultRowHeight="15" x14ac:dyDescent="0.25"/>
  <cols>
    <col min="1" max="1" width="54.42578125" style="2" bestFit="1" customWidth="1"/>
    <col min="2" max="32" width="4.7109375" style="2" customWidth="1"/>
    <col min="33" max="33" width="13.5703125" style="2" customWidth="1"/>
    <col min="34" max="34" width="9.28515625" style="3" customWidth="1"/>
    <col min="35" max="16384" width="9.140625" style="3"/>
  </cols>
  <sheetData>
    <row r="1" spans="1:38" ht="23.25" x14ac:dyDescent="0.25">
      <c r="A1" s="1" t="str">
        <f>Titre_Absence_Employé</f>
        <v>Calendrier des absences des employés</v>
      </c>
    </row>
    <row r="2" spans="1:38" ht="15" customHeight="1" thickBot="1" x14ac:dyDescent="0.3">
      <c r="A2" s="4" t="s">
        <v>1</v>
      </c>
      <c r="B2" s="29" t="s">
        <v>2</v>
      </c>
      <c r="C2" s="76" t="s">
        <v>60</v>
      </c>
      <c r="D2" s="76"/>
      <c r="E2" s="6" t="s">
        <v>4</v>
      </c>
      <c r="F2" s="75" t="s">
        <v>5</v>
      </c>
      <c r="G2" s="76"/>
      <c r="H2" s="76"/>
      <c r="I2" s="5" t="s">
        <v>6</v>
      </c>
      <c r="J2" s="76" t="s">
        <v>7</v>
      </c>
      <c r="K2" s="76"/>
      <c r="L2" s="7" t="s">
        <v>8</v>
      </c>
      <c r="M2" s="75" t="s">
        <v>9</v>
      </c>
      <c r="N2" s="76"/>
      <c r="O2" s="76"/>
      <c r="P2" s="76"/>
      <c r="Q2" s="8" t="s">
        <v>10</v>
      </c>
      <c r="R2" s="75" t="s">
        <v>64</v>
      </c>
      <c r="S2" s="76"/>
      <c r="T2" s="76"/>
      <c r="U2" s="76"/>
    </row>
    <row r="3" spans="1:38" ht="23.25" x14ac:dyDescent="0.25">
      <c r="A3" s="1"/>
    </row>
    <row r="4" spans="1:38" ht="18" thickBot="1" x14ac:dyDescent="0.3">
      <c r="A4" s="10" t="s">
        <v>66</v>
      </c>
      <c r="B4" s="77" t="s">
        <v>14</v>
      </c>
      <c r="C4" s="77"/>
      <c r="D4" s="77"/>
      <c r="E4" s="77"/>
      <c r="F4" s="77"/>
      <c r="G4" s="77"/>
      <c r="H4" s="77"/>
      <c r="I4" s="77"/>
      <c r="J4" s="77"/>
      <c r="K4" s="77"/>
      <c r="L4" s="77"/>
      <c r="M4" s="77"/>
      <c r="N4" s="77"/>
      <c r="O4" s="77"/>
      <c r="P4" s="77"/>
      <c r="Q4" s="77"/>
      <c r="R4" s="77"/>
      <c r="S4" s="77"/>
      <c r="T4" s="77"/>
      <c r="U4" s="77"/>
      <c r="V4" s="77"/>
      <c r="W4" s="77"/>
      <c r="X4" s="77"/>
      <c r="Y4" s="77"/>
      <c r="Z4" s="77"/>
      <c r="AA4" s="77"/>
      <c r="AB4" s="77"/>
      <c r="AC4" s="77"/>
      <c r="AD4" s="77"/>
      <c r="AE4" s="77"/>
      <c r="AF4" s="77"/>
      <c r="AG4" s="10">
        <f>AnnéeCalendrier</f>
        <v>2019</v>
      </c>
    </row>
    <row r="5" spans="1:38" ht="18.75" thickTop="1" thickBot="1" x14ac:dyDescent="0.3">
      <c r="A5" s="10"/>
      <c r="B5" s="12" t="str">
        <f>TEXT(WEEKDAY(DATE(AnnéeCalendrier,4,1),1),"jjj")</f>
        <v>lun</v>
      </c>
      <c r="C5" s="12" t="str">
        <f>TEXT(WEEKDAY(DATE(AnnéeCalendrier,4,2),1),"jjj")</f>
        <v>mar</v>
      </c>
      <c r="D5" s="12" t="str">
        <f>TEXT(WEEKDAY(DATE(AnnéeCalendrier,4,3),1),"jjj")</f>
        <v>mer</v>
      </c>
      <c r="E5" s="12" t="str">
        <f>TEXT(WEEKDAY(DATE(AnnéeCalendrier,4,4),1),"jjj")</f>
        <v>jeu</v>
      </c>
      <c r="F5" s="12" t="str">
        <f>TEXT(WEEKDAY(DATE(AnnéeCalendrier,4,5),1),"jjj")</f>
        <v>ven</v>
      </c>
      <c r="G5" s="12" t="str">
        <f>TEXT(WEEKDAY(DATE(AnnéeCalendrier,4,6),1),"jjj")</f>
        <v>sam</v>
      </c>
      <c r="H5" s="12" t="str">
        <f>TEXT(WEEKDAY(DATE(AnnéeCalendrier,4,7),1),"jjj")</f>
        <v>dim</v>
      </c>
      <c r="I5" s="12" t="str">
        <f>TEXT(WEEKDAY(DATE(AnnéeCalendrier,4,8),1),"jjj")</f>
        <v>lun</v>
      </c>
      <c r="J5" s="12" t="str">
        <f>TEXT(WEEKDAY(DATE(AnnéeCalendrier,4,9),1),"jjj")</f>
        <v>mar</v>
      </c>
      <c r="K5" s="12" t="str">
        <f>TEXT(WEEKDAY(DATE(AnnéeCalendrier,4,10),1),"jjj")</f>
        <v>mer</v>
      </c>
      <c r="L5" s="12" t="str">
        <f>TEXT(WEEKDAY(DATE(AnnéeCalendrier,4,11),1),"jjj")</f>
        <v>jeu</v>
      </c>
      <c r="M5" s="12" t="str">
        <f>TEXT(WEEKDAY(DATE(AnnéeCalendrier,4,12),1),"jjj")</f>
        <v>ven</v>
      </c>
      <c r="N5" s="12" t="str">
        <f>TEXT(WEEKDAY(DATE(AnnéeCalendrier,4,13),1),"jjj")</f>
        <v>sam</v>
      </c>
      <c r="O5" s="12" t="str">
        <f>TEXT(WEEKDAY(DATE(AnnéeCalendrier,4,14),1),"jjj")</f>
        <v>dim</v>
      </c>
      <c r="P5" s="12" t="str">
        <f>TEXT(WEEKDAY(DATE(AnnéeCalendrier,4,15),1),"jjj")</f>
        <v>lun</v>
      </c>
      <c r="Q5" s="12" t="str">
        <f>TEXT(WEEKDAY(DATE(AnnéeCalendrier,4,16),1),"jjj")</f>
        <v>mar</v>
      </c>
      <c r="R5" s="12" t="str">
        <f>TEXT(WEEKDAY(DATE(AnnéeCalendrier,4,17),1),"jjj")</f>
        <v>mer</v>
      </c>
      <c r="S5" s="12" t="str">
        <f>TEXT(WEEKDAY(DATE(AnnéeCalendrier,4,18),1),"jjj")</f>
        <v>jeu</v>
      </c>
      <c r="T5" s="12" t="str">
        <f>TEXT(WEEKDAY(DATE(AnnéeCalendrier,4,19),1),"jjj")</f>
        <v>ven</v>
      </c>
      <c r="U5" s="12" t="str">
        <f>TEXT(WEEKDAY(DATE(AnnéeCalendrier,4,20),1),"jjj")</f>
        <v>sam</v>
      </c>
      <c r="V5" s="12" t="str">
        <f>TEXT(WEEKDAY(DATE(AnnéeCalendrier,4,21),1),"jjj")</f>
        <v>dim</v>
      </c>
      <c r="W5" s="12" t="str">
        <f>TEXT(WEEKDAY(DATE(AnnéeCalendrier,4,22),1),"jjj")</f>
        <v>lun</v>
      </c>
      <c r="X5" s="12" t="str">
        <f>TEXT(WEEKDAY(DATE(AnnéeCalendrier,4,23),1),"jjj")</f>
        <v>mar</v>
      </c>
      <c r="Y5" s="12" t="str">
        <f>TEXT(WEEKDAY(DATE(AnnéeCalendrier,4,24),1),"jjj")</f>
        <v>mer</v>
      </c>
      <c r="Z5" s="12" t="str">
        <f>TEXT(WEEKDAY(DATE(AnnéeCalendrier,4,25),1),"jjj")</f>
        <v>jeu</v>
      </c>
      <c r="AA5" s="12" t="str">
        <f>TEXT(WEEKDAY(DATE(AnnéeCalendrier,4,26),1),"jjj")</f>
        <v>ven</v>
      </c>
      <c r="AB5" s="12" t="str">
        <f>TEXT(WEEKDAY(DATE(AnnéeCalendrier,4,27),1),"jjj")</f>
        <v>sam</v>
      </c>
      <c r="AC5" s="12" t="str">
        <f>TEXT(WEEKDAY(DATE(AnnéeCalendrier,4,28),1),"jjj")</f>
        <v>dim</v>
      </c>
      <c r="AD5" s="12" t="str">
        <f>TEXT(WEEKDAY(DATE(AnnéeCalendrier,4,29),1),"jjj")</f>
        <v>lun</v>
      </c>
      <c r="AE5" s="12" t="str">
        <f>TEXT(WEEKDAY(DATE(AnnéeCalendrier,4,30),1),"jjj")</f>
        <v>mar</v>
      </c>
      <c r="AF5" s="12"/>
      <c r="AG5" s="10"/>
      <c r="AH5" s="74" t="s">
        <v>15</v>
      </c>
      <c r="AI5" s="74"/>
      <c r="AJ5" s="74"/>
      <c r="AK5" s="74"/>
      <c r="AL5" s="74"/>
    </row>
    <row r="6" spans="1:38" ht="15" customHeight="1" thickTop="1" x14ac:dyDescent="0.25">
      <c r="A6" s="33" t="s">
        <v>16</v>
      </c>
      <c r="B6" s="14" t="s">
        <v>17</v>
      </c>
      <c r="C6" s="14" t="s">
        <v>18</v>
      </c>
      <c r="D6" s="14" t="s">
        <v>19</v>
      </c>
      <c r="E6" s="14" t="s">
        <v>20</v>
      </c>
      <c r="F6" s="14" t="s">
        <v>21</v>
      </c>
      <c r="G6" s="14" t="s">
        <v>22</v>
      </c>
      <c r="H6" s="14" t="s">
        <v>23</v>
      </c>
      <c r="I6" s="14" t="s">
        <v>24</v>
      </c>
      <c r="J6" s="14" t="s">
        <v>25</v>
      </c>
      <c r="K6" s="14" t="s">
        <v>26</v>
      </c>
      <c r="L6" s="14" t="s">
        <v>27</v>
      </c>
      <c r="M6" s="14" t="s">
        <v>28</v>
      </c>
      <c r="N6" s="14" t="s">
        <v>29</v>
      </c>
      <c r="O6" s="14" t="s">
        <v>30</v>
      </c>
      <c r="P6" s="14" t="s">
        <v>31</v>
      </c>
      <c r="Q6" s="14" t="s">
        <v>32</v>
      </c>
      <c r="R6" s="14" t="s">
        <v>33</v>
      </c>
      <c r="S6" s="14" t="s">
        <v>34</v>
      </c>
      <c r="T6" s="14" t="s">
        <v>35</v>
      </c>
      <c r="U6" s="14" t="s">
        <v>36</v>
      </c>
      <c r="V6" s="14" t="s">
        <v>37</v>
      </c>
      <c r="W6" s="14" t="s">
        <v>38</v>
      </c>
      <c r="X6" s="14" t="s">
        <v>39</v>
      </c>
      <c r="Y6" s="14" t="s">
        <v>40</v>
      </c>
      <c r="Z6" s="14" t="s">
        <v>41</v>
      </c>
      <c r="AA6" s="14" t="s">
        <v>42</v>
      </c>
      <c r="AB6" s="14" t="s">
        <v>43</v>
      </c>
      <c r="AC6" s="14" t="s">
        <v>44</v>
      </c>
      <c r="AD6" s="14" t="s">
        <v>45</v>
      </c>
      <c r="AE6" s="14" t="s">
        <v>46</v>
      </c>
      <c r="AF6" s="14" t="s">
        <v>47</v>
      </c>
      <c r="AG6" s="15" t="s">
        <v>48</v>
      </c>
      <c r="AH6" s="29" t="s">
        <v>2</v>
      </c>
      <c r="AI6" s="6" t="s">
        <v>4</v>
      </c>
      <c r="AJ6" s="5" t="s">
        <v>6</v>
      </c>
      <c r="AK6" s="7" t="s">
        <v>8</v>
      </c>
      <c r="AL6" s="8" t="s">
        <v>10</v>
      </c>
    </row>
    <row r="7" spans="1:38" x14ac:dyDescent="0.25">
      <c r="A7" s="34" t="s">
        <v>73</v>
      </c>
      <c r="B7" s="30"/>
      <c r="C7" s="30"/>
      <c r="D7" s="30"/>
      <c r="E7" s="30"/>
      <c r="F7" s="30"/>
      <c r="G7" s="37"/>
      <c r="H7" s="41"/>
      <c r="I7" s="39"/>
      <c r="J7" s="30"/>
      <c r="K7" s="30"/>
      <c r="L7" s="30"/>
      <c r="M7" s="30"/>
      <c r="N7" s="30"/>
      <c r="O7" s="41"/>
      <c r="P7" s="30"/>
      <c r="Q7" s="30"/>
      <c r="R7" s="30"/>
      <c r="S7" s="30"/>
      <c r="T7" s="30"/>
      <c r="U7" s="30"/>
      <c r="V7" s="41"/>
      <c r="W7" s="30"/>
      <c r="X7" s="30"/>
      <c r="Y7" s="30"/>
      <c r="Z7" s="30"/>
      <c r="AA7" s="30"/>
      <c r="AB7" s="30"/>
      <c r="AC7" s="41"/>
      <c r="AD7" s="30"/>
      <c r="AE7" s="30"/>
      <c r="AF7" s="30"/>
      <c r="AG7" s="16">
        <f>COUNTA(Avril!$B7:$AF7)</f>
        <v>0</v>
      </c>
      <c r="AH7" s="17">
        <f t="shared" ref="AH7:AH11" si="0">COUNTIF(B7:AF7,Congé)</f>
        <v>0</v>
      </c>
      <c r="AI7" s="17">
        <f t="shared" ref="AI7:AI11" si="1">COUNTIF(B7:AF7,Maternité)</f>
        <v>0</v>
      </c>
      <c r="AJ7" s="17">
        <f t="shared" ref="AJ7:AJ11" si="2">COUNTIF(B7:AF7,Maladie)</f>
        <v>0</v>
      </c>
      <c r="AK7" s="17">
        <f t="shared" ref="AK7:AK11" si="3">COUNTIF(B7:AF7,Permission)</f>
        <v>0</v>
      </c>
      <c r="AL7" s="17">
        <f t="shared" ref="AL7:AL11" si="4">COUNTIF(B7:AF7,Deduire)</f>
        <v>0</v>
      </c>
    </row>
    <row r="8" spans="1:38" x14ac:dyDescent="0.25">
      <c r="A8" s="34" t="s">
        <v>74</v>
      </c>
      <c r="B8" s="30"/>
      <c r="C8" s="30"/>
      <c r="D8" s="30"/>
      <c r="E8" s="30"/>
      <c r="F8" s="30"/>
      <c r="G8" s="37"/>
      <c r="H8" s="41"/>
      <c r="I8" s="39"/>
      <c r="J8" s="30"/>
      <c r="K8" s="30"/>
      <c r="L8" s="30"/>
      <c r="M8" s="30"/>
      <c r="N8" s="30"/>
      <c r="O8" s="41"/>
      <c r="P8" s="30"/>
      <c r="Q8" s="30"/>
      <c r="R8" s="30"/>
      <c r="S8" s="30"/>
      <c r="T8" s="30"/>
      <c r="U8" s="30"/>
      <c r="V8" s="41"/>
      <c r="W8" s="30"/>
      <c r="X8" s="30"/>
      <c r="Y8" s="30"/>
      <c r="Z8" s="30"/>
      <c r="AA8" s="30"/>
      <c r="AB8" s="30"/>
      <c r="AC8" s="41"/>
      <c r="AD8" s="30"/>
      <c r="AE8" s="30"/>
      <c r="AF8" s="30"/>
      <c r="AG8" s="16">
        <f>COUNTA(Avril!$B8:$AF8)</f>
        <v>0</v>
      </c>
      <c r="AH8" s="17">
        <f t="shared" si="0"/>
        <v>0</v>
      </c>
      <c r="AI8" s="17">
        <f t="shared" si="1"/>
        <v>0</v>
      </c>
      <c r="AJ8" s="17">
        <f t="shared" si="2"/>
        <v>0</v>
      </c>
      <c r="AK8" s="17">
        <f t="shared" si="3"/>
        <v>0</v>
      </c>
      <c r="AL8" s="17">
        <f t="shared" si="4"/>
        <v>0</v>
      </c>
    </row>
    <row r="9" spans="1:38" x14ac:dyDescent="0.25">
      <c r="A9" s="34" t="s">
        <v>75</v>
      </c>
      <c r="B9" s="30"/>
      <c r="C9" s="30"/>
      <c r="D9" s="30"/>
      <c r="E9" s="30"/>
      <c r="F9" s="30"/>
      <c r="G9" s="37"/>
      <c r="H9" s="41"/>
      <c r="I9" s="39"/>
      <c r="J9" s="30"/>
      <c r="K9" s="30"/>
      <c r="L9" s="30"/>
      <c r="M9" s="30"/>
      <c r="N9" s="30"/>
      <c r="O9" s="41"/>
      <c r="P9" s="30"/>
      <c r="Q9" s="30"/>
      <c r="R9" s="30"/>
      <c r="S9" s="30"/>
      <c r="T9" s="30"/>
      <c r="U9" s="30"/>
      <c r="V9" s="41"/>
      <c r="W9" s="30"/>
      <c r="X9" s="30"/>
      <c r="Y9" s="30"/>
      <c r="Z9" s="30"/>
      <c r="AA9" s="30"/>
      <c r="AB9" s="30"/>
      <c r="AC9" s="41"/>
      <c r="AD9" s="30"/>
      <c r="AE9" s="30"/>
      <c r="AF9" s="16"/>
      <c r="AG9" s="16">
        <f>COUNTA(Avril!$B9:$AF9)</f>
        <v>0</v>
      </c>
      <c r="AH9" s="17">
        <f t="shared" si="0"/>
        <v>0</v>
      </c>
      <c r="AI9" s="17">
        <f t="shared" si="1"/>
        <v>0</v>
      </c>
      <c r="AJ9" s="17">
        <f t="shared" si="2"/>
        <v>0</v>
      </c>
      <c r="AK9" s="17">
        <f t="shared" si="3"/>
        <v>0</v>
      </c>
      <c r="AL9" s="17">
        <f t="shared" si="4"/>
        <v>0</v>
      </c>
    </row>
    <row r="10" spans="1:38" x14ac:dyDescent="0.25">
      <c r="A10" s="34" t="s">
        <v>76</v>
      </c>
      <c r="B10" s="30"/>
      <c r="C10" s="30"/>
      <c r="D10" s="30"/>
      <c r="E10" s="30"/>
      <c r="F10" s="30"/>
      <c r="G10" s="37"/>
      <c r="H10" s="41"/>
      <c r="I10" s="39"/>
      <c r="J10" s="30"/>
      <c r="K10" s="30"/>
      <c r="L10" s="30"/>
      <c r="M10" s="30"/>
      <c r="N10" s="30"/>
      <c r="O10" s="41"/>
      <c r="P10" s="30"/>
      <c r="Q10" s="30"/>
      <c r="R10" s="30"/>
      <c r="S10" s="30"/>
      <c r="T10" s="30"/>
      <c r="U10" s="30"/>
      <c r="V10" s="41"/>
      <c r="W10" s="30"/>
      <c r="X10" s="30"/>
      <c r="Y10" s="30"/>
      <c r="Z10" s="30"/>
      <c r="AA10" s="30"/>
      <c r="AB10" s="30"/>
      <c r="AC10" s="41"/>
      <c r="AD10" s="30"/>
      <c r="AE10" s="30"/>
      <c r="AF10" s="16"/>
      <c r="AG10" s="16">
        <f>COUNTA(Avril!$B10:$AF10)</f>
        <v>0</v>
      </c>
      <c r="AH10" s="17">
        <f t="shared" si="0"/>
        <v>0</v>
      </c>
      <c r="AI10" s="17">
        <f t="shared" si="1"/>
        <v>0</v>
      </c>
      <c r="AJ10" s="17">
        <f t="shared" si="2"/>
        <v>0</v>
      </c>
      <c r="AK10" s="17">
        <f t="shared" si="3"/>
        <v>0</v>
      </c>
      <c r="AL10" s="17">
        <f t="shared" si="4"/>
        <v>0</v>
      </c>
    </row>
    <row r="11" spans="1:38" x14ac:dyDescent="0.25">
      <c r="A11" s="34" t="s">
        <v>77</v>
      </c>
      <c r="B11" s="30"/>
      <c r="C11" s="30"/>
      <c r="D11" s="30"/>
      <c r="E11" s="30"/>
      <c r="F11" s="30"/>
      <c r="G11" s="37"/>
      <c r="H11" s="41"/>
      <c r="I11" s="39"/>
      <c r="J11" s="30"/>
      <c r="K11" s="30"/>
      <c r="L11" s="30"/>
      <c r="M11" s="30"/>
      <c r="N11" s="30"/>
      <c r="O11" s="41"/>
      <c r="P11" s="30"/>
      <c r="Q11" s="30"/>
      <c r="R11" s="30"/>
      <c r="S11" s="30"/>
      <c r="T11" s="30"/>
      <c r="U11" s="30"/>
      <c r="V11" s="41"/>
      <c r="W11" s="30"/>
      <c r="X11" s="30"/>
      <c r="Y11" s="30"/>
      <c r="Z11" s="30"/>
      <c r="AA11" s="30"/>
      <c r="AB11" s="30"/>
      <c r="AC11" s="41"/>
      <c r="AD11" s="30"/>
      <c r="AE11" s="30"/>
      <c r="AF11" s="30"/>
      <c r="AG11" s="16">
        <f>COUNTA(Avril!$B11:$AF11)</f>
        <v>0</v>
      </c>
      <c r="AH11" s="17">
        <f t="shared" si="0"/>
        <v>0</v>
      </c>
      <c r="AI11" s="17">
        <f t="shared" si="1"/>
        <v>0</v>
      </c>
      <c r="AJ11" s="17">
        <f t="shared" si="2"/>
        <v>0</v>
      </c>
      <c r="AK11" s="17">
        <f t="shared" si="3"/>
        <v>0</v>
      </c>
      <c r="AL11" s="17">
        <f t="shared" si="4"/>
        <v>0</v>
      </c>
    </row>
    <row r="12" spans="1:38" x14ac:dyDescent="0.25">
      <c r="A12" s="61" t="str">
        <f>NomMois&amp;" Total"</f>
        <v>Avril Total</v>
      </c>
      <c r="B12" s="62">
        <f>SUBTOTAL(103,Avril!$B$7:$B$11)</f>
        <v>0</v>
      </c>
      <c r="C12" s="62">
        <f>SUBTOTAL(103,Avril!$B$7:$B$11)</f>
        <v>0</v>
      </c>
      <c r="D12" s="62">
        <f>SUBTOTAL(103,Avril!$B$7:$B$11)</f>
        <v>0</v>
      </c>
      <c r="E12" s="62">
        <f>SUBTOTAL(103,Avril!$B$7:$B$11)</f>
        <v>0</v>
      </c>
      <c r="F12" s="62">
        <f>SUBTOTAL(103,Avril!$B$7:$B$11)</f>
        <v>0</v>
      </c>
      <c r="G12" s="62">
        <f>SUBTOTAL(103,Avril!$B$7:$B$11)</f>
        <v>0</v>
      </c>
      <c r="H12" s="63">
        <f>SUBTOTAL(103,Avril!$B$7:$B$11)</f>
        <v>0</v>
      </c>
      <c r="I12" s="62">
        <f>SUBTOTAL(103,Avril!$B$7:$B$11)</f>
        <v>0</v>
      </c>
      <c r="J12" s="62">
        <f>SUBTOTAL(103,Avril!$B$7:$B$11)</f>
        <v>0</v>
      </c>
      <c r="K12" s="62">
        <f>SUBTOTAL(103,Avril!$B$7:$B$11)</f>
        <v>0</v>
      </c>
      <c r="L12" s="62">
        <f>SUBTOTAL(103,Avril!$B$7:$B$11)</f>
        <v>0</v>
      </c>
      <c r="M12" s="62">
        <f>SUBTOTAL(103,Avril!$B$7:$B$11)</f>
        <v>0</v>
      </c>
      <c r="N12" s="62">
        <f>SUBTOTAL(103,Avril!$B$7:$B$11)</f>
        <v>0</v>
      </c>
      <c r="O12" s="63">
        <f>SUBTOTAL(103,Avril!$B$7:$B$11)</f>
        <v>0</v>
      </c>
      <c r="P12" s="62">
        <f>SUBTOTAL(103,Avril!$B$7:$B$11)</f>
        <v>0</v>
      </c>
      <c r="Q12" s="62">
        <f>SUBTOTAL(103,Avril!$B$7:$B$11)</f>
        <v>0</v>
      </c>
      <c r="R12" s="62">
        <f>SUBTOTAL(103,Avril!$B$7:$B$11)</f>
        <v>0</v>
      </c>
      <c r="S12" s="62">
        <f>SUBTOTAL(103,Avril!$B$7:$B$11)</f>
        <v>0</v>
      </c>
      <c r="T12" s="62">
        <f>SUBTOTAL(103,Avril!$B$7:$B$11)</f>
        <v>0</v>
      </c>
      <c r="U12" s="62">
        <f>SUBTOTAL(103,Avril!$B$7:$B$11)</f>
        <v>0</v>
      </c>
      <c r="V12" s="63">
        <f>SUBTOTAL(103,Avril!$B$7:$B$11)</f>
        <v>0</v>
      </c>
      <c r="W12" s="62">
        <f>SUBTOTAL(103,Avril!$B$7:$B$11)</f>
        <v>0</v>
      </c>
      <c r="X12" s="62">
        <f>SUBTOTAL(103,Avril!$B$7:$B$11)</f>
        <v>0</v>
      </c>
      <c r="Y12" s="62">
        <f>SUBTOTAL(103,Avril!$B$7:$B$11)</f>
        <v>0</v>
      </c>
      <c r="Z12" s="62">
        <f>SUBTOTAL(103,Avril!$B$7:$B$11)</f>
        <v>0</v>
      </c>
      <c r="AA12" s="62">
        <f>SUBTOTAL(103,Avril!$B$7:$B$11)</f>
        <v>0</v>
      </c>
      <c r="AB12" s="62">
        <f>SUBTOTAL(103,Avril!$B$7:$B$11)</f>
        <v>0</v>
      </c>
      <c r="AC12" s="63">
        <f>SUBTOTAL(103,Avril!$B$7:$B$11)</f>
        <v>0</v>
      </c>
      <c r="AD12" s="62">
        <f>SUBTOTAL(103,Avril!$B$7:$B$11)</f>
        <v>0</v>
      </c>
      <c r="AE12" s="62">
        <f>SUBTOTAL(103,Avril!$B$7:$B$11)</f>
        <v>0</v>
      </c>
      <c r="AF12" s="62">
        <f>SUBTOTAL(103,Avril!$B$7:$B$11)</f>
        <v>0</v>
      </c>
      <c r="AG12" s="62">
        <f>SUBTOTAL(109,Avril[Total des jours])</f>
        <v>0</v>
      </c>
    </row>
  </sheetData>
  <mergeCells count="7">
    <mergeCell ref="AH5:AL5"/>
    <mergeCell ref="C2:D2"/>
    <mergeCell ref="F2:H2"/>
    <mergeCell ref="J2:K2"/>
    <mergeCell ref="M2:P2"/>
    <mergeCell ref="R2:U2"/>
    <mergeCell ref="B4:AF4"/>
  </mergeCells>
  <conditionalFormatting sqref="AF6">
    <cfRule type="expression" dxfId="629" priority="22">
      <formula>MONTH(DATE(AnnéeCalendrier,2,29))&lt;&gt;2</formula>
    </cfRule>
  </conditionalFormatting>
  <conditionalFormatting sqref="B7:AF11">
    <cfRule type="cellIs" dxfId="628" priority="17" operator="equal">
      <formula>"D"</formula>
    </cfRule>
    <cfRule type="cellIs" dxfId="627" priority="18" operator="equal">
      <formula>"P"</formula>
    </cfRule>
    <cfRule type="cellIs" dxfId="626" priority="19" operator="equal">
      <formula>"M"</formula>
    </cfRule>
    <cfRule type="cellIs" dxfId="625" priority="20" operator="equal">
      <formula>"B"</formula>
    </cfRule>
    <cfRule type="cellIs" dxfId="624" priority="21" operator="equal">
      <formula>"C"</formula>
    </cfRule>
  </conditionalFormatting>
  <conditionalFormatting sqref="AG7:AG11">
    <cfRule type="dataBar" priority="16">
      <dataBar>
        <cfvo type="num" val="0"/>
        <cfvo type="num" val="30"/>
        <color theme="4"/>
      </dataBar>
      <extLst>
        <ext xmlns:x14="http://schemas.microsoft.com/office/spreadsheetml/2009/9/main" uri="{B025F937-C7B1-47D3-B67F-A62EFF666E3E}">
          <x14:id>{F57ADAD9-04E6-498B-BB2E-789E3036DF38}</x14:id>
        </ext>
      </extLst>
    </cfRule>
  </conditionalFormatting>
  <dataValidations count="1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4"/>
    <dataValidation allowBlank="1" showInputMessage="1" showErrorMessage="1" prompt="Cette ligne définit les clés utilisées dans le tableau : Congé en C2, Personnel en F2 et Congé maladie en J2. Les cellules M2 et R2 sont personnalisables " sqref="A2"/>
    <dataValidation allowBlank="1" showInputMessage="1" showErrorMessage="1" prompt="Entrez une étiquette pour décrire la clé personnalisée à gauche" sqref="M2 R2"/>
    <dataValidation allowBlank="1" showInputMessage="1" showErrorMessage="1" prompt="Entrez une lettre et personnalisez l’étiquette à droite pour ajouter un élément de clé" sqref="L2 Q2"/>
    <dataValidation allowBlank="1" showInputMessage="1" showErrorMessage="1" prompt="La lettre « M » indique une absence pour cause de maladie" sqref="I2"/>
    <dataValidation allowBlank="1" showInputMessage="1" showErrorMessage="1" prompt="La lettre « P » indique une absence pour motifs personnels" sqref="E2"/>
    <dataValidation allowBlank="1" showInputMessage="1" showErrorMessage="1" prompt="La lettre « C » indique une absence pour cause de congé" sqref="B2"/>
    <dataValidation allowBlank="1" showInputMessage="1" showErrorMessage="1" prompt="Le titre mis à jour automatiquement figure dans cette cellule. Pour modifier le titre, mettez à jour la cellule B1 de la feuille de calcul Janvier"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Calcule automatiquement le nombre total de jours d’absence d’un employé durant ce mois dans cette colonne" sqref="AG6"/>
    <dataValidation allowBlank="1" showInputMessage="1" showErrorMessage="1" prompt="Année mise à jour automatiquement en fonction de l’année entrée dans la feuille de calcul Janvier" sqref="AG4"/>
    <dataValidation type="list" allowBlank="1" showInputMessage="1" showErrorMessage="1" sqref="B7:AF11">
      <formula1>"C,B,M,P,D"</formula1>
    </dataValidation>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F57ADAD9-04E6-498B-BB2E-789E3036DF38}">
            <x14:dataBar minLength="0" maxLength="100">
              <x14:cfvo type="num">
                <xm:f>0</xm:f>
              </x14:cfvo>
              <x14:cfvo type="num">
                <xm:f>30</xm:f>
              </x14:cfvo>
              <x14:negativeFillColor rgb="FFFF0000"/>
              <x14:axisColor rgb="FF000000"/>
            </x14:dataBar>
          </x14:cfRule>
          <xm:sqref>AG7:AG11</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2"/>
  <sheetViews>
    <sheetView topLeftCell="A2" workbookViewId="0">
      <selection activeCell="A16" sqref="A16"/>
    </sheetView>
  </sheetViews>
  <sheetFormatPr baseColWidth="10" defaultColWidth="9.140625" defaultRowHeight="15" x14ac:dyDescent="0.25"/>
  <cols>
    <col min="1" max="1" width="54.42578125" style="2" bestFit="1" customWidth="1"/>
    <col min="2" max="32" width="4.7109375" style="2" customWidth="1"/>
    <col min="33" max="33" width="13.5703125" style="2" customWidth="1"/>
    <col min="34" max="34" width="9.28515625" style="3" customWidth="1"/>
    <col min="35" max="16384" width="9.140625" style="3"/>
  </cols>
  <sheetData>
    <row r="1" spans="1:38" ht="23.25" x14ac:dyDescent="0.25">
      <c r="A1" s="1" t="str">
        <f>Titre_Absence_Employé</f>
        <v>Calendrier des absences des employés</v>
      </c>
    </row>
    <row r="2" spans="1:38" ht="15" customHeight="1" thickBot="1" x14ac:dyDescent="0.3">
      <c r="A2" s="4" t="s">
        <v>1</v>
      </c>
      <c r="B2" s="29" t="s">
        <v>2</v>
      </c>
      <c r="C2" s="76" t="s">
        <v>60</v>
      </c>
      <c r="D2" s="76"/>
      <c r="E2" s="6" t="s">
        <v>4</v>
      </c>
      <c r="F2" s="75" t="s">
        <v>5</v>
      </c>
      <c r="G2" s="76"/>
      <c r="H2" s="76"/>
      <c r="I2" s="5" t="s">
        <v>6</v>
      </c>
      <c r="J2" s="76" t="s">
        <v>7</v>
      </c>
      <c r="K2" s="76"/>
      <c r="L2" s="7" t="s">
        <v>8</v>
      </c>
      <c r="M2" s="75" t="s">
        <v>9</v>
      </c>
      <c r="N2" s="76"/>
      <c r="O2" s="76"/>
      <c r="P2" s="76"/>
      <c r="Q2" s="8" t="s">
        <v>10</v>
      </c>
      <c r="R2" s="75" t="s">
        <v>64</v>
      </c>
      <c r="S2" s="76"/>
      <c r="T2" s="76"/>
      <c r="U2" s="76"/>
    </row>
    <row r="3" spans="1:38" ht="23.25" x14ac:dyDescent="0.25">
      <c r="A3" s="1"/>
    </row>
    <row r="4" spans="1:38" ht="18" thickBot="1" x14ac:dyDescent="0.3">
      <c r="A4" s="10" t="s">
        <v>67</v>
      </c>
      <c r="B4" s="77" t="s">
        <v>14</v>
      </c>
      <c r="C4" s="77"/>
      <c r="D4" s="77"/>
      <c r="E4" s="77"/>
      <c r="F4" s="77"/>
      <c r="G4" s="77"/>
      <c r="H4" s="77"/>
      <c r="I4" s="77"/>
      <c r="J4" s="77"/>
      <c r="K4" s="77"/>
      <c r="L4" s="77"/>
      <c r="M4" s="77"/>
      <c r="N4" s="77"/>
      <c r="O4" s="77"/>
      <c r="P4" s="77"/>
      <c r="Q4" s="77"/>
      <c r="R4" s="77"/>
      <c r="S4" s="77"/>
      <c r="T4" s="77"/>
      <c r="U4" s="77"/>
      <c r="V4" s="77"/>
      <c r="W4" s="77"/>
      <c r="X4" s="77"/>
      <c r="Y4" s="77"/>
      <c r="Z4" s="77"/>
      <c r="AA4" s="77"/>
      <c r="AB4" s="77"/>
      <c r="AC4" s="77"/>
      <c r="AD4" s="77"/>
      <c r="AE4" s="77"/>
      <c r="AF4" s="77"/>
      <c r="AG4" s="10">
        <f>AnnéeCalendrier</f>
        <v>2019</v>
      </c>
    </row>
    <row r="5" spans="1:38" ht="18.75" thickTop="1" thickBot="1" x14ac:dyDescent="0.3">
      <c r="A5" s="10"/>
      <c r="B5" s="12" t="str">
        <f>TEXT(WEEKDAY(DATE(AnnéeCalendrier,5,1),1),"jjj")</f>
        <v>mer</v>
      </c>
      <c r="C5" s="12" t="str">
        <f>TEXT(WEEKDAY(DATE(AnnéeCalendrier,5,2),1),"jjj")</f>
        <v>jeu</v>
      </c>
      <c r="D5" s="12" t="str">
        <f>TEXT(WEEKDAY(DATE(AnnéeCalendrier,5,3),1),"jjj")</f>
        <v>ven</v>
      </c>
      <c r="E5" s="12" t="str">
        <f>TEXT(WEEKDAY(DATE(AnnéeCalendrier,5,4),1),"jjj")</f>
        <v>sam</v>
      </c>
      <c r="F5" s="12" t="str">
        <f>TEXT(WEEKDAY(DATE(AnnéeCalendrier,5,5),1),"jjj")</f>
        <v>dim</v>
      </c>
      <c r="G5" s="12" t="str">
        <f>TEXT(WEEKDAY(DATE(AnnéeCalendrier,5,6),1),"jjj")</f>
        <v>lun</v>
      </c>
      <c r="H5" s="12" t="str">
        <f>TEXT(WEEKDAY(DATE(AnnéeCalendrier,5,7),1),"jjj")</f>
        <v>mar</v>
      </c>
      <c r="I5" s="12" t="str">
        <f>TEXT(WEEKDAY(DATE(AnnéeCalendrier,5,8),1),"jjj")</f>
        <v>mer</v>
      </c>
      <c r="J5" s="12" t="str">
        <f>TEXT(WEEKDAY(DATE(AnnéeCalendrier,5,9),1),"jjj")</f>
        <v>jeu</v>
      </c>
      <c r="K5" s="12" t="str">
        <f>TEXT(WEEKDAY(DATE(AnnéeCalendrier,5,10),1),"jjj")</f>
        <v>ven</v>
      </c>
      <c r="L5" s="12" t="str">
        <f>TEXT(WEEKDAY(DATE(AnnéeCalendrier,5,11),1),"jjj")</f>
        <v>sam</v>
      </c>
      <c r="M5" s="12" t="str">
        <f>TEXT(WEEKDAY(DATE(AnnéeCalendrier,5,12),1),"jjj")</f>
        <v>dim</v>
      </c>
      <c r="N5" s="12" t="str">
        <f>TEXT(WEEKDAY(DATE(AnnéeCalendrier,5,13),1),"jjj")</f>
        <v>lun</v>
      </c>
      <c r="O5" s="12" t="str">
        <f>TEXT(WEEKDAY(DATE(AnnéeCalendrier,5,14),1),"jjj")</f>
        <v>mar</v>
      </c>
      <c r="P5" s="12" t="str">
        <f>TEXT(WEEKDAY(DATE(AnnéeCalendrier,5,15),1),"jjj")</f>
        <v>mer</v>
      </c>
      <c r="Q5" s="12" t="str">
        <f>TEXT(WEEKDAY(DATE(AnnéeCalendrier,5,16),1),"jjj")</f>
        <v>jeu</v>
      </c>
      <c r="R5" s="12" t="str">
        <f>TEXT(WEEKDAY(DATE(AnnéeCalendrier,5,17),1),"jjj")</f>
        <v>ven</v>
      </c>
      <c r="S5" s="12" t="str">
        <f>TEXT(WEEKDAY(DATE(AnnéeCalendrier,5,18),1),"jjj")</f>
        <v>sam</v>
      </c>
      <c r="T5" s="12" t="str">
        <f>TEXT(WEEKDAY(DATE(AnnéeCalendrier,5,19),1),"jjj")</f>
        <v>dim</v>
      </c>
      <c r="U5" s="12" t="str">
        <f>TEXT(WEEKDAY(DATE(AnnéeCalendrier,5,20),1),"jjj")</f>
        <v>lun</v>
      </c>
      <c r="V5" s="12" t="str">
        <f>TEXT(WEEKDAY(DATE(AnnéeCalendrier,5,21),1),"jjj")</f>
        <v>mar</v>
      </c>
      <c r="W5" s="12" t="str">
        <f>TEXT(WEEKDAY(DATE(AnnéeCalendrier,5,22),1),"jjj")</f>
        <v>mer</v>
      </c>
      <c r="X5" s="12" t="str">
        <f>TEXT(WEEKDAY(DATE(AnnéeCalendrier,5,23),1),"jjj")</f>
        <v>jeu</v>
      </c>
      <c r="Y5" s="12" t="str">
        <f>TEXT(WEEKDAY(DATE(AnnéeCalendrier,5,24),1),"jjj")</f>
        <v>ven</v>
      </c>
      <c r="Z5" s="12" t="str">
        <f>TEXT(WEEKDAY(DATE(AnnéeCalendrier,5,25),1),"jjj")</f>
        <v>sam</v>
      </c>
      <c r="AA5" s="12" t="str">
        <f>TEXT(WEEKDAY(DATE(AnnéeCalendrier,5,26),1),"jjj")</f>
        <v>dim</v>
      </c>
      <c r="AB5" s="12" t="str">
        <f>TEXT(WEEKDAY(DATE(AnnéeCalendrier,5,27),1),"jjj")</f>
        <v>lun</v>
      </c>
      <c r="AC5" s="12" t="str">
        <f>TEXT(WEEKDAY(DATE(AnnéeCalendrier,5,28),1),"jjj")</f>
        <v>mar</v>
      </c>
      <c r="AD5" s="12" t="str">
        <f>TEXT(WEEKDAY(DATE(AnnéeCalendrier,5,29),1),"jjj")</f>
        <v>mer</v>
      </c>
      <c r="AE5" s="12" t="str">
        <f>TEXT(WEEKDAY(DATE(AnnéeCalendrier,5,30),1),"jjj")</f>
        <v>jeu</v>
      </c>
      <c r="AF5" s="12" t="str">
        <f>TEXT(WEEKDAY(DATE(AnnéeCalendrier,5,31),1),"jjj")</f>
        <v>ven</v>
      </c>
      <c r="AG5" s="10"/>
      <c r="AH5" s="74" t="s">
        <v>15</v>
      </c>
      <c r="AI5" s="74"/>
      <c r="AJ5" s="74"/>
      <c r="AK5" s="74"/>
      <c r="AL5" s="74"/>
    </row>
    <row r="6" spans="1:38" ht="15" customHeight="1" thickTop="1" x14ac:dyDescent="0.25">
      <c r="A6" s="33" t="s">
        <v>16</v>
      </c>
      <c r="B6" s="14" t="s">
        <v>17</v>
      </c>
      <c r="C6" s="14" t="s">
        <v>18</v>
      </c>
      <c r="D6" s="14" t="s">
        <v>19</v>
      </c>
      <c r="E6" s="14" t="s">
        <v>20</v>
      </c>
      <c r="F6" s="14" t="s">
        <v>21</v>
      </c>
      <c r="G6" s="14" t="s">
        <v>22</v>
      </c>
      <c r="H6" s="14" t="s">
        <v>23</v>
      </c>
      <c r="I6" s="14" t="s">
        <v>24</v>
      </c>
      <c r="J6" s="14" t="s">
        <v>25</v>
      </c>
      <c r="K6" s="14" t="s">
        <v>26</v>
      </c>
      <c r="L6" s="14" t="s">
        <v>27</v>
      </c>
      <c r="M6" s="14" t="s">
        <v>28</v>
      </c>
      <c r="N6" s="14" t="s">
        <v>29</v>
      </c>
      <c r="O6" s="14" t="s">
        <v>30</v>
      </c>
      <c r="P6" s="14" t="s">
        <v>31</v>
      </c>
      <c r="Q6" s="14" t="s">
        <v>32</v>
      </c>
      <c r="R6" s="14" t="s">
        <v>33</v>
      </c>
      <c r="S6" s="14" t="s">
        <v>34</v>
      </c>
      <c r="T6" s="14" t="s">
        <v>35</v>
      </c>
      <c r="U6" s="14" t="s">
        <v>36</v>
      </c>
      <c r="V6" s="14" t="s">
        <v>37</v>
      </c>
      <c r="W6" s="14" t="s">
        <v>38</v>
      </c>
      <c r="X6" s="14" t="s">
        <v>39</v>
      </c>
      <c r="Y6" s="14" t="s">
        <v>40</v>
      </c>
      <c r="Z6" s="14" t="s">
        <v>41</v>
      </c>
      <c r="AA6" s="14" t="s">
        <v>42</v>
      </c>
      <c r="AB6" s="14" t="s">
        <v>43</v>
      </c>
      <c r="AC6" s="14" t="s">
        <v>44</v>
      </c>
      <c r="AD6" s="14" t="s">
        <v>45</v>
      </c>
      <c r="AE6" s="14" t="s">
        <v>46</v>
      </c>
      <c r="AF6" s="14" t="s">
        <v>47</v>
      </c>
      <c r="AG6" s="15" t="s">
        <v>48</v>
      </c>
      <c r="AH6" s="29" t="s">
        <v>2</v>
      </c>
      <c r="AI6" s="6" t="s">
        <v>4</v>
      </c>
      <c r="AJ6" s="5" t="s">
        <v>6</v>
      </c>
      <c r="AK6" s="7" t="s">
        <v>8</v>
      </c>
      <c r="AL6" s="8" t="s">
        <v>10</v>
      </c>
    </row>
    <row r="7" spans="1:38" x14ac:dyDescent="0.25">
      <c r="A7" s="34" t="s">
        <v>73</v>
      </c>
      <c r="B7" s="30"/>
      <c r="C7" s="30"/>
      <c r="D7" s="30"/>
      <c r="E7" s="30"/>
      <c r="F7" s="41"/>
      <c r="G7" s="30"/>
      <c r="H7" s="30"/>
      <c r="I7" s="30"/>
      <c r="J7" s="30"/>
      <c r="K7" s="30"/>
      <c r="L7" s="30"/>
      <c r="M7" s="41"/>
      <c r="N7" s="30"/>
      <c r="O7" s="30"/>
      <c r="P7" s="30"/>
      <c r="Q7" s="30"/>
      <c r="R7" s="30"/>
      <c r="S7" s="30"/>
      <c r="T7" s="41"/>
      <c r="U7" s="30"/>
      <c r="V7" s="30"/>
      <c r="W7" s="30"/>
      <c r="X7" s="30"/>
      <c r="Y7" s="30"/>
      <c r="Z7" s="30"/>
      <c r="AA7" s="41"/>
      <c r="AB7" s="30"/>
      <c r="AC7" s="30"/>
      <c r="AD7" s="30"/>
      <c r="AE7" s="30"/>
      <c r="AF7" s="30"/>
      <c r="AG7" s="16">
        <f>COUNTA(Mai!$B7:$AF7)</f>
        <v>0</v>
      </c>
      <c r="AH7" s="17">
        <f t="shared" ref="AH7:AH11" si="0">COUNTIF(B7:AF7,Congé)</f>
        <v>0</v>
      </c>
      <c r="AI7" s="17">
        <f t="shared" ref="AI7:AI11" si="1">COUNTIF(B7:AF7,Maternité)</f>
        <v>0</v>
      </c>
      <c r="AJ7" s="17">
        <f t="shared" ref="AJ7:AJ11" si="2">COUNTIF(B7:AF7,Maladie)</f>
        <v>0</v>
      </c>
      <c r="AK7" s="17">
        <f t="shared" ref="AK7:AK11" si="3">COUNTIF(B7:AF7,Permission)</f>
        <v>0</v>
      </c>
      <c r="AL7" s="17">
        <f t="shared" ref="AL7:AL11" si="4">COUNTIF(B7:AF7,Deduire)</f>
        <v>0</v>
      </c>
    </row>
    <row r="8" spans="1:38" x14ac:dyDescent="0.25">
      <c r="A8" s="34" t="s">
        <v>74</v>
      </c>
      <c r="B8" s="30"/>
      <c r="C8" s="30"/>
      <c r="D8" s="30"/>
      <c r="E8" s="30"/>
      <c r="F8" s="41"/>
      <c r="G8" s="30"/>
      <c r="H8" s="30"/>
      <c r="I8" s="30"/>
      <c r="J8" s="30"/>
      <c r="K8" s="30"/>
      <c r="L8" s="30"/>
      <c r="M8" s="41"/>
      <c r="N8" s="30"/>
      <c r="O8" s="30"/>
      <c r="P8" s="30"/>
      <c r="Q8" s="30"/>
      <c r="R8" s="30"/>
      <c r="S8" s="30"/>
      <c r="T8" s="41"/>
      <c r="U8" s="30"/>
      <c r="V8" s="30"/>
      <c r="W8" s="30"/>
      <c r="X8" s="30"/>
      <c r="Y8" s="30"/>
      <c r="Z8" s="30"/>
      <c r="AA8" s="41"/>
      <c r="AB8" s="30"/>
      <c r="AC8" s="30"/>
      <c r="AD8" s="30"/>
      <c r="AE8" s="30"/>
      <c r="AF8" s="30"/>
      <c r="AG8" s="16">
        <f>COUNTA(Mai!$B8:$AF8)</f>
        <v>0</v>
      </c>
      <c r="AH8" s="17">
        <f t="shared" si="0"/>
        <v>0</v>
      </c>
      <c r="AI8" s="17">
        <f t="shared" si="1"/>
        <v>0</v>
      </c>
      <c r="AJ8" s="17">
        <f t="shared" si="2"/>
        <v>0</v>
      </c>
      <c r="AK8" s="17">
        <f t="shared" si="3"/>
        <v>0</v>
      </c>
      <c r="AL8" s="17">
        <f t="shared" si="4"/>
        <v>0</v>
      </c>
    </row>
    <row r="9" spans="1:38" x14ac:dyDescent="0.25">
      <c r="A9" s="34" t="s">
        <v>75</v>
      </c>
      <c r="B9" s="30"/>
      <c r="C9" s="30"/>
      <c r="D9" s="30"/>
      <c r="E9" s="30"/>
      <c r="F9" s="41"/>
      <c r="G9" s="30"/>
      <c r="H9" s="30"/>
      <c r="I9" s="30"/>
      <c r="J9" s="30"/>
      <c r="K9" s="30"/>
      <c r="L9" s="30"/>
      <c r="M9" s="41"/>
      <c r="N9" s="30"/>
      <c r="O9" s="30"/>
      <c r="P9" s="30"/>
      <c r="Q9" s="30"/>
      <c r="R9" s="30"/>
      <c r="S9" s="30"/>
      <c r="T9" s="41"/>
      <c r="U9" s="30"/>
      <c r="V9" s="30"/>
      <c r="W9" s="30"/>
      <c r="X9" s="30"/>
      <c r="Y9" s="30"/>
      <c r="Z9" s="30"/>
      <c r="AA9" s="41"/>
      <c r="AB9" s="30"/>
      <c r="AC9" s="30"/>
      <c r="AD9" s="30"/>
      <c r="AE9" s="30"/>
      <c r="AF9" s="16"/>
      <c r="AG9" s="16">
        <f>COUNTA(Mai!$B9:$AF9)</f>
        <v>0</v>
      </c>
      <c r="AH9" s="17">
        <f t="shared" si="0"/>
        <v>0</v>
      </c>
      <c r="AI9" s="17">
        <f t="shared" si="1"/>
        <v>0</v>
      </c>
      <c r="AJ9" s="17">
        <f t="shared" si="2"/>
        <v>0</v>
      </c>
      <c r="AK9" s="17">
        <f t="shared" si="3"/>
        <v>0</v>
      </c>
      <c r="AL9" s="17">
        <f t="shared" si="4"/>
        <v>0</v>
      </c>
    </row>
    <row r="10" spans="1:38" x14ac:dyDescent="0.25">
      <c r="A10" s="34" t="s">
        <v>76</v>
      </c>
      <c r="B10" s="30"/>
      <c r="C10" s="30"/>
      <c r="D10" s="30"/>
      <c r="E10" s="30"/>
      <c r="F10" s="41"/>
      <c r="G10" s="30"/>
      <c r="H10" s="30"/>
      <c r="I10" s="30"/>
      <c r="J10" s="30"/>
      <c r="K10" s="30"/>
      <c r="L10" s="30"/>
      <c r="M10" s="41"/>
      <c r="N10" s="30"/>
      <c r="O10" s="30"/>
      <c r="P10" s="30"/>
      <c r="Q10" s="30"/>
      <c r="R10" s="30"/>
      <c r="S10" s="30"/>
      <c r="T10" s="41"/>
      <c r="U10" s="30"/>
      <c r="V10" s="30"/>
      <c r="W10" s="30"/>
      <c r="X10" s="30"/>
      <c r="Y10" s="30"/>
      <c r="Z10" s="30"/>
      <c r="AA10" s="41"/>
      <c r="AB10" s="30"/>
      <c r="AC10" s="30"/>
      <c r="AD10" s="30"/>
      <c r="AE10" s="30"/>
      <c r="AF10" s="16"/>
      <c r="AG10" s="16">
        <f>COUNTA(Mai!$B10:$AF10)</f>
        <v>0</v>
      </c>
      <c r="AH10" s="17">
        <f t="shared" si="0"/>
        <v>0</v>
      </c>
      <c r="AI10" s="17">
        <f t="shared" si="1"/>
        <v>0</v>
      </c>
      <c r="AJ10" s="17">
        <f t="shared" si="2"/>
        <v>0</v>
      </c>
      <c r="AK10" s="17">
        <f t="shared" si="3"/>
        <v>0</v>
      </c>
      <c r="AL10" s="17">
        <f t="shared" si="4"/>
        <v>0</v>
      </c>
    </row>
    <row r="11" spans="1:38" x14ac:dyDescent="0.25">
      <c r="A11" s="34" t="s">
        <v>77</v>
      </c>
      <c r="B11" s="30"/>
      <c r="C11" s="30"/>
      <c r="D11" s="30"/>
      <c r="E11" s="30"/>
      <c r="F11" s="41"/>
      <c r="G11" s="30"/>
      <c r="H11" s="30"/>
      <c r="I11" s="30"/>
      <c r="J11" s="30"/>
      <c r="K11" s="30"/>
      <c r="L11" s="30"/>
      <c r="M11" s="41"/>
      <c r="N11" s="30"/>
      <c r="O11" s="30"/>
      <c r="P11" s="30"/>
      <c r="Q11" s="30"/>
      <c r="R11" s="30"/>
      <c r="S11" s="30"/>
      <c r="T11" s="41"/>
      <c r="U11" s="30"/>
      <c r="V11" s="30"/>
      <c r="W11" s="30"/>
      <c r="X11" s="30"/>
      <c r="Y11" s="30"/>
      <c r="Z11" s="30"/>
      <c r="AA11" s="41"/>
      <c r="AB11" s="30"/>
      <c r="AC11" s="30"/>
      <c r="AD11" s="30"/>
      <c r="AE11" s="30"/>
      <c r="AF11" s="30"/>
      <c r="AG11" s="16">
        <f>COUNTA(Mai!$B11:$AF11)</f>
        <v>0</v>
      </c>
      <c r="AH11" s="17">
        <f t="shared" si="0"/>
        <v>0</v>
      </c>
      <c r="AI11" s="17">
        <f t="shared" si="1"/>
        <v>0</v>
      </c>
      <c r="AJ11" s="17">
        <f t="shared" si="2"/>
        <v>0</v>
      </c>
      <c r="AK11" s="17">
        <f t="shared" si="3"/>
        <v>0</v>
      </c>
      <c r="AL11" s="17">
        <f t="shared" si="4"/>
        <v>0</v>
      </c>
    </row>
    <row r="12" spans="1:38" x14ac:dyDescent="0.25">
      <c r="A12" s="61" t="str">
        <f>NomMois&amp;" Total"</f>
        <v>Mai Total</v>
      </c>
      <c r="B12" s="62">
        <f>SUBTOTAL(103,Mai!$B$7:$B$11)</f>
        <v>0</v>
      </c>
      <c r="C12" s="62">
        <f>SUBTOTAL(103,Mai!$B$7:$B$11)</f>
        <v>0</v>
      </c>
      <c r="D12" s="62">
        <f>SUBTOTAL(103,Mai!$B$7:$B$11)</f>
        <v>0</v>
      </c>
      <c r="E12" s="62">
        <f>SUBTOTAL(103,Mai!$B$7:$B$11)</f>
        <v>0</v>
      </c>
      <c r="F12" s="63">
        <f>SUBTOTAL(103,Mai!$B$7:$B$11)</f>
        <v>0</v>
      </c>
      <c r="G12" s="62">
        <f>SUBTOTAL(103,Mai!$B$7:$B$11)</f>
        <v>0</v>
      </c>
      <c r="H12" s="62">
        <f>SUBTOTAL(103,Mai!$B$7:$B$11)</f>
        <v>0</v>
      </c>
      <c r="I12" s="62">
        <f>SUBTOTAL(103,Mai!$B$7:$B$11)</f>
        <v>0</v>
      </c>
      <c r="J12" s="62">
        <f>SUBTOTAL(103,Mai!$B$7:$B$11)</f>
        <v>0</v>
      </c>
      <c r="K12" s="62">
        <f>SUBTOTAL(103,Mai!$B$7:$B$11)</f>
        <v>0</v>
      </c>
      <c r="L12" s="62">
        <f>SUBTOTAL(103,Mai!$B$7:$B$11)</f>
        <v>0</v>
      </c>
      <c r="M12" s="63">
        <f>SUBTOTAL(103,Mai!$B$7:$B$11)</f>
        <v>0</v>
      </c>
      <c r="N12" s="62">
        <f>SUBTOTAL(103,Mai!$B$7:$B$11)</f>
        <v>0</v>
      </c>
      <c r="O12" s="62">
        <f>SUBTOTAL(103,Mai!$B$7:$B$11)</f>
        <v>0</v>
      </c>
      <c r="P12" s="62">
        <f>SUBTOTAL(103,Mai!$B$7:$B$11)</f>
        <v>0</v>
      </c>
      <c r="Q12" s="62">
        <f>SUBTOTAL(103,Mai!$B$7:$B$11)</f>
        <v>0</v>
      </c>
      <c r="R12" s="62">
        <f>SUBTOTAL(103,Mai!$B$7:$B$11)</f>
        <v>0</v>
      </c>
      <c r="S12" s="62">
        <f>SUBTOTAL(103,Mai!$B$7:$B$11)</f>
        <v>0</v>
      </c>
      <c r="T12" s="63">
        <f>SUBTOTAL(103,Mai!$B$7:$B$11)</f>
        <v>0</v>
      </c>
      <c r="U12" s="62">
        <f>SUBTOTAL(103,Mai!$B$7:$B$11)</f>
        <v>0</v>
      </c>
      <c r="V12" s="62">
        <f>SUBTOTAL(103,Mai!$B$7:$B$11)</f>
        <v>0</v>
      </c>
      <c r="W12" s="62">
        <f>SUBTOTAL(103,Mai!$B$7:$B$11)</f>
        <v>0</v>
      </c>
      <c r="X12" s="62">
        <f>SUBTOTAL(103,Mai!$B$7:$B$11)</f>
        <v>0</v>
      </c>
      <c r="Y12" s="62">
        <f>SUBTOTAL(103,Mai!$B$7:$B$11)</f>
        <v>0</v>
      </c>
      <c r="Z12" s="62">
        <f>SUBTOTAL(103,Mai!$B$7:$B$11)</f>
        <v>0</v>
      </c>
      <c r="AA12" s="63">
        <f>SUBTOTAL(103,Mai!$B$7:$B$11)</f>
        <v>0</v>
      </c>
      <c r="AB12" s="62">
        <f>SUBTOTAL(103,Mai!$B$7:$B$11)</f>
        <v>0</v>
      </c>
      <c r="AC12" s="62">
        <f>SUBTOTAL(103,Mai!$B$7:$B$11)</f>
        <v>0</v>
      </c>
      <c r="AD12" s="62">
        <f>SUBTOTAL(103,Mai!$B$7:$B$11)</f>
        <v>0</v>
      </c>
      <c r="AE12" s="62">
        <f>SUBTOTAL(103,Mai!$B$7:$B$11)</f>
        <v>0</v>
      </c>
      <c r="AF12" s="62">
        <f>SUBTOTAL(103,Mai!$B$7:$B$11)</f>
        <v>0</v>
      </c>
      <c r="AG12" s="62">
        <f>SUBTOTAL(109,Avril7[Total des jours])</f>
        <v>0</v>
      </c>
    </row>
  </sheetData>
  <mergeCells count="7">
    <mergeCell ref="AH5:AL5"/>
    <mergeCell ref="C2:D2"/>
    <mergeCell ref="F2:H2"/>
    <mergeCell ref="J2:K2"/>
    <mergeCell ref="M2:P2"/>
    <mergeCell ref="R2:U2"/>
    <mergeCell ref="B4:AF4"/>
  </mergeCells>
  <conditionalFormatting sqref="B7:AF11">
    <cfRule type="cellIs" dxfId="554" priority="22" operator="equal">
      <formula>"D"</formula>
    </cfRule>
    <cfRule type="cellIs" dxfId="553" priority="23" operator="equal">
      <formula>"P"</formula>
    </cfRule>
    <cfRule type="cellIs" dxfId="552" priority="24" operator="equal">
      <formula>"M"</formula>
    </cfRule>
    <cfRule type="cellIs" dxfId="551" priority="25" operator="equal">
      <formula>"B"</formula>
    </cfRule>
    <cfRule type="cellIs" dxfId="550" priority="26" operator="equal">
      <formula>"C"</formula>
    </cfRule>
  </conditionalFormatting>
  <conditionalFormatting sqref="AG7:AG11">
    <cfRule type="dataBar" priority="21">
      <dataBar>
        <cfvo type="num" val="0"/>
        <cfvo type="num" val="30"/>
        <color theme="4"/>
      </dataBar>
      <extLst>
        <ext xmlns:x14="http://schemas.microsoft.com/office/spreadsheetml/2009/9/main" uri="{B025F937-C7B1-47D3-B67F-A62EFF666E3E}">
          <x14:id>{C017183F-A0E4-4BE3-90DA-D1CFD7CD156B}</x14:id>
        </ext>
      </extLst>
    </cfRule>
  </conditionalFormatting>
  <dataValidations count="14">
    <dataValidation allowBlank="1" showInputMessage="1" showErrorMessage="1" prompt="Année mise à jour automatiquement en fonction de l’année entrée dans la feuille de calcul Janvier" sqref="AG4"/>
    <dataValidation allowBlank="1" showInputMessage="1" showErrorMessage="1" prompt="Calcule automatiquement le nombre total de jours d’absence d’un employé durant ce mois dans cette colonne" sqref="AG6"/>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Le titre mis à jour automatiquement figure dans cette cellule. Pour modifier le titre, mettez à jour la cellule B1 de la feuille de calcul Janvier" sqref="A1"/>
    <dataValidation allowBlank="1" showInputMessage="1" showErrorMessage="1" prompt="La lettre « C » indique une absence pour cause de congé" sqref="B2"/>
    <dataValidation allowBlank="1" showInputMessage="1" showErrorMessage="1" prompt="La lettre « P » indique une absence pour motifs personnels" sqref="E2"/>
    <dataValidation allowBlank="1" showInputMessage="1" showErrorMessage="1" prompt="La lettre « M » indique une absence pour cause de maladie" sqref="I2"/>
    <dataValidation allowBlank="1" showInputMessage="1" showErrorMessage="1" prompt="Entrez une lettre et personnalisez l’étiquette à droite pour ajouter un élément de clé" sqref="L2 Q2"/>
    <dataValidation allowBlank="1" showInputMessage="1" showErrorMessage="1" prompt="Entrez une étiquette pour décrire la clé personnalisée à gauche" sqref="M2 R2"/>
    <dataValidation allowBlank="1" showInputMessage="1" showErrorMessage="1" prompt="Cette ligne définit les clés utilisées dans le tableau : Congé en C2, Personnel en F2 et Congé maladie en J2. Les cellules M2 et R2 sont personnalisables " sqref="A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5"/>
    <dataValidation type="list" allowBlank="1" showInputMessage="1" showErrorMessage="1" sqref="B7:AF11">
      <formula1>"C,B,M,P,D"</formula1>
    </dataValidation>
  </dataValidations>
  <pageMargins left="0.7" right="0.7" top="0.75" bottom="0.75" header="0.3" footer="0.3"/>
  <pageSetup paperSize="9"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C017183F-A0E4-4BE3-90DA-D1CFD7CD156B}">
            <x14:dataBar minLength="0" maxLength="100">
              <x14:cfvo type="num">
                <xm:f>0</xm:f>
              </x14:cfvo>
              <x14:cfvo type="num">
                <xm:f>30</xm:f>
              </x14:cfvo>
              <x14:negativeFillColor rgb="FFFF0000"/>
              <x14:axisColor rgb="FF000000"/>
            </x14:dataBar>
          </x14:cfRule>
          <xm:sqref>AG7:AG11</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2"/>
  <sheetViews>
    <sheetView topLeftCell="F3" workbookViewId="0">
      <selection activeCell="A3" sqref="A1:XFD1048576"/>
    </sheetView>
  </sheetViews>
  <sheetFormatPr baseColWidth="10" defaultColWidth="9.140625" defaultRowHeight="15" x14ac:dyDescent="0.25"/>
  <cols>
    <col min="1" max="1" width="54.42578125" style="2" bestFit="1" customWidth="1"/>
    <col min="2" max="32" width="4.7109375" style="2" customWidth="1"/>
    <col min="33" max="33" width="13.5703125" style="2" customWidth="1"/>
    <col min="34" max="34" width="9.28515625" style="3" customWidth="1"/>
    <col min="35" max="16384" width="9.140625" style="3"/>
  </cols>
  <sheetData>
    <row r="1" spans="1:38" ht="23.25" x14ac:dyDescent="0.25">
      <c r="A1" s="1" t="str">
        <f>Titre_Absence_Employé</f>
        <v>Calendrier des absences des employés</v>
      </c>
    </row>
    <row r="2" spans="1:38" ht="15.75" thickBot="1" x14ac:dyDescent="0.3">
      <c r="A2" s="4" t="s">
        <v>1</v>
      </c>
      <c r="B2" s="29" t="s">
        <v>2</v>
      </c>
      <c r="C2" s="76" t="s">
        <v>60</v>
      </c>
      <c r="D2" s="76"/>
      <c r="E2" s="6" t="s">
        <v>4</v>
      </c>
      <c r="F2" s="75" t="s">
        <v>5</v>
      </c>
      <c r="G2" s="76"/>
      <c r="H2" s="76"/>
      <c r="I2" s="28" t="s">
        <v>6</v>
      </c>
      <c r="J2" s="76" t="s">
        <v>7</v>
      </c>
      <c r="K2" s="76"/>
      <c r="L2" s="7" t="s">
        <v>8</v>
      </c>
      <c r="M2" s="75" t="s">
        <v>9</v>
      </c>
      <c r="N2" s="76"/>
      <c r="O2" s="76"/>
      <c r="P2" s="76"/>
      <c r="Q2" s="8" t="s">
        <v>10</v>
      </c>
      <c r="R2" s="75" t="s">
        <v>64</v>
      </c>
      <c r="S2" s="76"/>
      <c r="T2" s="76"/>
      <c r="U2" s="76"/>
    </row>
    <row r="3" spans="1:38" ht="23.25" x14ac:dyDescent="0.25">
      <c r="A3" s="1"/>
    </row>
    <row r="4" spans="1:38" ht="18" thickBot="1" x14ac:dyDescent="0.3">
      <c r="A4" s="11" t="s">
        <v>68</v>
      </c>
      <c r="B4" s="77" t="s">
        <v>14</v>
      </c>
      <c r="C4" s="77"/>
      <c r="D4" s="77"/>
      <c r="E4" s="77"/>
      <c r="F4" s="77"/>
      <c r="G4" s="77"/>
      <c r="H4" s="77"/>
      <c r="I4" s="77"/>
      <c r="J4" s="77"/>
      <c r="K4" s="77"/>
      <c r="L4" s="77"/>
      <c r="M4" s="77"/>
      <c r="N4" s="77"/>
      <c r="O4" s="77"/>
      <c r="P4" s="77"/>
      <c r="Q4" s="77"/>
      <c r="R4" s="77"/>
      <c r="S4" s="77"/>
      <c r="T4" s="77"/>
      <c r="U4" s="77"/>
      <c r="V4" s="77"/>
      <c r="W4" s="77"/>
      <c r="X4" s="77"/>
      <c r="Y4" s="77"/>
      <c r="Z4" s="77"/>
      <c r="AA4" s="77"/>
      <c r="AB4" s="77"/>
      <c r="AC4" s="77"/>
      <c r="AD4" s="77"/>
      <c r="AE4" s="77"/>
      <c r="AF4" s="77"/>
      <c r="AG4" s="11">
        <f>AnnéeCalendrier</f>
        <v>2019</v>
      </c>
    </row>
    <row r="5" spans="1:38" ht="18.75" thickTop="1" thickBot="1" x14ac:dyDescent="0.3">
      <c r="A5" s="11"/>
      <c r="B5" s="12" t="str">
        <f>TEXT(WEEKDAY(DATE(AnnéeCalendrier,6,1),1),"jjj")</f>
        <v>sam</v>
      </c>
      <c r="C5" s="12" t="str">
        <f>TEXT(WEEKDAY(DATE(AnnéeCalendrier,6,2),1),"jjj")</f>
        <v>dim</v>
      </c>
      <c r="D5" s="12" t="str">
        <f>TEXT(WEEKDAY(DATE(AnnéeCalendrier,6,3),1),"jjj")</f>
        <v>lun</v>
      </c>
      <c r="E5" s="12" t="str">
        <f>TEXT(WEEKDAY(DATE(AnnéeCalendrier,6,4),1),"jjj")</f>
        <v>mar</v>
      </c>
      <c r="F5" s="12" t="str">
        <f>TEXT(WEEKDAY(DATE(AnnéeCalendrier,6,5),1),"jjj")</f>
        <v>mer</v>
      </c>
      <c r="G5" s="12" t="str">
        <f>TEXT(WEEKDAY(DATE(AnnéeCalendrier,6,6),1),"jjj")</f>
        <v>jeu</v>
      </c>
      <c r="H5" s="12" t="str">
        <f>TEXT(WEEKDAY(DATE(AnnéeCalendrier,6,7),1),"jjj")</f>
        <v>ven</v>
      </c>
      <c r="I5" s="12" t="str">
        <f>TEXT(WEEKDAY(DATE(AnnéeCalendrier,6,8),1),"jjj")</f>
        <v>sam</v>
      </c>
      <c r="J5" s="12" t="str">
        <f>TEXT(WEEKDAY(DATE(AnnéeCalendrier,6,9),1),"jjj")</f>
        <v>dim</v>
      </c>
      <c r="K5" s="12" t="str">
        <f>TEXT(WEEKDAY(DATE(AnnéeCalendrier,6,10),1),"jjj")</f>
        <v>lun</v>
      </c>
      <c r="L5" s="12" t="str">
        <f>TEXT(WEEKDAY(DATE(AnnéeCalendrier,6,11),1),"jjj")</f>
        <v>mar</v>
      </c>
      <c r="M5" s="12" t="str">
        <f>TEXT(WEEKDAY(DATE(AnnéeCalendrier,6,12),1),"jjj")</f>
        <v>mer</v>
      </c>
      <c r="N5" s="12" t="str">
        <f>TEXT(WEEKDAY(DATE(AnnéeCalendrier,6,13),1),"jjj")</f>
        <v>jeu</v>
      </c>
      <c r="O5" s="12" t="str">
        <f>TEXT(WEEKDAY(DATE(AnnéeCalendrier,6,14),1),"jjj")</f>
        <v>ven</v>
      </c>
      <c r="P5" s="12" t="str">
        <f>TEXT(WEEKDAY(DATE(AnnéeCalendrier,6,15),1),"jjj")</f>
        <v>sam</v>
      </c>
      <c r="Q5" s="12" t="str">
        <f>TEXT(WEEKDAY(DATE(AnnéeCalendrier,6,16),1),"jjj")</f>
        <v>dim</v>
      </c>
      <c r="R5" s="12" t="str">
        <f>TEXT(WEEKDAY(DATE(AnnéeCalendrier,6,17),1),"jjj")</f>
        <v>lun</v>
      </c>
      <c r="S5" s="12" t="str">
        <f>TEXT(WEEKDAY(DATE(AnnéeCalendrier,6,18),1),"jjj")</f>
        <v>mar</v>
      </c>
      <c r="T5" s="12" t="str">
        <f>TEXT(WEEKDAY(DATE(AnnéeCalendrier,6,19),1),"jjj")</f>
        <v>mer</v>
      </c>
      <c r="U5" s="12" t="str">
        <f>TEXT(WEEKDAY(DATE(AnnéeCalendrier,6,20),1),"jjj")</f>
        <v>jeu</v>
      </c>
      <c r="V5" s="12" t="str">
        <f>TEXT(WEEKDAY(DATE(AnnéeCalendrier,6,21),1),"jjj")</f>
        <v>ven</v>
      </c>
      <c r="W5" s="12" t="str">
        <f>TEXT(WEEKDAY(DATE(AnnéeCalendrier,6,22),1),"jjj")</f>
        <v>sam</v>
      </c>
      <c r="X5" s="12" t="str">
        <f>TEXT(WEEKDAY(DATE(AnnéeCalendrier,6,23),1),"jjj")</f>
        <v>dim</v>
      </c>
      <c r="Y5" s="12" t="str">
        <f>TEXT(WEEKDAY(DATE(AnnéeCalendrier,6,24),1),"jjj")</f>
        <v>lun</v>
      </c>
      <c r="Z5" s="12" t="str">
        <f>TEXT(WEEKDAY(DATE(AnnéeCalendrier,6,25),1),"jjj")</f>
        <v>mar</v>
      </c>
      <c r="AA5" s="12" t="str">
        <f>TEXT(WEEKDAY(DATE(AnnéeCalendrier,6,26),1),"jjj")</f>
        <v>mer</v>
      </c>
      <c r="AB5" s="12" t="str">
        <f>TEXT(WEEKDAY(DATE(AnnéeCalendrier,6,27),1),"jjj")</f>
        <v>jeu</v>
      </c>
      <c r="AC5" s="12" t="str">
        <f>TEXT(WEEKDAY(DATE(AnnéeCalendrier,6,28),1),"jjj")</f>
        <v>ven</v>
      </c>
      <c r="AD5" s="12" t="str">
        <f>TEXT(WEEKDAY(DATE(AnnéeCalendrier,6,29),1),"jjj")</f>
        <v>sam</v>
      </c>
      <c r="AE5" s="12" t="str">
        <f>TEXT(WEEKDAY(DATE(AnnéeCalendrier,6,30),1),"jjj")</f>
        <v>dim</v>
      </c>
      <c r="AF5" s="12"/>
      <c r="AG5" s="11"/>
      <c r="AH5" s="74" t="s">
        <v>15</v>
      </c>
      <c r="AI5" s="74"/>
      <c r="AJ5" s="74"/>
      <c r="AK5" s="74"/>
      <c r="AL5" s="74"/>
    </row>
    <row r="6" spans="1:38" ht="15.75" thickTop="1" x14ac:dyDescent="0.25">
      <c r="A6" s="33" t="s">
        <v>16</v>
      </c>
      <c r="B6" s="14" t="s">
        <v>17</v>
      </c>
      <c r="C6" s="14" t="s">
        <v>18</v>
      </c>
      <c r="D6" s="14" t="s">
        <v>19</v>
      </c>
      <c r="E6" s="14" t="s">
        <v>20</v>
      </c>
      <c r="F6" s="14" t="s">
        <v>21</v>
      </c>
      <c r="G6" s="14" t="s">
        <v>22</v>
      </c>
      <c r="H6" s="14" t="s">
        <v>23</v>
      </c>
      <c r="I6" s="14" t="s">
        <v>24</v>
      </c>
      <c r="J6" s="14" t="s">
        <v>25</v>
      </c>
      <c r="K6" s="14" t="s">
        <v>26</v>
      </c>
      <c r="L6" s="14" t="s">
        <v>27</v>
      </c>
      <c r="M6" s="14" t="s">
        <v>28</v>
      </c>
      <c r="N6" s="14" t="s">
        <v>29</v>
      </c>
      <c r="O6" s="14" t="s">
        <v>30</v>
      </c>
      <c r="P6" s="14" t="s">
        <v>31</v>
      </c>
      <c r="Q6" s="14" t="s">
        <v>32</v>
      </c>
      <c r="R6" s="14" t="s">
        <v>33</v>
      </c>
      <c r="S6" s="14" t="s">
        <v>34</v>
      </c>
      <c r="T6" s="14" t="s">
        <v>35</v>
      </c>
      <c r="U6" s="14" t="s">
        <v>36</v>
      </c>
      <c r="V6" s="14" t="s">
        <v>37</v>
      </c>
      <c r="W6" s="14" t="s">
        <v>38</v>
      </c>
      <c r="X6" s="14" t="s">
        <v>39</v>
      </c>
      <c r="Y6" s="14" t="s">
        <v>40</v>
      </c>
      <c r="Z6" s="14" t="s">
        <v>41</v>
      </c>
      <c r="AA6" s="14" t="s">
        <v>42</v>
      </c>
      <c r="AB6" s="14" t="s">
        <v>43</v>
      </c>
      <c r="AC6" s="14" t="s">
        <v>44</v>
      </c>
      <c r="AD6" s="14" t="s">
        <v>45</v>
      </c>
      <c r="AE6" s="47" t="s">
        <v>46</v>
      </c>
      <c r="AF6" s="14" t="s">
        <v>47</v>
      </c>
      <c r="AG6" s="15" t="s">
        <v>48</v>
      </c>
      <c r="AH6" s="29" t="s">
        <v>2</v>
      </c>
      <c r="AI6" s="6" t="s">
        <v>4</v>
      </c>
      <c r="AJ6" s="28" t="s">
        <v>6</v>
      </c>
      <c r="AK6" s="7" t="s">
        <v>8</v>
      </c>
      <c r="AL6" s="8" t="s">
        <v>10</v>
      </c>
    </row>
    <row r="7" spans="1:38" x14ac:dyDescent="0.25">
      <c r="A7" s="19" t="s">
        <v>73</v>
      </c>
      <c r="B7" s="37"/>
      <c r="C7" s="50"/>
      <c r="D7" s="39"/>
      <c r="E7" s="30"/>
      <c r="F7" s="30"/>
      <c r="G7" s="30"/>
      <c r="H7" s="30"/>
      <c r="I7" s="37"/>
      <c r="J7" s="50"/>
      <c r="K7" s="39"/>
      <c r="L7" s="30"/>
      <c r="M7" s="30"/>
      <c r="N7" s="30"/>
      <c r="O7" s="30"/>
      <c r="P7" s="37"/>
      <c r="Q7" s="50"/>
      <c r="R7" s="39"/>
      <c r="S7" s="30"/>
      <c r="T7" s="30"/>
      <c r="U7" s="30"/>
      <c r="V7" s="30"/>
      <c r="W7" s="37"/>
      <c r="X7" s="50"/>
      <c r="Y7" s="39"/>
      <c r="Z7" s="30"/>
      <c r="AA7" s="30"/>
      <c r="AB7" s="30"/>
      <c r="AC7" s="30"/>
      <c r="AD7" s="37"/>
      <c r="AE7" s="41"/>
      <c r="AF7" s="39"/>
      <c r="AG7" s="16">
        <f>COUNTA(Juin!$B7:$AF7)</f>
        <v>0</v>
      </c>
      <c r="AH7" s="17">
        <f t="shared" ref="AH7:AH11" si="0">COUNTIF(B7:AF7,Congé)</f>
        <v>0</v>
      </c>
      <c r="AI7" s="17">
        <f t="shared" ref="AI7:AI11" si="1">COUNTIF(B7:AF7,Maternité)</f>
        <v>0</v>
      </c>
      <c r="AJ7" s="17">
        <f t="shared" ref="AJ7:AJ11" si="2">COUNTIF(B7:AF7,Maladie)</f>
        <v>0</v>
      </c>
      <c r="AK7" s="17">
        <f t="shared" ref="AK7:AK11" si="3">COUNTIF(B7:AF7,Permission)</f>
        <v>0</v>
      </c>
      <c r="AL7" s="17">
        <f t="shared" ref="AL7:AL11" si="4">COUNTIF(B7:AF7,Deduire)</f>
        <v>0</v>
      </c>
    </row>
    <row r="8" spans="1:38" x14ac:dyDescent="0.25">
      <c r="A8" s="19" t="s">
        <v>74</v>
      </c>
      <c r="B8" s="37"/>
      <c r="C8" s="41"/>
      <c r="D8" s="39"/>
      <c r="E8" s="30"/>
      <c r="F8" s="30"/>
      <c r="G8" s="30"/>
      <c r="H8" s="30"/>
      <c r="I8" s="37"/>
      <c r="J8" s="41"/>
      <c r="K8" s="39"/>
      <c r="L8" s="30"/>
      <c r="M8" s="30"/>
      <c r="N8" s="30"/>
      <c r="O8" s="30"/>
      <c r="P8" s="37"/>
      <c r="Q8" s="41"/>
      <c r="R8" s="39"/>
      <c r="S8" s="30"/>
      <c r="T8" s="30"/>
      <c r="U8" s="30"/>
      <c r="V8" s="30"/>
      <c r="W8" s="37"/>
      <c r="X8" s="41"/>
      <c r="Y8" s="39"/>
      <c r="Z8" s="30"/>
      <c r="AA8" s="30"/>
      <c r="AB8" s="30"/>
      <c r="AC8" s="30"/>
      <c r="AD8" s="37"/>
      <c r="AE8" s="41"/>
      <c r="AF8" s="39"/>
      <c r="AG8" s="16">
        <f>COUNTA(Juin!$B8:$AF8)</f>
        <v>0</v>
      </c>
      <c r="AH8" s="17">
        <f t="shared" si="0"/>
        <v>0</v>
      </c>
      <c r="AI8" s="17">
        <f t="shared" si="1"/>
        <v>0</v>
      </c>
      <c r="AJ8" s="17">
        <f t="shared" si="2"/>
        <v>0</v>
      </c>
      <c r="AK8" s="17">
        <f t="shared" si="3"/>
        <v>0</v>
      </c>
      <c r="AL8" s="17">
        <f t="shared" si="4"/>
        <v>0</v>
      </c>
    </row>
    <row r="9" spans="1:38" x14ac:dyDescent="0.25">
      <c r="A9" s="19" t="s">
        <v>75</v>
      </c>
      <c r="B9" s="37"/>
      <c r="C9" s="41"/>
      <c r="D9" s="39"/>
      <c r="E9" s="30"/>
      <c r="F9" s="30"/>
      <c r="G9" s="30"/>
      <c r="H9" s="30"/>
      <c r="I9" s="37"/>
      <c r="J9" s="41"/>
      <c r="K9" s="39"/>
      <c r="L9" s="30"/>
      <c r="M9" s="30"/>
      <c r="N9" s="30"/>
      <c r="O9" s="30"/>
      <c r="P9" s="37"/>
      <c r="Q9" s="41"/>
      <c r="R9" s="39"/>
      <c r="S9" s="30"/>
      <c r="T9" s="30"/>
      <c r="U9" s="30"/>
      <c r="V9" s="30"/>
      <c r="W9" s="30"/>
      <c r="X9" s="41"/>
      <c r="Y9" s="39"/>
      <c r="Z9" s="39"/>
      <c r="AA9" s="39"/>
      <c r="AB9" s="39"/>
      <c r="AC9" s="39"/>
      <c r="AD9" s="39"/>
      <c r="AE9" s="41"/>
      <c r="AF9" s="39"/>
      <c r="AG9" s="16">
        <f>COUNTA(Juin!$B9:$AF9)</f>
        <v>0</v>
      </c>
      <c r="AH9" s="17">
        <f t="shared" si="0"/>
        <v>0</v>
      </c>
      <c r="AI9" s="17">
        <f t="shared" si="1"/>
        <v>0</v>
      </c>
      <c r="AJ9" s="17">
        <f t="shared" si="2"/>
        <v>0</v>
      </c>
      <c r="AK9" s="17">
        <f t="shared" si="3"/>
        <v>0</v>
      </c>
      <c r="AL9" s="17">
        <f t="shared" si="4"/>
        <v>0</v>
      </c>
    </row>
    <row r="10" spans="1:38" x14ac:dyDescent="0.25">
      <c r="A10" s="19" t="s">
        <v>76</v>
      </c>
      <c r="B10" s="37"/>
      <c r="C10" s="41"/>
      <c r="D10" s="39"/>
      <c r="E10" s="30"/>
      <c r="F10" s="30"/>
      <c r="G10" s="30"/>
      <c r="H10" s="30"/>
      <c r="I10" s="30"/>
      <c r="J10" s="41"/>
      <c r="K10" s="39"/>
      <c r="L10" s="30"/>
      <c r="M10" s="30"/>
      <c r="N10" s="30"/>
      <c r="O10" s="30"/>
      <c r="P10" s="37"/>
      <c r="Q10" s="41"/>
      <c r="R10" s="39"/>
      <c r="S10" s="30"/>
      <c r="T10" s="30"/>
      <c r="U10" s="30"/>
      <c r="V10" s="30"/>
      <c r="W10" s="37"/>
      <c r="X10" s="41"/>
      <c r="Y10" s="39"/>
      <c r="Z10" s="30"/>
      <c r="AA10" s="30"/>
      <c r="AB10" s="30"/>
      <c r="AC10" s="30"/>
      <c r="AD10" s="37"/>
      <c r="AE10" s="41"/>
      <c r="AF10" s="39"/>
      <c r="AG10" s="16">
        <f>COUNTA(Juin!$B10:$AF10)</f>
        <v>0</v>
      </c>
      <c r="AH10" s="17">
        <f t="shared" si="0"/>
        <v>0</v>
      </c>
      <c r="AI10" s="17">
        <f t="shared" si="1"/>
        <v>0</v>
      </c>
      <c r="AJ10" s="17">
        <f t="shared" si="2"/>
        <v>0</v>
      </c>
      <c r="AK10" s="17">
        <f t="shared" si="3"/>
        <v>0</v>
      </c>
      <c r="AL10" s="17">
        <f t="shared" si="4"/>
        <v>0</v>
      </c>
    </row>
    <row r="11" spans="1:38" x14ac:dyDescent="0.25">
      <c r="A11" s="19" t="s">
        <v>77</v>
      </c>
      <c r="B11" s="49"/>
      <c r="C11" s="51"/>
      <c r="D11" s="48"/>
      <c r="E11" s="52"/>
      <c r="F11" s="52"/>
      <c r="G11" s="52"/>
      <c r="H11" s="52"/>
      <c r="I11" s="49"/>
      <c r="J11" s="51"/>
      <c r="K11" s="48"/>
      <c r="L11" s="52"/>
      <c r="M11" s="52"/>
      <c r="N11" s="52"/>
      <c r="O11" s="52"/>
      <c r="P11" s="49"/>
      <c r="Q11" s="51"/>
      <c r="R11" s="48"/>
      <c r="S11" s="52"/>
      <c r="T11" s="52"/>
      <c r="U11" s="52"/>
      <c r="V11" s="52"/>
      <c r="W11" s="49"/>
      <c r="X11" s="51"/>
      <c r="Y11" s="48"/>
      <c r="Z11" s="52"/>
      <c r="AA11" s="52"/>
      <c r="AB11" s="52"/>
      <c r="AC11" s="52"/>
      <c r="AD11" s="49"/>
      <c r="AE11" s="51"/>
      <c r="AF11" s="53"/>
      <c r="AG11" s="16">
        <f>COUNTA(Juin!$B11:$AF11)</f>
        <v>0</v>
      </c>
      <c r="AH11" s="17">
        <f t="shared" si="0"/>
        <v>0</v>
      </c>
      <c r="AI11" s="17">
        <f t="shared" si="1"/>
        <v>0</v>
      </c>
      <c r="AJ11" s="17">
        <f t="shared" si="2"/>
        <v>0</v>
      </c>
      <c r="AK11" s="17">
        <f t="shared" si="3"/>
        <v>0</v>
      </c>
      <c r="AL11" s="17">
        <f t="shared" si="4"/>
        <v>0</v>
      </c>
    </row>
    <row r="12" spans="1:38" x14ac:dyDescent="0.25">
      <c r="A12" s="61" t="str">
        <f>NomMois&amp;" Total"</f>
        <v>Juin Total</v>
      </c>
      <c r="B12" s="62">
        <f>SUBTOTAL(103,Juin!$B$7:$B$11)</f>
        <v>0</v>
      </c>
      <c r="C12" s="62">
        <f>SUBTOTAL(103,Juin!$B$7:$B$11)</f>
        <v>0</v>
      </c>
      <c r="D12" s="62">
        <f>SUBTOTAL(103,Juin!$B$7:$B$11)</f>
        <v>0</v>
      </c>
      <c r="E12" s="62">
        <f>SUBTOTAL(103,Juin!$B$7:$B$11)</f>
        <v>0</v>
      </c>
      <c r="F12" s="62">
        <f>SUBTOTAL(103,Juin!$B$7:$B$11)</f>
        <v>0</v>
      </c>
      <c r="G12" s="62">
        <f>SUBTOTAL(103,Juin!$B$7:$B$11)</f>
        <v>0</v>
      </c>
      <c r="H12" s="62">
        <f>SUBTOTAL(103,Juin!$B$7:$B$11)</f>
        <v>0</v>
      </c>
      <c r="I12" s="62">
        <f>SUBTOTAL(103,Juin!$B$7:$B$11)</f>
        <v>0</v>
      </c>
      <c r="J12" s="62">
        <f>SUBTOTAL(103,Juin!$B$7:$B$11)</f>
        <v>0</v>
      </c>
      <c r="K12" s="62">
        <f>SUBTOTAL(103,Juin!$B$7:$B$11)</f>
        <v>0</v>
      </c>
      <c r="L12" s="62">
        <f>SUBTOTAL(103,Juin!$B$7:$B$11)</f>
        <v>0</v>
      </c>
      <c r="M12" s="62">
        <f>SUBTOTAL(103,Juin!$B$7:$B$11)</f>
        <v>0</v>
      </c>
      <c r="N12" s="62">
        <f>SUBTOTAL(103,Juin!$B$7:$B$11)</f>
        <v>0</v>
      </c>
      <c r="O12" s="62">
        <f>SUBTOTAL(103,Juin!$B$7:$B$11)</f>
        <v>0</v>
      </c>
      <c r="P12" s="62">
        <f>SUBTOTAL(103,Juin!$B$7:$B$11)</f>
        <v>0</v>
      </c>
      <c r="Q12" s="62">
        <f>SUBTOTAL(103,Juin!$B$7:$B$11)</f>
        <v>0</v>
      </c>
      <c r="R12" s="62">
        <f>SUBTOTAL(103,Juin!$B$7:$B$11)</f>
        <v>0</v>
      </c>
      <c r="S12" s="62">
        <f>SUBTOTAL(103,Juin!$B$7:$B$11)</f>
        <v>0</v>
      </c>
      <c r="T12" s="62">
        <f>SUBTOTAL(103,Juin!$B$7:$B$11)</f>
        <v>0</v>
      </c>
      <c r="U12" s="62">
        <f>SUBTOTAL(103,Juin!$B$7:$B$11)</f>
        <v>0</v>
      </c>
      <c r="V12" s="62">
        <f>SUBTOTAL(103,Juin!$B$7:$B$11)</f>
        <v>0</v>
      </c>
      <c r="W12" s="62">
        <f>SUBTOTAL(103,Juin!$B$7:$B$11)</f>
        <v>0</v>
      </c>
      <c r="X12" s="62">
        <f>SUBTOTAL(103,Juin!$B$7:$B$11)</f>
        <v>0</v>
      </c>
      <c r="Y12" s="62">
        <f>SUBTOTAL(103,Juin!$B$7:$B$11)</f>
        <v>0</v>
      </c>
      <c r="Z12" s="62">
        <f>SUBTOTAL(103,Juin!$B$7:$B$11)</f>
        <v>0</v>
      </c>
      <c r="AA12" s="62">
        <f>SUBTOTAL(103,Juin!$B$7:$B$11)</f>
        <v>0</v>
      </c>
      <c r="AB12" s="62">
        <f>SUBTOTAL(103,Juin!$B$7:$B$11)</f>
        <v>0</v>
      </c>
      <c r="AC12" s="62">
        <f>SUBTOTAL(103,Juin!$B$7:$B$11)</f>
        <v>0</v>
      </c>
      <c r="AD12" s="62">
        <f>SUBTOTAL(103,Juin!$B$7:$B$11)</f>
        <v>0</v>
      </c>
      <c r="AE12" s="62">
        <f>SUBTOTAL(103,Juin!$B$7:$B$11)</f>
        <v>0</v>
      </c>
      <c r="AF12" s="62">
        <f>SUBTOTAL(103,Juin!$B$7:$B$11)</f>
        <v>0</v>
      </c>
      <c r="AG12" s="62">
        <f>SUBTOTAL(109,Juin[Total des jours])</f>
        <v>0</v>
      </c>
    </row>
  </sheetData>
  <mergeCells count="7">
    <mergeCell ref="AH5:AL5"/>
    <mergeCell ref="C2:D2"/>
    <mergeCell ref="F2:H2"/>
    <mergeCell ref="J2:K2"/>
    <mergeCell ref="M2:P2"/>
    <mergeCell ref="R2:U2"/>
    <mergeCell ref="B4:AF4"/>
  </mergeCells>
  <conditionalFormatting sqref="AF6">
    <cfRule type="expression" dxfId="480" priority="7">
      <formula>MONTH(DATE(AnnéeCalendrier,2,29))&lt;&gt;2</formula>
    </cfRule>
  </conditionalFormatting>
  <conditionalFormatting sqref="AG7:AG11">
    <cfRule type="dataBar" priority="6">
      <dataBar>
        <cfvo type="num" val="0"/>
        <cfvo type="num" val="30"/>
        <color theme="4"/>
      </dataBar>
      <extLst>
        <ext xmlns:x14="http://schemas.microsoft.com/office/spreadsheetml/2009/9/main" uri="{B025F937-C7B1-47D3-B67F-A62EFF666E3E}">
          <x14:id>{40F53A89-4EDC-4A3A-861C-71107C38393A}</x14:id>
        </ext>
      </extLst>
    </cfRule>
  </conditionalFormatting>
  <conditionalFormatting sqref="B7:AF11">
    <cfRule type="cellIs" dxfId="479" priority="1" operator="equal">
      <formula>"D"</formula>
    </cfRule>
    <cfRule type="cellIs" dxfId="478" priority="2" operator="equal">
      <formula>"P"</formula>
    </cfRule>
    <cfRule type="cellIs" dxfId="477" priority="3" operator="equal">
      <formula>"M"</formula>
    </cfRule>
    <cfRule type="cellIs" dxfId="476" priority="4" operator="equal">
      <formula>"B"</formula>
    </cfRule>
    <cfRule type="cellIs" dxfId="475" priority="5" operator="equal">
      <formula>"C"</formula>
    </cfRule>
  </conditionalFormatting>
  <dataValidations count="1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4"/>
    <dataValidation allowBlank="1" showInputMessage="1" showErrorMessage="1" prompt="Cette ligne définit les clés utilisées dans le tableau : Congé en C2, Personnel en F2 et Congé maladie en J2. Les cellules M2 et R2 sont personnalisables " sqref="A2"/>
    <dataValidation allowBlank="1" showInputMessage="1" showErrorMessage="1" prompt="Entrez une étiquette pour décrire la clé personnalisée à gauche" sqref="M2 R2"/>
    <dataValidation allowBlank="1" showInputMessage="1" showErrorMessage="1" prompt="Entrez une lettre et personnalisez l’étiquette à droite pour ajouter un élément de clé" sqref="L2 Q2"/>
    <dataValidation allowBlank="1" showInputMessage="1" showErrorMessage="1" prompt="La lettre « M » indique une absence pour cause de maladie" sqref="I2"/>
    <dataValidation allowBlank="1" showInputMessage="1" showErrorMessage="1" prompt="La lettre « P » indique une absence pour motifs personnels" sqref="E2"/>
    <dataValidation allowBlank="1" showInputMessage="1" showErrorMessage="1" prompt="La lettre « C » indique une absence pour cause de congé" sqref="B2"/>
    <dataValidation allowBlank="1" showInputMessage="1" showErrorMessage="1" prompt="Le titre mis à jour automatiquement figure dans cette cellule. Pour modifier le titre, mettez à jour la cellule B1 de la feuille de calcul Janvier"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Calcule automatiquement le nombre total de jours d’absence d’un employé durant ce mois dans cette colonne" sqref="AG6"/>
    <dataValidation allowBlank="1" showInputMessage="1" showErrorMessage="1" prompt="Année mise à jour automatiquement en fonction de l’année entrée dans la feuille de calcul Janvier" sqref="AG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5"/>
    <dataValidation type="list" allowBlank="1" showInputMessage="1" showErrorMessage="1" sqref="B7:AF11">
      <formula1>"C,B,M,P,D"</formula1>
    </dataValidation>
  </dataValidations>
  <pageMargins left="0.7" right="0.7" top="0.75" bottom="0.75" header="0.3" footer="0.3"/>
  <pageSetup paperSize="9"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40F53A89-4EDC-4A3A-861C-71107C38393A}">
            <x14:dataBar minLength="0" maxLength="100">
              <x14:cfvo type="num">
                <xm:f>0</xm:f>
              </x14:cfvo>
              <x14:cfvo type="num">
                <xm:f>30</xm:f>
              </x14:cfvo>
              <x14:negativeFillColor rgb="FFFF0000"/>
              <x14:axisColor rgb="FF000000"/>
            </x14:dataBar>
          </x14:cfRule>
          <xm:sqref>AG7:AG11</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2"/>
  <sheetViews>
    <sheetView topLeftCell="A3" workbookViewId="0">
      <selection activeCell="A3" sqref="A1:XFD1048576"/>
    </sheetView>
  </sheetViews>
  <sheetFormatPr baseColWidth="10" defaultColWidth="9.140625" defaultRowHeight="15" x14ac:dyDescent="0.25"/>
  <cols>
    <col min="1" max="1" width="54.42578125" style="2" bestFit="1" customWidth="1"/>
    <col min="2" max="2" width="5.7109375" style="2" customWidth="1"/>
    <col min="3" max="32" width="4.7109375" style="2" customWidth="1"/>
    <col min="33" max="33" width="13.5703125" style="2" customWidth="1"/>
    <col min="34" max="34" width="8.42578125" style="3" customWidth="1"/>
    <col min="35" max="16384" width="9.140625" style="3"/>
  </cols>
  <sheetData>
    <row r="1" spans="1:38" ht="23.25" x14ac:dyDescent="0.25">
      <c r="A1" s="1" t="str">
        <f>Titre_Absence_Employé</f>
        <v>Calendrier des absences des employés</v>
      </c>
    </row>
    <row r="2" spans="1:38" ht="15.75" thickBot="1" x14ac:dyDescent="0.3">
      <c r="A2" s="4" t="s">
        <v>1</v>
      </c>
      <c r="B2" s="29" t="s">
        <v>2</v>
      </c>
      <c r="C2" s="76" t="s">
        <v>60</v>
      </c>
      <c r="D2" s="76"/>
      <c r="E2" s="6" t="s">
        <v>4</v>
      </c>
      <c r="F2" s="76" t="s">
        <v>69</v>
      </c>
      <c r="G2" s="76"/>
      <c r="H2" s="76"/>
      <c r="I2" s="28" t="s">
        <v>6</v>
      </c>
      <c r="J2" s="76" t="s">
        <v>7</v>
      </c>
      <c r="K2" s="76"/>
      <c r="L2" s="7" t="s">
        <v>8</v>
      </c>
      <c r="M2" s="75" t="s">
        <v>9</v>
      </c>
      <c r="N2" s="76"/>
      <c r="O2" s="76"/>
      <c r="P2" s="76"/>
      <c r="Q2" s="8" t="s">
        <v>10</v>
      </c>
      <c r="R2" s="75" t="s">
        <v>64</v>
      </c>
      <c r="S2" s="76"/>
      <c r="T2" s="76"/>
      <c r="U2" s="76"/>
    </row>
    <row r="3" spans="1:38" ht="23.25" x14ac:dyDescent="0.25">
      <c r="A3" s="1"/>
    </row>
    <row r="4" spans="1:38" ht="18" thickBot="1" x14ac:dyDescent="0.3">
      <c r="A4" s="11" t="s">
        <v>70</v>
      </c>
      <c r="B4" s="77" t="s">
        <v>14</v>
      </c>
      <c r="C4" s="77"/>
      <c r="D4" s="77"/>
      <c r="E4" s="77"/>
      <c r="F4" s="77"/>
      <c r="G4" s="77"/>
      <c r="H4" s="77"/>
      <c r="I4" s="77"/>
      <c r="J4" s="77"/>
      <c r="K4" s="77"/>
      <c r="L4" s="77"/>
      <c r="M4" s="77"/>
      <c r="N4" s="77"/>
      <c r="O4" s="77"/>
      <c r="P4" s="77"/>
      <c r="Q4" s="77"/>
      <c r="R4" s="77"/>
      <c r="S4" s="77"/>
      <c r="T4" s="77"/>
      <c r="U4" s="77"/>
      <c r="V4" s="77"/>
      <c r="W4" s="77"/>
      <c r="X4" s="77"/>
      <c r="Y4" s="77"/>
      <c r="Z4" s="77"/>
      <c r="AA4" s="77"/>
      <c r="AB4" s="77"/>
      <c r="AC4" s="77"/>
      <c r="AD4" s="77"/>
      <c r="AE4" s="77"/>
      <c r="AF4" s="77"/>
      <c r="AG4" s="11">
        <f>AnnéeCalendrier</f>
        <v>2019</v>
      </c>
    </row>
    <row r="5" spans="1:38" ht="18.75" thickTop="1" thickBot="1" x14ac:dyDescent="0.3">
      <c r="A5" s="11"/>
      <c r="B5" s="12" t="str">
        <f>TEXT(WEEKDAY(DATE(AnnéeCalendrier,7,1),1),"jjj")</f>
        <v>lun</v>
      </c>
      <c r="C5" s="12" t="str">
        <f>TEXT(WEEKDAY(DATE(AnnéeCalendrier,7,2),1),"jjj")</f>
        <v>mar</v>
      </c>
      <c r="D5" s="12" t="str">
        <f>TEXT(WEEKDAY(DATE(AnnéeCalendrier,7,3),1),"jjj")</f>
        <v>mer</v>
      </c>
      <c r="E5" s="12" t="str">
        <f>TEXT(WEEKDAY(DATE(AnnéeCalendrier,7,4),1),"jjj")</f>
        <v>jeu</v>
      </c>
      <c r="F5" s="12" t="str">
        <f>TEXT(WEEKDAY(DATE(AnnéeCalendrier,7,5),1),"jjj")</f>
        <v>ven</v>
      </c>
      <c r="G5" s="12" t="str">
        <f>TEXT(WEEKDAY(DATE(AnnéeCalendrier,7,6),1),"jjj")</f>
        <v>sam</v>
      </c>
      <c r="H5" s="12" t="str">
        <f>TEXT(WEEKDAY(DATE(AnnéeCalendrier,7,7),1),"jjj")</f>
        <v>dim</v>
      </c>
      <c r="I5" s="12" t="str">
        <f>TEXT(WEEKDAY(DATE(AnnéeCalendrier,7,8),1),"jjj")</f>
        <v>lun</v>
      </c>
      <c r="J5" s="12" t="str">
        <f>TEXT(WEEKDAY(DATE(AnnéeCalendrier,7,9),1),"jjj")</f>
        <v>mar</v>
      </c>
      <c r="K5" s="12" t="str">
        <f>TEXT(WEEKDAY(DATE(AnnéeCalendrier,7,10),1),"jjj")</f>
        <v>mer</v>
      </c>
      <c r="L5" s="12" t="str">
        <f>TEXT(WEEKDAY(DATE(AnnéeCalendrier,7,11),1),"jjj")</f>
        <v>jeu</v>
      </c>
      <c r="M5" s="12" t="str">
        <f>TEXT(WEEKDAY(DATE(AnnéeCalendrier,7,12),1),"jjj")</f>
        <v>ven</v>
      </c>
      <c r="N5" s="12" t="str">
        <f>TEXT(WEEKDAY(DATE(AnnéeCalendrier,7,13),1),"jjj")</f>
        <v>sam</v>
      </c>
      <c r="O5" s="12" t="str">
        <f>TEXT(WEEKDAY(DATE(AnnéeCalendrier,7,14),1),"jjj")</f>
        <v>dim</v>
      </c>
      <c r="P5" s="12" t="str">
        <f>TEXT(WEEKDAY(DATE(AnnéeCalendrier,7,15),1),"jjj")</f>
        <v>lun</v>
      </c>
      <c r="Q5" s="12" t="str">
        <f>TEXT(WEEKDAY(DATE(AnnéeCalendrier,7,16),1),"jjj")</f>
        <v>mar</v>
      </c>
      <c r="R5" s="12" t="str">
        <f>TEXT(WEEKDAY(DATE(AnnéeCalendrier,7,17),1),"jjj")</f>
        <v>mer</v>
      </c>
      <c r="S5" s="12" t="str">
        <f>TEXT(WEEKDAY(DATE(AnnéeCalendrier,7,18),1),"jjj")</f>
        <v>jeu</v>
      </c>
      <c r="T5" s="12" t="str">
        <f>TEXT(WEEKDAY(DATE(AnnéeCalendrier,7,19),1),"jjj")</f>
        <v>ven</v>
      </c>
      <c r="U5" s="12" t="str">
        <f>TEXT(WEEKDAY(DATE(AnnéeCalendrier,7,20),1),"jjj")</f>
        <v>sam</v>
      </c>
      <c r="V5" s="12" t="str">
        <f>TEXT(WEEKDAY(DATE(AnnéeCalendrier,7,21),1),"jjj")</f>
        <v>dim</v>
      </c>
      <c r="W5" s="12" t="str">
        <f>TEXT(WEEKDAY(DATE(AnnéeCalendrier,7,22),1),"jjj")</f>
        <v>lun</v>
      </c>
      <c r="X5" s="12" t="str">
        <f>TEXT(WEEKDAY(DATE(AnnéeCalendrier,7,23),1),"jjj")</f>
        <v>mar</v>
      </c>
      <c r="Y5" s="12" t="str">
        <f>TEXT(WEEKDAY(DATE(AnnéeCalendrier,7,24),1),"jjj")</f>
        <v>mer</v>
      </c>
      <c r="Z5" s="12" t="str">
        <f>TEXT(WEEKDAY(DATE(AnnéeCalendrier,7,25),1),"jjj")</f>
        <v>jeu</v>
      </c>
      <c r="AA5" s="12" t="str">
        <f>TEXT(WEEKDAY(DATE(AnnéeCalendrier,7,26),1),"jjj")</f>
        <v>ven</v>
      </c>
      <c r="AB5" s="12" t="str">
        <f>TEXT(WEEKDAY(DATE(AnnéeCalendrier,7,27),1),"jjj")</f>
        <v>sam</v>
      </c>
      <c r="AC5" s="12" t="str">
        <f>TEXT(WEEKDAY(DATE(AnnéeCalendrier,7,28),1),"jjj")</f>
        <v>dim</v>
      </c>
      <c r="AD5" s="12" t="str">
        <f>TEXT(WEEKDAY(DATE(AnnéeCalendrier,7,29),1),"jjj")</f>
        <v>lun</v>
      </c>
      <c r="AE5" s="12" t="str">
        <f>TEXT(WEEKDAY(DATE(AnnéeCalendrier,7,30),1),"jjj")</f>
        <v>mar</v>
      </c>
      <c r="AF5" s="12" t="str">
        <f>TEXT(WEEKDAY(DATE(AnnéeCalendrier,7,31),1),"jjj")</f>
        <v>mer</v>
      </c>
      <c r="AG5" s="11"/>
      <c r="AH5" s="74" t="s">
        <v>15</v>
      </c>
      <c r="AI5" s="74"/>
      <c r="AJ5" s="74"/>
      <c r="AK5" s="74"/>
      <c r="AL5" s="74"/>
    </row>
    <row r="6" spans="1:38" ht="15.75" thickTop="1" x14ac:dyDescent="0.25">
      <c r="A6" s="33" t="s">
        <v>16</v>
      </c>
      <c r="B6" s="14" t="s">
        <v>17</v>
      </c>
      <c r="C6" s="14" t="s">
        <v>18</v>
      </c>
      <c r="D6" s="14" t="s">
        <v>19</v>
      </c>
      <c r="E6" s="14" t="s">
        <v>20</v>
      </c>
      <c r="F6" s="14" t="s">
        <v>21</v>
      </c>
      <c r="G6" s="14" t="s">
        <v>22</v>
      </c>
      <c r="H6" s="14" t="s">
        <v>23</v>
      </c>
      <c r="I6" s="14" t="s">
        <v>24</v>
      </c>
      <c r="J6" s="14" t="s">
        <v>25</v>
      </c>
      <c r="K6" s="14" t="s">
        <v>26</v>
      </c>
      <c r="L6" s="14" t="s">
        <v>27</v>
      </c>
      <c r="M6" s="14" t="s">
        <v>28</v>
      </c>
      <c r="N6" s="14" t="s">
        <v>29</v>
      </c>
      <c r="O6" s="14" t="s">
        <v>30</v>
      </c>
      <c r="P6" s="14" t="s">
        <v>31</v>
      </c>
      <c r="Q6" s="14" t="s">
        <v>32</v>
      </c>
      <c r="R6" s="14" t="s">
        <v>33</v>
      </c>
      <c r="S6" s="14" t="s">
        <v>34</v>
      </c>
      <c r="T6" s="14" t="s">
        <v>35</v>
      </c>
      <c r="U6" s="14" t="s">
        <v>36</v>
      </c>
      <c r="V6" s="14" t="s">
        <v>37</v>
      </c>
      <c r="W6" s="14" t="s">
        <v>38</v>
      </c>
      <c r="X6" s="14" t="s">
        <v>39</v>
      </c>
      <c r="Y6" s="14" t="s">
        <v>40</v>
      </c>
      <c r="Z6" s="14" t="s">
        <v>41</v>
      </c>
      <c r="AA6" s="14" t="s">
        <v>42</v>
      </c>
      <c r="AB6" s="14" t="s">
        <v>43</v>
      </c>
      <c r="AC6" s="14" t="s">
        <v>44</v>
      </c>
      <c r="AD6" s="14" t="s">
        <v>45</v>
      </c>
      <c r="AE6" s="14" t="s">
        <v>46</v>
      </c>
      <c r="AF6" s="14" t="s">
        <v>47</v>
      </c>
      <c r="AG6" s="15" t="s">
        <v>48</v>
      </c>
      <c r="AH6" s="29" t="s">
        <v>2</v>
      </c>
      <c r="AI6" s="6" t="s">
        <v>4</v>
      </c>
      <c r="AJ6" s="28" t="s">
        <v>6</v>
      </c>
      <c r="AK6" s="7" t="s">
        <v>8</v>
      </c>
      <c r="AL6" s="8" t="s">
        <v>10</v>
      </c>
    </row>
    <row r="7" spans="1:38" x14ac:dyDescent="0.25">
      <c r="A7" s="19" t="s">
        <v>73</v>
      </c>
      <c r="B7" s="30"/>
      <c r="C7" s="30"/>
      <c r="D7" s="30"/>
      <c r="E7" s="30"/>
      <c r="F7" s="30"/>
      <c r="G7" s="37"/>
      <c r="H7" s="56"/>
      <c r="I7" s="39"/>
      <c r="J7" s="30"/>
      <c r="K7" s="30"/>
      <c r="L7" s="30"/>
      <c r="M7" s="30"/>
      <c r="N7" s="37"/>
      <c r="O7" s="56"/>
      <c r="P7" s="39"/>
      <c r="Q7" s="30"/>
      <c r="R7" s="30"/>
      <c r="S7" s="30"/>
      <c r="T7" s="30"/>
      <c r="U7" s="37"/>
      <c r="V7" s="56"/>
      <c r="W7" s="39"/>
      <c r="X7" s="30"/>
      <c r="Y7" s="30"/>
      <c r="Z7" s="30"/>
      <c r="AA7" s="30"/>
      <c r="AB7" s="37"/>
      <c r="AC7" s="56"/>
      <c r="AD7" s="39"/>
      <c r="AE7" s="30"/>
      <c r="AF7" s="30"/>
      <c r="AG7" s="16">
        <f>COUNTA(Juillet!$B7:$AF7)</f>
        <v>0</v>
      </c>
      <c r="AH7" s="17">
        <f t="shared" ref="AH7:AH11" si="0">COUNTIF(B7:AF7,Congé)</f>
        <v>0</v>
      </c>
      <c r="AI7" s="17">
        <f t="shared" ref="AI7:AI11" si="1">COUNTIF(B7:AF7,Maternité)</f>
        <v>0</v>
      </c>
      <c r="AJ7" s="17">
        <f t="shared" ref="AJ7:AJ11" si="2">COUNTIF(B7:AF7,Maladie)</f>
        <v>0</v>
      </c>
      <c r="AK7" s="17">
        <f t="shared" ref="AK7:AK11" si="3">COUNTIF(B7:AF7,Permission)</f>
        <v>0</v>
      </c>
      <c r="AL7" s="17">
        <f t="shared" ref="AL7:AL11" si="4">COUNTIF(B7:AF7,Deduire)</f>
        <v>0</v>
      </c>
    </row>
    <row r="8" spans="1:38" x14ac:dyDescent="0.25">
      <c r="A8" s="19" t="s">
        <v>74</v>
      </c>
      <c r="B8" s="30"/>
      <c r="C8" s="30"/>
      <c r="D8" s="30"/>
      <c r="E8" s="30"/>
      <c r="F8" s="30"/>
      <c r="G8" s="37"/>
      <c r="H8" s="56"/>
      <c r="I8" s="39"/>
      <c r="J8" s="30"/>
      <c r="K8" s="30"/>
      <c r="L8" s="30"/>
      <c r="M8" s="30"/>
      <c r="N8" s="37"/>
      <c r="O8" s="56"/>
      <c r="P8" s="39"/>
      <c r="Q8" s="30"/>
      <c r="R8" s="30"/>
      <c r="S8" s="30"/>
      <c r="T8" s="30"/>
      <c r="U8" s="37"/>
      <c r="V8" s="56"/>
      <c r="W8" s="39"/>
      <c r="X8" s="30"/>
      <c r="Y8" s="30"/>
      <c r="Z8" s="30"/>
      <c r="AA8" s="30"/>
      <c r="AB8" s="37"/>
      <c r="AC8" s="56"/>
      <c r="AD8" s="39"/>
      <c r="AE8" s="30"/>
      <c r="AF8" s="30"/>
      <c r="AG8" s="16">
        <f>COUNTA(Juillet!$B8:$AF8)</f>
        <v>0</v>
      </c>
      <c r="AH8" s="17">
        <f t="shared" si="0"/>
        <v>0</v>
      </c>
      <c r="AI8" s="17">
        <f t="shared" si="1"/>
        <v>0</v>
      </c>
      <c r="AJ8" s="17">
        <f t="shared" si="2"/>
        <v>0</v>
      </c>
      <c r="AK8" s="17">
        <f t="shared" si="3"/>
        <v>0</v>
      </c>
      <c r="AL8" s="17">
        <f t="shared" si="4"/>
        <v>0</v>
      </c>
    </row>
    <row r="9" spans="1:38" x14ac:dyDescent="0.25">
      <c r="A9" s="19" t="s">
        <v>75</v>
      </c>
      <c r="B9" s="30"/>
      <c r="C9" s="30"/>
      <c r="D9" s="30"/>
      <c r="E9" s="30"/>
      <c r="F9" s="30"/>
      <c r="G9" s="37"/>
      <c r="H9" s="56"/>
      <c r="I9" s="39"/>
      <c r="J9" s="30"/>
      <c r="K9" s="30"/>
      <c r="L9" s="30"/>
      <c r="M9" s="30"/>
      <c r="N9" s="37"/>
      <c r="O9" s="56"/>
      <c r="P9" s="39"/>
      <c r="Q9" s="30"/>
      <c r="R9" s="30"/>
      <c r="S9" s="30"/>
      <c r="T9" s="30"/>
      <c r="U9" s="37"/>
      <c r="V9" s="56"/>
      <c r="W9" s="39"/>
      <c r="X9" s="30"/>
      <c r="Y9" s="30"/>
      <c r="Z9" s="30"/>
      <c r="AA9" s="30"/>
      <c r="AB9" s="37"/>
      <c r="AC9" s="56"/>
      <c r="AD9" s="39"/>
      <c r="AE9" s="30"/>
      <c r="AF9" s="30"/>
      <c r="AG9" s="16">
        <f>COUNTA(Juillet!$B9:$AF9)</f>
        <v>0</v>
      </c>
      <c r="AH9" s="17">
        <f t="shared" si="0"/>
        <v>0</v>
      </c>
      <c r="AI9" s="17">
        <f t="shared" si="1"/>
        <v>0</v>
      </c>
      <c r="AJ9" s="17">
        <f t="shared" si="2"/>
        <v>0</v>
      </c>
      <c r="AK9" s="17">
        <f t="shared" si="3"/>
        <v>0</v>
      </c>
      <c r="AL9" s="17">
        <f t="shared" si="4"/>
        <v>0</v>
      </c>
    </row>
    <row r="10" spans="1:38" x14ac:dyDescent="0.25">
      <c r="A10" s="19" t="s">
        <v>76</v>
      </c>
      <c r="B10" s="35"/>
      <c r="C10" s="35"/>
      <c r="D10" s="35"/>
      <c r="E10" s="35"/>
      <c r="F10" s="35"/>
      <c r="G10" s="38"/>
      <c r="H10" s="57"/>
      <c r="I10" s="40"/>
      <c r="J10" s="35"/>
      <c r="K10" s="35"/>
      <c r="L10" s="35"/>
      <c r="M10" s="35"/>
      <c r="N10" s="38"/>
      <c r="O10" s="57"/>
      <c r="P10" s="40"/>
      <c r="Q10" s="35"/>
      <c r="R10" s="35"/>
      <c r="S10" s="35"/>
      <c r="T10" s="35"/>
      <c r="U10" s="38"/>
      <c r="V10" s="57"/>
      <c r="W10" s="40"/>
      <c r="X10" s="35"/>
      <c r="Y10" s="35"/>
      <c r="Z10" s="35"/>
      <c r="AA10" s="35"/>
      <c r="AB10" s="38"/>
      <c r="AC10" s="57"/>
      <c r="AD10" s="40"/>
      <c r="AE10" s="35"/>
      <c r="AF10" s="32"/>
      <c r="AG10" s="16">
        <f>COUNTA(Juillet!$B10:$AF10)</f>
        <v>0</v>
      </c>
      <c r="AH10" s="17">
        <f t="shared" si="0"/>
        <v>0</v>
      </c>
      <c r="AI10" s="17">
        <f t="shared" si="1"/>
        <v>0</v>
      </c>
      <c r="AJ10" s="17">
        <f t="shared" si="2"/>
        <v>0</v>
      </c>
      <c r="AK10" s="17">
        <f t="shared" si="3"/>
        <v>0</v>
      </c>
      <c r="AL10" s="17">
        <f t="shared" si="4"/>
        <v>0</v>
      </c>
    </row>
    <row r="11" spans="1:38" x14ac:dyDescent="0.25">
      <c r="A11" s="19" t="s">
        <v>77</v>
      </c>
      <c r="B11" s="36"/>
      <c r="C11" s="36"/>
      <c r="D11" s="36"/>
      <c r="E11" s="36"/>
      <c r="F11" s="36"/>
      <c r="G11" s="54"/>
      <c r="H11" s="58"/>
      <c r="I11" s="55"/>
      <c r="J11" s="36"/>
      <c r="K11" s="36"/>
      <c r="L11" s="36"/>
      <c r="M11" s="36"/>
      <c r="N11" s="54"/>
      <c r="O11" s="58"/>
      <c r="P11" s="55"/>
      <c r="Q11" s="36"/>
      <c r="R11" s="36"/>
      <c r="S11" s="36"/>
      <c r="T11" s="36"/>
      <c r="U11" s="54"/>
      <c r="V11" s="58"/>
      <c r="W11" s="55"/>
      <c r="X11" s="36"/>
      <c r="Y11" s="36"/>
      <c r="Z11" s="36"/>
      <c r="AA11" s="36"/>
      <c r="AB11" s="54"/>
      <c r="AC11" s="58"/>
      <c r="AD11" s="55"/>
      <c r="AE11" s="36"/>
      <c r="AF11" s="46"/>
      <c r="AG11" s="16">
        <f>COUNTA(Juillet!$B11:$AF11)</f>
        <v>0</v>
      </c>
      <c r="AH11" s="17">
        <f t="shared" si="0"/>
        <v>0</v>
      </c>
      <c r="AI11" s="17">
        <f t="shared" si="1"/>
        <v>0</v>
      </c>
      <c r="AJ11" s="17">
        <f t="shared" si="2"/>
        <v>0</v>
      </c>
      <c r="AK11" s="17">
        <f t="shared" si="3"/>
        <v>0</v>
      </c>
      <c r="AL11" s="17">
        <f t="shared" si="4"/>
        <v>0</v>
      </c>
    </row>
    <row r="12" spans="1:38" x14ac:dyDescent="0.25">
      <c r="A12" s="61" t="str">
        <f>NomMois&amp;" Total"</f>
        <v>Juillet Total</v>
      </c>
      <c r="B12" s="62">
        <f>SUBTOTAL(103,Juillet!$B$7:$B$11)</f>
        <v>0</v>
      </c>
      <c r="C12" s="62">
        <f>SUBTOTAL(103,Juillet!$B$7:$B$11)</f>
        <v>0</v>
      </c>
      <c r="D12" s="62">
        <f>SUBTOTAL(103,Juillet!$B$7:$B$11)</f>
        <v>0</v>
      </c>
      <c r="E12" s="62">
        <f>SUBTOTAL(103,Juillet!$B$7:$B$11)</f>
        <v>0</v>
      </c>
      <c r="F12" s="62">
        <f>SUBTOTAL(103,Juillet!$B$7:$B$11)</f>
        <v>0</v>
      </c>
      <c r="G12" s="62">
        <f>SUBTOTAL(103,Juillet!$B$7:$B$11)</f>
        <v>0</v>
      </c>
      <c r="H12" s="62">
        <f>SUBTOTAL(103,Juillet!$B$7:$B$11)</f>
        <v>0</v>
      </c>
      <c r="I12" s="62">
        <f>SUBTOTAL(103,Juillet!$B$7:$B$11)</f>
        <v>0</v>
      </c>
      <c r="J12" s="62">
        <f>SUBTOTAL(103,Juillet!$B$7:$B$11)</f>
        <v>0</v>
      </c>
      <c r="K12" s="62">
        <f>SUBTOTAL(103,Juillet!$B$7:$B$11)</f>
        <v>0</v>
      </c>
      <c r="L12" s="62">
        <f>SUBTOTAL(103,Juillet!$B$7:$B$11)</f>
        <v>0</v>
      </c>
      <c r="M12" s="62">
        <f>SUBTOTAL(103,Juillet!$B$7:$B$11)</f>
        <v>0</v>
      </c>
      <c r="N12" s="62">
        <f>SUBTOTAL(103,Juillet!$B$7:$B$11)</f>
        <v>0</v>
      </c>
      <c r="O12" s="62">
        <f>SUBTOTAL(103,Juillet!$B$7:$B$11)</f>
        <v>0</v>
      </c>
      <c r="P12" s="62">
        <f>SUBTOTAL(103,Juillet!$B$7:$B$11)</f>
        <v>0</v>
      </c>
      <c r="Q12" s="62">
        <f>SUBTOTAL(103,Juillet!$B$7:$B$11)</f>
        <v>0</v>
      </c>
      <c r="R12" s="62">
        <f>SUBTOTAL(103,Juillet!$B$7:$B$11)</f>
        <v>0</v>
      </c>
      <c r="S12" s="62">
        <f>SUBTOTAL(103,Juillet!$B$7:$B$11)</f>
        <v>0</v>
      </c>
      <c r="T12" s="62">
        <f>SUBTOTAL(103,Juillet!$B$7:$B$11)</f>
        <v>0</v>
      </c>
      <c r="U12" s="62">
        <f>SUBTOTAL(103,Juillet!$B$7:$B$11)</f>
        <v>0</v>
      </c>
      <c r="V12" s="62">
        <f>SUBTOTAL(103,Juillet!$B$7:$B$11)</f>
        <v>0</v>
      </c>
      <c r="W12" s="62">
        <f>SUBTOTAL(103,Juillet!$B$7:$B$11)</f>
        <v>0</v>
      </c>
      <c r="X12" s="62">
        <f>SUBTOTAL(103,Juillet!$B$7:$B$11)</f>
        <v>0</v>
      </c>
      <c r="Y12" s="62">
        <f>SUBTOTAL(103,Juillet!$B$7:$B$11)</f>
        <v>0</v>
      </c>
      <c r="Z12" s="62">
        <f>SUBTOTAL(103,Juillet!$B$7:$B$11)</f>
        <v>0</v>
      </c>
      <c r="AA12" s="62">
        <f>SUBTOTAL(103,Juillet!$B$7:$B$11)</f>
        <v>0</v>
      </c>
      <c r="AB12" s="62">
        <f>SUBTOTAL(103,Juillet!$B$7:$B$11)</f>
        <v>0</v>
      </c>
      <c r="AC12" s="62">
        <f>SUBTOTAL(103,Juillet!$B$7:$B$11)</f>
        <v>0</v>
      </c>
      <c r="AD12" s="62">
        <f>SUBTOTAL(103,Juillet!$B$7:$B$11)</f>
        <v>0</v>
      </c>
      <c r="AE12" s="62">
        <f>SUBTOTAL(103,Juillet!$B$7:$B$11)</f>
        <v>0</v>
      </c>
      <c r="AF12" s="62">
        <f>SUBTOTAL(103,Juillet!$B$7:$B$11)</f>
        <v>0</v>
      </c>
      <c r="AG12" s="62">
        <f>SUBTOTAL(109,Juillet[Total des jours])</f>
        <v>0</v>
      </c>
    </row>
  </sheetData>
  <mergeCells count="7">
    <mergeCell ref="AH5:AL5"/>
    <mergeCell ref="C2:D2"/>
    <mergeCell ref="F2:H2"/>
    <mergeCell ref="J2:K2"/>
    <mergeCell ref="M2:P2"/>
    <mergeCell ref="R2:U2"/>
    <mergeCell ref="B4:AF4"/>
  </mergeCells>
  <conditionalFormatting sqref="AG7:AG11">
    <cfRule type="dataBar" priority="6">
      <dataBar>
        <cfvo type="num" val="0"/>
        <cfvo type="num" val="31"/>
        <color theme="4"/>
      </dataBar>
      <extLst>
        <ext xmlns:x14="http://schemas.microsoft.com/office/spreadsheetml/2009/9/main" uri="{B025F937-C7B1-47D3-B67F-A62EFF666E3E}">
          <x14:id>{611AB1D3-F183-4023-A1E3-B09AEB4DFBB5}</x14:id>
        </ext>
      </extLst>
    </cfRule>
  </conditionalFormatting>
  <conditionalFormatting sqref="B7:AF11">
    <cfRule type="cellIs" dxfId="405" priority="1" operator="equal">
      <formula>"D"</formula>
    </cfRule>
    <cfRule type="cellIs" dxfId="404" priority="2" operator="equal">
      <formula>"P"</formula>
    </cfRule>
    <cfRule type="cellIs" dxfId="403" priority="3" operator="equal">
      <formula>"M"</formula>
    </cfRule>
    <cfRule type="cellIs" dxfId="402" priority="4" operator="equal">
      <formula>"B"</formula>
    </cfRule>
    <cfRule type="cellIs" dxfId="401" priority="5" operator="equal">
      <formula>"C"</formula>
    </cfRule>
  </conditionalFormatting>
  <dataValidations count="1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5"/>
    <dataValidation allowBlank="1" showInputMessage="1" showErrorMessage="1" prompt="Année mise à jour automatiquement en fonction de l’année entrée dans la feuille de calcul Janvier" sqref="AG4"/>
    <dataValidation allowBlank="1" showInputMessage="1" showErrorMessage="1" prompt="Calcule automatiquement le nombre total de jours d’absence d’un employé durant ce mois dans cette colonne" sqref="AG6"/>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Le titre mis à jour automatiquement figure dans cette cellule. Pour modifier le titre, mettez à jour la cellule B1 de la feuille de calcul Janvier" sqref="A1"/>
    <dataValidation allowBlank="1" showInputMessage="1" showErrorMessage="1" prompt="La lettre « C » indique une absence pour cause de congé" sqref="B2"/>
    <dataValidation allowBlank="1" showInputMessage="1" showErrorMessage="1" prompt="La lettre « P » indique une absence pour motifs personnels" sqref="E2"/>
    <dataValidation allowBlank="1" showInputMessage="1" showErrorMessage="1" prompt="La lettre « M » indique une absence pour cause de maladie" sqref="I2"/>
    <dataValidation allowBlank="1" showInputMessage="1" showErrorMessage="1" prompt="Entrez une lettre et personnalisez l’étiquette à droite pour ajouter un élément de clé" sqref="L2 Q2"/>
    <dataValidation allowBlank="1" showInputMessage="1" showErrorMessage="1" prompt="Entrez une étiquette pour décrire la clé personnalisée à gauche" sqref="M2 R2"/>
    <dataValidation allowBlank="1" showInputMessage="1" showErrorMessage="1" prompt="Cette ligne définit les clés utilisées dans le tableau : Congé en C2, Personnel en F2 et Congé maladie en J2. Les cellules M2 et R2 sont personnalisables " sqref="A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type="list" allowBlank="1" showInputMessage="1" showErrorMessage="1" sqref="B7:AF11">
      <formula1>"C,B,M,P,D"</formula1>
    </dataValidation>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611AB1D3-F183-4023-A1E3-B09AEB4DFBB5}">
            <x14:dataBar minLength="0" maxLength="100">
              <x14:cfvo type="num">
                <xm:f>0</xm:f>
              </x14:cfvo>
              <x14:cfvo type="num">
                <xm:f>31</xm:f>
              </x14:cfvo>
              <x14:negativeFillColor rgb="FFFF0000"/>
              <x14:axisColor rgb="FF000000"/>
            </x14:dataBar>
          </x14:cfRule>
          <xm:sqref>AG7:AG11</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2"/>
  <sheetViews>
    <sheetView workbookViewId="0">
      <selection activeCell="M17" sqref="M17"/>
    </sheetView>
  </sheetViews>
  <sheetFormatPr baseColWidth="10" defaultColWidth="9.140625" defaultRowHeight="15" x14ac:dyDescent="0.25"/>
  <cols>
    <col min="1" max="1" width="25.7109375" style="2" customWidth="1"/>
    <col min="2" max="32" width="4.7109375" style="2" customWidth="1"/>
    <col min="33" max="33" width="13.5703125" style="2" customWidth="1"/>
    <col min="34" max="34" width="8.85546875" style="3" customWidth="1"/>
    <col min="35" max="16384" width="9.140625" style="3"/>
  </cols>
  <sheetData>
    <row r="1" spans="1:38" ht="23.25" x14ac:dyDescent="0.25">
      <c r="A1" s="1" t="str">
        <f>Titre_Absence_Employé</f>
        <v>Calendrier des absences des employés</v>
      </c>
    </row>
    <row r="2" spans="1:38" ht="15.75" thickBot="1" x14ac:dyDescent="0.3">
      <c r="A2" s="4" t="s">
        <v>1</v>
      </c>
      <c r="B2" s="5" t="s">
        <v>2</v>
      </c>
      <c r="C2" s="76" t="s">
        <v>60</v>
      </c>
      <c r="D2" s="76"/>
      <c r="E2" s="6" t="s">
        <v>4</v>
      </c>
      <c r="F2" s="76" t="s">
        <v>69</v>
      </c>
      <c r="G2" s="76"/>
      <c r="H2" s="76"/>
      <c r="I2" s="43" t="s">
        <v>6</v>
      </c>
      <c r="J2" s="76" t="s">
        <v>7</v>
      </c>
      <c r="K2" s="76"/>
      <c r="L2" s="7" t="s">
        <v>8</v>
      </c>
      <c r="M2" s="75" t="s">
        <v>9</v>
      </c>
      <c r="N2" s="76"/>
      <c r="O2" s="76"/>
      <c r="P2" s="76"/>
      <c r="Q2" s="8" t="s">
        <v>10</v>
      </c>
      <c r="R2" s="75" t="s">
        <v>64</v>
      </c>
      <c r="S2" s="76"/>
      <c r="T2" s="76"/>
      <c r="U2" s="76"/>
    </row>
    <row r="3" spans="1:38" ht="23.25" x14ac:dyDescent="0.25">
      <c r="A3" s="1"/>
    </row>
    <row r="4" spans="1:38" ht="18" thickBot="1" x14ac:dyDescent="0.3">
      <c r="A4" s="11" t="s">
        <v>71</v>
      </c>
      <c r="B4" s="77" t="s">
        <v>14</v>
      </c>
      <c r="C4" s="77"/>
      <c r="D4" s="77"/>
      <c r="E4" s="77"/>
      <c r="F4" s="77"/>
      <c r="G4" s="77"/>
      <c r="H4" s="77"/>
      <c r="I4" s="77"/>
      <c r="J4" s="77"/>
      <c r="K4" s="77"/>
      <c r="L4" s="77"/>
      <c r="M4" s="77"/>
      <c r="N4" s="77"/>
      <c r="O4" s="77"/>
      <c r="P4" s="77"/>
      <c r="Q4" s="77"/>
      <c r="R4" s="77"/>
      <c r="S4" s="77"/>
      <c r="T4" s="77"/>
      <c r="U4" s="77"/>
      <c r="V4" s="77"/>
      <c r="W4" s="77"/>
      <c r="X4" s="77"/>
      <c r="Y4" s="77"/>
      <c r="Z4" s="77"/>
      <c r="AA4" s="77"/>
      <c r="AB4" s="77"/>
      <c r="AC4" s="77"/>
      <c r="AD4" s="77"/>
      <c r="AE4" s="77"/>
      <c r="AF4" s="77"/>
      <c r="AG4" s="11">
        <f>AnnéeCalendrier</f>
        <v>2019</v>
      </c>
    </row>
    <row r="5" spans="1:38" ht="18.75" thickTop="1" thickBot="1" x14ac:dyDescent="0.3">
      <c r="A5" s="11"/>
      <c r="B5" s="12" t="str">
        <f>TEXT(WEEKDAY(DATE(AnnéeCalendrier,8,1),1),"jjj")</f>
        <v>jeu</v>
      </c>
      <c r="C5" s="12" t="str">
        <f>TEXT(WEEKDAY(DATE(AnnéeCalendrier,8,2),1),"jjj")</f>
        <v>ven</v>
      </c>
      <c r="D5" s="12" t="str">
        <f>TEXT(WEEKDAY(DATE(AnnéeCalendrier,8,3),1),"jjj")</f>
        <v>sam</v>
      </c>
      <c r="E5" s="12" t="str">
        <f>TEXT(WEEKDAY(DATE(AnnéeCalendrier,8,4),1),"jjj")</f>
        <v>dim</v>
      </c>
      <c r="F5" s="12" t="str">
        <f>TEXT(WEEKDAY(DATE(AnnéeCalendrier,8,5),1),"jjj")</f>
        <v>lun</v>
      </c>
      <c r="G5" s="12" t="str">
        <f>TEXT(WEEKDAY(DATE(AnnéeCalendrier,8,6),1),"jjj")</f>
        <v>mar</v>
      </c>
      <c r="H5" s="12" t="str">
        <f>TEXT(WEEKDAY(DATE(AnnéeCalendrier,8,7),1),"jjj")</f>
        <v>mer</v>
      </c>
      <c r="I5" s="12" t="str">
        <f>TEXT(WEEKDAY(DATE(AnnéeCalendrier,8,8),1),"jjj")</f>
        <v>jeu</v>
      </c>
      <c r="J5" s="12" t="str">
        <f>TEXT(WEEKDAY(DATE(AnnéeCalendrier,8,9),1),"jjj")</f>
        <v>ven</v>
      </c>
      <c r="K5" s="12" t="str">
        <f>TEXT(WEEKDAY(DATE(AnnéeCalendrier,8,10),1),"jjj")</f>
        <v>sam</v>
      </c>
      <c r="L5" s="12" t="str">
        <f>TEXT(WEEKDAY(DATE(AnnéeCalendrier,8,11),1),"jjj")</f>
        <v>dim</v>
      </c>
      <c r="M5" s="12" t="str">
        <f>TEXT(WEEKDAY(DATE(AnnéeCalendrier,8,12),1),"jjj")</f>
        <v>lun</v>
      </c>
      <c r="N5" s="12" t="str">
        <f>TEXT(WEEKDAY(DATE(AnnéeCalendrier,8,13),1),"jjj")</f>
        <v>mar</v>
      </c>
      <c r="O5" s="12" t="str">
        <f>TEXT(WEEKDAY(DATE(AnnéeCalendrier,8,14),1),"jjj")</f>
        <v>mer</v>
      </c>
      <c r="P5" s="12" t="str">
        <f>TEXT(WEEKDAY(DATE(AnnéeCalendrier,8,15),1),"jjj")</f>
        <v>jeu</v>
      </c>
      <c r="Q5" s="12" t="str">
        <f>TEXT(WEEKDAY(DATE(AnnéeCalendrier,8,16),1),"jjj")</f>
        <v>ven</v>
      </c>
      <c r="R5" s="12" t="str">
        <f>TEXT(WEEKDAY(DATE(AnnéeCalendrier,8,17),1),"jjj")</f>
        <v>sam</v>
      </c>
      <c r="S5" s="12" t="str">
        <f>TEXT(WEEKDAY(DATE(AnnéeCalendrier,8,18),1),"jjj")</f>
        <v>dim</v>
      </c>
      <c r="T5" s="12" t="str">
        <f>TEXT(WEEKDAY(DATE(AnnéeCalendrier,8,19),1),"jjj")</f>
        <v>lun</v>
      </c>
      <c r="U5" s="12" t="str">
        <f>TEXT(WEEKDAY(DATE(AnnéeCalendrier,8,20),1),"jjj")</f>
        <v>mar</v>
      </c>
      <c r="V5" s="12" t="str">
        <f>TEXT(WEEKDAY(DATE(AnnéeCalendrier,8,21),1),"jjj")</f>
        <v>mer</v>
      </c>
      <c r="W5" s="12" t="str">
        <f>TEXT(WEEKDAY(DATE(AnnéeCalendrier,8,22),1),"jjj")</f>
        <v>jeu</v>
      </c>
      <c r="X5" s="12" t="str">
        <f>TEXT(WEEKDAY(DATE(AnnéeCalendrier,8,23),1),"jjj")</f>
        <v>ven</v>
      </c>
      <c r="Y5" s="12" t="str">
        <f>TEXT(WEEKDAY(DATE(AnnéeCalendrier,8,24),1),"jjj")</f>
        <v>sam</v>
      </c>
      <c r="Z5" s="12" t="str">
        <f>TEXT(WEEKDAY(DATE(AnnéeCalendrier,8,25),1),"jjj")</f>
        <v>dim</v>
      </c>
      <c r="AA5" s="12" t="str">
        <f>TEXT(WEEKDAY(DATE(AnnéeCalendrier,8,26),1),"jjj")</f>
        <v>lun</v>
      </c>
      <c r="AB5" s="12" t="str">
        <f>TEXT(WEEKDAY(DATE(AnnéeCalendrier,8,27),1),"jjj")</f>
        <v>mar</v>
      </c>
      <c r="AC5" s="12" t="str">
        <f>TEXT(WEEKDAY(DATE(AnnéeCalendrier,8,28),1),"jjj")</f>
        <v>mer</v>
      </c>
      <c r="AD5" s="12" t="str">
        <f>TEXT(WEEKDAY(DATE(AnnéeCalendrier,8,29),1),"jjj")</f>
        <v>jeu</v>
      </c>
      <c r="AE5" s="12" t="str">
        <f>TEXT(WEEKDAY(DATE(AnnéeCalendrier,8,30),1),"jjj")</f>
        <v>ven</v>
      </c>
      <c r="AF5" s="12" t="str">
        <f>TEXT(WEEKDAY(DATE(AnnéeCalendrier,8,31),1),"jjj")</f>
        <v>sam</v>
      </c>
      <c r="AG5" s="11"/>
      <c r="AH5" s="74" t="s">
        <v>15</v>
      </c>
      <c r="AI5" s="74"/>
      <c r="AJ5" s="74"/>
      <c r="AK5" s="74"/>
      <c r="AL5" s="74"/>
    </row>
    <row r="6" spans="1:38" ht="15.75" thickTop="1" x14ac:dyDescent="0.25">
      <c r="A6" s="33" t="s">
        <v>16</v>
      </c>
      <c r="B6" s="14" t="s">
        <v>17</v>
      </c>
      <c r="C6" s="14" t="s">
        <v>18</v>
      </c>
      <c r="D6" s="14" t="s">
        <v>19</v>
      </c>
      <c r="E6" s="14" t="s">
        <v>20</v>
      </c>
      <c r="F6" s="14" t="s">
        <v>21</v>
      </c>
      <c r="G6" s="14" t="s">
        <v>22</v>
      </c>
      <c r="H6" s="14" t="s">
        <v>23</v>
      </c>
      <c r="I6" s="14" t="s">
        <v>24</v>
      </c>
      <c r="J6" s="14" t="s">
        <v>25</v>
      </c>
      <c r="K6" s="14" t="s">
        <v>26</v>
      </c>
      <c r="L6" s="14" t="s">
        <v>27</v>
      </c>
      <c r="M6" s="14" t="s">
        <v>28</v>
      </c>
      <c r="N6" s="14" t="s">
        <v>29</v>
      </c>
      <c r="O6" s="14" t="s">
        <v>30</v>
      </c>
      <c r="P6" s="14" t="s">
        <v>31</v>
      </c>
      <c r="Q6" s="14" t="s">
        <v>32</v>
      </c>
      <c r="R6" s="14" t="s">
        <v>33</v>
      </c>
      <c r="S6" s="14" t="s">
        <v>34</v>
      </c>
      <c r="T6" s="14" t="s">
        <v>35</v>
      </c>
      <c r="U6" s="14" t="s">
        <v>36</v>
      </c>
      <c r="V6" s="14" t="s">
        <v>37</v>
      </c>
      <c r="W6" s="14" t="s">
        <v>38</v>
      </c>
      <c r="X6" s="14" t="s">
        <v>39</v>
      </c>
      <c r="Y6" s="14" t="s">
        <v>40</v>
      </c>
      <c r="Z6" s="14" t="s">
        <v>41</v>
      </c>
      <c r="AA6" s="14" t="s">
        <v>42</v>
      </c>
      <c r="AB6" s="14" t="s">
        <v>43</v>
      </c>
      <c r="AC6" s="14" t="s">
        <v>44</v>
      </c>
      <c r="AD6" s="14" t="s">
        <v>45</v>
      </c>
      <c r="AE6" s="14" t="s">
        <v>46</v>
      </c>
      <c r="AF6" s="14" t="s">
        <v>47</v>
      </c>
      <c r="AG6" s="15" t="s">
        <v>48</v>
      </c>
      <c r="AH6" s="5" t="s">
        <v>2</v>
      </c>
      <c r="AI6" s="6" t="s">
        <v>4</v>
      </c>
      <c r="AJ6" s="43" t="s">
        <v>6</v>
      </c>
      <c r="AK6" s="7" t="s">
        <v>8</v>
      </c>
      <c r="AL6" s="8" t="s">
        <v>10</v>
      </c>
    </row>
    <row r="7" spans="1:38" x14ac:dyDescent="0.25">
      <c r="A7" s="67" t="s">
        <v>73</v>
      </c>
      <c r="B7" s="30"/>
      <c r="C7" s="30"/>
      <c r="D7" s="30"/>
      <c r="E7" s="56"/>
      <c r="F7" s="30"/>
      <c r="G7" s="30"/>
      <c r="H7" s="30"/>
      <c r="I7" s="30"/>
      <c r="J7" s="30"/>
      <c r="K7" s="30"/>
      <c r="L7" s="56"/>
      <c r="M7" s="30"/>
      <c r="N7" s="30"/>
      <c r="O7" s="30"/>
      <c r="P7" s="30"/>
      <c r="Q7" s="30"/>
      <c r="R7" s="30"/>
      <c r="S7" s="56"/>
      <c r="T7" s="30"/>
      <c r="U7" s="30"/>
      <c r="V7" s="30"/>
      <c r="W7" s="30"/>
      <c r="X7" s="30"/>
      <c r="Y7" s="30"/>
      <c r="Z7" s="56"/>
      <c r="AA7" s="30"/>
      <c r="AB7" s="30"/>
      <c r="AC7" s="30"/>
      <c r="AD7" s="30"/>
      <c r="AE7" s="30"/>
      <c r="AF7" s="30"/>
      <c r="AG7" s="44">
        <f>COUNTA(Août[[#This Row],[1]:[31]])</f>
        <v>0</v>
      </c>
      <c r="AH7" s="45">
        <f>COUNTIF(B7:AF7,CléCongé)</f>
        <v>0</v>
      </c>
      <c r="AI7" s="45">
        <f>COUNTIF(B7:AF7,CléPersonnel)</f>
        <v>0</v>
      </c>
      <c r="AJ7" s="45">
        <f>COUNTIF(B7:AF7,CléMaladie)</f>
        <v>0</v>
      </c>
      <c r="AK7" s="45">
        <f>COUNTIF(B7:AF7,CléPersonnalisée1)</f>
        <v>0</v>
      </c>
      <c r="AL7" s="45">
        <f>COUNTIF(B7:AF7,CléPersonnalisée2)</f>
        <v>0</v>
      </c>
    </row>
    <row r="8" spans="1:38" x14ac:dyDescent="0.25">
      <c r="A8" s="67" t="s">
        <v>74</v>
      </c>
      <c r="B8" s="30"/>
      <c r="C8" s="30"/>
      <c r="D8" s="30"/>
      <c r="E8" s="56"/>
      <c r="F8" s="30"/>
      <c r="G8" s="30"/>
      <c r="H8" s="30"/>
      <c r="I8" s="30"/>
      <c r="J8" s="30"/>
      <c r="K8" s="30"/>
      <c r="L8" s="56"/>
      <c r="M8" s="30"/>
      <c r="N8" s="30"/>
      <c r="O8" s="30"/>
      <c r="P8" s="30"/>
      <c r="Q8" s="30"/>
      <c r="R8" s="30"/>
      <c r="S8" s="56"/>
      <c r="T8" s="30"/>
      <c r="U8" s="30"/>
      <c r="V8" s="30"/>
      <c r="W8" s="30"/>
      <c r="X8" s="30"/>
      <c r="Y8" s="30"/>
      <c r="Z8" s="56"/>
      <c r="AA8" s="30"/>
      <c r="AB8" s="30"/>
      <c r="AC8" s="30"/>
      <c r="AD8" s="30"/>
      <c r="AE8" s="30"/>
      <c r="AF8" s="30"/>
      <c r="AG8" s="44">
        <f>COUNTA(Août[[#This Row],[1]:[31]])</f>
        <v>0</v>
      </c>
      <c r="AH8" s="45">
        <f>COUNTIF(B8:AF8,CléCongé)</f>
        <v>0</v>
      </c>
      <c r="AI8" s="45">
        <f>COUNTIF(B8:AF8,CléPersonnel)</f>
        <v>0</v>
      </c>
      <c r="AJ8" s="45">
        <f>COUNTIF(B8:AF8,CléMaladie)</f>
        <v>0</v>
      </c>
      <c r="AK8" s="45">
        <f>COUNTIF(B8:AF8,CléPersonnalisée1)</f>
        <v>0</v>
      </c>
      <c r="AL8" s="45">
        <f>COUNTIF(B8:AF8,CléPersonnalisée2)</f>
        <v>0</v>
      </c>
    </row>
    <row r="9" spans="1:38" x14ac:dyDescent="0.25">
      <c r="A9" s="67" t="s">
        <v>75</v>
      </c>
      <c r="B9" s="30"/>
      <c r="C9" s="30"/>
      <c r="D9" s="30"/>
      <c r="E9" s="56"/>
      <c r="F9" s="30"/>
      <c r="G9" s="30"/>
      <c r="H9" s="30"/>
      <c r="I9" s="30"/>
      <c r="J9" s="30"/>
      <c r="K9" s="30"/>
      <c r="L9" s="56"/>
      <c r="M9" s="30"/>
      <c r="N9" s="30"/>
      <c r="O9" s="30"/>
      <c r="P9" s="30"/>
      <c r="Q9" s="30"/>
      <c r="R9" s="30"/>
      <c r="S9" s="56"/>
      <c r="T9" s="30"/>
      <c r="U9" s="30"/>
      <c r="V9" s="30"/>
      <c r="W9" s="30"/>
      <c r="X9" s="30"/>
      <c r="Y9" s="30"/>
      <c r="Z9" s="56"/>
      <c r="AA9" s="30"/>
      <c r="AB9" s="30"/>
      <c r="AC9" s="30"/>
      <c r="AD9" s="30"/>
      <c r="AE9" s="30"/>
      <c r="AF9" s="30"/>
      <c r="AG9" s="44">
        <f>COUNTA(Août[[#This Row],[1]:[31]])</f>
        <v>0</v>
      </c>
      <c r="AH9" s="45">
        <f>COUNTIF(B9:AF9,CléCongé)</f>
        <v>0</v>
      </c>
      <c r="AI9" s="45">
        <f>COUNTIF(B9:AF9,CléPersonnel)</f>
        <v>0</v>
      </c>
      <c r="AJ9" s="45">
        <f>COUNTIF(B9:AF9,CléMaladie)</f>
        <v>0</v>
      </c>
      <c r="AK9" s="45">
        <f>COUNTIF(B9:AF9,CléPersonnalisée1)</f>
        <v>0</v>
      </c>
      <c r="AL9" s="45">
        <f>COUNTIF(B9:AF9,CléPersonnalisée2)</f>
        <v>0</v>
      </c>
    </row>
    <row r="10" spans="1:38" x14ac:dyDescent="0.25">
      <c r="A10" s="67" t="s">
        <v>76</v>
      </c>
      <c r="B10" s="30"/>
      <c r="C10" s="30"/>
      <c r="D10" s="30"/>
      <c r="E10" s="56"/>
      <c r="F10" s="30"/>
      <c r="G10" s="30"/>
      <c r="H10" s="30"/>
      <c r="I10" s="30"/>
      <c r="J10" s="30"/>
      <c r="K10" s="30"/>
      <c r="L10" s="56"/>
      <c r="M10" s="30"/>
      <c r="N10" s="30"/>
      <c r="O10" s="30"/>
      <c r="P10" s="30"/>
      <c r="Q10" s="30"/>
      <c r="R10" s="30"/>
      <c r="S10" s="56"/>
      <c r="T10" s="30"/>
      <c r="U10" s="30"/>
      <c r="V10" s="30"/>
      <c r="W10" s="30"/>
      <c r="X10" s="30"/>
      <c r="Y10" s="30"/>
      <c r="Z10" s="56"/>
      <c r="AA10" s="30"/>
      <c r="AB10" s="30"/>
      <c r="AC10" s="30"/>
      <c r="AD10" s="30"/>
      <c r="AE10" s="30"/>
      <c r="AF10" s="30"/>
      <c r="AG10" s="44">
        <f>COUNTA(Août[[#This Row],[1]:[31]])</f>
        <v>0</v>
      </c>
      <c r="AH10" s="45">
        <f>COUNTIF(B10:AF10,CléCongé)</f>
        <v>0</v>
      </c>
      <c r="AI10" s="45">
        <f>COUNTIF(B10:AF10,CléPersonnel)</f>
        <v>0</v>
      </c>
      <c r="AJ10" s="45">
        <f>COUNTIF(B10:AF10,CléMaladie)</f>
        <v>0</v>
      </c>
      <c r="AK10" s="45">
        <f>COUNTIF(B10:AF10,CléPersonnalisée1)</f>
        <v>0</v>
      </c>
      <c r="AL10" s="45">
        <f>COUNTIF(B10:AF10,CléPersonnalisée2)</f>
        <v>0</v>
      </c>
    </row>
    <row r="11" spans="1:38" x14ac:dyDescent="0.25">
      <c r="A11" s="67" t="s">
        <v>77</v>
      </c>
      <c r="B11" s="30"/>
      <c r="C11" s="30"/>
      <c r="D11" s="30"/>
      <c r="E11" s="56"/>
      <c r="F11" s="30"/>
      <c r="G11" s="30"/>
      <c r="H11" s="30"/>
      <c r="I11" s="30"/>
      <c r="J11" s="30"/>
      <c r="K11" s="30"/>
      <c r="L11" s="56"/>
      <c r="M11" s="30"/>
      <c r="N11" s="30"/>
      <c r="O11" s="30"/>
      <c r="P11" s="30"/>
      <c r="Q11" s="30"/>
      <c r="R11" s="30"/>
      <c r="S11" s="56"/>
      <c r="T11" s="30"/>
      <c r="U11" s="30"/>
      <c r="V11" s="30"/>
      <c r="W11" s="30"/>
      <c r="X11" s="30"/>
      <c r="Y11" s="30"/>
      <c r="Z11" s="56"/>
      <c r="AA11" s="30"/>
      <c r="AB11" s="30"/>
      <c r="AC11" s="30"/>
      <c r="AD11" s="30"/>
      <c r="AE11" s="30"/>
      <c r="AF11" s="30"/>
      <c r="AG11" s="44">
        <f>COUNTA(Août[[#This Row],[1]:[31]])</f>
        <v>0</v>
      </c>
      <c r="AH11" s="45">
        <f>COUNTIF(B11:AF11,CléCongé)</f>
        <v>0</v>
      </c>
      <c r="AI11" s="45">
        <f>COUNTIF(B11:AF11,CléPersonnel)</f>
        <v>0</v>
      </c>
      <c r="AJ11" s="45">
        <f>COUNTIF(B11:AF11,CléMaladie)</f>
        <v>0</v>
      </c>
      <c r="AK11" s="45">
        <f>COUNTIF(B11:AF11,CléPersonnalisée1)</f>
        <v>0</v>
      </c>
      <c r="AL11" s="45">
        <f>COUNTIF(B11:AF11,CléPersonnalisée2)</f>
        <v>0</v>
      </c>
    </row>
    <row r="12" spans="1:38" x14ac:dyDescent="0.25">
      <c r="A12" s="61" t="str">
        <f>NomMois&amp;" Total"</f>
        <v>Août Total</v>
      </c>
      <c r="B12" s="62">
        <f>SUBTOTAL(103,Août[1])</f>
        <v>0</v>
      </c>
      <c r="C12" s="62">
        <f>SUBTOTAL(103,Août[2])</f>
        <v>0</v>
      </c>
      <c r="D12" s="62">
        <f>SUBTOTAL(103,Août[3])</f>
        <v>0</v>
      </c>
      <c r="E12" s="62">
        <f>SUBTOTAL(103,Août[4])</f>
        <v>0</v>
      </c>
      <c r="F12" s="62">
        <f>SUBTOTAL(103,Août[5])</f>
        <v>0</v>
      </c>
      <c r="G12" s="62">
        <f>SUBTOTAL(103,Août[6])</f>
        <v>0</v>
      </c>
      <c r="H12" s="62">
        <f>SUBTOTAL(103,Août[7])</f>
        <v>0</v>
      </c>
      <c r="I12" s="62">
        <f>SUBTOTAL(103,Août[8])</f>
        <v>0</v>
      </c>
      <c r="J12" s="62">
        <f>SUBTOTAL(103,Août[9])</f>
        <v>0</v>
      </c>
      <c r="K12" s="62">
        <f>SUBTOTAL(103,Août[10])</f>
        <v>0</v>
      </c>
      <c r="L12" s="62">
        <f>SUBTOTAL(103,Août[11])</f>
        <v>0</v>
      </c>
      <c r="M12" s="62">
        <f>SUBTOTAL(103,Août[12])</f>
        <v>0</v>
      </c>
      <c r="N12" s="62">
        <f>SUBTOTAL(103,Août[13])</f>
        <v>0</v>
      </c>
      <c r="O12" s="62">
        <f>SUBTOTAL(103,Août[14])</f>
        <v>0</v>
      </c>
      <c r="P12" s="62">
        <f>SUBTOTAL(103,Août[15])</f>
        <v>0</v>
      </c>
      <c r="Q12" s="62">
        <f>SUBTOTAL(103,Août[16])</f>
        <v>0</v>
      </c>
      <c r="R12" s="62">
        <f>SUBTOTAL(103,Août[17])</f>
        <v>0</v>
      </c>
      <c r="S12" s="62">
        <f>SUBTOTAL(103,Août[18])</f>
        <v>0</v>
      </c>
      <c r="T12" s="62">
        <f>SUBTOTAL(103,Août[19])</f>
        <v>0</v>
      </c>
      <c r="U12" s="62">
        <f>SUBTOTAL(103,Août[20])</f>
        <v>0</v>
      </c>
      <c r="V12" s="62">
        <f>SUBTOTAL(103,Août[21])</f>
        <v>0</v>
      </c>
      <c r="W12" s="62">
        <f>SUBTOTAL(103,Août[22])</f>
        <v>0</v>
      </c>
      <c r="X12" s="62">
        <f>SUBTOTAL(103,Août[23])</f>
        <v>0</v>
      </c>
      <c r="Y12" s="62">
        <f>SUBTOTAL(103,Août[24])</f>
        <v>0</v>
      </c>
      <c r="Z12" s="62">
        <f>SUBTOTAL(103,Août[25])</f>
        <v>0</v>
      </c>
      <c r="AA12" s="62">
        <f>SUBTOTAL(103,Août[26])</f>
        <v>0</v>
      </c>
      <c r="AB12" s="62">
        <f>SUBTOTAL(103,Août[27])</f>
        <v>0</v>
      </c>
      <c r="AC12" s="62">
        <f>SUBTOTAL(103,Août[28])</f>
        <v>0</v>
      </c>
      <c r="AD12" s="62">
        <f>SUBTOTAL(103,Août[29])</f>
        <v>0</v>
      </c>
      <c r="AE12" s="62">
        <f>SUBTOTAL(109,Août[30])</f>
        <v>0</v>
      </c>
      <c r="AF12" s="62">
        <f>SUBTOTAL(109,Août[31])</f>
        <v>0</v>
      </c>
      <c r="AG12" s="62">
        <f>SUBTOTAL(109,Août[Total des jours])</f>
        <v>0</v>
      </c>
    </row>
  </sheetData>
  <mergeCells count="7">
    <mergeCell ref="AH5:AL5"/>
    <mergeCell ref="C2:D2"/>
    <mergeCell ref="F2:H2"/>
    <mergeCell ref="J2:K2"/>
    <mergeCell ref="M2:P2"/>
    <mergeCell ref="R2:U2"/>
    <mergeCell ref="B4:AF4"/>
  </mergeCells>
  <conditionalFormatting sqref="B7:AF11">
    <cfRule type="expression" priority="1" stopIfTrue="1">
      <formula>B7=""</formula>
    </cfRule>
  </conditionalFormatting>
  <conditionalFormatting sqref="B7:AF11">
    <cfRule type="expression" dxfId="331" priority="2" stopIfTrue="1">
      <formula>B7=CléPersonnalisée2</formula>
    </cfRule>
    <cfRule type="expression" dxfId="330" priority="3" stopIfTrue="1">
      <formula>B7=CléPersonnalisée1</formula>
    </cfRule>
    <cfRule type="expression" dxfId="329" priority="4" stopIfTrue="1">
      <formula>B7=CléMaladie</formula>
    </cfRule>
    <cfRule type="expression" dxfId="328" priority="5" stopIfTrue="1">
      <formula>B7=CléPersonnel</formula>
    </cfRule>
    <cfRule type="expression" dxfId="327" priority="6" stopIfTrue="1">
      <formula>B7=CléCongé</formula>
    </cfRule>
  </conditionalFormatting>
  <conditionalFormatting sqref="AG7:AG11">
    <cfRule type="dataBar" priority="7">
      <dataBar>
        <cfvo type="min"/>
        <cfvo type="formula" val="DATEDIF(DATE(CalendarYear,2,1),DATE(CalendarYear,3,1),&quot;d&quot;)"/>
        <color theme="2" tint="-0.249977111117893"/>
      </dataBar>
      <extLst>
        <ext xmlns:x14="http://schemas.microsoft.com/office/spreadsheetml/2009/9/main" uri="{B025F937-C7B1-47D3-B67F-A62EFF666E3E}">
          <x14:id>{89DE77FC-5245-48B1-B78F-D9ADCFD08207}</x14:id>
        </ext>
      </extLst>
    </cfRule>
  </conditionalFormatting>
  <dataValidations count="13">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4"/>
    <dataValidation allowBlank="1" showInputMessage="1" showErrorMessage="1" prompt="Cette ligne définit les clés utilisées dans le tableau : Congé en C2, Personnel en F2 et Congé maladie en J2. Les cellules M2 et R2 sont personnalisables  " sqref="A2"/>
    <dataValidation allowBlank="1" showInputMessage="1" showErrorMessage="1" prompt="Entrez une étiquette pour décrire la clé personnalisée à gauche" sqref="M2 R2"/>
    <dataValidation allowBlank="1" showInputMessage="1" showErrorMessage="1" prompt="Entrez une lettre et personnalisez l’étiquette à droite pour ajouter un élément de clé" sqref="L2 Q2"/>
    <dataValidation allowBlank="1" showInputMessage="1" showErrorMessage="1" prompt="La lettre « M » indique une absence pour cause de maladie" sqref="I2"/>
    <dataValidation allowBlank="1" showInputMessage="1" showErrorMessage="1" prompt="La lettre « P » indique une absence pour motifs personnels" sqref="E2"/>
    <dataValidation allowBlank="1" showInputMessage="1" showErrorMessage="1" prompt="La lettre « C » indique une absence pour cause de congé" sqref="B2"/>
    <dataValidation allowBlank="1" showInputMessage="1" showErrorMessage="1" prompt="Le titre mis à jour automatiquement figure dans cette cellule. Pour modifier le titre, mettez à jour la cellule B1 de la feuille de calcul Janvier"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Calcule automatiquement le nombre total de jours d’absence d’un employé durant ce mois dans cette colonne" sqref="AG6"/>
    <dataValidation allowBlank="1" showInputMessage="1" showErrorMessage="1" prompt="Année mise à jour automatiquement en fonction de l’année entrée dans la feuille de calcul Janvier" sqref="AG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5"/>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89DE77FC-5245-48B1-B78F-D9ADCFD08207}">
            <x14:dataBar minLength="0" maxLength="100">
              <x14:cfvo type="autoMin"/>
              <x14:cfvo type="formula">
                <xm:f>DATEDIF(DATE(CalendarYear,2,1),DATE(CalendarYear,3,1),"d")</xm:f>
              </x14:cfvo>
              <x14:negativeFillColor rgb="FFFF0000"/>
              <x14:axisColor rgb="FF000000"/>
            </x14:dataBar>
          </x14:cfRule>
          <xm:sqref>AG7:AG11</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2"/>
  <sheetViews>
    <sheetView workbookViewId="0">
      <selection sqref="A1:XFD1048576"/>
    </sheetView>
  </sheetViews>
  <sheetFormatPr baseColWidth="10" defaultColWidth="9.140625" defaultRowHeight="15" x14ac:dyDescent="0.25"/>
  <cols>
    <col min="1" max="1" width="54.42578125" style="2" bestFit="1" customWidth="1"/>
    <col min="2" max="32" width="4.7109375" style="2" customWidth="1"/>
    <col min="33" max="33" width="13.5703125" style="2" customWidth="1"/>
    <col min="34" max="34" width="9.28515625" style="3" customWidth="1"/>
    <col min="35" max="16384" width="9.140625" style="3"/>
  </cols>
  <sheetData>
    <row r="1" spans="1:38" ht="23.25" x14ac:dyDescent="0.25">
      <c r="A1" s="1" t="str">
        <f>Titre_Absence_Employé</f>
        <v>Calendrier des absences des employés</v>
      </c>
    </row>
    <row r="2" spans="1:38" ht="15.75" thickBot="1" x14ac:dyDescent="0.3">
      <c r="A2" s="4" t="s">
        <v>1</v>
      </c>
      <c r="B2" s="29" t="s">
        <v>2</v>
      </c>
      <c r="C2" s="76" t="s">
        <v>60</v>
      </c>
      <c r="D2" s="76"/>
      <c r="E2" s="6" t="s">
        <v>4</v>
      </c>
      <c r="F2" s="75" t="s">
        <v>5</v>
      </c>
      <c r="G2" s="76"/>
      <c r="H2" s="76"/>
      <c r="I2" s="28" t="s">
        <v>6</v>
      </c>
      <c r="J2" s="76" t="s">
        <v>7</v>
      </c>
      <c r="K2" s="76"/>
      <c r="L2" s="7" t="s">
        <v>8</v>
      </c>
      <c r="M2" s="75" t="s">
        <v>9</v>
      </c>
      <c r="N2" s="76"/>
      <c r="O2" s="76"/>
      <c r="P2" s="76"/>
      <c r="Q2" s="8" t="s">
        <v>10</v>
      </c>
      <c r="R2" s="75" t="s">
        <v>64</v>
      </c>
      <c r="S2" s="76"/>
      <c r="T2" s="76"/>
      <c r="U2" s="76"/>
    </row>
    <row r="3" spans="1:38" ht="23.25" x14ac:dyDescent="0.25">
      <c r="A3" s="1"/>
    </row>
    <row r="4" spans="1:38" ht="18" thickBot="1" x14ac:dyDescent="0.3">
      <c r="A4" s="59" t="s">
        <v>78</v>
      </c>
      <c r="B4" s="77" t="s">
        <v>14</v>
      </c>
      <c r="C4" s="77"/>
      <c r="D4" s="77"/>
      <c r="E4" s="77"/>
      <c r="F4" s="77"/>
      <c r="G4" s="77"/>
      <c r="H4" s="77"/>
      <c r="I4" s="77"/>
      <c r="J4" s="77"/>
      <c r="K4" s="77"/>
      <c r="L4" s="77"/>
      <c r="M4" s="77"/>
      <c r="N4" s="77"/>
      <c r="O4" s="77"/>
      <c r="P4" s="77"/>
      <c r="Q4" s="77"/>
      <c r="R4" s="77"/>
      <c r="S4" s="77"/>
      <c r="T4" s="77"/>
      <c r="U4" s="77"/>
      <c r="V4" s="77"/>
      <c r="W4" s="77"/>
      <c r="X4" s="77"/>
      <c r="Y4" s="77"/>
      <c r="Z4" s="77"/>
      <c r="AA4" s="77"/>
      <c r="AB4" s="77"/>
      <c r="AC4" s="77"/>
      <c r="AD4" s="77"/>
      <c r="AE4" s="77"/>
      <c r="AF4" s="77"/>
      <c r="AG4" s="59">
        <f>AnnéeCalendrier</f>
        <v>2019</v>
      </c>
    </row>
    <row r="5" spans="1:38" ht="18.75" thickTop="1" thickBot="1" x14ac:dyDescent="0.3">
      <c r="A5" s="59"/>
      <c r="B5" s="12" t="str">
        <f>TEXT(WEEKDAY(DATE(AnnéeCalendrier,9,1),1),"jjj")</f>
        <v>dim</v>
      </c>
      <c r="C5" s="12" t="str">
        <f>TEXT(WEEKDAY(DATE(AnnéeCalendrier,9,2),1),"jjj")</f>
        <v>lun</v>
      </c>
      <c r="D5" s="12" t="str">
        <f>TEXT(WEEKDAY(DATE(AnnéeCalendrier,9,3),1),"jjj")</f>
        <v>mar</v>
      </c>
      <c r="E5" s="12" t="str">
        <f>TEXT(WEEKDAY(DATE(AnnéeCalendrier,9,4),1),"jjj")</f>
        <v>mer</v>
      </c>
      <c r="F5" s="12" t="str">
        <f>TEXT(WEEKDAY(DATE(AnnéeCalendrier,9,5),1),"jjj")</f>
        <v>jeu</v>
      </c>
      <c r="G5" s="12" t="str">
        <f>TEXT(WEEKDAY(DATE(AnnéeCalendrier,9,6),1),"jjj")</f>
        <v>ven</v>
      </c>
      <c r="H5" s="12" t="str">
        <f>TEXT(WEEKDAY(DATE(AnnéeCalendrier,9,7),1),"jjj")</f>
        <v>sam</v>
      </c>
      <c r="I5" s="12" t="str">
        <f>TEXT(WEEKDAY(DATE(AnnéeCalendrier,9,8),1),"jjj")</f>
        <v>dim</v>
      </c>
      <c r="J5" s="12" t="str">
        <f>TEXT(WEEKDAY(DATE(AnnéeCalendrier,9,9),1),"jjj")</f>
        <v>lun</v>
      </c>
      <c r="K5" s="12" t="str">
        <f>TEXT(WEEKDAY(DATE(AnnéeCalendrier,9,10),1),"jjj")</f>
        <v>mar</v>
      </c>
      <c r="L5" s="12" t="str">
        <f>TEXT(WEEKDAY(DATE(AnnéeCalendrier,9,11),1),"jjj")</f>
        <v>mer</v>
      </c>
      <c r="M5" s="12" t="str">
        <f>TEXT(WEEKDAY(DATE(AnnéeCalendrier,9,12),1),"jjj")</f>
        <v>jeu</v>
      </c>
      <c r="N5" s="12" t="str">
        <f>TEXT(WEEKDAY(DATE(AnnéeCalendrier,9,13),1),"jjj")</f>
        <v>ven</v>
      </c>
      <c r="O5" s="12" t="str">
        <f>TEXT(WEEKDAY(DATE(AnnéeCalendrier,9,14),1),"jjj")</f>
        <v>sam</v>
      </c>
      <c r="P5" s="12" t="str">
        <f>TEXT(WEEKDAY(DATE(AnnéeCalendrier,9,15),1),"jjj")</f>
        <v>dim</v>
      </c>
      <c r="Q5" s="12" t="str">
        <f>TEXT(WEEKDAY(DATE(AnnéeCalendrier,9,16),1),"jjj")</f>
        <v>lun</v>
      </c>
      <c r="R5" s="12" t="str">
        <f>TEXT(WEEKDAY(DATE(AnnéeCalendrier,9,17),1),"jjj")</f>
        <v>mar</v>
      </c>
      <c r="S5" s="12" t="str">
        <f>TEXT(WEEKDAY(DATE(AnnéeCalendrier,9,18),1),"jjj")</f>
        <v>mer</v>
      </c>
      <c r="T5" s="12" t="str">
        <f>TEXT(WEEKDAY(DATE(AnnéeCalendrier,9,19),1),"jjj")</f>
        <v>jeu</v>
      </c>
      <c r="U5" s="12" t="str">
        <f>TEXT(WEEKDAY(DATE(AnnéeCalendrier,9,20),1),"jjj")</f>
        <v>ven</v>
      </c>
      <c r="V5" s="12" t="str">
        <f>TEXT(WEEKDAY(DATE(AnnéeCalendrier,9,21),1),"jjj")</f>
        <v>sam</v>
      </c>
      <c r="W5" s="12" t="str">
        <f>TEXT(WEEKDAY(DATE(AnnéeCalendrier,9,22),1),"jjj")</f>
        <v>dim</v>
      </c>
      <c r="X5" s="12" t="str">
        <f>TEXT(WEEKDAY(DATE(AnnéeCalendrier,9,23),1),"jjj")</f>
        <v>lun</v>
      </c>
      <c r="Y5" s="12" t="str">
        <f>TEXT(WEEKDAY(DATE(AnnéeCalendrier,9,24),1),"jjj")</f>
        <v>mar</v>
      </c>
      <c r="Z5" s="12" t="str">
        <f>TEXT(WEEKDAY(DATE(AnnéeCalendrier,9,25),1),"jjj")</f>
        <v>mer</v>
      </c>
      <c r="AA5" s="12" t="str">
        <f>TEXT(WEEKDAY(DATE(AnnéeCalendrier,9,26),1),"jjj")</f>
        <v>jeu</v>
      </c>
      <c r="AB5" s="12" t="str">
        <f>TEXT(WEEKDAY(DATE(AnnéeCalendrier,9,27),1),"jjj")</f>
        <v>ven</v>
      </c>
      <c r="AC5" s="12" t="str">
        <f>TEXT(WEEKDAY(DATE(AnnéeCalendrier,9,28),1),"jjj")</f>
        <v>sam</v>
      </c>
      <c r="AD5" s="12" t="str">
        <f>TEXT(WEEKDAY(DATE(AnnéeCalendrier,9,29),1),"jjj")</f>
        <v>dim</v>
      </c>
      <c r="AE5" s="12" t="str">
        <f>TEXT(WEEKDAY(DATE(AnnéeCalendrier,9,30),1),"jjj")</f>
        <v>lun</v>
      </c>
      <c r="AF5" s="12"/>
      <c r="AG5" s="59"/>
      <c r="AH5" s="74" t="s">
        <v>15</v>
      </c>
      <c r="AI5" s="74"/>
      <c r="AJ5" s="74"/>
      <c r="AK5" s="74"/>
      <c r="AL5" s="74"/>
    </row>
    <row r="6" spans="1:38" ht="15.75" thickTop="1" x14ac:dyDescent="0.25">
      <c r="A6" s="33" t="s">
        <v>16</v>
      </c>
      <c r="B6" s="14" t="s">
        <v>17</v>
      </c>
      <c r="C6" s="14" t="s">
        <v>18</v>
      </c>
      <c r="D6" s="14" t="s">
        <v>19</v>
      </c>
      <c r="E6" s="14" t="s">
        <v>20</v>
      </c>
      <c r="F6" s="14" t="s">
        <v>21</v>
      </c>
      <c r="G6" s="14" t="s">
        <v>22</v>
      </c>
      <c r="H6" s="14" t="s">
        <v>23</v>
      </c>
      <c r="I6" s="14" t="s">
        <v>24</v>
      </c>
      <c r="J6" s="14" t="s">
        <v>25</v>
      </c>
      <c r="K6" s="14" t="s">
        <v>26</v>
      </c>
      <c r="L6" s="14" t="s">
        <v>27</v>
      </c>
      <c r="M6" s="14" t="s">
        <v>28</v>
      </c>
      <c r="N6" s="14" t="s">
        <v>29</v>
      </c>
      <c r="O6" s="14" t="s">
        <v>30</v>
      </c>
      <c r="P6" s="14" t="s">
        <v>31</v>
      </c>
      <c r="Q6" s="14" t="s">
        <v>32</v>
      </c>
      <c r="R6" s="14" t="s">
        <v>33</v>
      </c>
      <c r="S6" s="14" t="s">
        <v>34</v>
      </c>
      <c r="T6" s="14" t="s">
        <v>35</v>
      </c>
      <c r="U6" s="14" t="s">
        <v>36</v>
      </c>
      <c r="V6" s="14" t="s">
        <v>37</v>
      </c>
      <c r="W6" s="14" t="s">
        <v>38</v>
      </c>
      <c r="X6" s="14" t="s">
        <v>39</v>
      </c>
      <c r="Y6" s="14" t="s">
        <v>40</v>
      </c>
      <c r="Z6" s="14" t="s">
        <v>41</v>
      </c>
      <c r="AA6" s="14" t="s">
        <v>42</v>
      </c>
      <c r="AB6" s="14" t="s">
        <v>43</v>
      </c>
      <c r="AC6" s="14" t="s">
        <v>44</v>
      </c>
      <c r="AD6" s="14" t="s">
        <v>45</v>
      </c>
      <c r="AE6" s="47" t="s">
        <v>46</v>
      </c>
      <c r="AF6" s="14" t="s">
        <v>47</v>
      </c>
      <c r="AG6" s="15" t="s">
        <v>48</v>
      </c>
      <c r="AH6" s="29" t="s">
        <v>2</v>
      </c>
      <c r="AI6" s="6" t="s">
        <v>4</v>
      </c>
      <c r="AJ6" s="28" t="s">
        <v>6</v>
      </c>
      <c r="AK6" s="7" t="s">
        <v>8</v>
      </c>
      <c r="AL6" s="8" t="s">
        <v>10</v>
      </c>
    </row>
    <row r="7" spans="1:38" x14ac:dyDescent="0.25">
      <c r="A7" s="34" t="s">
        <v>73</v>
      </c>
      <c r="B7" s="56"/>
      <c r="C7" s="39"/>
      <c r="D7" s="39"/>
      <c r="E7" s="30"/>
      <c r="F7" s="30"/>
      <c r="G7" s="30"/>
      <c r="H7" s="37"/>
      <c r="I7" s="56"/>
      <c r="J7" s="39"/>
      <c r="K7" s="39"/>
      <c r="L7" s="30"/>
      <c r="M7" s="30"/>
      <c r="N7" s="30"/>
      <c r="O7" s="37"/>
      <c r="P7" s="56"/>
      <c r="Q7" s="39"/>
      <c r="R7" s="39"/>
      <c r="S7" s="30"/>
      <c r="T7" s="30"/>
      <c r="U7" s="30"/>
      <c r="V7" s="37"/>
      <c r="W7" s="56"/>
      <c r="X7" s="39"/>
      <c r="Y7" s="39"/>
      <c r="Z7" s="30"/>
      <c r="AA7" s="30"/>
      <c r="AB7" s="30"/>
      <c r="AC7" s="37"/>
      <c r="AD7" s="56"/>
      <c r="AE7" s="39"/>
      <c r="AF7" s="39"/>
      <c r="AG7" s="16">
        <f>COUNTA(Juin!$B7:$AF7)</f>
        <v>0</v>
      </c>
      <c r="AH7" s="17">
        <f t="shared" ref="AH7:AH11" si="0">COUNTIF(B7:AF7,Congé)</f>
        <v>0</v>
      </c>
      <c r="AI7" s="17">
        <f t="shared" ref="AI7:AI11" si="1">COUNTIF(B7:AF7,Maternité)</f>
        <v>0</v>
      </c>
      <c r="AJ7" s="17">
        <f t="shared" ref="AJ7:AJ11" si="2">COUNTIF(B7:AF7,Maladie)</f>
        <v>0</v>
      </c>
      <c r="AK7" s="17">
        <f t="shared" ref="AK7:AK11" si="3">COUNTIF(B7:AF7,Permission)</f>
        <v>0</v>
      </c>
      <c r="AL7" s="17">
        <f t="shared" ref="AL7:AL11" si="4">COUNTIF(B7:AF7,Deduire)</f>
        <v>0</v>
      </c>
    </row>
    <row r="8" spans="1:38" x14ac:dyDescent="0.25">
      <c r="A8" s="34" t="s">
        <v>74</v>
      </c>
      <c r="B8" s="56"/>
      <c r="C8" s="39"/>
      <c r="D8" s="39"/>
      <c r="E8" s="30"/>
      <c r="F8" s="30"/>
      <c r="G8" s="30"/>
      <c r="H8" s="37"/>
      <c r="I8" s="56"/>
      <c r="J8" s="39"/>
      <c r="K8" s="39"/>
      <c r="L8" s="30"/>
      <c r="M8" s="30"/>
      <c r="N8" s="30"/>
      <c r="O8" s="37"/>
      <c r="P8" s="56"/>
      <c r="Q8" s="39"/>
      <c r="R8" s="39"/>
      <c r="S8" s="30"/>
      <c r="T8" s="30"/>
      <c r="U8" s="30"/>
      <c r="V8" s="37"/>
      <c r="W8" s="56"/>
      <c r="X8" s="39"/>
      <c r="Y8" s="39"/>
      <c r="Z8" s="30"/>
      <c r="AA8" s="30"/>
      <c r="AB8" s="30"/>
      <c r="AC8" s="37"/>
      <c r="AD8" s="56"/>
      <c r="AE8" s="39"/>
      <c r="AF8" s="39"/>
      <c r="AG8" s="16">
        <f>COUNTA(Juin!$B8:$AF8)</f>
        <v>0</v>
      </c>
      <c r="AH8" s="17">
        <f t="shared" si="0"/>
        <v>0</v>
      </c>
      <c r="AI8" s="17">
        <f t="shared" si="1"/>
        <v>0</v>
      </c>
      <c r="AJ8" s="17">
        <f t="shared" si="2"/>
        <v>0</v>
      </c>
      <c r="AK8" s="17">
        <f t="shared" si="3"/>
        <v>0</v>
      </c>
      <c r="AL8" s="17">
        <f t="shared" si="4"/>
        <v>0</v>
      </c>
    </row>
    <row r="9" spans="1:38" x14ac:dyDescent="0.25">
      <c r="A9" s="34" t="s">
        <v>75</v>
      </c>
      <c r="B9" s="56"/>
      <c r="C9" s="39"/>
      <c r="D9" s="39"/>
      <c r="E9" s="30"/>
      <c r="F9" s="30"/>
      <c r="G9" s="30"/>
      <c r="H9" s="37"/>
      <c r="I9" s="56"/>
      <c r="J9" s="39"/>
      <c r="K9" s="39"/>
      <c r="L9" s="30"/>
      <c r="M9" s="30"/>
      <c r="N9" s="30"/>
      <c r="O9" s="37"/>
      <c r="P9" s="56"/>
      <c r="Q9" s="39"/>
      <c r="R9" s="39"/>
      <c r="S9" s="30"/>
      <c r="T9" s="30"/>
      <c r="U9" s="30"/>
      <c r="V9" s="37"/>
      <c r="W9" s="56"/>
      <c r="X9" s="39"/>
      <c r="Y9" s="39"/>
      <c r="Z9" s="39"/>
      <c r="AA9" s="39"/>
      <c r="AB9" s="39"/>
      <c r="AC9" s="69"/>
      <c r="AD9" s="56"/>
      <c r="AE9" s="39"/>
      <c r="AF9" s="39"/>
      <c r="AG9" s="16">
        <f>COUNTA(Juin!$B9:$AF9)</f>
        <v>0</v>
      </c>
      <c r="AH9" s="17">
        <f t="shared" si="0"/>
        <v>0</v>
      </c>
      <c r="AI9" s="17">
        <f t="shared" si="1"/>
        <v>0</v>
      </c>
      <c r="AJ9" s="17">
        <f t="shared" si="2"/>
        <v>0</v>
      </c>
      <c r="AK9" s="17">
        <f t="shared" si="3"/>
        <v>0</v>
      </c>
      <c r="AL9" s="17">
        <f t="shared" si="4"/>
        <v>0</v>
      </c>
    </row>
    <row r="10" spans="1:38" x14ac:dyDescent="0.25">
      <c r="A10" s="34" t="s">
        <v>76</v>
      </c>
      <c r="B10" s="56"/>
      <c r="C10" s="39"/>
      <c r="D10" s="39"/>
      <c r="E10" s="30"/>
      <c r="F10" s="30"/>
      <c r="G10" s="30"/>
      <c r="H10" s="37"/>
      <c r="I10" s="56"/>
      <c r="J10" s="39"/>
      <c r="K10" s="39"/>
      <c r="L10" s="30"/>
      <c r="M10" s="30"/>
      <c r="N10" s="30"/>
      <c r="O10" s="37"/>
      <c r="P10" s="56"/>
      <c r="Q10" s="39"/>
      <c r="R10" s="39"/>
      <c r="S10" s="30"/>
      <c r="T10" s="30"/>
      <c r="U10" s="30"/>
      <c r="V10" s="37"/>
      <c r="W10" s="56"/>
      <c r="X10" s="39"/>
      <c r="Y10" s="39"/>
      <c r="Z10" s="30"/>
      <c r="AA10" s="30"/>
      <c r="AB10" s="30"/>
      <c r="AC10" s="37"/>
      <c r="AD10" s="56"/>
      <c r="AE10" s="39"/>
      <c r="AF10" s="39"/>
      <c r="AG10" s="16">
        <f>COUNTA(Juin!$B10:$AF10)</f>
        <v>0</v>
      </c>
      <c r="AH10" s="17">
        <f t="shared" si="0"/>
        <v>0</v>
      </c>
      <c r="AI10" s="17">
        <f t="shared" si="1"/>
        <v>0</v>
      </c>
      <c r="AJ10" s="17">
        <f t="shared" si="2"/>
        <v>0</v>
      </c>
      <c r="AK10" s="17">
        <f t="shared" si="3"/>
        <v>0</v>
      </c>
      <c r="AL10" s="17">
        <f t="shared" si="4"/>
        <v>0</v>
      </c>
    </row>
    <row r="11" spans="1:38" x14ac:dyDescent="0.25">
      <c r="A11" s="34" t="s">
        <v>77</v>
      </c>
      <c r="B11" s="68"/>
      <c r="C11" s="71"/>
      <c r="D11" s="48"/>
      <c r="E11" s="52"/>
      <c r="F11" s="52"/>
      <c r="G11" s="52"/>
      <c r="H11" s="49"/>
      <c r="I11" s="68"/>
      <c r="J11" s="71"/>
      <c r="K11" s="48"/>
      <c r="L11" s="52"/>
      <c r="M11" s="52"/>
      <c r="N11" s="52"/>
      <c r="O11" s="49"/>
      <c r="P11" s="68"/>
      <c r="Q11" s="71"/>
      <c r="R11" s="48"/>
      <c r="S11" s="52"/>
      <c r="T11" s="52"/>
      <c r="U11" s="52"/>
      <c r="V11" s="49"/>
      <c r="W11" s="68"/>
      <c r="X11" s="71"/>
      <c r="Y11" s="48"/>
      <c r="Z11" s="52"/>
      <c r="AA11" s="52"/>
      <c r="AB11" s="52"/>
      <c r="AC11" s="49"/>
      <c r="AD11" s="68"/>
      <c r="AE11" s="71"/>
      <c r="AF11" s="53"/>
      <c r="AG11" s="16">
        <f>COUNTA(Juin!$B11:$AF11)</f>
        <v>0</v>
      </c>
      <c r="AH11" s="17">
        <f t="shared" si="0"/>
        <v>0</v>
      </c>
      <c r="AI11" s="17">
        <f t="shared" si="1"/>
        <v>0</v>
      </c>
      <c r="AJ11" s="17">
        <f t="shared" si="2"/>
        <v>0</v>
      </c>
      <c r="AK11" s="17">
        <f t="shared" si="3"/>
        <v>0</v>
      </c>
      <c r="AL11" s="17">
        <f t="shared" si="4"/>
        <v>0</v>
      </c>
    </row>
    <row r="12" spans="1:38" x14ac:dyDescent="0.25">
      <c r="A12" s="61" t="str">
        <f>NomMois&amp;" Total"</f>
        <v>Septembre Total</v>
      </c>
      <c r="B12" s="62">
        <f>SUBTOTAL(103,Juin!$B$7:$B$11)</f>
        <v>0</v>
      </c>
      <c r="C12" s="62">
        <f>SUBTOTAL(103,Juin!$B$7:$B$11)</f>
        <v>0</v>
      </c>
      <c r="D12" s="62">
        <f>SUBTOTAL(103,Juin!$B$7:$B$11)</f>
        <v>0</v>
      </c>
      <c r="E12" s="62">
        <f>SUBTOTAL(103,Juin!$B$7:$B$11)</f>
        <v>0</v>
      </c>
      <c r="F12" s="62">
        <f>SUBTOTAL(103,Juin!$B$7:$B$11)</f>
        <v>0</v>
      </c>
      <c r="G12" s="62">
        <f>SUBTOTAL(103,Juin!$B$7:$B$11)</f>
        <v>0</v>
      </c>
      <c r="H12" s="62">
        <f>SUBTOTAL(103,Juin!$B$7:$B$11)</f>
        <v>0</v>
      </c>
      <c r="I12" s="62">
        <f>SUBTOTAL(103,Juin!$B$7:$B$11)</f>
        <v>0</v>
      </c>
      <c r="J12" s="62">
        <f>SUBTOTAL(103,Juin!$B$7:$B$11)</f>
        <v>0</v>
      </c>
      <c r="K12" s="62">
        <f>SUBTOTAL(103,Juin!$B$7:$B$11)</f>
        <v>0</v>
      </c>
      <c r="L12" s="62">
        <f>SUBTOTAL(103,Juin!$B$7:$B$11)</f>
        <v>0</v>
      </c>
      <c r="M12" s="62">
        <f>SUBTOTAL(103,Juin!$B$7:$B$11)</f>
        <v>0</v>
      </c>
      <c r="N12" s="62">
        <f>SUBTOTAL(103,Juin!$B$7:$B$11)</f>
        <v>0</v>
      </c>
      <c r="O12" s="62">
        <f>SUBTOTAL(103,Juin!$B$7:$B$11)</f>
        <v>0</v>
      </c>
      <c r="P12" s="62">
        <f>SUBTOTAL(103,Juin!$B$7:$B$11)</f>
        <v>0</v>
      </c>
      <c r="Q12" s="62">
        <f>SUBTOTAL(103,Juin!$B$7:$B$11)</f>
        <v>0</v>
      </c>
      <c r="R12" s="62">
        <f>SUBTOTAL(103,Juin!$B$7:$B$11)</f>
        <v>0</v>
      </c>
      <c r="S12" s="62">
        <f>SUBTOTAL(103,Juin!$B$7:$B$11)</f>
        <v>0</v>
      </c>
      <c r="T12" s="62">
        <f>SUBTOTAL(103,Juin!$B$7:$B$11)</f>
        <v>0</v>
      </c>
      <c r="U12" s="62">
        <f>SUBTOTAL(103,Juin!$B$7:$B$11)</f>
        <v>0</v>
      </c>
      <c r="V12" s="62">
        <f>SUBTOTAL(103,Juin!$B$7:$B$11)</f>
        <v>0</v>
      </c>
      <c r="W12" s="62">
        <f>SUBTOTAL(103,Juin!$B$7:$B$11)</f>
        <v>0</v>
      </c>
      <c r="X12" s="62">
        <f>SUBTOTAL(103,Juin!$B$7:$B$11)</f>
        <v>0</v>
      </c>
      <c r="Y12" s="62">
        <f>SUBTOTAL(103,Juin!$B$7:$B$11)</f>
        <v>0</v>
      </c>
      <c r="Z12" s="62">
        <f>SUBTOTAL(103,Juin!$B$7:$B$11)</f>
        <v>0</v>
      </c>
      <c r="AA12" s="62">
        <f>SUBTOTAL(103,Juin!$B$7:$B$11)</f>
        <v>0</v>
      </c>
      <c r="AB12" s="62">
        <f>SUBTOTAL(103,Juin!$B$7:$B$11)</f>
        <v>0</v>
      </c>
      <c r="AC12" s="62">
        <f>SUBTOTAL(103,Juin!$B$7:$B$11)</f>
        <v>0</v>
      </c>
      <c r="AD12" s="62">
        <f>SUBTOTAL(103,Juin!$B$7:$B$11)</f>
        <v>0</v>
      </c>
      <c r="AE12" s="62">
        <f>SUBTOTAL(103,Juin!$B$7:$B$11)</f>
        <v>0</v>
      </c>
      <c r="AF12" s="62">
        <f>SUBTOTAL(103,Juin!$B$7:$B$11)</f>
        <v>0</v>
      </c>
      <c r="AG12" s="62">
        <f>SUBTOTAL(109,Juin10[Total des jours])</f>
        <v>0</v>
      </c>
    </row>
  </sheetData>
  <mergeCells count="7">
    <mergeCell ref="AH5:AL5"/>
    <mergeCell ref="C2:D2"/>
    <mergeCell ref="F2:H2"/>
    <mergeCell ref="J2:K2"/>
    <mergeCell ref="M2:P2"/>
    <mergeCell ref="R2:U2"/>
    <mergeCell ref="B4:AF4"/>
  </mergeCells>
  <conditionalFormatting sqref="AF6">
    <cfRule type="expression" dxfId="257" priority="7">
      <formula>MONTH(DATE(AnnéeCalendrier,2,29))&lt;&gt;2</formula>
    </cfRule>
  </conditionalFormatting>
  <conditionalFormatting sqref="AG7:AG11">
    <cfRule type="dataBar" priority="6">
      <dataBar>
        <cfvo type="num" val="0"/>
        <cfvo type="num" val="30"/>
        <color theme="4"/>
      </dataBar>
      <extLst>
        <ext xmlns:x14="http://schemas.microsoft.com/office/spreadsheetml/2009/9/main" uri="{B025F937-C7B1-47D3-B67F-A62EFF666E3E}">
          <x14:id>{2F393C84-BE00-4072-8A1F-5810640A890F}</x14:id>
        </ext>
      </extLst>
    </cfRule>
  </conditionalFormatting>
  <conditionalFormatting sqref="B7:AF11">
    <cfRule type="cellIs" dxfId="256" priority="1" operator="equal">
      <formula>"D"</formula>
    </cfRule>
    <cfRule type="cellIs" dxfId="255" priority="2" operator="equal">
      <formula>"P"</formula>
    </cfRule>
    <cfRule type="cellIs" dxfId="254" priority="3" operator="equal">
      <formula>"M"</formula>
    </cfRule>
    <cfRule type="cellIs" dxfId="253" priority="4" operator="equal">
      <formula>"B"</formula>
    </cfRule>
    <cfRule type="cellIs" dxfId="252" priority="5" operator="equal">
      <formula>"C"</formula>
    </cfRule>
  </conditionalFormatting>
  <dataValidations count="14">
    <dataValidation type="list" allowBlank="1" showInputMessage="1" showErrorMessage="1" sqref="B7:AF11">
      <formula1>"C,B,M,P,D"</formula1>
    </dataValidation>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5"/>
    <dataValidation allowBlank="1" showInputMessage="1" showErrorMessage="1" prompt="Année mise à jour automatiquement en fonction de l’année entrée dans la feuille de calcul Janvier" sqref="AG4"/>
    <dataValidation allowBlank="1" showInputMessage="1" showErrorMessage="1" prompt="Calcule automatiquement le nombre total de jours d’absence d’un employé durant ce mois dans cette colonne" sqref="AG6"/>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Le titre mis à jour automatiquement figure dans cette cellule. Pour modifier le titre, mettez à jour la cellule B1 de la feuille de calcul Janvier" sqref="A1"/>
    <dataValidation allowBlank="1" showInputMessage="1" showErrorMessage="1" prompt="La lettre « C » indique une absence pour cause de congé" sqref="B2"/>
    <dataValidation allowBlank="1" showInputMessage="1" showErrorMessage="1" prompt="La lettre « P » indique une absence pour motifs personnels" sqref="E2"/>
    <dataValidation allowBlank="1" showInputMessage="1" showErrorMessage="1" prompt="La lettre « M » indique une absence pour cause de maladie" sqref="I2"/>
    <dataValidation allowBlank="1" showInputMessage="1" showErrorMessage="1" prompt="Entrez une lettre et personnalisez l’étiquette à droite pour ajouter un élément de clé" sqref="L2 Q2"/>
    <dataValidation allowBlank="1" showInputMessage="1" showErrorMessage="1" prompt="Entrez une étiquette pour décrire la clé personnalisée à gauche" sqref="M2 R2"/>
    <dataValidation allowBlank="1" showInputMessage="1" showErrorMessage="1" prompt="Cette ligne définit les clés utilisées dans le tableau : Congé en C2, Personnel en F2 et Congé maladie en J2. Les cellules M2 et R2 sont personnalisables " sqref="A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2F393C84-BE00-4072-8A1F-5810640A890F}">
            <x14:dataBar minLength="0" maxLength="100">
              <x14:cfvo type="num">
                <xm:f>0</xm:f>
              </x14:cfvo>
              <x14:cfvo type="num">
                <xm:f>30</xm:f>
              </x14:cfvo>
              <x14:negativeFillColor rgb="FFFF0000"/>
              <x14:axisColor rgb="FF000000"/>
            </x14:dataBar>
          </x14:cfRule>
          <xm:sqref>AG7:AG11</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2"/>
  <sheetViews>
    <sheetView workbookViewId="0">
      <selection activeCell="F20" sqref="F20"/>
    </sheetView>
  </sheetViews>
  <sheetFormatPr baseColWidth="10" defaultColWidth="9.140625" defaultRowHeight="15" x14ac:dyDescent="0.25"/>
  <cols>
    <col min="1" max="1" width="54.42578125" style="2" bestFit="1" customWidth="1"/>
    <col min="2" max="2" width="5.7109375" style="2" customWidth="1"/>
    <col min="3" max="32" width="4.7109375" style="2" customWidth="1"/>
    <col min="33" max="33" width="13.5703125" style="2" customWidth="1"/>
    <col min="34" max="34" width="8.42578125" style="3" customWidth="1"/>
    <col min="35" max="16384" width="9.140625" style="3"/>
  </cols>
  <sheetData>
    <row r="1" spans="1:38" ht="23.25" x14ac:dyDescent="0.25">
      <c r="A1" s="1" t="str">
        <f>Titre_Absence_Employé</f>
        <v>Calendrier des absences des employés</v>
      </c>
    </row>
    <row r="2" spans="1:38" ht="15.75" thickBot="1" x14ac:dyDescent="0.3">
      <c r="A2" s="4" t="s">
        <v>1</v>
      </c>
      <c r="B2" s="29" t="s">
        <v>2</v>
      </c>
      <c r="C2" s="76" t="s">
        <v>60</v>
      </c>
      <c r="D2" s="76"/>
      <c r="E2" s="6" t="s">
        <v>4</v>
      </c>
      <c r="F2" s="76" t="s">
        <v>69</v>
      </c>
      <c r="G2" s="76"/>
      <c r="H2" s="76"/>
      <c r="I2" s="28" t="s">
        <v>6</v>
      </c>
      <c r="J2" s="76" t="s">
        <v>7</v>
      </c>
      <c r="K2" s="76"/>
      <c r="L2" s="7" t="s">
        <v>8</v>
      </c>
      <c r="M2" s="75" t="s">
        <v>9</v>
      </c>
      <c r="N2" s="76"/>
      <c r="O2" s="76"/>
      <c r="P2" s="76"/>
      <c r="Q2" s="8" t="s">
        <v>10</v>
      </c>
      <c r="R2" s="75" t="s">
        <v>64</v>
      </c>
      <c r="S2" s="76"/>
      <c r="T2" s="76"/>
      <c r="U2" s="76"/>
    </row>
    <row r="3" spans="1:38" ht="23.25" x14ac:dyDescent="0.25">
      <c r="A3" s="1"/>
    </row>
    <row r="4" spans="1:38" ht="18" thickBot="1" x14ac:dyDescent="0.3">
      <c r="A4" s="59" t="s">
        <v>79</v>
      </c>
      <c r="B4" s="77" t="s">
        <v>14</v>
      </c>
      <c r="C4" s="77"/>
      <c r="D4" s="77"/>
      <c r="E4" s="77"/>
      <c r="F4" s="77"/>
      <c r="G4" s="77"/>
      <c r="H4" s="77"/>
      <c r="I4" s="77"/>
      <c r="J4" s="77"/>
      <c r="K4" s="77"/>
      <c r="L4" s="77"/>
      <c r="M4" s="77"/>
      <c r="N4" s="77"/>
      <c r="O4" s="77"/>
      <c r="P4" s="77"/>
      <c r="Q4" s="77"/>
      <c r="R4" s="77"/>
      <c r="S4" s="77"/>
      <c r="T4" s="77"/>
      <c r="U4" s="77"/>
      <c r="V4" s="77"/>
      <c r="W4" s="77"/>
      <c r="X4" s="77"/>
      <c r="Y4" s="77"/>
      <c r="Z4" s="77"/>
      <c r="AA4" s="77"/>
      <c r="AB4" s="77"/>
      <c r="AC4" s="77"/>
      <c r="AD4" s="77"/>
      <c r="AE4" s="77"/>
      <c r="AF4" s="77"/>
      <c r="AG4" s="59">
        <f>AnnéeCalendrier</f>
        <v>2019</v>
      </c>
    </row>
    <row r="5" spans="1:38" ht="18.75" thickTop="1" thickBot="1" x14ac:dyDescent="0.3">
      <c r="A5" s="59"/>
      <c r="B5" s="12" t="str">
        <f>TEXT(WEEKDAY(DATE(AnnéeCalendrier,10,1),1),"jjj")</f>
        <v>mar</v>
      </c>
      <c r="C5" s="12" t="str">
        <f>TEXT(WEEKDAY(DATE(AnnéeCalendrier,10,2),1),"jjj")</f>
        <v>mer</v>
      </c>
      <c r="D5" s="12" t="str">
        <f>TEXT(WEEKDAY(DATE(AnnéeCalendrier,10,3),1),"jjj")</f>
        <v>jeu</v>
      </c>
      <c r="E5" s="12" t="str">
        <f>TEXT(WEEKDAY(DATE(AnnéeCalendrier,10,4),1),"jjj")</f>
        <v>ven</v>
      </c>
      <c r="F5" s="12" t="str">
        <f>TEXT(WEEKDAY(DATE(AnnéeCalendrier,10,5),1),"jjj")</f>
        <v>sam</v>
      </c>
      <c r="G5" s="12" t="str">
        <f>TEXT(WEEKDAY(DATE(AnnéeCalendrier,10,6),1),"jjj")</f>
        <v>dim</v>
      </c>
      <c r="H5" s="12" t="str">
        <f>TEXT(WEEKDAY(DATE(AnnéeCalendrier,10,7),1),"jjj")</f>
        <v>lun</v>
      </c>
      <c r="I5" s="12" t="str">
        <f>TEXT(WEEKDAY(DATE(AnnéeCalendrier,10,8),1),"jjj")</f>
        <v>mar</v>
      </c>
      <c r="J5" s="12" t="str">
        <f>TEXT(WEEKDAY(DATE(AnnéeCalendrier,10,9),1),"jjj")</f>
        <v>mer</v>
      </c>
      <c r="K5" s="12" t="str">
        <f>TEXT(WEEKDAY(DATE(AnnéeCalendrier,10,10),1),"jjj")</f>
        <v>jeu</v>
      </c>
      <c r="L5" s="12" t="str">
        <f>TEXT(WEEKDAY(DATE(AnnéeCalendrier,10,11),1),"jjj")</f>
        <v>ven</v>
      </c>
      <c r="M5" s="12" t="str">
        <f>TEXT(WEEKDAY(DATE(AnnéeCalendrier,10,12),1),"jjj")</f>
        <v>sam</v>
      </c>
      <c r="N5" s="12" t="str">
        <f>TEXT(WEEKDAY(DATE(AnnéeCalendrier,10,13),1),"jjj")</f>
        <v>dim</v>
      </c>
      <c r="O5" s="12" t="str">
        <f>TEXT(WEEKDAY(DATE(AnnéeCalendrier,10,14),1),"jjj")</f>
        <v>lun</v>
      </c>
      <c r="P5" s="12" t="str">
        <f>TEXT(WEEKDAY(DATE(AnnéeCalendrier,10,15),1),"jjj")</f>
        <v>mar</v>
      </c>
      <c r="Q5" s="12" t="str">
        <f>TEXT(WEEKDAY(DATE(AnnéeCalendrier,10,16),1),"jjj")</f>
        <v>mer</v>
      </c>
      <c r="R5" s="12" t="str">
        <f>TEXT(WEEKDAY(DATE(AnnéeCalendrier,10,17),1),"jjj")</f>
        <v>jeu</v>
      </c>
      <c r="S5" s="12" t="str">
        <f>TEXT(WEEKDAY(DATE(AnnéeCalendrier,10,18),1),"jjj")</f>
        <v>ven</v>
      </c>
      <c r="T5" s="12" t="str">
        <f>TEXT(WEEKDAY(DATE(AnnéeCalendrier,10,19),1),"jjj")</f>
        <v>sam</v>
      </c>
      <c r="U5" s="12" t="str">
        <f>TEXT(WEEKDAY(DATE(AnnéeCalendrier,10,20),1),"jjj")</f>
        <v>dim</v>
      </c>
      <c r="V5" s="12" t="str">
        <f>TEXT(WEEKDAY(DATE(AnnéeCalendrier,10,21),1),"jjj")</f>
        <v>lun</v>
      </c>
      <c r="W5" s="12" t="str">
        <f>TEXT(WEEKDAY(DATE(AnnéeCalendrier,10,22),1),"jjj")</f>
        <v>mar</v>
      </c>
      <c r="X5" s="12" t="str">
        <f>TEXT(WEEKDAY(DATE(AnnéeCalendrier,10,23),1),"jjj")</f>
        <v>mer</v>
      </c>
      <c r="Y5" s="12" t="str">
        <f>TEXT(WEEKDAY(DATE(AnnéeCalendrier,10,24),1),"jjj")</f>
        <v>jeu</v>
      </c>
      <c r="Z5" s="12" t="str">
        <f>TEXT(WEEKDAY(DATE(AnnéeCalendrier,10,25),1),"jjj")</f>
        <v>ven</v>
      </c>
      <c r="AA5" s="12" t="str">
        <f>TEXT(WEEKDAY(DATE(AnnéeCalendrier,10,26),1),"jjj")</f>
        <v>sam</v>
      </c>
      <c r="AB5" s="12" t="str">
        <f>TEXT(WEEKDAY(DATE(AnnéeCalendrier,10,27),1),"jjj")</f>
        <v>dim</v>
      </c>
      <c r="AC5" s="12" t="str">
        <f>TEXT(WEEKDAY(DATE(AnnéeCalendrier,10,28),1),"jjj")</f>
        <v>lun</v>
      </c>
      <c r="AD5" s="12" t="str">
        <f>TEXT(WEEKDAY(DATE(AnnéeCalendrier,10,29),1),"jjj")</f>
        <v>mar</v>
      </c>
      <c r="AE5" s="12" t="str">
        <f>TEXT(WEEKDAY(DATE(AnnéeCalendrier,10,30),1),"jjj")</f>
        <v>mer</v>
      </c>
      <c r="AF5" s="12" t="str">
        <f>TEXT(WEEKDAY(DATE(AnnéeCalendrier,10,31),1),"jjj")</f>
        <v>jeu</v>
      </c>
      <c r="AG5" s="59"/>
      <c r="AH5" s="74" t="s">
        <v>15</v>
      </c>
      <c r="AI5" s="74"/>
      <c r="AJ5" s="74"/>
      <c r="AK5" s="74"/>
      <c r="AL5" s="74"/>
    </row>
    <row r="6" spans="1:38" ht="15.75" thickTop="1" x14ac:dyDescent="0.25">
      <c r="A6" s="33" t="s">
        <v>16</v>
      </c>
      <c r="B6" s="14" t="s">
        <v>17</v>
      </c>
      <c r="C6" s="14" t="s">
        <v>18</v>
      </c>
      <c r="D6" s="14" t="s">
        <v>19</v>
      </c>
      <c r="E6" s="14" t="s">
        <v>20</v>
      </c>
      <c r="F6" s="14" t="s">
        <v>21</v>
      </c>
      <c r="G6" s="14" t="s">
        <v>22</v>
      </c>
      <c r="H6" s="14" t="s">
        <v>23</v>
      </c>
      <c r="I6" s="14" t="s">
        <v>24</v>
      </c>
      <c r="J6" s="14" t="s">
        <v>25</v>
      </c>
      <c r="K6" s="14" t="s">
        <v>26</v>
      </c>
      <c r="L6" s="14" t="s">
        <v>27</v>
      </c>
      <c r="M6" s="14" t="s">
        <v>28</v>
      </c>
      <c r="N6" s="14" t="s">
        <v>29</v>
      </c>
      <c r="O6" s="14" t="s">
        <v>30</v>
      </c>
      <c r="P6" s="14" t="s">
        <v>31</v>
      </c>
      <c r="Q6" s="14" t="s">
        <v>32</v>
      </c>
      <c r="R6" s="14" t="s">
        <v>33</v>
      </c>
      <c r="S6" s="14" t="s">
        <v>34</v>
      </c>
      <c r="T6" s="14" t="s">
        <v>35</v>
      </c>
      <c r="U6" s="14" t="s">
        <v>36</v>
      </c>
      <c r="V6" s="14" t="s">
        <v>37</v>
      </c>
      <c r="W6" s="14" t="s">
        <v>38</v>
      </c>
      <c r="X6" s="14" t="s">
        <v>39</v>
      </c>
      <c r="Y6" s="14" t="s">
        <v>40</v>
      </c>
      <c r="Z6" s="14" t="s">
        <v>41</v>
      </c>
      <c r="AA6" s="14" t="s">
        <v>42</v>
      </c>
      <c r="AB6" s="14" t="s">
        <v>43</v>
      </c>
      <c r="AC6" s="14" t="s">
        <v>44</v>
      </c>
      <c r="AD6" s="14" t="s">
        <v>45</v>
      </c>
      <c r="AE6" s="14" t="s">
        <v>46</v>
      </c>
      <c r="AF6" s="14" t="s">
        <v>47</v>
      </c>
      <c r="AG6" s="15" t="s">
        <v>48</v>
      </c>
      <c r="AH6" s="29" t="s">
        <v>2</v>
      </c>
      <c r="AI6" s="6" t="s">
        <v>4</v>
      </c>
      <c r="AJ6" s="28" t="s">
        <v>6</v>
      </c>
      <c r="AK6" s="7" t="s">
        <v>8</v>
      </c>
      <c r="AL6" s="8" t="s">
        <v>10</v>
      </c>
    </row>
    <row r="7" spans="1:38" x14ac:dyDescent="0.25">
      <c r="A7" s="19" t="s">
        <v>73</v>
      </c>
      <c r="B7" s="30"/>
      <c r="C7" s="30"/>
      <c r="D7" s="30"/>
      <c r="E7" s="30"/>
      <c r="F7" s="37"/>
      <c r="G7" s="56"/>
      <c r="H7" s="39"/>
      <c r="I7" s="39"/>
      <c r="J7" s="30"/>
      <c r="K7" s="30"/>
      <c r="L7" s="30"/>
      <c r="M7" s="37"/>
      <c r="N7" s="56"/>
      <c r="O7" s="39"/>
      <c r="P7" s="39"/>
      <c r="Q7" s="30"/>
      <c r="R7" s="30"/>
      <c r="S7" s="30"/>
      <c r="T7" s="37"/>
      <c r="U7" s="56"/>
      <c r="V7" s="39"/>
      <c r="W7" s="39"/>
      <c r="X7" s="30"/>
      <c r="Y7" s="30"/>
      <c r="Z7" s="30"/>
      <c r="AA7" s="37"/>
      <c r="AB7" s="56"/>
      <c r="AC7" s="39"/>
      <c r="AD7" s="39"/>
      <c r="AE7" s="30"/>
      <c r="AF7" s="30"/>
      <c r="AG7" s="16">
        <f>COUNTA(Juillet!$B7:$AF7)</f>
        <v>0</v>
      </c>
      <c r="AH7" s="17">
        <f t="shared" ref="AH7:AH11" si="0">COUNTIF(B7:AF7,Congé)</f>
        <v>0</v>
      </c>
      <c r="AI7" s="17">
        <f t="shared" ref="AI7:AI11" si="1">COUNTIF(B7:AF7,Maternité)</f>
        <v>0</v>
      </c>
      <c r="AJ7" s="17">
        <f t="shared" ref="AJ7:AJ11" si="2">COUNTIF(B7:AF7,Maladie)</f>
        <v>0</v>
      </c>
      <c r="AK7" s="17">
        <f t="shared" ref="AK7:AK11" si="3">COUNTIF(B7:AF7,Permission)</f>
        <v>0</v>
      </c>
      <c r="AL7" s="17">
        <f t="shared" ref="AL7:AL11" si="4">COUNTIF(B7:AF7,Deduire)</f>
        <v>0</v>
      </c>
    </row>
    <row r="8" spans="1:38" x14ac:dyDescent="0.25">
      <c r="A8" s="19" t="s">
        <v>74</v>
      </c>
      <c r="B8" s="30"/>
      <c r="C8" s="30"/>
      <c r="D8" s="30"/>
      <c r="E8" s="30"/>
      <c r="F8" s="37"/>
      <c r="G8" s="56"/>
      <c r="H8" s="39"/>
      <c r="I8" s="39"/>
      <c r="J8" s="30"/>
      <c r="K8" s="30"/>
      <c r="L8" s="30"/>
      <c r="M8" s="37"/>
      <c r="N8" s="56"/>
      <c r="O8" s="39"/>
      <c r="P8" s="39"/>
      <c r="Q8" s="30"/>
      <c r="R8" s="30"/>
      <c r="S8" s="30"/>
      <c r="T8" s="37"/>
      <c r="U8" s="56"/>
      <c r="V8" s="39"/>
      <c r="W8" s="39"/>
      <c r="X8" s="30"/>
      <c r="Y8" s="30"/>
      <c r="Z8" s="30"/>
      <c r="AA8" s="37"/>
      <c r="AB8" s="56"/>
      <c r="AC8" s="39"/>
      <c r="AD8" s="39"/>
      <c r="AE8" s="30"/>
      <c r="AF8" s="30"/>
      <c r="AG8" s="16">
        <f>COUNTA(Juillet!$B8:$AF8)</f>
        <v>0</v>
      </c>
      <c r="AH8" s="17">
        <f t="shared" si="0"/>
        <v>0</v>
      </c>
      <c r="AI8" s="17">
        <f t="shared" si="1"/>
        <v>0</v>
      </c>
      <c r="AJ8" s="17">
        <f t="shared" si="2"/>
        <v>0</v>
      </c>
      <c r="AK8" s="17">
        <f t="shared" si="3"/>
        <v>0</v>
      </c>
      <c r="AL8" s="17">
        <f t="shared" si="4"/>
        <v>0</v>
      </c>
    </row>
    <row r="9" spans="1:38" x14ac:dyDescent="0.25">
      <c r="A9" s="19" t="s">
        <v>75</v>
      </c>
      <c r="B9" s="30"/>
      <c r="C9" s="30"/>
      <c r="D9" s="30"/>
      <c r="E9" s="30"/>
      <c r="F9" s="37"/>
      <c r="G9" s="56"/>
      <c r="H9" s="39"/>
      <c r="I9" s="39"/>
      <c r="J9" s="30"/>
      <c r="K9" s="30"/>
      <c r="L9" s="30"/>
      <c r="M9" s="37"/>
      <c r="N9" s="56"/>
      <c r="O9" s="39"/>
      <c r="P9" s="39"/>
      <c r="Q9" s="30"/>
      <c r="R9" s="30"/>
      <c r="S9" s="30"/>
      <c r="T9" s="37"/>
      <c r="U9" s="56"/>
      <c r="V9" s="39"/>
      <c r="W9" s="39"/>
      <c r="X9" s="30"/>
      <c r="Y9" s="30"/>
      <c r="Z9" s="30"/>
      <c r="AA9" s="37"/>
      <c r="AB9" s="56"/>
      <c r="AC9" s="39"/>
      <c r="AD9" s="39"/>
      <c r="AE9" s="30"/>
      <c r="AF9" s="30"/>
      <c r="AG9" s="16">
        <f>COUNTA(Juillet!$B9:$AF9)</f>
        <v>0</v>
      </c>
      <c r="AH9" s="17">
        <f t="shared" si="0"/>
        <v>0</v>
      </c>
      <c r="AI9" s="17">
        <f t="shared" si="1"/>
        <v>0</v>
      </c>
      <c r="AJ9" s="17">
        <f t="shared" si="2"/>
        <v>0</v>
      </c>
      <c r="AK9" s="17">
        <f t="shared" si="3"/>
        <v>0</v>
      </c>
      <c r="AL9" s="17">
        <f t="shared" si="4"/>
        <v>0</v>
      </c>
    </row>
    <row r="10" spans="1:38" x14ac:dyDescent="0.25">
      <c r="A10" s="19" t="s">
        <v>76</v>
      </c>
      <c r="B10" s="35"/>
      <c r="C10" s="35"/>
      <c r="D10" s="35"/>
      <c r="E10" s="35"/>
      <c r="F10" s="38"/>
      <c r="G10" s="57"/>
      <c r="H10" s="72"/>
      <c r="I10" s="40"/>
      <c r="J10" s="35"/>
      <c r="K10" s="35"/>
      <c r="L10" s="35"/>
      <c r="M10" s="38"/>
      <c r="N10" s="57"/>
      <c r="O10" s="72"/>
      <c r="P10" s="40"/>
      <c r="Q10" s="35"/>
      <c r="R10" s="35"/>
      <c r="S10" s="35"/>
      <c r="T10" s="38"/>
      <c r="U10" s="57"/>
      <c r="V10" s="72"/>
      <c r="W10" s="40"/>
      <c r="X10" s="35"/>
      <c r="Y10" s="35"/>
      <c r="Z10" s="35"/>
      <c r="AA10" s="38"/>
      <c r="AB10" s="57"/>
      <c r="AC10" s="72"/>
      <c r="AD10" s="40"/>
      <c r="AE10" s="35"/>
      <c r="AF10" s="32"/>
      <c r="AG10" s="16">
        <f>COUNTA(Juillet!$B10:$AF10)</f>
        <v>0</v>
      </c>
      <c r="AH10" s="17">
        <f t="shared" si="0"/>
        <v>0</v>
      </c>
      <c r="AI10" s="17">
        <f t="shared" si="1"/>
        <v>0</v>
      </c>
      <c r="AJ10" s="17">
        <f t="shared" si="2"/>
        <v>0</v>
      </c>
      <c r="AK10" s="17">
        <f t="shared" si="3"/>
        <v>0</v>
      </c>
      <c r="AL10" s="17">
        <f t="shared" si="4"/>
        <v>0</v>
      </c>
    </row>
    <row r="11" spans="1:38" x14ac:dyDescent="0.25">
      <c r="A11" s="19" t="s">
        <v>77</v>
      </c>
      <c r="B11" s="36"/>
      <c r="C11" s="36"/>
      <c r="D11" s="36"/>
      <c r="E11" s="36"/>
      <c r="F11" s="54"/>
      <c r="G11" s="58"/>
      <c r="H11" s="55"/>
      <c r="I11" s="55"/>
      <c r="J11" s="36"/>
      <c r="K11" s="36"/>
      <c r="L11" s="36"/>
      <c r="M11" s="54"/>
      <c r="N11" s="58"/>
      <c r="O11" s="55"/>
      <c r="P11" s="55"/>
      <c r="Q11" s="36"/>
      <c r="R11" s="36"/>
      <c r="S11" s="36"/>
      <c r="T11" s="54"/>
      <c r="U11" s="58"/>
      <c r="V11" s="55"/>
      <c r="W11" s="55"/>
      <c r="X11" s="36"/>
      <c r="Y11" s="36"/>
      <c r="Z11" s="36"/>
      <c r="AA11" s="54"/>
      <c r="AB11" s="58"/>
      <c r="AC11" s="55"/>
      <c r="AD11" s="55"/>
      <c r="AE11" s="36"/>
      <c r="AF11" s="46"/>
      <c r="AG11" s="16">
        <f>COUNTA(Juillet!$B11:$AF11)</f>
        <v>0</v>
      </c>
      <c r="AH11" s="17">
        <f t="shared" si="0"/>
        <v>0</v>
      </c>
      <c r="AI11" s="17">
        <f t="shared" si="1"/>
        <v>0</v>
      </c>
      <c r="AJ11" s="17">
        <f t="shared" si="2"/>
        <v>0</v>
      </c>
      <c r="AK11" s="17">
        <f t="shared" si="3"/>
        <v>0</v>
      </c>
      <c r="AL11" s="17">
        <f t="shared" si="4"/>
        <v>0</v>
      </c>
    </row>
    <row r="12" spans="1:38" x14ac:dyDescent="0.25">
      <c r="A12" s="61" t="str">
        <f>NomMois&amp;" Total"</f>
        <v>Octobre Total</v>
      </c>
      <c r="B12" s="62">
        <f>SUBTOTAL(103,Juillet!$B$7:$B$11)</f>
        <v>0</v>
      </c>
      <c r="C12" s="62">
        <f>SUBTOTAL(103,Juillet!$B$7:$B$11)</f>
        <v>0</v>
      </c>
      <c r="D12" s="62">
        <f>SUBTOTAL(103,Juillet!$B$7:$B$11)</f>
        <v>0</v>
      </c>
      <c r="E12" s="62">
        <f>SUBTOTAL(103,Juillet!$B$7:$B$11)</f>
        <v>0</v>
      </c>
      <c r="F12" s="62">
        <f>SUBTOTAL(103,Juillet!$B$7:$B$11)</f>
        <v>0</v>
      </c>
      <c r="G12" s="62">
        <f>SUBTOTAL(103,Juillet!$B$7:$B$11)</f>
        <v>0</v>
      </c>
      <c r="H12" s="62">
        <f>SUBTOTAL(103,Juillet!$B$7:$B$11)</f>
        <v>0</v>
      </c>
      <c r="I12" s="62">
        <f>SUBTOTAL(103,Juillet!$B$7:$B$11)</f>
        <v>0</v>
      </c>
      <c r="J12" s="62">
        <f>SUBTOTAL(103,Juillet!$B$7:$B$11)</f>
        <v>0</v>
      </c>
      <c r="K12" s="62">
        <f>SUBTOTAL(103,Juillet!$B$7:$B$11)</f>
        <v>0</v>
      </c>
      <c r="L12" s="62">
        <f>SUBTOTAL(103,Juillet!$B$7:$B$11)</f>
        <v>0</v>
      </c>
      <c r="M12" s="62">
        <f>SUBTOTAL(103,Juillet!$B$7:$B$11)</f>
        <v>0</v>
      </c>
      <c r="N12" s="62">
        <f>SUBTOTAL(103,Juillet!$B$7:$B$11)</f>
        <v>0</v>
      </c>
      <c r="O12" s="62">
        <f>SUBTOTAL(103,Juillet!$B$7:$B$11)</f>
        <v>0</v>
      </c>
      <c r="P12" s="62">
        <f>SUBTOTAL(103,Juillet!$B$7:$B$11)</f>
        <v>0</v>
      </c>
      <c r="Q12" s="62">
        <f>SUBTOTAL(103,Juillet!$B$7:$B$11)</f>
        <v>0</v>
      </c>
      <c r="R12" s="62">
        <f>SUBTOTAL(103,Juillet!$B$7:$B$11)</f>
        <v>0</v>
      </c>
      <c r="S12" s="62">
        <f>SUBTOTAL(103,Juillet!$B$7:$B$11)</f>
        <v>0</v>
      </c>
      <c r="T12" s="62">
        <f>SUBTOTAL(103,Juillet!$B$7:$B$11)</f>
        <v>0</v>
      </c>
      <c r="U12" s="62">
        <f>SUBTOTAL(103,Juillet!$B$7:$B$11)</f>
        <v>0</v>
      </c>
      <c r="V12" s="62">
        <f>SUBTOTAL(103,Juillet!$B$7:$B$11)</f>
        <v>0</v>
      </c>
      <c r="W12" s="62">
        <f>SUBTOTAL(103,Juillet!$B$7:$B$11)</f>
        <v>0</v>
      </c>
      <c r="X12" s="62">
        <f>SUBTOTAL(103,Juillet!$B$7:$B$11)</f>
        <v>0</v>
      </c>
      <c r="Y12" s="62">
        <f>SUBTOTAL(103,Juillet!$B$7:$B$11)</f>
        <v>0</v>
      </c>
      <c r="Z12" s="62">
        <f>SUBTOTAL(103,Juillet!$B$7:$B$11)</f>
        <v>0</v>
      </c>
      <c r="AA12" s="62">
        <f>SUBTOTAL(103,Juillet!$B$7:$B$11)</f>
        <v>0</v>
      </c>
      <c r="AB12" s="62">
        <f>SUBTOTAL(103,Juillet!$B$7:$B$11)</f>
        <v>0</v>
      </c>
      <c r="AC12" s="62">
        <f>SUBTOTAL(103,Juillet!$B$7:$B$11)</f>
        <v>0</v>
      </c>
      <c r="AD12" s="62">
        <f>SUBTOTAL(103,Juillet!$B$7:$B$11)</f>
        <v>0</v>
      </c>
      <c r="AE12" s="62">
        <f>SUBTOTAL(103,Juillet!$B$7:$B$11)</f>
        <v>0</v>
      </c>
      <c r="AF12" s="62">
        <f>SUBTOTAL(103,Juillet!$B$7:$B$11)</f>
        <v>0</v>
      </c>
      <c r="AG12" s="62">
        <f>SUBTOTAL(109,Juillet11[Total des jours])</f>
        <v>0</v>
      </c>
    </row>
  </sheetData>
  <mergeCells count="7">
    <mergeCell ref="AH5:AL5"/>
    <mergeCell ref="C2:D2"/>
    <mergeCell ref="F2:H2"/>
    <mergeCell ref="J2:K2"/>
    <mergeCell ref="M2:P2"/>
    <mergeCell ref="R2:U2"/>
    <mergeCell ref="B4:AF4"/>
  </mergeCells>
  <conditionalFormatting sqref="AG7:AG11">
    <cfRule type="dataBar" priority="6">
      <dataBar>
        <cfvo type="num" val="0"/>
        <cfvo type="num" val="31"/>
        <color theme="4"/>
      </dataBar>
      <extLst>
        <ext xmlns:x14="http://schemas.microsoft.com/office/spreadsheetml/2009/9/main" uri="{B025F937-C7B1-47D3-B67F-A62EFF666E3E}">
          <x14:id>{9BD8D3A6-9E14-4D38-B13F-776E018BEC93}</x14:id>
        </ext>
      </extLst>
    </cfRule>
  </conditionalFormatting>
  <conditionalFormatting sqref="B7:AF11">
    <cfRule type="cellIs" dxfId="192" priority="1" operator="equal">
      <formula>"D"</formula>
    </cfRule>
    <cfRule type="cellIs" dxfId="191" priority="2" operator="equal">
      <formula>"P"</formula>
    </cfRule>
    <cfRule type="cellIs" dxfId="190" priority="3" operator="equal">
      <formula>"M"</formula>
    </cfRule>
    <cfRule type="cellIs" dxfId="189" priority="4" operator="equal">
      <formula>"B"</formula>
    </cfRule>
    <cfRule type="cellIs" dxfId="188" priority="5" operator="equal">
      <formula>"C"</formula>
    </cfRule>
  </conditionalFormatting>
  <dataValidations count="14">
    <dataValidation type="list" allowBlank="1" showInputMessage="1" showErrorMessage="1" sqref="B7:AF11">
      <formula1>"C,B,M,P,D"</formula1>
    </dataValidation>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4"/>
    <dataValidation allowBlank="1" showInputMessage="1" showErrorMessage="1" prompt="Cette ligne définit les clés utilisées dans le tableau : Congé en C2, Personnel en F2 et Congé maladie en J2. Les cellules M2 et R2 sont personnalisables " sqref="A2"/>
    <dataValidation allowBlank="1" showInputMessage="1" showErrorMessage="1" prompt="Entrez une étiquette pour décrire la clé personnalisée à gauche" sqref="M2 R2"/>
    <dataValidation allowBlank="1" showInputMessage="1" showErrorMessage="1" prompt="Entrez une lettre et personnalisez l’étiquette à droite pour ajouter un élément de clé" sqref="L2 Q2"/>
    <dataValidation allowBlank="1" showInputMessage="1" showErrorMessage="1" prompt="La lettre « M » indique une absence pour cause de maladie" sqref="I2"/>
    <dataValidation allowBlank="1" showInputMessage="1" showErrorMessage="1" prompt="La lettre « P » indique une absence pour motifs personnels" sqref="E2"/>
    <dataValidation allowBlank="1" showInputMessage="1" showErrorMessage="1" prompt="La lettre « C » indique une absence pour cause de congé" sqref="B2"/>
    <dataValidation allowBlank="1" showInputMessage="1" showErrorMessage="1" prompt="Le titre mis à jour automatiquement figure dans cette cellule. Pour modifier le titre, mettez à jour la cellule B1 de la feuille de calcul Janvier"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Calcule automatiquement le nombre total de jours d’absence d’un employé durant ce mois dans cette colonne" sqref="AG6"/>
    <dataValidation allowBlank="1" showInputMessage="1" showErrorMessage="1" prompt="Année mise à jour automatiquement en fonction de l’année entrée dans la feuille de calcul Janvier" sqref="AG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5"/>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9BD8D3A6-9E14-4D38-B13F-776E018BEC93}">
            <x14:dataBar minLength="0" maxLength="100">
              <x14:cfvo type="num">
                <xm:f>0</xm:f>
              </x14:cfvo>
              <x14:cfvo type="num">
                <xm:f>31</xm:f>
              </x14:cfvo>
              <x14:negativeFillColor rgb="FFFF0000"/>
              <x14:axisColor rgb="FF000000"/>
            </x14:dataBar>
          </x14:cfRule>
          <xm:sqref>AG7:AG11</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2"/>
  <sheetViews>
    <sheetView workbookViewId="0">
      <selection activeCell="H17" sqref="H17"/>
    </sheetView>
  </sheetViews>
  <sheetFormatPr baseColWidth="10" defaultColWidth="9.140625" defaultRowHeight="15" x14ac:dyDescent="0.25"/>
  <cols>
    <col min="1" max="1" width="54.42578125" style="2" bestFit="1" customWidth="1"/>
    <col min="2" max="32" width="4.7109375" style="2" customWidth="1"/>
    <col min="33" max="33" width="13.5703125" style="2" customWidth="1"/>
    <col min="34" max="34" width="9.28515625" style="3" customWidth="1"/>
    <col min="35" max="16384" width="9.140625" style="3"/>
  </cols>
  <sheetData>
    <row r="1" spans="1:38" ht="23.25" x14ac:dyDescent="0.25">
      <c r="A1" s="1" t="str">
        <f>Titre_Absence_Employé</f>
        <v>Calendrier des absences des employés</v>
      </c>
    </row>
    <row r="2" spans="1:38" ht="15.75" thickBot="1" x14ac:dyDescent="0.3">
      <c r="A2" s="4" t="s">
        <v>1</v>
      </c>
      <c r="B2" s="29" t="s">
        <v>2</v>
      </c>
      <c r="C2" s="76" t="s">
        <v>60</v>
      </c>
      <c r="D2" s="76"/>
      <c r="E2" s="6" t="s">
        <v>4</v>
      </c>
      <c r="F2" s="75" t="s">
        <v>5</v>
      </c>
      <c r="G2" s="76"/>
      <c r="H2" s="76"/>
      <c r="I2" s="28" t="s">
        <v>6</v>
      </c>
      <c r="J2" s="76" t="s">
        <v>7</v>
      </c>
      <c r="K2" s="76"/>
      <c r="L2" s="7" t="s">
        <v>8</v>
      </c>
      <c r="M2" s="75" t="s">
        <v>9</v>
      </c>
      <c r="N2" s="76"/>
      <c r="O2" s="76"/>
      <c r="P2" s="76"/>
      <c r="Q2" s="8" t="s">
        <v>10</v>
      </c>
      <c r="R2" s="75" t="s">
        <v>64</v>
      </c>
      <c r="S2" s="76"/>
      <c r="T2" s="76"/>
      <c r="U2" s="76"/>
    </row>
    <row r="3" spans="1:38" ht="23.25" x14ac:dyDescent="0.25">
      <c r="A3" s="1"/>
    </row>
    <row r="4" spans="1:38" ht="18" thickBot="1" x14ac:dyDescent="0.3">
      <c r="A4" s="59" t="s">
        <v>80</v>
      </c>
      <c r="B4" s="77" t="s">
        <v>14</v>
      </c>
      <c r="C4" s="77"/>
      <c r="D4" s="77"/>
      <c r="E4" s="77"/>
      <c r="F4" s="77"/>
      <c r="G4" s="77"/>
      <c r="H4" s="77"/>
      <c r="I4" s="77"/>
      <c r="J4" s="77"/>
      <c r="K4" s="77"/>
      <c r="L4" s="77"/>
      <c r="M4" s="77"/>
      <c r="N4" s="77"/>
      <c r="O4" s="77"/>
      <c r="P4" s="77"/>
      <c r="Q4" s="77"/>
      <c r="R4" s="77"/>
      <c r="S4" s="77"/>
      <c r="T4" s="77"/>
      <c r="U4" s="77"/>
      <c r="V4" s="77"/>
      <c r="W4" s="77"/>
      <c r="X4" s="77"/>
      <c r="Y4" s="77"/>
      <c r="Z4" s="77"/>
      <c r="AA4" s="77"/>
      <c r="AB4" s="77"/>
      <c r="AC4" s="77"/>
      <c r="AD4" s="77"/>
      <c r="AE4" s="77"/>
      <c r="AF4" s="77"/>
      <c r="AG4" s="59">
        <f>AnnéeCalendrier</f>
        <v>2019</v>
      </c>
    </row>
    <row r="5" spans="1:38" ht="18.75" thickTop="1" thickBot="1" x14ac:dyDescent="0.3">
      <c r="A5" s="59"/>
      <c r="B5" s="12" t="str">
        <f>TEXT(WEEKDAY(DATE(AnnéeCalendrier,11,1),1),"jjj")</f>
        <v>ven</v>
      </c>
      <c r="C5" s="12" t="str">
        <f>TEXT(WEEKDAY(DATE(AnnéeCalendrier,11,2),1),"jjj")</f>
        <v>sam</v>
      </c>
      <c r="D5" s="12" t="str">
        <f>TEXT(WEEKDAY(DATE(AnnéeCalendrier,11,3),1),"jjj")</f>
        <v>dim</v>
      </c>
      <c r="E5" s="12" t="str">
        <f>TEXT(WEEKDAY(DATE(AnnéeCalendrier,11,4),1),"jjj")</f>
        <v>lun</v>
      </c>
      <c r="F5" s="12" t="str">
        <f>TEXT(WEEKDAY(DATE(AnnéeCalendrier,11,5),1),"jjj")</f>
        <v>mar</v>
      </c>
      <c r="G5" s="12" t="str">
        <f>TEXT(WEEKDAY(DATE(AnnéeCalendrier,11,6),1),"jjj")</f>
        <v>mer</v>
      </c>
      <c r="H5" s="12" t="str">
        <f>TEXT(WEEKDAY(DATE(AnnéeCalendrier,11,7),1),"jjj")</f>
        <v>jeu</v>
      </c>
      <c r="I5" s="12" t="str">
        <f>TEXT(WEEKDAY(DATE(AnnéeCalendrier,11,8),1),"jjj")</f>
        <v>ven</v>
      </c>
      <c r="J5" s="12" t="str">
        <f>TEXT(WEEKDAY(DATE(AnnéeCalendrier,11,9),1),"jjj")</f>
        <v>sam</v>
      </c>
      <c r="K5" s="12" t="str">
        <f>TEXT(WEEKDAY(DATE(AnnéeCalendrier,11,10),1),"jjj")</f>
        <v>dim</v>
      </c>
      <c r="L5" s="12" t="str">
        <f>TEXT(WEEKDAY(DATE(AnnéeCalendrier,11,11),1),"jjj")</f>
        <v>lun</v>
      </c>
      <c r="M5" s="12" t="str">
        <f>TEXT(WEEKDAY(DATE(AnnéeCalendrier,11,12),1),"jjj")</f>
        <v>mar</v>
      </c>
      <c r="N5" s="12" t="str">
        <f>TEXT(WEEKDAY(DATE(AnnéeCalendrier,11,13),1),"jjj")</f>
        <v>mer</v>
      </c>
      <c r="O5" s="12" t="str">
        <f>TEXT(WEEKDAY(DATE(AnnéeCalendrier,11,14),1),"jjj")</f>
        <v>jeu</v>
      </c>
      <c r="P5" s="12" t="str">
        <f>TEXT(WEEKDAY(DATE(AnnéeCalendrier,11,15),1),"jjj")</f>
        <v>ven</v>
      </c>
      <c r="Q5" s="12" t="str">
        <f>TEXT(WEEKDAY(DATE(AnnéeCalendrier,11,16),1),"jjj")</f>
        <v>sam</v>
      </c>
      <c r="R5" s="12" t="str">
        <f>TEXT(WEEKDAY(DATE(AnnéeCalendrier,11,17),1),"jjj")</f>
        <v>dim</v>
      </c>
      <c r="S5" s="12" t="str">
        <f>TEXT(WEEKDAY(DATE(AnnéeCalendrier,11,18),1),"jjj")</f>
        <v>lun</v>
      </c>
      <c r="T5" s="12" t="str">
        <f>TEXT(WEEKDAY(DATE(AnnéeCalendrier,11,19),1),"jjj")</f>
        <v>mar</v>
      </c>
      <c r="U5" s="12" t="str">
        <f>TEXT(WEEKDAY(DATE(AnnéeCalendrier,11,20),1),"jjj")</f>
        <v>mer</v>
      </c>
      <c r="V5" s="12" t="str">
        <f>TEXT(WEEKDAY(DATE(AnnéeCalendrier,11,21),1),"jjj")</f>
        <v>jeu</v>
      </c>
      <c r="W5" s="12" t="str">
        <f>TEXT(WEEKDAY(DATE(AnnéeCalendrier,11,22),1),"jjj")</f>
        <v>ven</v>
      </c>
      <c r="X5" s="12" t="str">
        <f>TEXT(WEEKDAY(DATE(AnnéeCalendrier,11,23),1),"jjj")</f>
        <v>sam</v>
      </c>
      <c r="Y5" s="12" t="str">
        <f>TEXT(WEEKDAY(DATE(AnnéeCalendrier,11,24),1),"jjj")</f>
        <v>dim</v>
      </c>
      <c r="Z5" s="12" t="str">
        <f>TEXT(WEEKDAY(DATE(AnnéeCalendrier,11,25),1),"jjj")</f>
        <v>lun</v>
      </c>
      <c r="AA5" s="12" t="str">
        <f>TEXT(WEEKDAY(DATE(AnnéeCalendrier,11,26),1),"jjj")</f>
        <v>mar</v>
      </c>
      <c r="AB5" s="12" t="str">
        <f>TEXT(WEEKDAY(DATE(AnnéeCalendrier,11,27),1),"jjj")</f>
        <v>mer</v>
      </c>
      <c r="AC5" s="12" t="str">
        <f>TEXT(WEEKDAY(DATE(AnnéeCalendrier,11,28),1),"jjj")</f>
        <v>jeu</v>
      </c>
      <c r="AD5" s="12" t="str">
        <f>TEXT(WEEKDAY(DATE(AnnéeCalendrier,11,29),1),"jjj")</f>
        <v>ven</v>
      </c>
      <c r="AE5" s="12" t="str">
        <f>TEXT(WEEKDAY(DATE(AnnéeCalendrier,11,30),1),"jjj")</f>
        <v>sam</v>
      </c>
      <c r="AF5" s="12"/>
      <c r="AG5" s="59"/>
      <c r="AH5" s="74" t="s">
        <v>15</v>
      </c>
      <c r="AI5" s="74"/>
      <c r="AJ5" s="74"/>
      <c r="AK5" s="74"/>
      <c r="AL5" s="74"/>
    </row>
    <row r="6" spans="1:38" ht="15.75" thickTop="1" x14ac:dyDescent="0.25">
      <c r="A6" s="33" t="s">
        <v>16</v>
      </c>
      <c r="B6" s="14" t="s">
        <v>17</v>
      </c>
      <c r="C6" s="14" t="s">
        <v>18</v>
      </c>
      <c r="D6" s="14" t="s">
        <v>19</v>
      </c>
      <c r="E6" s="14" t="s">
        <v>20</v>
      </c>
      <c r="F6" s="14" t="s">
        <v>21</v>
      </c>
      <c r="G6" s="14" t="s">
        <v>22</v>
      </c>
      <c r="H6" s="14" t="s">
        <v>23</v>
      </c>
      <c r="I6" s="14" t="s">
        <v>24</v>
      </c>
      <c r="J6" s="14" t="s">
        <v>25</v>
      </c>
      <c r="K6" s="14" t="s">
        <v>26</v>
      </c>
      <c r="L6" s="14" t="s">
        <v>27</v>
      </c>
      <c r="M6" s="14" t="s">
        <v>28</v>
      </c>
      <c r="N6" s="14" t="s">
        <v>29</v>
      </c>
      <c r="O6" s="14" t="s">
        <v>30</v>
      </c>
      <c r="P6" s="14" t="s">
        <v>31</v>
      </c>
      <c r="Q6" s="14" t="s">
        <v>32</v>
      </c>
      <c r="R6" s="14" t="s">
        <v>33</v>
      </c>
      <c r="S6" s="14" t="s">
        <v>34</v>
      </c>
      <c r="T6" s="14" t="s">
        <v>35</v>
      </c>
      <c r="U6" s="14" t="s">
        <v>36</v>
      </c>
      <c r="V6" s="14" t="s">
        <v>37</v>
      </c>
      <c r="W6" s="14" t="s">
        <v>38</v>
      </c>
      <c r="X6" s="14" t="s">
        <v>39</v>
      </c>
      <c r="Y6" s="14" t="s">
        <v>40</v>
      </c>
      <c r="Z6" s="14" t="s">
        <v>41</v>
      </c>
      <c r="AA6" s="14" t="s">
        <v>42</v>
      </c>
      <c r="AB6" s="14" t="s">
        <v>43</v>
      </c>
      <c r="AC6" s="14" t="s">
        <v>44</v>
      </c>
      <c r="AD6" s="14" t="s">
        <v>45</v>
      </c>
      <c r="AE6" s="47" t="s">
        <v>46</v>
      </c>
      <c r="AF6" s="14" t="s">
        <v>47</v>
      </c>
      <c r="AG6" s="15" t="s">
        <v>48</v>
      </c>
      <c r="AH6" s="29" t="s">
        <v>2</v>
      </c>
      <c r="AI6" s="6" t="s">
        <v>4</v>
      </c>
      <c r="AJ6" s="28" t="s">
        <v>6</v>
      </c>
      <c r="AK6" s="7" t="s">
        <v>8</v>
      </c>
      <c r="AL6" s="8" t="s">
        <v>10</v>
      </c>
    </row>
    <row r="7" spans="1:38" x14ac:dyDescent="0.25">
      <c r="A7" s="34" t="s">
        <v>73</v>
      </c>
      <c r="B7" s="30"/>
      <c r="C7" s="69"/>
      <c r="D7" s="56"/>
      <c r="E7" s="39"/>
      <c r="F7" s="30"/>
      <c r="G7" s="30"/>
      <c r="H7" s="37"/>
      <c r="I7" s="30"/>
      <c r="J7" s="69"/>
      <c r="K7" s="56"/>
      <c r="L7" s="39"/>
      <c r="M7" s="30"/>
      <c r="N7" s="30"/>
      <c r="O7" s="37"/>
      <c r="P7" s="30"/>
      <c r="Q7" s="69"/>
      <c r="R7" s="56"/>
      <c r="S7" s="39"/>
      <c r="T7" s="30"/>
      <c r="U7" s="30"/>
      <c r="V7" s="37"/>
      <c r="W7" s="30"/>
      <c r="X7" s="69"/>
      <c r="Y7" s="56"/>
      <c r="Z7" s="39"/>
      <c r="AA7" s="30"/>
      <c r="AB7" s="30"/>
      <c r="AC7" s="37"/>
      <c r="AD7" s="30"/>
      <c r="AE7" s="39"/>
      <c r="AF7" s="39"/>
      <c r="AG7" s="16">
        <f>COUNTA(Juin!$B7:$AF7)</f>
        <v>0</v>
      </c>
      <c r="AH7" s="17">
        <f t="shared" ref="AH7:AH11" si="0">COUNTIF(B7:AF7,Congé)</f>
        <v>0</v>
      </c>
      <c r="AI7" s="17">
        <f t="shared" ref="AI7:AI11" si="1">COUNTIF(B7:AF7,Maternité)</f>
        <v>0</v>
      </c>
      <c r="AJ7" s="17">
        <f t="shared" ref="AJ7:AJ11" si="2">COUNTIF(B7:AF7,Maladie)</f>
        <v>0</v>
      </c>
      <c r="AK7" s="17">
        <f t="shared" ref="AK7:AK11" si="3">COUNTIF(B7:AF7,Permission)</f>
        <v>0</v>
      </c>
      <c r="AL7" s="17">
        <f t="shared" ref="AL7:AL11" si="4">COUNTIF(B7:AF7,Deduire)</f>
        <v>0</v>
      </c>
    </row>
    <row r="8" spans="1:38" x14ac:dyDescent="0.25">
      <c r="A8" s="34" t="s">
        <v>74</v>
      </c>
      <c r="B8" s="30"/>
      <c r="C8" s="69"/>
      <c r="D8" s="56"/>
      <c r="E8" s="39"/>
      <c r="F8" s="30"/>
      <c r="G8" s="30"/>
      <c r="H8" s="37"/>
      <c r="I8" s="30"/>
      <c r="J8" s="69"/>
      <c r="K8" s="56"/>
      <c r="L8" s="39"/>
      <c r="M8" s="30"/>
      <c r="N8" s="30"/>
      <c r="O8" s="37"/>
      <c r="P8" s="30"/>
      <c r="Q8" s="69"/>
      <c r="R8" s="56"/>
      <c r="S8" s="39"/>
      <c r="T8" s="30"/>
      <c r="U8" s="30"/>
      <c r="V8" s="37"/>
      <c r="W8" s="30"/>
      <c r="X8" s="69"/>
      <c r="Y8" s="56"/>
      <c r="Z8" s="39"/>
      <c r="AA8" s="30"/>
      <c r="AB8" s="30"/>
      <c r="AC8" s="37"/>
      <c r="AD8" s="30"/>
      <c r="AE8" s="39"/>
      <c r="AF8" s="39"/>
      <c r="AG8" s="16">
        <f>COUNTA(Juin!$B8:$AF8)</f>
        <v>0</v>
      </c>
      <c r="AH8" s="17">
        <f t="shared" si="0"/>
        <v>0</v>
      </c>
      <c r="AI8" s="17">
        <f t="shared" si="1"/>
        <v>0</v>
      </c>
      <c r="AJ8" s="17">
        <f t="shared" si="2"/>
        <v>0</v>
      </c>
      <c r="AK8" s="17">
        <f t="shared" si="3"/>
        <v>0</v>
      </c>
      <c r="AL8" s="17">
        <f t="shared" si="4"/>
        <v>0</v>
      </c>
    </row>
    <row r="9" spans="1:38" x14ac:dyDescent="0.25">
      <c r="A9" s="34" t="s">
        <v>75</v>
      </c>
      <c r="B9" s="30"/>
      <c r="C9" s="69"/>
      <c r="D9" s="56"/>
      <c r="E9" s="39"/>
      <c r="F9" s="30"/>
      <c r="G9" s="30"/>
      <c r="H9" s="37"/>
      <c r="I9" s="30"/>
      <c r="J9" s="69"/>
      <c r="K9" s="56"/>
      <c r="L9" s="39"/>
      <c r="M9" s="30"/>
      <c r="N9" s="30"/>
      <c r="O9" s="37"/>
      <c r="P9" s="30"/>
      <c r="Q9" s="69"/>
      <c r="R9" s="56"/>
      <c r="S9" s="39"/>
      <c r="T9" s="30"/>
      <c r="U9" s="30"/>
      <c r="V9" s="37"/>
      <c r="W9" s="30"/>
      <c r="X9" s="69"/>
      <c r="Y9" s="56"/>
      <c r="Z9" s="39"/>
      <c r="AA9" s="39"/>
      <c r="AB9" s="39"/>
      <c r="AC9" s="69"/>
      <c r="AD9" s="30"/>
      <c r="AE9" s="39"/>
      <c r="AF9" s="39"/>
      <c r="AG9" s="16">
        <f>COUNTA(Juin!$B9:$AF9)</f>
        <v>0</v>
      </c>
      <c r="AH9" s="17">
        <f t="shared" si="0"/>
        <v>0</v>
      </c>
      <c r="AI9" s="17">
        <f t="shared" si="1"/>
        <v>0</v>
      </c>
      <c r="AJ9" s="17">
        <f t="shared" si="2"/>
        <v>0</v>
      </c>
      <c r="AK9" s="17">
        <f t="shared" si="3"/>
        <v>0</v>
      </c>
      <c r="AL9" s="17">
        <f t="shared" si="4"/>
        <v>0</v>
      </c>
    </row>
    <row r="10" spans="1:38" x14ac:dyDescent="0.25">
      <c r="A10" s="34" t="s">
        <v>76</v>
      </c>
      <c r="B10" s="30"/>
      <c r="C10" s="69"/>
      <c r="D10" s="56"/>
      <c r="E10" s="39"/>
      <c r="F10" s="30"/>
      <c r="G10" s="30"/>
      <c r="H10" s="37"/>
      <c r="I10" s="30"/>
      <c r="J10" s="69"/>
      <c r="K10" s="56"/>
      <c r="L10" s="39"/>
      <c r="M10" s="30"/>
      <c r="N10" s="30"/>
      <c r="O10" s="37"/>
      <c r="P10" s="30"/>
      <c r="Q10" s="69"/>
      <c r="R10" s="56"/>
      <c r="S10" s="39"/>
      <c r="T10" s="30"/>
      <c r="U10" s="30"/>
      <c r="V10" s="37"/>
      <c r="W10" s="30"/>
      <c r="X10" s="69"/>
      <c r="Y10" s="56"/>
      <c r="Z10" s="39"/>
      <c r="AA10" s="30"/>
      <c r="AB10" s="30"/>
      <c r="AC10" s="37"/>
      <c r="AD10" s="30"/>
      <c r="AE10" s="39"/>
      <c r="AF10" s="39"/>
      <c r="AG10" s="16">
        <f>COUNTA(Juin!$B10:$AF10)</f>
        <v>0</v>
      </c>
      <c r="AH10" s="17">
        <f t="shared" si="0"/>
        <v>0</v>
      </c>
      <c r="AI10" s="17">
        <f t="shared" si="1"/>
        <v>0</v>
      </c>
      <c r="AJ10" s="17">
        <f t="shared" si="2"/>
        <v>0</v>
      </c>
      <c r="AK10" s="17">
        <f t="shared" si="3"/>
        <v>0</v>
      </c>
      <c r="AL10" s="17">
        <f t="shared" si="4"/>
        <v>0</v>
      </c>
    </row>
    <row r="11" spans="1:38" x14ac:dyDescent="0.25">
      <c r="A11" s="34" t="s">
        <v>77</v>
      </c>
      <c r="B11" s="70"/>
      <c r="C11" s="73"/>
      <c r="D11" s="68"/>
      <c r="E11" s="48"/>
      <c r="F11" s="52"/>
      <c r="G11" s="52"/>
      <c r="H11" s="49"/>
      <c r="I11" s="70"/>
      <c r="J11" s="73"/>
      <c r="K11" s="68"/>
      <c r="L11" s="48"/>
      <c r="M11" s="52"/>
      <c r="N11" s="52"/>
      <c r="O11" s="49"/>
      <c r="P11" s="70"/>
      <c r="Q11" s="73"/>
      <c r="R11" s="68"/>
      <c r="S11" s="48"/>
      <c r="T11" s="52"/>
      <c r="U11" s="52"/>
      <c r="V11" s="49"/>
      <c r="W11" s="70"/>
      <c r="X11" s="73"/>
      <c r="Y11" s="68"/>
      <c r="Z11" s="48"/>
      <c r="AA11" s="52"/>
      <c r="AB11" s="52"/>
      <c r="AC11" s="49"/>
      <c r="AD11" s="70"/>
      <c r="AE11" s="71"/>
      <c r="AF11" s="53"/>
      <c r="AG11" s="16">
        <f>COUNTA(Juin!$B11:$AF11)</f>
        <v>0</v>
      </c>
      <c r="AH11" s="17">
        <f t="shared" si="0"/>
        <v>0</v>
      </c>
      <c r="AI11" s="17">
        <f t="shared" si="1"/>
        <v>0</v>
      </c>
      <c r="AJ11" s="17">
        <f t="shared" si="2"/>
        <v>0</v>
      </c>
      <c r="AK11" s="17">
        <f t="shared" si="3"/>
        <v>0</v>
      </c>
      <c r="AL11" s="17">
        <f t="shared" si="4"/>
        <v>0</v>
      </c>
    </row>
    <row r="12" spans="1:38" x14ac:dyDescent="0.25">
      <c r="A12" s="61" t="str">
        <f>NomMois&amp;" Total"</f>
        <v>Novembre Total</v>
      </c>
      <c r="B12" s="62">
        <f>SUBTOTAL(103,Juin!$B$7:$B$11)</f>
        <v>0</v>
      </c>
      <c r="C12" s="62">
        <f>SUBTOTAL(103,Juin!$B$7:$B$11)</f>
        <v>0</v>
      </c>
      <c r="D12" s="62">
        <f>SUBTOTAL(103,Juin!$B$7:$B$11)</f>
        <v>0</v>
      </c>
      <c r="E12" s="62">
        <f>SUBTOTAL(103,Juin!$B$7:$B$11)</f>
        <v>0</v>
      </c>
      <c r="F12" s="62">
        <f>SUBTOTAL(103,Juin!$B$7:$B$11)</f>
        <v>0</v>
      </c>
      <c r="G12" s="62">
        <f>SUBTOTAL(103,Juin!$B$7:$B$11)</f>
        <v>0</v>
      </c>
      <c r="H12" s="62">
        <f>SUBTOTAL(103,Juin!$B$7:$B$11)</f>
        <v>0</v>
      </c>
      <c r="I12" s="62">
        <f>SUBTOTAL(103,Juin!$B$7:$B$11)</f>
        <v>0</v>
      </c>
      <c r="J12" s="62">
        <f>SUBTOTAL(103,Juin!$B$7:$B$11)</f>
        <v>0</v>
      </c>
      <c r="K12" s="62">
        <f>SUBTOTAL(103,Juin!$B$7:$B$11)</f>
        <v>0</v>
      </c>
      <c r="L12" s="62">
        <f>SUBTOTAL(103,Juin!$B$7:$B$11)</f>
        <v>0</v>
      </c>
      <c r="M12" s="62">
        <f>SUBTOTAL(103,Juin!$B$7:$B$11)</f>
        <v>0</v>
      </c>
      <c r="N12" s="62">
        <f>SUBTOTAL(103,Juin!$B$7:$B$11)</f>
        <v>0</v>
      </c>
      <c r="O12" s="62">
        <f>SUBTOTAL(103,Juin!$B$7:$B$11)</f>
        <v>0</v>
      </c>
      <c r="P12" s="62">
        <f>SUBTOTAL(103,Juin!$B$7:$B$11)</f>
        <v>0</v>
      </c>
      <c r="Q12" s="62">
        <f>SUBTOTAL(103,Juin!$B$7:$B$11)</f>
        <v>0</v>
      </c>
      <c r="R12" s="62">
        <f>SUBTOTAL(103,Juin!$B$7:$B$11)</f>
        <v>0</v>
      </c>
      <c r="S12" s="62">
        <f>SUBTOTAL(103,Juin!$B$7:$B$11)</f>
        <v>0</v>
      </c>
      <c r="T12" s="62">
        <f>SUBTOTAL(103,Juin!$B$7:$B$11)</f>
        <v>0</v>
      </c>
      <c r="U12" s="62">
        <f>SUBTOTAL(103,Juin!$B$7:$B$11)</f>
        <v>0</v>
      </c>
      <c r="V12" s="62">
        <f>SUBTOTAL(103,Juin!$B$7:$B$11)</f>
        <v>0</v>
      </c>
      <c r="W12" s="62">
        <f>SUBTOTAL(103,Juin!$B$7:$B$11)</f>
        <v>0</v>
      </c>
      <c r="X12" s="62">
        <f>SUBTOTAL(103,Juin!$B$7:$B$11)</f>
        <v>0</v>
      </c>
      <c r="Y12" s="62">
        <f>SUBTOTAL(103,Juin!$B$7:$B$11)</f>
        <v>0</v>
      </c>
      <c r="Z12" s="62">
        <f>SUBTOTAL(103,Juin!$B$7:$B$11)</f>
        <v>0</v>
      </c>
      <c r="AA12" s="62">
        <f>SUBTOTAL(103,Juin!$B$7:$B$11)</f>
        <v>0</v>
      </c>
      <c r="AB12" s="62">
        <f>SUBTOTAL(103,Juin!$B$7:$B$11)</f>
        <v>0</v>
      </c>
      <c r="AC12" s="62">
        <f>SUBTOTAL(103,Juin!$B$7:$B$11)</f>
        <v>0</v>
      </c>
      <c r="AD12" s="62">
        <f>SUBTOTAL(103,Juin!$B$7:$B$11)</f>
        <v>0</v>
      </c>
      <c r="AE12" s="62">
        <f>SUBTOTAL(103,Juin!$B$7:$B$11)</f>
        <v>0</v>
      </c>
      <c r="AF12" s="62">
        <f>SUBTOTAL(103,Juin!$B$7:$B$11)</f>
        <v>0</v>
      </c>
      <c r="AG12" s="62">
        <f>SUBTOTAL(109,Juin1012[Total des jours])</f>
        <v>0</v>
      </c>
    </row>
  </sheetData>
  <mergeCells count="7">
    <mergeCell ref="AH5:AL5"/>
    <mergeCell ref="C2:D2"/>
    <mergeCell ref="F2:H2"/>
    <mergeCell ref="J2:K2"/>
    <mergeCell ref="M2:P2"/>
    <mergeCell ref="R2:U2"/>
    <mergeCell ref="B4:AF4"/>
  </mergeCells>
  <conditionalFormatting sqref="AF6">
    <cfRule type="expression" dxfId="126" priority="7">
      <formula>MONTH(DATE(AnnéeCalendrier,2,29))&lt;&gt;2</formula>
    </cfRule>
  </conditionalFormatting>
  <conditionalFormatting sqref="AG7:AG11">
    <cfRule type="dataBar" priority="6">
      <dataBar>
        <cfvo type="num" val="0"/>
        <cfvo type="num" val="30"/>
        <color theme="4"/>
      </dataBar>
      <extLst>
        <ext xmlns:x14="http://schemas.microsoft.com/office/spreadsheetml/2009/9/main" uri="{B025F937-C7B1-47D3-B67F-A62EFF666E3E}">
          <x14:id>{389EB762-BFF1-40FE-BFBC-9D2A2FBBC813}</x14:id>
        </ext>
      </extLst>
    </cfRule>
  </conditionalFormatting>
  <conditionalFormatting sqref="B7:AF11">
    <cfRule type="cellIs" dxfId="125" priority="1" operator="equal">
      <formula>"D"</formula>
    </cfRule>
    <cfRule type="cellIs" dxfId="124" priority="2" operator="equal">
      <formula>"P"</formula>
    </cfRule>
    <cfRule type="cellIs" dxfId="123" priority="3" operator="equal">
      <formula>"M"</formula>
    </cfRule>
    <cfRule type="cellIs" dxfId="122" priority="4" operator="equal">
      <formula>"B"</formula>
    </cfRule>
    <cfRule type="cellIs" dxfId="121" priority="5" operator="equal">
      <formula>"C"</formula>
    </cfRule>
  </conditionalFormatting>
  <dataValidations count="1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4"/>
    <dataValidation allowBlank="1" showInputMessage="1" showErrorMessage="1" prompt="Cette ligne définit les clés utilisées dans le tableau : Congé en C2, Personnel en F2 et Congé maladie en J2. Les cellules M2 et R2 sont personnalisables " sqref="A2"/>
    <dataValidation allowBlank="1" showInputMessage="1" showErrorMessage="1" prompt="Entrez une étiquette pour décrire la clé personnalisée à gauche" sqref="M2 R2"/>
    <dataValidation allowBlank="1" showInputMessage="1" showErrorMessage="1" prompt="Entrez une lettre et personnalisez l’étiquette à droite pour ajouter un élément de clé" sqref="L2 Q2"/>
    <dataValidation allowBlank="1" showInputMessage="1" showErrorMessage="1" prompt="La lettre « M » indique une absence pour cause de maladie" sqref="I2"/>
    <dataValidation allowBlank="1" showInputMessage="1" showErrorMessage="1" prompt="La lettre « P » indique une absence pour motifs personnels" sqref="E2"/>
    <dataValidation allowBlank="1" showInputMessage="1" showErrorMessage="1" prompt="La lettre « C » indique une absence pour cause de congé" sqref="B2"/>
    <dataValidation allowBlank="1" showInputMessage="1" showErrorMessage="1" prompt="Le titre mis à jour automatiquement figure dans cette cellule. Pour modifier le titre, mettez à jour la cellule B1 de la feuille de calcul Janvier"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Calcule automatiquement le nombre total de jours d’absence d’un employé durant ce mois dans cette colonne" sqref="AG6"/>
    <dataValidation allowBlank="1" showInputMessage="1" showErrorMessage="1" prompt="Année mise à jour automatiquement en fonction de l’année entrée dans la feuille de calcul Janvier" sqref="AG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5"/>
    <dataValidation type="list" allowBlank="1" showInputMessage="1" showErrorMessage="1" sqref="B7:AF11">
      <formula1>"C,B,M,P,D"</formula1>
    </dataValidation>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389EB762-BFF1-40FE-BFBC-9D2A2FBBC813}">
            <x14:dataBar minLength="0" maxLength="100">
              <x14:cfvo type="num">
                <xm:f>0</xm:f>
              </x14:cfvo>
              <x14:cfvo type="num">
                <xm:f>30</xm:f>
              </x14:cfvo>
              <x14:negativeFillColor rgb="FFFF0000"/>
              <x14:axisColor rgb="FF000000"/>
            </x14:dataBar>
          </x14:cfRule>
          <xm:sqref>AG7:AG11</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2"/>
  <sheetViews>
    <sheetView workbookViewId="0">
      <selection activeCell="F14" sqref="F14"/>
    </sheetView>
  </sheetViews>
  <sheetFormatPr baseColWidth="10" defaultColWidth="9.140625" defaultRowHeight="15" x14ac:dyDescent="0.25"/>
  <cols>
    <col min="1" max="1" width="54.42578125" style="2" bestFit="1" customWidth="1"/>
    <col min="2" max="2" width="5.7109375" style="2" customWidth="1"/>
    <col min="3" max="32" width="4.7109375" style="2" customWidth="1"/>
    <col min="33" max="33" width="13.5703125" style="2" customWidth="1"/>
    <col min="34" max="34" width="8.42578125" style="3" customWidth="1"/>
    <col min="35" max="16384" width="9.140625" style="3"/>
  </cols>
  <sheetData>
    <row r="1" spans="1:38" ht="23.25" x14ac:dyDescent="0.25">
      <c r="A1" s="1" t="str">
        <f>Titre_Absence_Employé</f>
        <v>Calendrier des absences des employés</v>
      </c>
    </row>
    <row r="2" spans="1:38" ht="15.75" thickBot="1" x14ac:dyDescent="0.3">
      <c r="A2" s="4" t="s">
        <v>1</v>
      </c>
      <c r="B2" s="29" t="s">
        <v>2</v>
      </c>
      <c r="C2" s="76" t="s">
        <v>60</v>
      </c>
      <c r="D2" s="76"/>
      <c r="E2" s="6" t="s">
        <v>4</v>
      </c>
      <c r="F2" s="76" t="s">
        <v>69</v>
      </c>
      <c r="G2" s="76"/>
      <c r="H2" s="76"/>
      <c r="I2" s="28" t="s">
        <v>6</v>
      </c>
      <c r="J2" s="76" t="s">
        <v>7</v>
      </c>
      <c r="K2" s="76"/>
      <c r="L2" s="7" t="s">
        <v>8</v>
      </c>
      <c r="M2" s="75" t="s">
        <v>9</v>
      </c>
      <c r="N2" s="76"/>
      <c r="O2" s="76"/>
      <c r="P2" s="76"/>
      <c r="Q2" s="8" t="s">
        <v>10</v>
      </c>
      <c r="R2" s="75" t="s">
        <v>64</v>
      </c>
      <c r="S2" s="76"/>
      <c r="T2" s="76"/>
      <c r="U2" s="76"/>
    </row>
    <row r="3" spans="1:38" ht="23.25" x14ac:dyDescent="0.25">
      <c r="A3" s="1"/>
    </row>
    <row r="4" spans="1:38" ht="18" thickBot="1" x14ac:dyDescent="0.3">
      <c r="A4" s="59" t="s">
        <v>81</v>
      </c>
      <c r="B4" s="77" t="s">
        <v>14</v>
      </c>
      <c r="C4" s="77"/>
      <c r="D4" s="77"/>
      <c r="E4" s="77"/>
      <c r="F4" s="77"/>
      <c r="G4" s="77"/>
      <c r="H4" s="77"/>
      <c r="I4" s="77"/>
      <c r="J4" s="77"/>
      <c r="K4" s="77"/>
      <c r="L4" s="77"/>
      <c r="M4" s="77"/>
      <c r="N4" s="77"/>
      <c r="O4" s="77"/>
      <c r="P4" s="77"/>
      <c r="Q4" s="77"/>
      <c r="R4" s="77"/>
      <c r="S4" s="77"/>
      <c r="T4" s="77"/>
      <c r="U4" s="77"/>
      <c r="V4" s="77"/>
      <c r="W4" s="77"/>
      <c r="X4" s="77"/>
      <c r="Y4" s="77"/>
      <c r="Z4" s="77"/>
      <c r="AA4" s="77"/>
      <c r="AB4" s="77"/>
      <c r="AC4" s="77"/>
      <c r="AD4" s="77"/>
      <c r="AE4" s="77"/>
      <c r="AF4" s="77"/>
      <c r="AG4" s="59">
        <f>AnnéeCalendrier</f>
        <v>2019</v>
      </c>
    </row>
    <row r="5" spans="1:38" ht="18.75" thickTop="1" thickBot="1" x14ac:dyDescent="0.3">
      <c r="A5" s="59"/>
      <c r="B5" s="12" t="str">
        <f>TEXT(WEEKDAY(DATE(AnnéeCalendrier,12,1),1),"jjj")</f>
        <v>dim</v>
      </c>
      <c r="C5" s="12" t="str">
        <f>TEXT(WEEKDAY(DATE(AnnéeCalendrier,12,2),1),"jjj")</f>
        <v>lun</v>
      </c>
      <c r="D5" s="12" t="str">
        <f>TEXT(WEEKDAY(DATE(AnnéeCalendrier,12,3),1),"jjj")</f>
        <v>mar</v>
      </c>
      <c r="E5" s="12" t="str">
        <f>TEXT(WEEKDAY(DATE(AnnéeCalendrier,12,4),1),"jjj")</f>
        <v>mer</v>
      </c>
      <c r="F5" s="12" t="str">
        <f>TEXT(WEEKDAY(DATE(AnnéeCalendrier,12,5),1),"jjj")</f>
        <v>jeu</v>
      </c>
      <c r="G5" s="12" t="str">
        <f>TEXT(WEEKDAY(DATE(AnnéeCalendrier,12,6),1),"jjj")</f>
        <v>ven</v>
      </c>
      <c r="H5" s="12" t="str">
        <f>TEXT(WEEKDAY(DATE(AnnéeCalendrier,12,7),1),"jjj")</f>
        <v>sam</v>
      </c>
      <c r="I5" s="12" t="str">
        <f>TEXT(WEEKDAY(DATE(AnnéeCalendrier,12,8),1),"jjj")</f>
        <v>dim</v>
      </c>
      <c r="J5" s="12" t="str">
        <f>TEXT(WEEKDAY(DATE(AnnéeCalendrier,12,9),1),"jjj")</f>
        <v>lun</v>
      </c>
      <c r="K5" s="12" t="str">
        <f>TEXT(WEEKDAY(DATE(AnnéeCalendrier,12,10),1),"jjj")</f>
        <v>mar</v>
      </c>
      <c r="L5" s="12" t="str">
        <f>TEXT(WEEKDAY(DATE(AnnéeCalendrier,12,11),1),"jjj")</f>
        <v>mer</v>
      </c>
      <c r="M5" s="12" t="str">
        <f>TEXT(WEEKDAY(DATE(AnnéeCalendrier,12,12),1),"jjj")</f>
        <v>jeu</v>
      </c>
      <c r="N5" s="12" t="str">
        <f>TEXT(WEEKDAY(DATE(AnnéeCalendrier,12,13),1),"jjj")</f>
        <v>ven</v>
      </c>
      <c r="O5" s="12" t="str">
        <f>TEXT(WEEKDAY(DATE(AnnéeCalendrier,12,14),1),"jjj")</f>
        <v>sam</v>
      </c>
      <c r="P5" s="12" t="str">
        <f>TEXT(WEEKDAY(DATE(AnnéeCalendrier,12,15),1),"jjj")</f>
        <v>dim</v>
      </c>
      <c r="Q5" s="12" t="str">
        <f>TEXT(WEEKDAY(DATE(AnnéeCalendrier,12,16),1),"jjj")</f>
        <v>lun</v>
      </c>
      <c r="R5" s="12" t="str">
        <f>TEXT(WEEKDAY(DATE(AnnéeCalendrier,12,17),1),"jjj")</f>
        <v>mar</v>
      </c>
      <c r="S5" s="12" t="str">
        <f>TEXT(WEEKDAY(DATE(AnnéeCalendrier,12,18),1),"jjj")</f>
        <v>mer</v>
      </c>
      <c r="T5" s="12" t="str">
        <f>TEXT(WEEKDAY(DATE(AnnéeCalendrier,12,19),1),"jjj")</f>
        <v>jeu</v>
      </c>
      <c r="U5" s="12" t="str">
        <f>TEXT(WEEKDAY(DATE(AnnéeCalendrier,12,20),1),"jjj")</f>
        <v>ven</v>
      </c>
      <c r="V5" s="12" t="str">
        <f>TEXT(WEEKDAY(DATE(AnnéeCalendrier,12,21),1),"jjj")</f>
        <v>sam</v>
      </c>
      <c r="W5" s="12" t="str">
        <f>TEXT(WEEKDAY(DATE(AnnéeCalendrier,12,22),1),"jjj")</f>
        <v>dim</v>
      </c>
      <c r="X5" s="12" t="str">
        <f>TEXT(WEEKDAY(DATE(AnnéeCalendrier,12,23),1),"jjj")</f>
        <v>lun</v>
      </c>
      <c r="Y5" s="12" t="str">
        <f>TEXT(WEEKDAY(DATE(AnnéeCalendrier,12,24),1),"jjj")</f>
        <v>mar</v>
      </c>
      <c r="Z5" s="12" t="str">
        <f>TEXT(WEEKDAY(DATE(AnnéeCalendrier,12,25),1),"jjj")</f>
        <v>mer</v>
      </c>
      <c r="AA5" s="12" t="str">
        <f>TEXT(WEEKDAY(DATE(AnnéeCalendrier,12,26),1),"jjj")</f>
        <v>jeu</v>
      </c>
      <c r="AB5" s="12" t="str">
        <f>TEXT(WEEKDAY(DATE(AnnéeCalendrier,12,27),1),"jjj")</f>
        <v>ven</v>
      </c>
      <c r="AC5" s="12" t="str">
        <f>TEXT(WEEKDAY(DATE(AnnéeCalendrier,12,28),1),"jjj")</f>
        <v>sam</v>
      </c>
      <c r="AD5" s="12" t="str">
        <f>TEXT(WEEKDAY(DATE(AnnéeCalendrier,12,29),1),"jjj")</f>
        <v>dim</v>
      </c>
      <c r="AE5" s="12" t="str">
        <f>TEXT(WEEKDAY(DATE(AnnéeCalendrier,12,30),1),"jjj")</f>
        <v>lun</v>
      </c>
      <c r="AF5" s="12" t="str">
        <f>TEXT(WEEKDAY(DATE(AnnéeCalendrier,12,31),1),"jjj")</f>
        <v>mar</v>
      </c>
      <c r="AG5" s="59"/>
      <c r="AH5" s="74" t="s">
        <v>15</v>
      </c>
      <c r="AI5" s="74"/>
      <c r="AJ5" s="74"/>
      <c r="AK5" s="74"/>
      <c r="AL5" s="74"/>
    </row>
    <row r="6" spans="1:38" ht="15.75" thickTop="1" x14ac:dyDescent="0.25">
      <c r="A6" s="33" t="s">
        <v>16</v>
      </c>
      <c r="B6" s="14" t="s">
        <v>17</v>
      </c>
      <c r="C6" s="14" t="s">
        <v>18</v>
      </c>
      <c r="D6" s="14" t="s">
        <v>19</v>
      </c>
      <c r="E6" s="14" t="s">
        <v>20</v>
      </c>
      <c r="F6" s="14" t="s">
        <v>21</v>
      </c>
      <c r="G6" s="14" t="s">
        <v>22</v>
      </c>
      <c r="H6" s="14" t="s">
        <v>23</v>
      </c>
      <c r="I6" s="14" t="s">
        <v>24</v>
      </c>
      <c r="J6" s="14" t="s">
        <v>25</v>
      </c>
      <c r="K6" s="14" t="s">
        <v>26</v>
      </c>
      <c r="L6" s="14" t="s">
        <v>27</v>
      </c>
      <c r="M6" s="14" t="s">
        <v>28</v>
      </c>
      <c r="N6" s="14" t="s">
        <v>29</v>
      </c>
      <c r="O6" s="14" t="s">
        <v>30</v>
      </c>
      <c r="P6" s="14" t="s">
        <v>31</v>
      </c>
      <c r="Q6" s="14" t="s">
        <v>32</v>
      </c>
      <c r="R6" s="14" t="s">
        <v>33</v>
      </c>
      <c r="S6" s="14" t="s">
        <v>34</v>
      </c>
      <c r="T6" s="14" t="s">
        <v>35</v>
      </c>
      <c r="U6" s="14" t="s">
        <v>36</v>
      </c>
      <c r="V6" s="14" t="s">
        <v>37</v>
      </c>
      <c r="W6" s="14" t="s">
        <v>38</v>
      </c>
      <c r="X6" s="14" t="s">
        <v>39</v>
      </c>
      <c r="Y6" s="14" t="s">
        <v>40</v>
      </c>
      <c r="Z6" s="14" t="s">
        <v>41</v>
      </c>
      <c r="AA6" s="14" t="s">
        <v>42</v>
      </c>
      <c r="AB6" s="14" t="s">
        <v>43</v>
      </c>
      <c r="AC6" s="14" t="s">
        <v>44</v>
      </c>
      <c r="AD6" s="14" t="s">
        <v>45</v>
      </c>
      <c r="AE6" s="14" t="s">
        <v>46</v>
      </c>
      <c r="AF6" s="14" t="s">
        <v>47</v>
      </c>
      <c r="AG6" s="15" t="s">
        <v>48</v>
      </c>
      <c r="AH6" s="29" t="s">
        <v>2</v>
      </c>
      <c r="AI6" s="6" t="s">
        <v>4</v>
      </c>
      <c r="AJ6" s="28" t="s">
        <v>6</v>
      </c>
      <c r="AK6" s="7" t="s">
        <v>8</v>
      </c>
      <c r="AL6" s="8" t="s">
        <v>10</v>
      </c>
    </row>
    <row r="7" spans="1:38" x14ac:dyDescent="0.25">
      <c r="A7" s="19" t="s">
        <v>73</v>
      </c>
      <c r="B7" s="30"/>
      <c r="C7" s="30"/>
      <c r="D7" s="30"/>
      <c r="E7" s="30"/>
      <c r="F7" s="37"/>
      <c r="G7" s="56"/>
      <c r="H7" s="39"/>
      <c r="I7" s="39"/>
      <c r="J7" s="30"/>
      <c r="K7" s="30"/>
      <c r="L7" s="30"/>
      <c r="M7" s="37"/>
      <c r="N7" s="56"/>
      <c r="O7" s="39"/>
      <c r="P7" s="39"/>
      <c r="Q7" s="30"/>
      <c r="R7" s="30"/>
      <c r="S7" s="30"/>
      <c r="T7" s="37"/>
      <c r="U7" s="56"/>
      <c r="V7" s="39"/>
      <c r="W7" s="39"/>
      <c r="X7" s="30"/>
      <c r="Y7" s="30"/>
      <c r="Z7" s="30"/>
      <c r="AA7" s="37"/>
      <c r="AB7" s="56"/>
      <c r="AC7" s="39"/>
      <c r="AD7" s="39"/>
      <c r="AE7" s="30"/>
      <c r="AF7" s="30"/>
      <c r="AG7" s="16">
        <f>COUNTA(Juillet!$B7:$AF7)</f>
        <v>0</v>
      </c>
      <c r="AH7" s="17">
        <f t="shared" ref="AH7:AH11" si="0">COUNTIF(B7:AF7,Congé)</f>
        <v>0</v>
      </c>
      <c r="AI7" s="17">
        <f t="shared" ref="AI7:AI11" si="1">COUNTIF(B7:AF7,Maternité)</f>
        <v>0</v>
      </c>
      <c r="AJ7" s="17">
        <f t="shared" ref="AJ7:AJ11" si="2">COUNTIF(B7:AF7,Maladie)</f>
        <v>0</v>
      </c>
      <c r="AK7" s="17">
        <f t="shared" ref="AK7:AK11" si="3">COUNTIF(B7:AF7,Permission)</f>
        <v>0</v>
      </c>
      <c r="AL7" s="17">
        <f t="shared" ref="AL7:AL11" si="4">COUNTIF(B7:AF7,Deduire)</f>
        <v>0</v>
      </c>
    </row>
    <row r="8" spans="1:38" x14ac:dyDescent="0.25">
      <c r="A8" s="19" t="s">
        <v>74</v>
      </c>
      <c r="B8" s="30"/>
      <c r="C8" s="30"/>
      <c r="D8" s="30"/>
      <c r="E8" s="30"/>
      <c r="F8" s="37"/>
      <c r="G8" s="56"/>
      <c r="H8" s="39"/>
      <c r="I8" s="39"/>
      <c r="J8" s="30"/>
      <c r="K8" s="30"/>
      <c r="L8" s="30"/>
      <c r="M8" s="37"/>
      <c r="N8" s="56"/>
      <c r="O8" s="39"/>
      <c r="P8" s="39"/>
      <c r="Q8" s="30"/>
      <c r="R8" s="30"/>
      <c r="S8" s="30"/>
      <c r="T8" s="37"/>
      <c r="U8" s="56"/>
      <c r="V8" s="39"/>
      <c r="W8" s="39"/>
      <c r="X8" s="30"/>
      <c r="Y8" s="30"/>
      <c r="Z8" s="30"/>
      <c r="AA8" s="37"/>
      <c r="AB8" s="56"/>
      <c r="AC8" s="39"/>
      <c r="AD8" s="39"/>
      <c r="AE8" s="30"/>
      <c r="AF8" s="30"/>
      <c r="AG8" s="16">
        <f>COUNTA(Juillet!$B8:$AF8)</f>
        <v>0</v>
      </c>
      <c r="AH8" s="17">
        <f t="shared" si="0"/>
        <v>0</v>
      </c>
      <c r="AI8" s="17">
        <f t="shared" si="1"/>
        <v>0</v>
      </c>
      <c r="AJ8" s="17">
        <f t="shared" si="2"/>
        <v>0</v>
      </c>
      <c r="AK8" s="17">
        <f t="shared" si="3"/>
        <v>0</v>
      </c>
      <c r="AL8" s="17">
        <f t="shared" si="4"/>
        <v>0</v>
      </c>
    </row>
    <row r="9" spans="1:38" x14ac:dyDescent="0.25">
      <c r="A9" s="19" t="s">
        <v>75</v>
      </c>
      <c r="B9" s="30"/>
      <c r="C9" s="30"/>
      <c r="D9" s="30"/>
      <c r="E9" s="30"/>
      <c r="F9" s="37"/>
      <c r="G9" s="56"/>
      <c r="H9" s="39"/>
      <c r="I9" s="39"/>
      <c r="J9" s="30"/>
      <c r="K9" s="30"/>
      <c r="L9" s="30"/>
      <c r="M9" s="37"/>
      <c r="N9" s="56"/>
      <c r="O9" s="39"/>
      <c r="P9" s="39"/>
      <c r="Q9" s="30"/>
      <c r="R9" s="30"/>
      <c r="S9" s="30"/>
      <c r="T9" s="37"/>
      <c r="U9" s="56"/>
      <c r="V9" s="39"/>
      <c r="W9" s="39"/>
      <c r="X9" s="30"/>
      <c r="Y9" s="30"/>
      <c r="Z9" s="30"/>
      <c r="AA9" s="37"/>
      <c r="AB9" s="56"/>
      <c r="AC9" s="39"/>
      <c r="AD9" s="39"/>
      <c r="AE9" s="30"/>
      <c r="AF9" s="30"/>
      <c r="AG9" s="16">
        <f>COUNTA(Juillet!$B9:$AF9)</f>
        <v>0</v>
      </c>
      <c r="AH9" s="17">
        <f t="shared" si="0"/>
        <v>0</v>
      </c>
      <c r="AI9" s="17">
        <f t="shared" si="1"/>
        <v>0</v>
      </c>
      <c r="AJ9" s="17">
        <f t="shared" si="2"/>
        <v>0</v>
      </c>
      <c r="AK9" s="17">
        <f t="shared" si="3"/>
        <v>0</v>
      </c>
      <c r="AL9" s="17">
        <f t="shared" si="4"/>
        <v>0</v>
      </c>
    </row>
    <row r="10" spans="1:38" x14ac:dyDescent="0.25">
      <c r="A10" s="19" t="s">
        <v>76</v>
      </c>
      <c r="B10" s="35"/>
      <c r="C10" s="35"/>
      <c r="D10" s="35"/>
      <c r="E10" s="35"/>
      <c r="F10" s="38"/>
      <c r="G10" s="57"/>
      <c r="H10" s="72"/>
      <c r="I10" s="40"/>
      <c r="J10" s="35"/>
      <c r="K10" s="35"/>
      <c r="L10" s="35"/>
      <c r="M10" s="38"/>
      <c r="N10" s="57"/>
      <c r="O10" s="72"/>
      <c r="P10" s="40"/>
      <c r="Q10" s="35"/>
      <c r="R10" s="35"/>
      <c r="S10" s="35"/>
      <c r="T10" s="38"/>
      <c r="U10" s="57"/>
      <c r="V10" s="72"/>
      <c r="W10" s="40"/>
      <c r="X10" s="35"/>
      <c r="Y10" s="35"/>
      <c r="Z10" s="35"/>
      <c r="AA10" s="38"/>
      <c r="AB10" s="57"/>
      <c r="AC10" s="72"/>
      <c r="AD10" s="40"/>
      <c r="AE10" s="35"/>
      <c r="AF10" s="32"/>
      <c r="AG10" s="16">
        <f>COUNTA(Juillet!$B10:$AF10)</f>
        <v>0</v>
      </c>
      <c r="AH10" s="17">
        <f t="shared" si="0"/>
        <v>0</v>
      </c>
      <c r="AI10" s="17">
        <f t="shared" si="1"/>
        <v>0</v>
      </c>
      <c r="AJ10" s="17">
        <f t="shared" si="2"/>
        <v>0</v>
      </c>
      <c r="AK10" s="17">
        <f t="shared" si="3"/>
        <v>0</v>
      </c>
      <c r="AL10" s="17">
        <f t="shared" si="4"/>
        <v>0</v>
      </c>
    </row>
    <row r="11" spans="1:38" x14ac:dyDescent="0.25">
      <c r="A11" s="19" t="s">
        <v>77</v>
      </c>
      <c r="B11" s="36"/>
      <c r="C11" s="36"/>
      <c r="D11" s="36"/>
      <c r="E11" s="36"/>
      <c r="F11" s="54"/>
      <c r="G11" s="58"/>
      <c r="H11" s="55"/>
      <c r="I11" s="55"/>
      <c r="J11" s="36"/>
      <c r="K11" s="36"/>
      <c r="L11" s="36"/>
      <c r="M11" s="54"/>
      <c r="N11" s="58"/>
      <c r="O11" s="55"/>
      <c r="P11" s="55"/>
      <c r="Q11" s="36"/>
      <c r="R11" s="36"/>
      <c r="S11" s="36"/>
      <c r="T11" s="54"/>
      <c r="U11" s="58"/>
      <c r="V11" s="55"/>
      <c r="W11" s="55"/>
      <c r="X11" s="36"/>
      <c r="Y11" s="36"/>
      <c r="Z11" s="36"/>
      <c r="AA11" s="54"/>
      <c r="AB11" s="58"/>
      <c r="AC11" s="55"/>
      <c r="AD11" s="55"/>
      <c r="AE11" s="36"/>
      <c r="AF11" s="46"/>
      <c r="AG11" s="16">
        <f>COUNTA(Juillet!$B11:$AF11)</f>
        <v>0</v>
      </c>
      <c r="AH11" s="17">
        <f t="shared" si="0"/>
        <v>0</v>
      </c>
      <c r="AI11" s="17">
        <f t="shared" si="1"/>
        <v>0</v>
      </c>
      <c r="AJ11" s="17">
        <f t="shared" si="2"/>
        <v>0</v>
      </c>
      <c r="AK11" s="17">
        <f t="shared" si="3"/>
        <v>0</v>
      </c>
      <c r="AL11" s="17">
        <f t="shared" si="4"/>
        <v>0</v>
      </c>
    </row>
    <row r="12" spans="1:38" x14ac:dyDescent="0.25">
      <c r="A12" s="61" t="str">
        <f>NomMois&amp;" Total"</f>
        <v>Décembre Total</v>
      </c>
      <c r="B12" s="62">
        <f>SUBTOTAL(103,Juillet!$B$7:$B$11)</f>
        <v>0</v>
      </c>
      <c r="C12" s="62">
        <f>SUBTOTAL(103,Juillet!$B$7:$B$11)</f>
        <v>0</v>
      </c>
      <c r="D12" s="62">
        <f>SUBTOTAL(103,Juillet!$B$7:$B$11)</f>
        <v>0</v>
      </c>
      <c r="E12" s="62">
        <f>SUBTOTAL(103,Juillet!$B$7:$B$11)</f>
        <v>0</v>
      </c>
      <c r="F12" s="62">
        <f>SUBTOTAL(103,Juillet!$B$7:$B$11)</f>
        <v>0</v>
      </c>
      <c r="G12" s="62">
        <f>SUBTOTAL(103,Juillet!$B$7:$B$11)</f>
        <v>0</v>
      </c>
      <c r="H12" s="62">
        <f>SUBTOTAL(103,Juillet!$B$7:$B$11)</f>
        <v>0</v>
      </c>
      <c r="I12" s="62">
        <f>SUBTOTAL(103,Juillet!$B$7:$B$11)</f>
        <v>0</v>
      </c>
      <c r="J12" s="62">
        <f>SUBTOTAL(103,Juillet!$B$7:$B$11)</f>
        <v>0</v>
      </c>
      <c r="K12" s="62">
        <f>SUBTOTAL(103,Juillet!$B$7:$B$11)</f>
        <v>0</v>
      </c>
      <c r="L12" s="62">
        <f>SUBTOTAL(103,Juillet!$B$7:$B$11)</f>
        <v>0</v>
      </c>
      <c r="M12" s="62">
        <f>SUBTOTAL(103,Juillet!$B$7:$B$11)</f>
        <v>0</v>
      </c>
      <c r="N12" s="62">
        <f>SUBTOTAL(103,Juillet!$B$7:$B$11)</f>
        <v>0</v>
      </c>
      <c r="O12" s="62">
        <f>SUBTOTAL(103,Juillet!$B$7:$B$11)</f>
        <v>0</v>
      </c>
      <c r="P12" s="62">
        <f>SUBTOTAL(103,Juillet!$B$7:$B$11)</f>
        <v>0</v>
      </c>
      <c r="Q12" s="62">
        <f>SUBTOTAL(103,Juillet!$B$7:$B$11)</f>
        <v>0</v>
      </c>
      <c r="R12" s="62">
        <f>SUBTOTAL(103,Juillet!$B$7:$B$11)</f>
        <v>0</v>
      </c>
      <c r="S12" s="62">
        <f>SUBTOTAL(103,Juillet!$B$7:$B$11)</f>
        <v>0</v>
      </c>
      <c r="T12" s="62">
        <f>SUBTOTAL(103,Juillet!$B$7:$B$11)</f>
        <v>0</v>
      </c>
      <c r="U12" s="62">
        <f>SUBTOTAL(103,Juillet!$B$7:$B$11)</f>
        <v>0</v>
      </c>
      <c r="V12" s="62">
        <f>SUBTOTAL(103,Juillet!$B$7:$B$11)</f>
        <v>0</v>
      </c>
      <c r="W12" s="62">
        <f>SUBTOTAL(103,Juillet!$B$7:$B$11)</f>
        <v>0</v>
      </c>
      <c r="X12" s="62">
        <f>SUBTOTAL(103,Juillet!$B$7:$B$11)</f>
        <v>0</v>
      </c>
      <c r="Y12" s="62">
        <f>SUBTOTAL(103,Juillet!$B$7:$B$11)</f>
        <v>0</v>
      </c>
      <c r="Z12" s="62">
        <f>SUBTOTAL(103,Juillet!$B$7:$B$11)</f>
        <v>0</v>
      </c>
      <c r="AA12" s="62">
        <f>SUBTOTAL(103,Juillet!$B$7:$B$11)</f>
        <v>0</v>
      </c>
      <c r="AB12" s="62">
        <f>SUBTOTAL(103,Juillet!$B$7:$B$11)</f>
        <v>0</v>
      </c>
      <c r="AC12" s="62">
        <f>SUBTOTAL(103,Juillet!$B$7:$B$11)</f>
        <v>0</v>
      </c>
      <c r="AD12" s="62">
        <f>SUBTOTAL(103,Juillet!$B$7:$B$11)</f>
        <v>0</v>
      </c>
      <c r="AE12" s="62">
        <f>SUBTOTAL(103,Juillet!$B$7:$B$11)</f>
        <v>0</v>
      </c>
      <c r="AF12" s="62">
        <f>SUBTOTAL(103,Juillet!$B$7:$B$11)</f>
        <v>0</v>
      </c>
      <c r="AG12" s="62">
        <f>SUBTOTAL(109,Juillet1113[Total des jours])</f>
        <v>0</v>
      </c>
    </row>
  </sheetData>
  <mergeCells count="7">
    <mergeCell ref="AH5:AL5"/>
    <mergeCell ref="C2:D2"/>
    <mergeCell ref="F2:H2"/>
    <mergeCell ref="J2:K2"/>
    <mergeCell ref="M2:P2"/>
    <mergeCell ref="R2:U2"/>
    <mergeCell ref="B4:AF4"/>
  </mergeCells>
  <conditionalFormatting sqref="AG7:AG11">
    <cfRule type="dataBar" priority="6">
      <dataBar>
        <cfvo type="num" val="0"/>
        <cfvo type="num" val="31"/>
        <color theme="4"/>
      </dataBar>
      <extLst>
        <ext xmlns:x14="http://schemas.microsoft.com/office/spreadsheetml/2009/9/main" uri="{B025F937-C7B1-47D3-B67F-A62EFF666E3E}">
          <x14:id>{9F7F4C9B-7671-4413-B25B-8E01AB7B497B}</x14:id>
        </ext>
      </extLst>
    </cfRule>
  </conditionalFormatting>
  <conditionalFormatting sqref="B7:AF11">
    <cfRule type="cellIs" dxfId="65" priority="1" operator="equal">
      <formula>"D"</formula>
    </cfRule>
    <cfRule type="cellIs" dxfId="64" priority="2" operator="equal">
      <formula>"P"</formula>
    </cfRule>
    <cfRule type="cellIs" dxfId="63" priority="3" operator="equal">
      <formula>"M"</formula>
    </cfRule>
    <cfRule type="cellIs" dxfId="62" priority="4" operator="equal">
      <formula>"B"</formula>
    </cfRule>
    <cfRule type="cellIs" dxfId="61" priority="5" operator="equal">
      <formula>"C"</formula>
    </cfRule>
  </conditionalFormatting>
  <dataValidations count="1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5"/>
    <dataValidation allowBlank="1" showInputMessage="1" showErrorMessage="1" prompt="Année mise à jour automatiquement en fonction de l’année entrée dans la feuille de calcul Janvier" sqref="AG4"/>
    <dataValidation allowBlank="1" showInputMessage="1" showErrorMessage="1" prompt="Calcule automatiquement le nombre total de jours d’absence d’un employé durant ce mois dans cette colonne" sqref="AG6"/>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Le titre mis à jour automatiquement figure dans cette cellule. Pour modifier le titre, mettez à jour la cellule B1 de la feuille de calcul Janvier" sqref="A1"/>
    <dataValidation allowBlank="1" showInputMessage="1" showErrorMessage="1" prompt="La lettre « C » indique une absence pour cause de congé" sqref="B2"/>
    <dataValidation allowBlank="1" showInputMessage="1" showErrorMessage="1" prompt="La lettre « P » indique une absence pour motifs personnels" sqref="E2"/>
    <dataValidation allowBlank="1" showInputMessage="1" showErrorMessage="1" prompt="La lettre « M » indique une absence pour cause de maladie" sqref="I2"/>
    <dataValidation allowBlank="1" showInputMessage="1" showErrorMessage="1" prompt="Entrez une lettre et personnalisez l’étiquette à droite pour ajouter un élément de clé" sqref="L2 Q2"/>
    <dataValidation allowBlank="1" showInputMessage="1" showErrorMessage="1" prompt="Entrez une étiquette pour décrire la clé personnalisée à gauche" sqref="M2 R2"/>
    <dataValidation allowBlank="1" showInputMessage="1" showErrorMessage="1" prompt="Cette ligne définit les clés utilisées dans le tableau : Congé en C2, Personnel en F2 et Congé maladie en J2. Les cellules M2 et R2 sont personnalisables " sqref="A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type="list" allowBlank="1" showInputMessage="1" showErrorMessage="1" sqref="B7:AF11">
      <formula1>"C,B,M,P,D"</formula1>
    </dataValidation>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9F7F4C9B-7671-4413-B25B-8E01AB7B497B}">
            <x14:dataBar minLength="0" maxLength="100">
              <x14:cfvo type="num">
                <xm:f>0</xm:f>
              </x14:cfvo>
              <x14:cfvo type="num">
                <xm:f>31</xm:f>
              </x14:cfvo>
              <x14:negativeFillColor rgb="FFFF0000"/>
              <x14:axisColor rgb="FF000000"/>
            </x14:dataBar>
          </x14:cfRule>
          <xm:sqref>AG7:AG11</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K11"/>
  <sheetViews>
    <sheetView workbookViewId="0">
      <pane ySplit="6" topLeftCell="A7" activePane="bottomLeft" state="frozen"/>
      <selection pane="bottomLeft" activeCell="I11" sqref="I11"/>
    </sheetView>
  </sheetViews>
  <sheetFormatPr baseColWidth="10" defaultColWidth="11.5703125" defaultRowHeight="15" x14ac:dyDescent="0.25"/>
  <cols>
    <col min="1" max="1" width="57.5703125" style="26" bestFit="1" customWidth="1"/>
    <col min="2" max="2" width="27.7109375" style="26" bestFit="1" customWidth="1"/>
    <col min="3" max="3" width="15.85546875" style="27" bestFit="1" customWidth="1"/>
    <col min="4" max="4" width="25.85546875" style="26" bestFit="1" customWidth="1"/>
    <col min="5" max="5" width="9.7109375" style="3" bestFit="1" customWidth="1"/>
    <col min="6" max="6" width="13.5703125" style="3" bestFit="1" customWidth="1"/>
    <col min="7" max="7" width="11.42578125" style="3" bestFit="1" customWidth="1"/>
    <col min="8" max="8" width="20.28515625" style="3" bestFit="1" customWidth="1"/>
    <col min="9" max="9" width="24.5703125" style="3" bestFit="1" customWidth="1"/>
    <col min="10" max="10" width="10.5703125" style="3" bestFit="1" customWidth="1"/>
    <col min="11" max="11" width="16" style="3" bestFit="1" customWidth="1"/>
    <col min="12" max="16384" width="11.5703125" style="3"/>
  </cols>
  <sheetData>
    <row r="6" spans="1:11" x14ac:dyDescent="0.25">
      <c r="A6" s="22" t="s">
        <v>49</v>
      </c>
      <c r="B6" s="22" t="s">
        <v>50</v>
      </c>
      <c r="C6" s="23" t="s">
        <v>51</v>
      </c>
      <c r="D6" s="22" t="s">
        <v>52</v>
      </c>
      <c r="E6" s="24" t="s">
        <v>53</v>
      </c>
      <c r="F6" s="22" t="s">
        <v>54</v>
      </c>
      <c r="G6" s="22" t="s">
        <v>55</v>
      </c>
      <c r="H6" s="22" t="s">
        <v>56</v>
      </c>
      <c r="I6" s="22" t="s">
        <v>57</v>
      </c>
      <c r="J6" s="22" t="s">
        <v>72</v>
      </c>
      <c r="K6" s="22" t="s">
        <v>58</v>
      </c>
    </row>
    <row r="7" spans="1:11" x14ac:dyDescent="0.25">
      <c r="A7" s="18" t="s">
        <v>73</v>
      </c>
      <c r="B7" s="21"/>
      <c r="C7" s="60"/>
      <c r="D7" s="20"/>
      <c r="E7" s="25">
        <f>SUM(Janvier!AH7,Février!AH7,Mars!AH7,Avril!AH7,Mai!AH7,Juin!AH7,Juillet!AH7,Août!AH7,Septembre!AH7,Octobre!AH7,Novembre!AH7,Décembre!AH7)</f>
        <v>0</v>
      </c>
      <c r="F7" s="17">
        <f>SUM(Janvier!AI7,Février!AI7,Mars!AI7,Avril!AI7,Mai!AI7,Juin!AI7,Juillet!AI7,Août!AI7,Septembre!AI7,Octobre!AI7,Novembre!AI7,Décembre!AI7)</f>
        <v>0</v>
      </c>
      <c r="G7" s="17">
        <f>SUM(Janvier!AJ7,Février!AJ7,Mars!AJ7,Avril!AJ7,Mai!AJ7,Juin!AJ7,Juillet!AJ7,Août!AJ7,Septembre!AJ7,Octobre!AJ7,Novembre!AJ7,Décembre!AJ7)</f>
        <v>0</v>
      </c>
      <c r="H7" s="17">
        <f>SUM(Janvier!AK7,Février!AK7,Mars!AK7,Avril!AK7,Mai!AK7,Juin!AK7,Juillet!AK7,Août!AK7,Septembre!AK7,Octobre!AK7,Novembre!AK7,Décembre!AK7)</f>
        <v>0</v>
      </c>
      <c r="I7" s="17">
        <f>SUM(Janvier!AL7,Février!AL7,Mars!AL7,Avril!AL7,Mai!AL7,Juin!AL7,Juillet!AL7,Août!AL7,Septembre!AL7,Octobre!AL7,Novembre!AL7,Décembre!AL7)</f>
        <v>0</v>
      </c>
      <c r="J7" s="17">
        <f>SUM(E7:I7)</f>
        <v>0</v>
      </c>
      <c r="K7" s="17"/>
    </row>
    <row r="8" spans="1:11" x14ac:dyDescent="0.25">
      <c r="A8" s="18" t="s">
        <v>74</v>
      </c>
      <c r="B8" s="21"/>
      <c r="C8" s="60"/>
      <c r="D8" s="20"/>
      <c r="E8" s="25">
        <f>SUM(Janvier!AH8,Février!AH8,Mars!AH8,Avril!AH8,Mai!AH8,Juin!AH8,Juillet!AH8,Août!AH8,Septembre!AH8,Octobre!AH8,Novembre!AH8,Décembre!AH8)</f>
        <v>0</v>
      </c>
      <c r="F8" s="17">
        <f>SUM(Janvier!AI8,Février!AI8,Mars!AI8,Avril!AI8,Mai!AI8,Juin!AI8,Juillet!AI8,Août!AI8,Septembre!AI8,Octobre!AI8,Novembre!AI8,Décembre!AI8)</f>
        <v>0</v>
      </c>
      <c r="G8" s="17">
        <f>SUM(Janvier!AJ8,Février!AJ8,Mars!AJ8,Avril!AJ8,Mai!AJ8,Juin!AJ8,Juillet!AJ8,Août!AJ8,Septembre!AJ8,Octobre!AJ8,Novembre!AJ8,Décembre!AJ8)</f>
        <v>0</v>
      </c>
      <c r="H8" s="17">
        <f>SUM(Janvier!AK8,Février!AK8,Mars!AK8,Avril!AK8,Mai!AK8,Juin!AK8,Juillet!AK8,Août!AK8,Septembre!AK8,Octobre!AK8,Novembre!AK8,Décembre!AK8)</f>
        <v>0</v>
      </c>
      <c r="I8" s="17">
        <f>SUM(Janvier!AL8,Février!AL8,Mars!AL8,Avril!AL8,Mai!AL8,Juin!AL8,Juillet!AL8,Août!AL8,Septembre!AL8,Octobre!AL8,Novembre!AL8,Décembre!AL8)</f>
        <v>0</v>
      </c>
      <c r="J8" s="17">
        <f>SUM(E8:I8)</f>
        <v>0</v>
      </c>
      <c r="K8" s="17"/>
    </row>
    <row r="9" spans="1:11" x14ac:dyDescent="0.25">
      <c r="A9" s="18" t="s">
        <v>75</v>
      </c>
      <c r="B9" s="21"/>
      <c r="C9" s="60"/>
      <c r="D9" s="20"/>
      <c r="E9" s="25">
        <f>SUM(Janvier!AH9,Février!AH9,Mars!AH9,Avril!AH9,Mai!AH9,Juin!AH9,Juillet!AH9,Août!AH9,Septembre!AH9,Octobre!AH9,Novembre!AH9,Décembre!AH9)</f>
        <v>0</v>
      </c>
      <c r="F9" s="17">
        <f>SUM(Janvier!AI9,Février!AI9,Mars!AI9,Avril!AI9,Mai!AI9,Juin!AI9,Juillet!AI9,Août!AI9,Septembre!AI9,Octobre!AI9,Novembre!AI9,Décembre!AI9)</f>
        <v>0</v>
      </c>
      <c r="G9" s="17">
        <f>SUM(Janvier!AJ9,Février!AJ9,Mars!AJ9,Avril!AJ9,Mai!AJ9,Juin!AJ9,Juillet!AJ9,Août!AJ9,Septembre!AJ9,Octobre!AJ9,Novembre!AJ9,Décembre!AJ9)</f>
        <v>0</v>
      </c>
      <c r="H9" s="17">
        <f>SUM(Janvier!AK9,Février!AK9,Mars!AK9,Avril!AK9,Mai!AK9,Juin!AK9,Juillet!AK9,Août!AK9,Septembre!AK9,Octobre!AK9,Novembre!AK9,Décembre!AK9)</f>
        <v>0</v>
      </c>
      <c r="I9" s="17">
        <f>SUM(Janvier!AL9,Février!AL9,Mars!AL9,Avril!AL9,Mai!AL9,Juin!AL9,Juillet!AL9,Août!AL9,Septembre!AL9,Octobre!AL9,Novembre!AL9,Décembre!AL9)</f>
        <v>0</v>
      </c>
      <c r="J9" s="17">
        <f>SUM(E9:I9)</f>
        <v>0</v>
      </c>
      <c r="K9" s="17"/>
    </row>
    <row r="10" spans="1:11" x14ac:dyDescent="0.25">
      <c r="A10" s="18" t="s">
        <v>76</v>
      </c>
      <c r="B10" s="21"/>
      <c r="C10" s="60"/>
      <c r="D10" s="20"/>
      <c r="E10" s="25">
        <f>SUM(Janvier!AH10,Février!AH10,Mars!AH10,Avril!AH10,Mai!AH10,Juin!AH10,Juillet!AH10,Août!AH10,Septembre!AH10,Octobre!AH10,Novembre!AH10,Décembre!AH10)</f>
        <v>0</v>
      </c>
      <c r="F10" s="17">
        <f>SUM(Janvier!AI10,Février!AI10,Mars!AI10,Avril!AI10,Mai!AI10,Juin!AI10,Juillet!AI10,Août!AI10,Septembre!AI10,Octobre!AI10,Novembre!AI10,Décembre!AI10)</f>
        <v>0</v>
      </c>
      <c r="G10" s="17">
        <f>SUM(Janvier!AJ10,Février!AJ10,Mars!AJ10,Avril!AJ10,Mai!AJ10,Juin!AJ10,Juillet!AJ10,Août!AJ10,Septembre!AJ10,Octobre!AJ10,Novembre!AJ10,Décembre!AJ10)</f>
        <v>0</v>
      </c>
      <c r="H10" s="17">
        <f>SUM(Janvier!AK10,Février!AK10,Mars!AK10,Avril!AK10,Mai!AK10,Juin!AK10,Juillet!AK10,Août!AK10,Septembre!AK10,Octobre!AK10,Novembre!AK10,Décembre!AK10)</f>
        <v>0</v>
      </c>
      <c r="I10" s="17">
        <f>SUM(Janvier!AL10,Février!AL10,Mars!AL10,Avril!AL10,Mai!AL10,Juin!AL10,Juillet!AL10,Août!AL10,Septembre!AL10,Octobre!AL10,Novembre!AL10,Décembre!AL10)</f>
        <v>0</v>
      </c>
      <c r="J10" s="17">
        <f>SUM(E10:I10)</f>
        <v>0</v>
      </c>
      <c r="K10" s="17"/>
    </row>
    <row r="11" spans="1:11" x14ac:dyDescent="0.25">
      <c r="A11" s="18" t="s">
        <v>77</v>
      </c>
      <c r="B11" s="21"/>
      <c r="C11" s="60"/>
      <c r="D11" s="20"/>
      <c r="E11" s="25">
        <f>SUM(Janvier!AH11,Février!AH11,Mars!AH11,Avril!AH11,Mai!AH11,Juin!AH11,Juillet!AH11,Août!AH11,Septembre!AH11,Octobre!AH11,Novembre!AH11,Décembre!AH11)</f>
        <v>0</v>
      </c>
      <c r="F11" s="17">
        <f>SUM(Janvier!AI11,Février!AI11,Mars!AI11,Avril!AI11,Mai!AI11,Juin!AI11,Juillet!AI11,Août!AI11,Septembre!AI11,Octobre!AI11,Novembre!AI11,Décembre!AI11)</f>
        <v>0</v>
      </c>
      <c r="G11" s="17">
        <f>SUM(Janvier!AJ11,Février!AJ11,Mars!AJ11,Avril!AJ11,Mai!AJ11,Juin!AJ11,Juillet!AJ11,Août!AJ11,Septembre!AJ11,Octobre!AJ11,Novembre!AJ11,Décembre!AJ11)</f>
        <v>0</v>
      </c>
      <c r="H11" s="17">
        <f>SUM(Janvier!AK11,Février!AK11,Mars!AK11,Avril!AK11,Mai!AK11,Juin!AK11,Juillet!AK11,Août!AK11,Septembre!AK11,Octobre!AK11,Novembre!AK11,Décembre!AK11)</f>
        <v>0</v>
      </c>
      <c r="I11" s="17">
        <f>SUM(Janvier!AL11,Février!AL11,Mars!AL11,Avril!AL11,Mai!AL11,Juin!AL11,Juillet!AL11,Août!AL11,Septembre!AL11,Octobre!AL11,Novembre!AL11,Décembre!AL11)</f>
        <v>0</v>
      </c>
      <c r="J11" s="17">
        <f>SUM(E11:I11)</f>
        <v>0</v>
      </c>
      <c r="K11" s="17"/>
    </row>
  </sheetData>
  <conditionalFormatting sqref="E7:J11">
    <cfRule type="dataBar" priority="1">
      <dataBar>
        <cfvo type="num" val="0"/>
        <cfvo type="num" val="365"/>
        <color rgb="FF638EC6"/>
      </dataBar>
      <extLst>
        <ext xmlns:x14="http://schemas.microsoft.com/office/spreadsheetml/2009/9/main" uri="{B025F937-C7B1-47D3-B67F-A62EFF666E3E}">
          <x14:id>{E3DD6B41-E0A2-47E7-B338-6359313267BF}</x14:id>
        </ext>
      </extLst>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E3DD6B41-E0A2-47E7-B338-6359313267BF}">
            <x14:dataBar minLength="0" maxLength="100">
              <x14:cfvo type="num">
                <xm:f>0</xm:f>
              </x14:cfvo>
              <x14:cfvo type="num">
                <xm:f>365</xm:f>
              </x14:cfvo>
              <x14:negativeFillColor rgb="FFFF0000"/>
              <x14:axisColor rgb="FF000000"/>
            </x14:dataBar>
          </x14:cfRule>
          <xm:sqref>E7:J11</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17</vt:i4>
      </vt:variant>
    </vt:vector>
  </HeadingPairs>
  <TitlesOfParts>
    <vt:vector size="30" baseType="lpstr">
      <vt:lpstr>Janvier</vt:lpstr>
      <vt:lpstr>Février</vt:lpstr>
      <vt:lpstr>Mars</vt:lpstr>
      <vt:lpstr>Avril</vt:lpstr>
      <vt:lpstr>Mai</vt:lpstr>
      <vt:lpstr>Juin</vt:lpstr>
      <vt:lpstr>Juillet</vt:lpstr>
      <vt:lpstr>Août</vt:lpstr>
      <vt:lpstr>Septembre</vt:lpstr>
      <vt:lpstr>Octobre</vt:lpstr>
      <vt:lpstr>Novembre</vt:lpstr>
      <vt:lpstr>Décembre</vt:lpstr>
      <vt:lpstr>EMPLOYES</vt:lpstr>
      <vt:lpstr>AnnéeCalendrier</vt:lpstr>
      <vt:lpstr>Congé</vt:lpstr>
      <vt:lpstr>Deduire</vt:lpstr>
      <vt:lpstr>Maladie</vt:lpstr>
      <vt:lpstr>Maternité</vt:lpstr>
      <vt:lpstr>Août!NomMois</vt:lpstr>
      <vt:lpstr>Avril!NomMois</vt:lpstr>
      <vt:lpstr>Décembre!NomMois</vt:lpstr>
      <vt:lpstr>Janvier!NomMois</vt:lpstr>
      <vt:lpstr>Juillet!NomMois</vt:lpstr>
      <vt:lpstr>Juin!NomMois</vt:lpstr>
      <vt:lpstr>Mai!NomMois</vt:lpstr>
      <vt:lpstr>Mars!NomMois</vt:lpstr>
      <vt:lpstr>Novembre!NomMois</vt:lpstr>
      <vt:lpstr>Octobre!NomMois</vt:lpstr>
      <vt:lpstr>Septembre!NomMois</vt:lpstr>
      <vt:lpstr>Permission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Jacques Rollins</dc:creator>
  <cp:lastModifiedBy>AKOSSI JACQUES ROLLINS NIANDO_STAGIAIRE</cp:lastModifiedBy>
  <dcterms:created xsi:type="dcterms:W3CDTF">2019-05-02T20:08:29Z</dcterms:created>
  <dcterms:modified xsi:type="dcterms:W3CDTF">2019-07-17T15:22:49Z</dcterms:modified>
</cp:coreProperties>
</file>