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/>
  </bookViews>
  <sheets>
    <sheet name="05-2021 (2)" sheetId="1" r:id="rId1"/>
    <sheet name="Paramètres" sheetId="2" r:id="rId2"/>
  </sheets>
  <externalReferences>
    <externalReference r:id="rId3"/>
  </externalReferences>
  <definedNames>
    <definedName name="_xlnm._FilterDatabase" localSheetId="0" hidden="1">'05-2021 (2)'!$A$11:$Q$15</definedName>
    <definedName name="HDA">Paramètres!$D$4</definedName>
    <definedName name="HDM">Paramètres!$D$2</definedName>
    <definedName name="HFA">Paramètres!$E$4</definedName>
    <definedName name="HFM">Paramètres!$E$2</definedName>
    <definedName name="NBRheure">Paramètres!$F$4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B1" i="2" l="1"/>
  <c r="B14" i="2" s="1"/>
  <c r="B16" i="2" l="1"/>
  <c r="B4" i="2"/>
  <c r="B12" i="2"/>
  <c r="B5" i="2"/>
  <c r="B13" i="2"/>
  <c r="B7" i="2"/>
  <c r="B15" i="2"/>
  <c r="B8" i="2"/>
  <c r="O12" i="1" l="1"/>
  <c r="B6" i="2"/>
  <c r="B10" i="2"/>
  <c r="B9" i="2"/>
  <c r="B11" i="2"/>
  <c r="J12" i="1" l="1"/>
  <c r="K12" i="1" s="1"/>
  <c r="J13" i="1"/>
  <c r="K13" i="1" s="1"/>
  <c r="J14" i="1"/>
  <c r="K14" i="1" s="1"/>
  <c r="J15" i="1"/>
  <c r="K15" i="1" s="1"/>
  <c r="N13" i="1" l="1"/>
  <c r="O13" i="1" s="1"/>
  <c r="N14" i="1" l="1"/>
  <c r="O14" i="1" s="1"/>
  <c r="N15" i="1" l="1"/>
  <c r="O15" i="1" s="1"/>
</calcChain>
</file>

<file path=xl/sharedStrings.xml><?xml version="1.0" encoding="utf-8"?>
<sst xmlns="http://schemas.openxmlformats.org/spreadsheetml/2006/main" count="42" uniqueCount="42">
  <si>
    <t>D</t>
  </si>
  <si>
    <t>C</t>
  </si>
  <si>
    <t>B</t>
  </si>
  <si>
    <t>A</t>
  </si>
  <si>
    <t>date de fin réalisée</t>
  </si>
  <si>
    <t>Date debut réalisée</t>
  </si>
  <si>
    <t>date de fin</t>
  </si>
  <si>
    <t>Date debut</t>
  </si>
  <si>
    <t>Colonne6</t>
  </si>
  <si>
    <t>Colonne5</t>
  </si>
  <si>
    <t>TOTAL</t>
  </si>
  <si>
    <t>TT</t>
  </si>
  <si>
    <t>TU</t>
  </si>
  <si>
    <t>TP</t>
  </si>
  <si>
    <t>Article</t>
  </si>
  <si>
    <t>Qté</t>
  </si>
  <si>
    <t>Colonne4</t>
  </si>
  <si>
    <t>Colonne3</t>
  </si>
  <si>
    <t>Colonne2</t>
  </si>
  <si>
    <t>Colonne1</t>
  </si>
  <si>
    <t>ORDRE</t>
  </si>
  <si>
    <t>Réalisé</t>
  </si>
  <si>
    <t>Prévu</t>
  </si>
  <si>
    <t>Année en cours :</t>
  </si>
  <si>
    <t>Jours fériés</t>
  </si>
  <si>
    <t>Date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</si>
  <si>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</si>
  <si>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</si>
  <si>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</si>
  <si>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</si>
  <si>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</si>
  <si>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</si>
  <si>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</si>
  <si>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</si>
  <si>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</si>
  <si>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</si>
  <si>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</si>
  <si>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</si>
  <si>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</si>
  <si>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Horaires matin</t>
  </si>
  <si>
    <t>Horaires après-midi</t>
  </si>
  <si>
    <t>Temps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</si>
</sst>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ddd\ d\ mmmm\ h:mm"/>
    <numFmt numFmtId="165" formatCode="[h]:mm:ss;@"/>
  </numFmts>
  <fonts count="14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omic Sans MS"/>
      <family val="4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4">
    <xf numFmtId="0" fontId="0" fillId="0" borderId="0">
      <alignment vertical="top"/>
    </xf>
    <xf numFmtId="0" fontId="2" fillId="0" borderId="0"/>
    <xf numFmtId="0" fontId="1" fillId="0" borderId="0"/>
    <xf numFmtId="0" fontId="1" fillId="0" borderId="0"/>
  </cellStyleXfs>
  <cellXfs count="62">
    <xf numFmtId="0" fontId="0" fillId="0" borderId="0" xfId="0">
      <alignment vertical="top"/>
    </xf>
    <xf numFmtId="0" fontId="2" fillId="0" borderId="0" xfId="1"/>
    <xf numFmtId="0" fontId="2" fillId="0" borderId="0" xfId="1" applyAlignment="1">
      <alignment horizontal="left"/>
    </xf>
    <xf numFmtId="0" fontId="2" fillId="2" borderId="0" xfId="1" applyFill="1"/>
    <xf numFmtId="0" fontId="3" fillId="0" borderId="0" xfId="1" applyFont="1"/>
    <xf numFmtId="22" fontId="3" fillId="2" borderId="1" xfId="1" applyNumberFormat="1" applyFont="1" applyFill="1" applyBorder="1" applyAlignment="1">
      <alignment horizontal="center" vertical="center"/>
    </xf>
    <xf numFmtId="22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" fontId="3" fillId="2" borderId="2" xfId="1" applyNumberFormat="1" applyFont="1" applyFill="1" applyBorder="1" applyAlignment="1">
      <alignment horizontal="center" vertical="center"/>
    </xf>
    <xf numFmtId="2" fontId="4" fillId="2" borderId="2" xfId="1" applyNumberFormat="1" applyFont="1" applyFill="1" applyBorder="1" applyAlignment="1">
      <alignment horizontal="center" vertical="center"/>
    </xf>
    <xf numFmtId="165" fontId="4" fillId="2" borderId="2" xfId="1" applyNumberFormat="1" applyFont="1" applyFill="1" applyBorder="1" applyAlignment="1">
      <alignment horizontal="center" vertical="center"/>
    </xf>
    <xf numFmtId="4" fontId="4" fillId="2" borderId="2" xfId="1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left" vertical="center" wrapText="1"/>
    </xf>
    <xf numFmtId="1" fontId="4" fillId="4" borderId="2" xfId="1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4" fontId="4" fillId="2" borderId="3" xfId="1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left" vertical="center"/>
    </xf>
    <xf numFmtId="1" fontId="4" fillId="4" borderId="2" xfId="1" applyNumberFormat="1" applyFont="1" applyFill="1" applyBorder="1" applyAlignment="1">
      <alignment horizontal="center" vertical="center"/>
    </xf>
    <xf numFmtId="1" fontId="4" fillId="2" borderId="2" xfId="2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4" fontId="4" fillId="2" borderId="2" xfId="2" applyNumberFormat="1" applyFont="1" applyFill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1" fontId="6" fillId="4" borderId="2" xfId="2" applyNumberFormat="1" applyFont="1" applyFill="1" applyBorder="1" applyAlignment="1">
      <alignment horizontal="center" vertical="center"/>
    </xf>
    <xf numFmtId="2" fontId="4" fillId="2" borderId="2" xfId="2" applyNumberFormat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7" fillId="5" borderId="4" xfId="2" applyFont="1" applyFill="1" applyBorder="1" applyAlignment="1">
      <alignment horizontal="center" vertical="center"/>
    </xf>
    <xf numFmtId="22" fontId="3" fillId="2" borderId="2" xfId="3" applyNumberFormat="1" applyFont="1" applyFill="1" applyBorder="1" applyAlignment="1">
      <alignment horizontal="center" vertical="center"/>
    </xf>
    <xf numFmtId="1" fontId="3" fillId="2" borderId="2" xfId="3" applyNumberFormat="1" applyFont="1" applyFill="1" applyBorder="1" applyAlignment="1">
      <alignment horizontal="center" vertical="center"/>
    </xf>
    <xf numFmtId="2" fontId="4" fillId="2" borderId="2" xfId="3" applyNumberFormat="1" applyFont="1" applyFill="1" applyBorder="1" applyAlignment="1">
      <alignment horizontal="center" vertical="center"/>
    </xf>
    <xf numFmtId="165" fontId="4" fillId="2" borderId="2" xfId="3" applyNumberFormat="1" applyFont="1" applyFill="1" applyBorder="1" applyAlignment="1">
      <alignment horizontal="center" vertical="center"/>
    </xf>
    <xf numFmtId="4" fontId="4" fillId="2" borderId="2" xfId="3" applyNumberFormat="1" applyFont="1" applyFill="1" applyBorder="1" applyAlignment="1">
      <alignment horizontal="center" vertical="center"/>
    </xf>
    <xf numFmtId="4" fontId="4" fillId="2" borderId="3" xfId="3" applyNumberFormat="1" applyFont="1" applyFill="1" applyBorder="1" applyAlignment="1">
      <alignment horizontal="center" vertical="center"/>
    </xf>
    <xf numFmtId="0" fontId="4" fillId="3" borderId="2" xfId="3" applyFont="1" applyFill="1" applyBorder="1" applyAlignment="1">
      <alignment horizontal="left" vertical="center" wrapText="1"/>
    </xf>
    <xf numFmtId="1" fontId="4" fillId="4" borderId="2" xfId="3" applyNumberFormat="1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5" fillId="5" borderId="4" xfId="3" applyFont="1" applyFill="1" applyBorder="1" applyAlignment="1">
      <alignment horizontal="center" vertical="center"/>
    </xf>
    <xf numFmtId="0" fontId="2" fillId="0" borderId="0" xfId="1" applyAlignment="1">
      <alignment horizontal="center" vertical="top" wrapText="1"/>
    </xf>
    <xf numFmtId="0" fontId="8" fillId="6" borderId="5" xfId="1" applyFont="1" applyFill="1" applyBorder="1" applyAlignment="1">
      <alignment horizontal="center" vertical="center" wrapText="1"/>
    </xf>
    <xf numFmtId="0" fontId="8" fillId="6" borderId="6" xfId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0" borderId="0" xfId="1" applyFont="1"/>
    <xf numFmtId="0" fontId="5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20" fontId="11" fillId="0" borderId="0" xfId="0" applyNumberFormat="1" applyFont="1" applyAlignment="1">
      <alignment horizontal="center"/>
    </xf>
    <xf numFmtId="0" fontId="12" fillId="0" borderId="0" xfId="1" applyFont="1" applyAlignment="1">
      <alignment vertical="center"/>
    </xf>
    <xf numFmtId="0" fontId="13" fillId="8" borderId="8" xfId="0" applyFont="1" applyFill="1" applyBorder="1" applyAlignment="1"/>
    <xf numFmtId="0" fontId="0" fillId="9" borderId="9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4" fontId="0" fillId="0" borderId="0" xfId="0" applyNumberFormat="1" applyAlignment="1"/>
    <xf numFmtId="0" fontId="13" fillId="8" borderId="10" xfId="0" applyFont="1" applyFill="1" applyBorder="1" applyAlignment="1">
      <alignment horizontal="center" vertical="center"/>
    </xf>
    <xf numFmtId="21" fontId="0" fillId="9" borderId="10" xfId="0" applyNumberFormat="1" applyFill="1" applyBorder="1" applyAlignment="1">
      <alignment horizontal="center"/>
    </xf>
    <xf numFmtId="21" fontId="0" fillId="9" borderId="10" xfId="0" applyNumberForma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Continuous" vertical="center"/>
    </xf>
    <xf numFmtId="0" fontId="5" fillId="7" borderId="3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</cellXfs>
  <cellStyles count="4">
    <cellStyle name="Normal" xfId="0" builtinId="0"/>
    <cellStyle name="Normal 2 2 3 2" xfId="2"/>
    <cellStyle name="Normal 2 2 3 4" xfId="3"/>
    <cellStyle name="Normal 2 2 3 4 2" xfId="1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40C]dddd\ d\ mmmm\ h: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7" formatCode="dd/mm/yyyy\ hh:mm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7" formatCode="dd/mm/yyyy\ hh:mm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40C]dddd\ d\ mmmm\ h: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65" formatCode="[h]:mm:ss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fgColor rgb="FF000000"/>
          <bgColor rgb="FFFFFFFF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solid">
          <fgColor indexed="64"/>
          <bgColor rgb="FF00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Logistique\Suivi%20prod%202021\NH%20F%20M2\PDP%20NH5000%20F%20M2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2021"/>
      <sheetName val="03-2021"/>
      <sheetName val="01-2021"/>
      <sheetName val="02-2021 1"/>
      <sheetName val="PDP TYPE"/>
      <sheetName val="PDP NH5000 F M2 202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Tableau136356789101112325678" displayName="Tableau136356789101112325678" ref="A11:Q15" totalsRowShown="0" headerRowDxfId="21" dataDxfId="20" tableBorderDxfId="19">
  <autoFilter ref="A11:Q15"/>
  <tableColumns count="17">
    <tableColumn id="1" name="ORDRE" dataDxfId="18"/>
    <tableColumn id="2" name="Colonne1" dataDxfId="17"/>
    <tableColumn id="3" name="Colonne2" dataDxfId="16"/>
    <tableColumn id="4" name="Colonne3" dataDxfId="15"/>
    <tableColumn id="5" name="Colonne4" dataDxfId="14"/>
    <tableColumn id="6" name="Qté" dataDxfId="13"/>
    <tableColumn id="7" name="Article" dataDxfId="12"/>
    <tableColumn id="8" name="TP" dataDxfId="11"/>
    <tableColumn id="9" name="TU" dataDxfId="10"/>
    <tableColumn id="10" name="TT" dataDxfId="9">
      <calculatedColumnFormula>+I12*F12+H12</calculatedColumnFormula>
    </tableColumn>
    <tableColumn id="22" name="TOTAL" dataDxfId="8">
      <calculatedColumnFormula>J12/24</calculatedColumnFormula>
    </tableColumn>
    <tableColumn id="11" name="Colonne5" dataDxfId="7"/>
    <tableColumn id="12" name="Colonne6" dataDxfId="6"/>
    <tableColumn id="13" name="Date debut" dataDxfId="5">
      <calculatedColumnFormula>IF([1]!Tableau136[[#This Row],[Qté]]=0,[1]!Tableau136[[#This Row],[Date debut]],M12+K12+ROUNDUP(M12+K12-M12,0)-NETWORKDAYS.INTL(M12,M12+K12,INDEX(#REF!,MATCH(O12,#REF!,0)),#REF!))</calculatedColumnFormula>
    </tableColumn>
    <tableColumn id="14" name="date de fin" dataDxfId="0">
      <calculatedColumnFormula>+WORKDAY(Tableau136356789101112325678[[#This Row],[Date debut]],CEILING(ROUND((K12+MOD(Tableau136356789101112325678[[#This Row],[Date debut]],1)-HDM-IF(MOD(Tableau136356789101112325678[[#This Row],[Date debut]],1)&gt;HFM,HDA-HFM))/NBRheure,9),1)-1,Tbl_JoursFeries[Date])+K12-(NETWORKDAYS(Tableau136356789101112325678[[#This Row],[Date debut]],WORKDAY(Tableau136356789101112325678[[#This Row],[Date debut]],CEILING(ROUND((K12+MOD(Tableau136356789101112325678[[#This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debut]],1)+((K12-(NETWORKDAYS(Tableau136356789101112325678[[#This Row],[Date debut]],WORKDAY(Tableau136356789101112325678[[#This Row],[Date debut]],CEILING(ROUND((K12+MOD(Tableau136356789101112325678[[#This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debut]],1)-(MOD(Tableau136356789101112325678[[#This Row],[Date debut]],1)&gt;HFM)*(HDA-HFM)&gt;HFM)-(MOD(Tableau136356789101112325678[[#This Row],[Date debut]],1)&gt;HFM))*(HDA-HFM)</calculatedColumnFormula>
    </tableColumn>
    <tableColumn id="15" name="Date debut réalisée" dataDxfId="4"/>
    <tableColumn id="20" name="date de fin réalisé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_JoursFeries" displayName="Tbl_JoursFeries" ref="A3:B16" totalsRowShown="0" headerRowDxfId="2">
  <autoFilter ref="A3:B16"/>
  <tableColumns count="2">
    <tableColumn id="1" name="Jours fériés"/>
    <tableColumn id="2" name="Date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tabSelected="1" view="pageBreakPreview" zoomScale="70" zoomScaleNormal="70" zoomScaleSheetLayoutView="70" workbookViewId="0">
      <selection activeCell="J4" sqref="J4"/>
    </sheetView>
  </sheetViews>
  <sheetFormatPr baseColWidth="10" defaultColWidth="11.44140625" defaultRowHeight="14.4" x14ac:dyDescent="0.3"/>
  <cols>
    <col min="1" max="1" width="10" style="1" customWidth="1"/>
    <col min="2" max="2" width="13.109375" style="1" hidden="1" customWidth="1"/>
    <col min="3" max="3" width="14.88671875" style="1" hidden="1" customWidth="1"/>
    <col min="4" max="4" width="10.5546875" style="1" hidden="1" customWidth="1"/>
    <col min="5" max="5" width="7.109375" style="1" hidden="1" customWidth="1"/>
    <col min="6" max="6" width="8.109375" style="1" bestFit="1" customWidth="1"/>
    <col min="7" max="7" width="11.109375" style="2" bestFit="1" customWidth="1"/>
    <col min="8" max="8" width="7.109375" style="1" customWidth="1"/>
    <col min="9" max="9" width="6.5546875" style="1" customWidth="1"/>
    <col min="10" max="10" width="7.88671875" style="1" customWidth="1"/>
    <col min="11" max="11" width="10.33203125" style="1" customWidth="1"/>
    <col min="12" max="12" width="7.5546875" style="1" hidden="1" customWidth="1"/>
    <col min="13" max="13" width="9.5546875" style="1" hidden="1" customWidth="1"/>
    <col min="14" max="14" width="27.88671875" style="1" customWidth="1"/>
    <col min="15" max="15" width="27.6640625" style="1" customWidth="1"/>
    <col min="16" max="16" width="21.6640625" style="1" customWidth="1"/>
    <col min="17" max="17" width="18.44140625" style="1" customWidth="1"/>
    <col min="18" max="18" width="27.88671875" style="1" customWidth="1"/>
    <col min="19" max="16384" width="11.44140625" style="1"/>
  </cols>
  <sheetData>
    <row r="1" spans="1:20" s="3" customFormat="1" ht="16.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3" customFormat="1" ht="16.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3" customFormat="1" ht="16.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/>
      <c r="P3"/>
      <c r="Q3"/>
      <c r="R3"/>
      <c r="S3" s="4"/>
      <c r="T3" s="4"/>
    </row>
    <row r="4" spans="1:20" s="3" customFormat="1" ht="16.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/>
      <c r="P4"/>
      <c r="Q4"/>
      <c r="R4"/>
      <c r="S4" s="4"/>
      <c r="T4" s="4"/>
    </row>
    <row r="5" spans="1:20" ht="16.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/>
      <c r="P5"/>
      <c r="Q5"/>
      <c r="R5"/>
      <c r="S5" s="4"/>
      <c r="T5" s="4"/>
    </row>
    <row r="6" spans="1:20" ht="16.5" customHeight="1" x14ac:dyDescent="0.35">
      <c r="A6" s="46"/>
      <c r="B6" s="46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50"/>
      <c r="O6"/>
      <c r="P6"/>
      <c r="Q6"/>
      <c r="R6"/>
      <c r="S6" s="4"/>
      <c r="T6" s="4"/>
    </row>
    <row r="7" spans="1:20" ht="16.5" customHeight="1" x14ac:dyDescent="0.35">
      <c r="A7" s="46"/>
      <c r="B7" s="46"/>
      <c r="C7" s="4"/>
      <c r="D7" s="4"/>
      <c r="E7" s="4"/>
      <c r="F7" s="4"/>
      <c r="G7" s="4"/>
      <c r="H7" s="4"/>
      <c r="I7" s="4"/>
      <c r="J7" s="4"/>
      <c r="L7" s="4"/>
      <c r="M7" s="4"/>
      <c r="N7" s="50"/>
      <c r="O7"/>
      <c r="P7"/>
      <c r="Q7"/>
      <c r="R7"/>
      <c r="S7" s="4"/>
      <c r="T7" s="4"/>
    </row>
    <row r="8" spans="1:20" ht="16.5" customHeight="1" x14ac:dyDescent="0.45">
      <c r="A8" s="46"/>
      <c r="B8" s="46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8"/>
      <c r="O8" s="46"/>
      <c r="P8" s="46"/>
      <c r="Q8" s="46"/>
      <c r="R8" s="49"/>
      <c r="S8" s="4"/>
      <c r="T8" s="4"/>
    </row>
    <row r="9" spans="1:20" ht="20.25" customHeight="1" x14ac:dyDescent="0.3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7"/>
      <c r="O9" s="4"/>
      <c r="P9" s="4"/>
      <c r="Q9" s="4"/>
      <c r="R9" s="46"/>
      <c r="S9" s="4"/>
      <c r="T9" s="4"/>
    </row>
    <row r="10" spans="1:20" ht="20.25" customHeight="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60" t="s">
        <v>22</v>
      </c>
      <c r="O10" s="60"/>
      <c r="P10" s="61" t="s">
        <v>21</v>
      </c>
      <c r="Q10" s="61"/>
      <c r="R10" s="4"/>
      <c r="S10" s="4"/>
      <c r="T10" s="4"/>
    </row>
    <row r="11" spans="1:20" s="40" customFormat="1" ht="54" customHeight="1" x14ac:dyDescent="0.3">
      <c r="A11" s="45" t="s">
        <v>20</v>
      </c>
      <c r="B11" s="43" t="s">
        <v>19</v>
      </c>
      <c r="C11" s="43" t="s">
        <v>18</v>
      </c>
      <c r="D11" s="43" t="s">
        <v>17</v>
      </c>
      <c r="E11" s="43" t="s">
        <v>16</v>
      </c>
      <c r="F11" s="43" t="s">
        <v>15</v>
      </c>
      <c r="G11" s="44" t="s">
        <v>14</v>
      </c>
      <c r="H11" s="43" t="s">
        <v>13</v>
      </c>
      <c r="I11" s="43" t="s">
        <v>12</v>
      </c>
      <c r="J11" s="43" t="s">
        <v>11</v>
      </c>
      <c r="K11" s="43" t="s">
        <v>10</v>
      </c>
      <c r="L11" s="43" t="s">
        <v>9</v>
      </c>
      <c r="M11" s="43" t="s">
        <v>8</v>
      </c>
      <c r="N11" s="43" t="s">
        <v>7</v>
      </c>
      <c r="O11" s="43" t="s">
        <v>6</v>
      </c>
      <c r="P11" s="42" t="s">
        <v>5</v>
      </c>
      <c r="Q11" s="41" t="s">
        <v>4</v>
      </c>
      <c r="R11"/>
      <c r="S11" s="4"/>
      <c r="T11" s="4"/>
    </row>
    <row r="12" spans="1:20" s="3" customFormat="1" ht="39.75" customHeight="1" x14ac:dyDescent="0.3">
      <c r="A12" s="39">
        <v>1</v>
      </c>
      <c r="B12" s="15"/>
      <c r="C12" s="15"/>
      <c r="D12" s="38"/>
      <c r="E12" s="38"/>
      <c r="F12" s="37">
        <v>40</v>
      </c>
      <c r="G12" s="36" t="s">
        <v>3</v>
      </c>
      <c r="H12" s="35">
        <v>2</v>
      </c>
      <c r="I12" s="11">
        <v>0.42</v>
      </c>
      <c r="J12" s="34">
        <f>+I12*F12+H12</f>
        <v>18.8</v>
      </c>
      <c r="K12" s="33">
        <f>J12/24</f>
        <v>0.78333333333333333</v>
      </c>
      <c r="L12" s="32"/>
      <c r="M12" s="31"/>
      <c r="N12" s="7">
        <v>44316.25</v>
      </c>
      <c r="O12" s="7">
        <f ca="1">+WORKDAY(Tableau136356789101112325678[[#This Row],[Date debut]],CEILING(ROUND((K12+MOD(Tableau136356789101112325678[[#This Row],[Date debut]],1)-HDM-IF(MOD(Tableau136356789101112325678[[#This Row],[Date debut]],1)&gt;HFM,HDA-HFM))/NBRheure,9),1)-1,Tbl_JoursFeries[Date])+K12-(NETWORKDAYS(Tableau136356789101112325678[[#This Row],[Date debut]],WORKDAY(Tableau136356789101112325678[[#This Row],[Date debut]],CEILING(ROUND((K12+MOD(Tableau136356789101112325678[[#This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debut]],1)+((K12-(NETWORKDAYS(Tableau136356789101112325678[[#This Row],[Date debut]],WORKDAY(Tableau136356789101112325678[[#This Row],[Date debut]],CEILING(ROUND((K12+MOD(Tableau136356789101112325678[[#This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debut]],1)-(MOD(Tableau136356789101112325678[[#This Row],[Date debut]],1)&gt;HFM)*(HDA-HFM)&gt;HFM)-(MOD(Tableau136356789101112325678[[#This Row],[Date debut]],1)&gt;HFM))*(HDA-HFM)</f>
        <v>44317.324999999997</v>
      </c>
      <c r="P12" s="30"/>
      <c r="Q12" s="30"/>
      <c r="R12"/>
      <c r="S12" s="4"/>
      <c r="T12" s="4"/>
    </row>
    <row r="13" spans="1:20" s="3" customFormat="1" ht="39.75" customHeight="1" x14ac:dyDescent="0.3">
      <c r="A13" s="29">
        <v>2</v>
      </c>
      <c r="B13" s="15"/>
      <c r="C13" s="15"/>
      <c r="D13" s="28"/>
      <c r="E13" s="27"/>
      <c r="F13" s="26">
        <v>40</v>
      </c>
      <c r="G13" s="25" t="s">
        <v>2</v>
      </c>
      <c r="H13" s="24">
        <v>2</v>
      </c>
      <c r="I13" s="23">
        <v>0.42</v>
      </c>
      <c r="J13" s="22">
        <f>+I13*F13+H13</f>
        <v>18.8</v>
      </c>
      <c r="K13" s="10">
        <f>J13/24</f>
        <v>0.78333333333333333</v>
      </c>
      <c r="L13" s="21"/>
      <c r="M13" s="20"/>
      <c r="N13" s="7">
        <f ca="1">O12</f>
        <v>44317.324999999997</v>
      </c>
      <c r="O13" s="7">
        <f ca="1">+WORKDAY(Tableau136356789101112325678[[#This Row],[Date debut]],CEILING(ROUND((K13+MOD(Tableau136356789101112325678[[#This Row],[Date debut]],1)-HDM-IF(MOD(Tableau136356789101112325678[[#This Row],[Date debut]],1)&gt;HFM,HDA-HFM))/NBRheure,9),1)-1,Tbl_JoursFeries[Date])+K13-(NETWORKDAYS(Tableau136356789101112325678[[#This Row],[Date debut]],WORKDAY(Tableau136356789101112325678[[#This Row],[Date debut]],CEILING(ROUND((K13+MOD(Tableau136356789101112325678[[#This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debut]],1)+((K13-(NETWORKDAYS(Tableau136356789101112325678[[#This Row],[Date debut]],WORKDAY(Tableau136356789101112325678[[#This Row],[Date debut]],CEILING(ROUND((K13+MOD(Tableau136356789101112325678[[#This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debut]],1)-(MOD(Tableau136356789101112325678[[#This Row],[Date debut]],1)&gt;HFM)*(HDA-HFM)&gt;HFM)-(MOD(Tableau136356789101112325678[[#This Row],[Date debut]],1)&gt;HFM))*(HDA-HFM)</f>
        <v>44320.399999999994</v>
      </c>
      <c r="P13" s="6"/>
      <c r="Q13" s="6"/>
      <c r="R13"/>
      <c r="S13" s="4"/>
      <c r="T13" s="4"/>
    </row>
    <row r="14" spans="1:20" s="3" customFormat="1" ht="28.5" customHeight="1" x14ac:dyDescent="0.3">
      <c r="A14" s="16">
        <v>3</v>
      </c>
      <c r="B14" s="15"/>
      <c r="C14" s="15"/>
      <c r="D14" s="14"/>
      <c r="E14" s="14"/>
      <c r="F14" s="19">
        <v>35</v>
      </c>
      <c r="G14" s="18" t="s">
        <v>1</v>
      </c>
      <c r="H14" s="17">
        <v>2</v>
      </c>
      <c r="I14" s="11">
        <v>0.51</v>
      </c>
      <c r="J14" s="11">
        <f>+I14*F14+H14</f>
        <v>19.850000000000001</v>
      </c>
      <c r="K14" s="10">
        <f>J14/24</f>
        <v>0.82708333333333339</v>
      </c>
      <c r="L14" s="9"/>
      <c r="M14" s="8"/>
      <c r="N14" s="7">
        <f ca="1">O13</f>
        <v>44320.399999999994</v>
      </c>
      <c r="O14" s="7">
        <f ca="1">+WORKDAY(Tableau136356789101112325678[[#This Row],[Date debut]],CEILING(ROUND((K14+MOD(Tableau136356789101112325678[[#This Row],[Date debut]],1)-HDM-IF(MOD(Tableau136356789101112325678[[#This Row],[Date debut]],1)&gt;HFM,HDA-HFM))/NBRheure,9),1)-1,Tbl_JoursFeries[Date])+K14-(NETWORKDAYS(Tableau136356789101112325678[[#This Row],[Date debut]],WORKDAY(Tableau136356789101112325678[[#This Row],[Date debut]],CEILING(ROUND((K14+MOD(Tableau136356789101112325678[[#This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debut]],1)+((K14-(NETWORKDAYS(Tableau136356789101112325678[[#This Row],[Date debut]],WORKDAY(Tableau136356789101112325678[[#This Row],[Date debut]],CEILING(ROUND((K14+MOD(Tableau136356789101112325678[[#This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debut]],1)-(MOD(Tableau136356789101112325678[[#This Row],[Date debut]],1)&gt;HFM)*(HDA-HFM)&gt;HFM)-(MOD(Tableau136356789101112325678[[#This Row],[Date debut]],1)&gt;HFM))*(HDA-HFM)</f>
        <v>44321.518749999988</v>
      </c>
      <c r="P14" s="6"/>
      <c r="Q14" s="6"/>
      <c r="R14"/>
      <c r="S14" s="4"/>
      <c r="T14" s="4"/>
    </row>
    <row r="15" spans="1:20" s="3" customFormat="1" ht="39.75" customHeight="1" x14ac:dyDescent="0.3">
      <c r="A15" s="16">
        <v>4</v>
      </c>
      <c r="B15" s="15"/>
      <c r="C15" s="15"/>
      <c r="D15" s="14"/>
      <c r="E15" s="14"/>
      <c r="F15" s="13">
        <v>35</v>
      </c>
      <c r="G15" s="12" t="s">
        <v>0</v>
      </c>
      <c r="H15" s="11">
        <v>2</v>
      </c>
      <c r="I15" s="11">
        <v>1.5</v>
      </c>
      <c r="J15" s="11">
        <f>+I15*F15+H15</f>
        <v>54.5</v>
      </c>
      <c r="K15" s="10">
        <f>J15/24</f>
        <v>2.2708333333333335</v>
      </c>
      <c r="L15" s="9"/>
      <c r="M15" s="8"/>
      <c r="N15" s="7">
        <f ca="1">O14</f>
        <v>44321.518749999988</v>
      </c>
      <c r="O15" s="7">
        <f ca="1">+WORKDAY(Tableau136356789101112325678[[#This Row],[Date debut]],CEILING(ROUND((K15+MOD(Tableau136356789101112325678[[#This Row],[Date debut]],1)-HDM-IF(MOD(Tableau136356789101112325678[[#This Row],[Date debut]],1)&gt;HFM,HDA-HFM))/NBRheure,9),1)-1,Tbl_JoursFeries[Date])+K15-(NETWORKDAYS(Tableau136356789101112325678[[#This Row],[Date debut]],WORKDAY(Tableau136356789101112325678[[#This Row],[Date debut]],CEILING(ROUND((K15+MOD(Tableau136356789101112325678[[#This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debut]],1)+((K15-(NETWORKDAYS(Tableau136356789101112325678[[#This Row],[Date debut]],WORKDAY(Tableau136356789101112325678[[#This Row],[Date debut]],CEILING(ROUND((K15+MOD(Tableau136356789101112325678[[#This Row],[Date debut]],1)-HDM-IF(MOD(Tableau136356789101112325678[[#This Row],[Date debut]],1)&gt;HFM,HDA-HFM))/NBRheure,9),1)-1,Tbl_JoursFeries[Date]),Tbl_JoursFeries[Date])-1)*NBRheure+MOD(Tableau136356789101112325678[[#This Row],[Date debut]],1)-(MOD(Tableau136356789101112325678[[#This Row],[Date debut]],1)&gt;HFM)*(HDA-HFM)&gt;HFM)-(MOD(Tableau136356789101112325678[[#This Row],[Date debut]],1)&gt;HFM))*(HDA-HFM)</f>
        <v>44326.664583333324</v>
      </c>
      <c r="P15" s="6"/>
      <c r="Q15" s="5"/>
      <c r="R15"/>
      <c r="S15" s="4"/>
      <c r="T15" s="4"/>
    </row>
  </sheetData>
  <mergeCells count="2">
    <mergeCell ref="N10:O10"/>
    <mergeCell ref="P10:Q10"/>
  </mergeCells>
  <dataValidations count="6">
    <dataValidation type="list" allowBlank="1" showInputMessage="1" showErrorMessage="1" sqref="B12:B15">
      <formula1>"MERMOZ"</formula1>
    </dataValidation>
    <dataValidation type="list" allowBlank="1" showInputMessage="1" showErrorMessage="1" sqref="C12:C15">
      <formula1>"ASTHRAL,CMZ,DOSAN,HM630,MICRON,MIYANO,MONTAGE,NH4000G(M1),NH5000 F(M2),NH5000 K(M4),PCH A,PCH B,PCH C,PCH D,PCH E,SH-500(M3)"</formula1>
    </dataValidation>
    <dataValidation showDropDown="1" showInputMessage="1" showErrorMessage="1" sqref="O12:O15"/>
    <dataValidation type="list" allowBlank="1" showInputMessage="1" showErrorMessage="1" sqref="G8">
      <formula1>"16,8,7,5"</formula1>
    </dataValidation>
    <dataValidation type="list" allowBlank="1" showInputMessage="1" showErrorMessage="1" sqref="G6">
      <formula1>"1,2,3"</formula1>
    </dataValidation>
    <dataValidation type="list" allowBlank="1" showInputMessage="1" showErrorMessage="1" sqref="G7">
      <formula1>"8;7,5"</formula1>
    </dataValidation>
  </dataValidations>
  <pageMargins left="0.25" right="0.25" top="0.75" bottom="0.75" header="0.3" footer="0.3"/>
  <pageSetup paperSize="9" scale="92" fitToHeight="0" orientation="landscape" r:id="rId1"/>
  <colBreaks count="3" manualBreakCount="3">
    <brk id="47" max="18" man="1"/>
    <brk id="54" max="1048575" man="1"/>
    <brk id="5918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workbookViewId="0">
      <selection activeCell="E5" sqref="E5"/>
    </sheetView>
  </sheetViews>
  <sheetFormatPr baseColWidth="10" defaultRowHeight="13.2" x14ac:dyDescent="0.25"/>
  <cols>
    <col min="1" max="1" width="16.77734375" bestFit="1" customWidth="1"/>
    <col min="4" max="4" width="15.77734375" customWidth="1"/>
    <col min="5" max="5" width="12.109375" customWidth="1"/>
    <col min="6" max="6" width="15.6640625" customWidth="1"/>
  </cols>
  <sheetData>
    <row r="1" spans="1:6" ht="15.6" thickTop="1" thickBot="1" x14ac:dyDescent="0.35">
      <c r="A1" s="51" t="s">
        <v>23</v>
      </c>
      <c r="B1" s="52">
        <f ca="1">YEAR(TODAY())</f>
        <v>2021</v>
      </c>
      <c r="D1" s="59" t="s">
        <v>39</v>
      </c>
      <c r="E1" s="59"/>
    </row>
    <row r="2" spans="1:6" ht="14.4" thickTop="1" thickBot="1" x14ac:dyDescent="0.3">
      <c r="A2" s="53"/>
      <c r="B2" s="53"/>
      <c r="D2" s="57">
        <v>0.33333333333333331</v>
      </c>
      <c r="E2" s="58">
        <v>0.66666666666666663</v>
      </c>
    </row>
    <row r="3" spans="1:6" ht="15.6" thickTop="1" thickBot="1" x14ac:dyDescent="0.3">
      <c r="A3" s="54" t="s">
        <v>24</v>
      </c>
      <c r="B3" s="54" t="s">
        <v>25</v>
      </c>
      <c r="D3" s="59" t="s">
        <v>40</v>
      </c>
      <c r="E3" s="59"/>
      <c r="F3" s="56" t="s">
        <v>41</v>
      </c>
    </row>
    <row r="4" spans="1:6" ht="14.4" thickTop="1" thickBot="1" x14ac:dyDescent="0.3">
      <c r="A4" s="53" t="s">
        <v>26</v>
      </c>
      <c r="B4" s="55">
        <f ca="1">DATE(B1,1,1)</f>
        <v>44197</v>
      </c>
      <c r="D4" s="57">
        <v>0.95833333333333337</v>
      </c>
      <c r="E4" s="58">
        <v>0.33333333333333331</v>
      </c>
      <c r="F4" s="57">
        <f>HFM-HDM+HFA-HDA+(HFA&lt;HDA)+(HFM&lt;HDM)</f>
        <v>0.70833333333333326</v>
      </c>
    </row>
    <row r="5" spans="1:6" ht="13.8" thickTop="1" x14ac:dyDescent="0.25">
      <c r="A5" s="53" t="s">
        <v>27</v>
      </c>
      <c r="B5" s="55">
        <f ca="1">ROUND(DATE(B1,4,MOD(234-11*MOD(B1,19),30))/7,0)*7-6</f>
        <v>44290</v>
      </c>
    </row>
    <row r="6" spans="1:6" x14ac:dyDescent="0.25">
      <c r="A6" s="53" t="s">
        <v>28</v>
      </c>
      <c r="B6" s="55">
        <f ca="1">B5+1</f>
        <v>44291</v>
      </c>
    </row>
    <row r="7" spans="1:6" x14ac:dyDescent="0.25">
      <c r="A7" s="53" t="s">
        <v>29</v>
      </c>
      <c r="B7" s="55">
        <f ca="1">DATE(B1,5,1)</f>
        <v>44317</v>
      </c>
    </row>
    <row r="8" spans="1:6" x14ac:dyDescent="0.25">
      <c r="A8" s="53" t="s">
        <v>30</v>
      </c>
      <c r="B8" s="55">
        <f ca="1">DATE(B1,5,8)</f>
        <v>44324</v>
      </c>
    </row>
    <row r="9" spans="1:6" x14ac:dyDescent="0.25">
      <c r="A9" s="53" t="s">
        <v>31</v>
      </c>
      <c r="B9" s="55">
        <f ca="1">B5+39</f>
        <v>44329</v>
      </c>
    </row>
    <row r="10" spans="1:6" x14ac:dyDescent="0.25">
      <c r="A10" s="53" t="s">
        <v>32</v>
      </c>
      <c r="B10" s="55">
        <f ca="1">B5+49</f>
        <v>44339</v>
      </c>
    </row>
    <row r="11" spans="1:6" x14ac:dyDescent="0.25">
      <c r="A11" s="53" t="s">
        <v>33</v>
      </c>
      <c r="B11" s="55">
        <f ca="1">B5+50</f>
        <v>44340</v>
      </c>
    </row>
    <row r="12" spans="1:6" x14ac:dyDescent="0.25">
      <c r="A12" s="53" t="s">
        <v>34</v>
      </c>
      <c r="B12" s="55">
        <f ca="1">DATE(B1,7,14)</f>
        <v>44391</v>
      </c>
    </row>
    <row r="13" spans="1:6" x14ac:dyDescent="0.25">
      <c r="A13" s="53" t="s">
        <v>35</v>
      </c>
      <c r="B13" s="55">
        <f ca="1">DATE(B1,8,15)</f>
        <v>44423</v>
      </c>
    </row>
    <row r="14" spans="1:6" x14ac:dyDescent="0.25">
      <c r="A14" s="53" t="s">
        <v>36</v>
      </c>
      <c r="B14" s="55">
        <f ca="1">DATE(B1,11,1)</f>
        <v>44501</v>
      </c>
    </row>
    <row r="15" spans="1:6" x14ac:dyDescent="0.25">
      <c r="A15" s="53" t="s">
        <v>37</v>
      </c>
      <c r="B15" s="55">
        <f ca="1">DATE(B1,11,11)</f>
        <v>44511</v>
      </c>
    </row>
    <row r="16" spans="1:6" x14ac:dyDescent="0.25">
      <c r="A16" s="53" t="s">
        <v>38</v>
      </c>
      <c r="B16" s="55">
        <f ca="1">DATE(B1,12,25)</f>
        <v>44555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05-2021 (2)</vt:lpstr>
      <vt:lpstr>Paramètres</vt:lpstr>
      <vt:lpstr>HDA</vt:lpstr>
      <vt:lpstr>HDM</vt:lpstr>
      <vt:lpstr>HFA</vt:lpstr>
      <vt:lpstr>HFM</vt:lpstr>
      <vt:lpstr>NBRheure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</cp:lastModifiedBy>
  <dcterms:created xsi:type="dcterms:W3CDTF">2021-04-28T16:42:21Z</dcterms:created>
  <dcterms:modified xsi:type="dcterms:W3CDTF">2021-04-29T11:41:36Z</dcterms:modified>
</cp:coreProperties>
</file>