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15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800" yWindow="780" windowWidth="13596" windowHeight="5172" tabRatio="902" activeTab="4"/>
  </bookViews>
  <sheets>
    <sheet name="Tableau" sheetId="1" r:id="rId1"/>
    <sheet name="RECAP_VENTE_MENSUELLE" sheetId="12" r:id="rId2"/>
    <sheet name="RECAP_VENTE_ANNUELLE" sheetId="13" r:id="rId3"/>
    <sheet name="ACHAT_Client" sheetId="9" r:id="rId4"/>
    <sheet name="Fiche_client" sheetId="10" r:id="rId5"/>
    <sheet name="BDD" sheetId="8" r:id="rId6"/>
  </sheets>
  <definedNames>
    <definedName name="Accessoires">Tableau7[Accessoires]</definedName>
    <definedName name="Accessoires_GV">#REF!</definedName>
    <definedName name="Accessoires_prix_client">#REF!</definedName>
    <definedName name="Accessoires_prix_VDI">#REF!</definedName>
    <definedName name="Accessoires_PV">#REF!</definedName>
    <definedName name="Aloe_vera">BDD!$L$11:$L$29</definedName>
    <definedName name="Aloe_vera_GV">#REF!</definedName>
    <definedName name="Aloe_vera_ml">#REF!</definedName>
    <definedName name="Aloe_vera_prix_Client">#REF!</definedName>
    <definedName name="Aloe_vera_prix_VDI">#REF!</definedName>
    <definedName name="Aloe_vera_PV">#REF!</definedName>
    <definedName name="base_clients">Tableau2[Nom_prenom ]</definedName>
    <definedName name="Clean_care">BDD!$L$33:$L$46</definedName>
    <definedName name="Clear_care">BDD!#REF!</definedName>
    <definedName name="Clear_care_GV">#REF!</definedName>
    <definedName name="Clear_care_prix_Client">#REF!</definedName>
    <definedName name="Clear_care_prix_VDI">#REF!</definedName>
    <definedName name="Clear_care_PV">#REF!</definedName>
    <definedName name="Colonne_Nom_Prenom">Fiche_client!$B:$B</definedName>
    <definedName name="Contenance_ml">#REF!</definedName>
    <definedName name="Cosmetique">#REF!</definedName>
    <definedName name="Date">Tableau13[Date]</definedName>
    <definedName name="Date_annuelle">Tableau13[Date]</definedName>
    <definedName name="Detail_prix_marge_PV_GV">#REF!</definedName>
    <definedName name="JHGF">#REF!</definedName>
    <definedName name="lieu_commande">BDD!$B$134:$B$135</definedName>
    <definedName name="Liste_type">BDD!$B$138:$B$143</definedName>
    <definedName name="Make_Up">BDD!$N$11:$N$18</definedName>
    <definedName name="Make_Up_GV">#REF!</definedName>
    <definedName name="Make_Up_prix_Client">#REF!</definedName>
    <definedName name="Make_Up_prix_VDI">#REF!</definedName>
    <definedName name="Make_Up_PV">#REF!</definedName>
    <definedName name="Marges_VDI_feuille2">Tableau13[Marge_VDIs_=
((Total_Client - 400€(Conso_perso))*25%)]</definedName>
    <definedName name="Mois">Tableau15[Mois]</definedName>
    <definedName name="Nom_prenom">Fiche_client!#REF!</definedName>
    <definedName name="par_contenance">Tableau!#REF!</definedName>
    <definedName name="Parfum">BDD!$L$70:$L$84</definedName>
    <definedName name="Parfums">BDD!$B$11:$B$61</definedName>
    <definedName name="Parfums_100ml">Tableau!#REF!</definedName>
    <definedName name="Parfums_10ml">Tableau!#REF!</definedName>
    <definedName name="Parfums_2ml">Tableau!#REF!</definedName>
    <definedName name="Parfums_50ml">Tableau!#REF!</definedName>
    <definedName name="Parfums_contenance">BDD!#REF!</definedName>
    <definedName name="Parfums_GV">#REF!</definedName>
    <definedName name="Parfums_ml">#REF!</definedName>
    <definedName name="Parfums_prix_Client">#REF!</definedName>
    <definedName name="Parfums_prix_VDI">#REF!</definedName>
    <definedName name="Parfums_PV">#REF!</definedName>
    <definedName name="Produits_tarifs_Marge_PV_GV_">Tableau9[#All]</definedName>
    <definedName name="Promotions">Tableau11[[#All],[Promotions]]</definedName>
    <definedName name="Quantité">BDD!$P$11:$P$29</definedName>
    <definedName name="Quantité_annuelle">Tableau4[Quantités]</definedName>
    <definedName name="Reduction_feuille2">Tableau13[Reductions]</definedName>
    <definedName name="Total_Client_annuel">Tableau4[Total_Client]</definedName>
    <definedName name="Total_Client_feuille2">Tableau13[Total_Client]</definedName>
    <definedName name="Total_GVs_feuille2">Tableau13[Total_GVs]</definedName>
    <definedName name="Total_Marges_feuille2">Tableau13[Total Marges]</definedName>
    <definedName name="Total_PVs_feuille2">Tableau13[Total PVs]</definedName>
    <definedName name="Total_VDIs_feuille2">Tableau13[Total_VDIs]</definedName>
    <definedName name="Total_vente_clients">Tableau4[Nom_prenom ]</definedName>
    <definedName name="Type">#REF!</definedName>
  </definedNames>
  <calcPr calcId="125725"/>
</workbook>
</file>

<file path=xl/calcChain.xml><?xml version="1.0" encoding="utf-8"?>
<calcChain xmlns="http://schemas.openxmlformats.org/spreadsheetml/2006/main">
  <c r="R3" i="13"/>
  <c r="R4"/>
  <c r="R5"/>
  <c r="R6"/>
  <c r="R7"/>
  <c r="R8"/>
  <c r="R9"/>
  <c r="R10"/>
  <c r="R11"/>
  <c r="R12"/>
  <c r="R13"/>
  <c r="R15"/>
  <c r="R14"/>
  <c r="R17"/>
  <c r="R20"/>
  <c r="R16"/>
  <c r="R18"/>
  <c r="R19"/>
  <c r="R21"/>
  <c r="R22"/>
  <c r="R23"/>
  <c r="R24"/>
  <c r="R31"/>
  <c r="R32"/>
  <c r="R25"/>
  <c r="R26"/>
  <c r="R28"/>
  <c r="R29"/>
  <c r="R30"/>
  <c r="R33"/>
  <c r="R27"/>
  <c r="R36"/>
  <c r="R37"/>
  <c r="R42"/>
  <c r="R41"/>
  <c r="R49"/>
  <c r="R50"/>
  <c r="R51"/>
  <c r="R52"/>
  <c r="R53"/>
  <c r="R54"/>
  <c r="R55"/>
  <c r="R56"/>
  <c r="R57"/>
  <c r="R58"/>
  <c r="R59"/>
  <c r="R60"/>
  <c r="R61"/>
  <c r="R62"/>
  <c r="R74"/>
  <c r="R67"/>
  <c r="R73"/>
  <c r="R63"/>
  <c r="R66"/>
  <c r="R64"/>
  <c r="R65"/>
  <c r="R68"/>
  <c r="R69"/>
  <c r="R70"/>
  <c r="R71"/>
  <c r="R72"/>
  <c r="R75"/>
  <c r="R76"/>
  <c r="R77"/>
  <c r="R78"/>
  <c r="R79"/>
  <c r="R81"/>
  <c r="R82"/>
  <c r="R83"/>
  <c r="R80"/>
  <c r="R84"/>
  <c r="R86"/>
  <c r="R87"/>
  <c r="R85"/>
  <c r="R88"/>
  <c r="R89"/>
  <c r="R91"/>
  <c r="R92"/>
  <c r="R93"/>
  <c r="R94"/>
  <c r="R95"/>
  <c r="R96"/>
  <c r="R98"/>
  <c r="R97"/>
  <c r="R99"/>
  <c r="R104"/>
  <c r="R105"/>
  <c r="R106"/>
  <c r="R107"/>
  <c r="R108"/>
  <c r="R109"/>
  <c r="R110"/>
  <c r="R111"/>
  <c r="R112"/>
  <c r="R113"/>
  <c r="R114"/>
  <c r="R115"/>
  <c r="R116"/>
  <c r="R117"/>
  <c r="R118"/>
  <c r="R119"/>
  <c r="R120"/>
  <c r="R121"/>
  <c r="R122"/>
  <c r="R123"/>
  <c r="R124"/>
  <c r="R125"/>
  <c r="R126"/>
  <c r="R127"/>
  <c r="R129"/>
  <c r="R128"/>
  <c r="R132"/>
  <c r="R131"/>
  <c r="R130"/>
  <c r="R133"/>
  <c r="R138"/>
  <c r="R139"/>
  <c r="R134"/>
  <c r="R135"/>
  <c r="R136"/>
  <c r="R137"/>
  <c r="R140"/>
  <c r="R574"/>
  <c r="R141"/>
  <c r="R142"/>
  <c r="R143"/>
  <c r="R144"/>
  <c r="R145"/>
  <c r="R146"/>
  <c r="R147"/>
  <c r="R148"/>
  <c r="R149"/>
  <c r="R150"/>
  <c r="R155"/>
  <c r="R156"/>
  <c r="R157"/>
  <c r="R158"/>
  <c r="R159"/>
  <c r="R161"/>
  <c r="R162"/>
  <c r="R163"/>
  <c r="R164"/>
  <c r="R160"/>
  <c r="R169"/>
  <c r="R170"/>
  <c r="R171"/>
  <c r="R172"/>
  <c r="R177"/>
  <c r="R173"/>
  <c r="R174"/>
  <c r="R175"/>
  <c r="R176"/>
  <c r="R178"/>
  <c r="R181"/>
  <c r="R185"/>
  <c r="R186"/>
  <c r="R182"/>
  <c r="R183"/>
  <c r="R184"/>
  <c r="R199"/>
  <c r="R200"/>
  <c r="R201"/>
  <c r="R207"/>
  <c r="R213"/>
  <c r="R226"/>
  <c r="R215"/>
  <c r="R223"/>
  <c r="R224"/>
  <c r="R221"/>
  <c r="R227"/>
  <c r="R214"/>
  <c r="R222"/>
  <c r="R211"/>
  <c r="R208"/>
  <c r="R220"/>
  <c r="R216"/>
  <c r="R212"/>
  <c r="R225"/>
  <c r="R209"/>
  <c r="R210"/>
  <c r="R217"/>
  <c r="R218"/>
  <c r="R219"/>
  <c r="R240"/>
  <c r="R241"/>
  <c r="R242"/>
  <c r="R238"/>
  <c r="R236"/>
  <c r="R237"/>
  <c r="R235"/>
  <c r="R247"/>
  <c r="R253"/>
  <c r="R255"/>
  <c r="R257"/>
  <c r="R256"/>
  <c r="R239"/>
  <c r="R282"/>
  <c r="R271"/>
  <c r="R272"/>
  <c r="R280"/>
  <c r="R279"/>
  <c r="R281"/>
  <c r="R274"/>
  <c r="R273"/>
  <c r="R275"/>
  <c r="R276"/>
  <c r="R277"/>
  <c r="R278"/>
  <c r="R283"/>
  <c r="R284"/>
  <c r="R285"/>
  <c r="R289"/>
  <c r="R290"/>
  <c r="R291"/>
  <c r="R286"/>
  <c r="R287"/>
  <c r="R288"/>
  <c r="R292"/>
  <c r="R297"/>
  <c r="R299"/>
  <c r="R293"/>
  <c r="R294"/>
  <c r="R295"/>
  <c r="R296"/>
  <c r="R298"/>
  <c r="R304"/>
  <c r="R306"/>
  <c r="R307"/>
  <c r="R305"/>
  <c r="R308"/>
  <c r="R324"/>
  <c r="R313"/>
  <c r="R319"/>
  <c r="R322"/>
  <c r="R310"/>
  <c r="R323"/>
  <c r="R320"/>
  <c r="R311"/>
  <c r="R312"/>
  <c r="R315"/>
  <c r="R314"/>
  <c r="R309"/>
  <c r="R316"/>
  <c r="R317"/>
  <c r="R318"/>
  <c r="R321"/>
  <c r="R325"/>
  <c r="R339"/>
  <c r="R340"/>
  <c r="R341"/>
  <c r="R342"/>
  <c r="R343"/>
  <c r="R347"/>
  <c r="R344"/>
  <c r="R346"/>
  <c r="R348"/>
  <c r="R345"/>
  <c r="R352"/>
  <c r="R354"/>
  <c r="R353"/>
  <c r="R356"/>
  <c r="R349"/>
  <c r="R350"/>
  <c r="R351"/>
  <c r="R355"/>
  <c r="R357"/>
  <c r="R366"/>
  <c r="R362"/>
  <c r="R361"/>
  <c r="R365"/>
  <c r="R360"/>
  <c r="R358"/>
  <c r="R359"/>
  <c r="R363"/>
  <c r="R367"/>
  <c r="R364"/>
  <c r="R368"/>
  <c r="R369"/>
  <c r="R370"/>
  <c r="R371"/>
  <c r="R375"/>
  <c r="R380"/>
  <c r="R382"/>
  <c r="R381"/>
  <c r="R386"/>
  <c r="R387"/>
  <c r="R390"/>
  <c r="R389"/>
  <c r="R391"/>
  <c r="R392"/>
  <c r="R393"/>
  <c r="R399"/>
  <c r="R400"/>
  <c r="R401"/>
  <c r="R402"/>
  <c r="R403"/>
  <c r="R404"/>
  <c r="R406"/>
  <c r="R408"/>
  <c r="R409"/>
  <c r="R410"/>
  <c r="R411"/>
  <c r="R412"/>
  <c r="R407"/>
  <c r="R420"/>
  <c r="R417"/>
  <c r="R419"/>
  <c r="R416"/>
  <c r="R418"/>
  <c r="R413"/>
  <c r="R414"/>
  <c r="R415"/>
  <c r="R421"/>
  <c r="R422"/>
  <c r="R423"/>
  <c r="R425"/>
  <c r="R427"/>
  <c r="R428"/>
  <c r="R424"/>
  <c r="R426"/>
  <c r="R429"/>
  <c r="R435"/>
  <c r="R436"/>
  <c r="R437"/>
  <c r="R434"/>
  <c r="R431"/>
  <c r="R432"/>
  <c r="R433"/>
  <c r="R447"/>
  <c r="R448"/>
  <c r="R455"/>
  <c r="R449"/>
  <c r="R450"/>
  <c r="R451"/>
  <c r="R452"/>
  <c r="R453"/>
  <c r="R454"/>
  <c r="R466"/>
  <c r="R467"/>
  <c r="R468"/>
  <c r="R474"/>
  <c r="R481"/>
  <c r="R482"/>
  <c r="R485"/>
  <c r="R486"/>
  <c r="R483"/>
  <c r="R484"/>
  <c r="R489"/>
  <c r="R490"/>
  <c r="R491"/>
  <c r="R492"/>
  <c r="R493"/>
  <c r="R494"/>
  <c r="R495"/>
  <c r="R496"/>
  <c r="R497"/>
  <c r="R498"/>
  <c r="R499"/>
  <c r="R500"/>
  <c r="R501"/>
  <c r="R502"/>
  <c r="R503"/>
  <c r="R513"/>
  <c r="R511"/>
  <c r="R512"/>
  <c r="R514"/>
  <c r="R515"/>
  <c r="R519"/>
  <c r="R520"/>
  <c r="R528"/>
  <c r="R537"/>
  <c r="R538"/>
  <c r="R522"/>
  <c r="R521"/>
  <c r="R527"/>
  <c r="R524"/>
  <c r="R525"/>
  <c r="R523"/>
  <c r="R526"/>
  <c r="R536"/>
  <c r="R529"/>
  <c r="R530"/>
  <c r="R531"/>
  <c r="R532"/>
  <c r="R533"/>
  <c r="R534"/>
  <c r="R535"/>
  <c r="R539"/>
  <c r="R546"/>
  <c r="R547"/>
  <c r="R557"/>
  <c r="R558"/>
  <c r="R555"/>
  <c r="R556"/>
  <c r="R554"/>
  <c r="R551"/>
  <c r="R553"/>
  <c r="R559"/>
  <c r="R545"/>
  <c r="R550"/>
  <c r="R552"/>
  <c r="R548"/>
  <c r="R549"/>
  <c r="R560"/>
  <c r="R561"/>
  <c r="R564"/>
  <c r="R565"/>
  <c r="R566"/>
  <c r="R567"/>
  <c r="R568"/>
  <c r="R475"/>
  <c r="R476"/>
  <c r="R477"/>
  <c r="R562"/>
  <c r="R563"/>
  <c r="R469"/>
  <c r="R470"/>
  <c r="R471"/>
  <c r="R472"/>
  <c r="R473"/>
  <c r="R569"/>
  <c r="R570"/>
  <c r="R571"/>
  <c r="R572"/>
  <c r="R573"/>
  <c r="R326"/>
  <c r="R327"/>
  <c r="R90"/>
  <c r="R487"/>
  <c r="R202"/>
  <c r="R203"/>
  <c r="R204"/>
  <c r="R268"/>
  <c r="R266"/>
  <c r="R260"/>
  <c r="R261"/>
  <c r="R262"/>
  <c r="R265"/>
  <c r="R45"/>
  <c r="R43"/>
  <c r="R44"/>
  <c r="R374"/>
  <c r="R373"/>
  <c r="R395"/>
  <c r="R394"/>
  <c r="R438"/>
  <c r="R100"/>
  <c r="R101"/>
  <c r="R396"/>
  <c r="R228"/>
  <c r="R229"/>
  <c r="R328"/>
  <c r="R504"/>
  <c r="R505"/>
  <c r="R506"/>
  <c r="R507"/>
  <c r="R179"/>
  <c r="R180"/>
  <c r="R258"/>
  <c r="R264"/>
  <c r="R263"/>
  <c r="R259"/>
  <c r="R405"/>
  <c r="R383"/>
  <c r="R267"/>
  <c r="R102"/>
  <c r="R230"/>
  <c r="R269"/>
  <c r="R430"/>
  <c r="R329"/>
  <c r="R330"/>
  <c r="R331"/>
  <c r="R332"/>
  <c r="R442"/>
  <c r="R441"/>
  <c r="R165"/>
  <c r="R187"/>
  <c r="R188"/>
  <c r="R300"/>
  <c r="R301"/>
  <c r="R333"/>
  <c r="R270"/>
  <c r="R443"/>
  <c r="R166"/>
  <c r="R516"/>
  <c r="R517"/>
  <c r="R518"/>
  <c r="R478"/>
  <c r="R479"/>
  <c r="R541"/>
  <c r="R540"/>
  <c r="R334"/>
  <c r="R335"/>
  <c r="R397"/>
  <c r="R398"/>
  <c r="R488"/>
  <c r="R189"/>
  <c r="R303"/>
  <c r="R302"/>
  <c r="R231"/>
  <c r="R232"/>
  <c r="R248"/>
  <c r="R385"/>
  <c r="R384"/>
  <c r="R456"/>
  <c r="R167"/>
  <c r="R168"/>
  <c r="R233"/>
  <c r="R254"/>
  <c r="R388"/>
  <c r="R34"/>
  <c r="R35"/>
  <c r="R103"/>
  <c r="R190"/>
  <c r="R192"/>
  <c r="R191"/>
  <c r="R251"/>
  <c r="R249"/>
  <c r="R446"/>
  <c r="R444"/>
  <c r="R445"/>
  <c r="R508"/>
  <c r="R509"/>
  <c r="R510"/>
  <c r="R462"/>
  <c r="R542"/>
  <c r="R463"/>
  <c r="R464"/>
  <c r="R252"/>
  <c r="R250"/>
  <c r="R465"/>
  <c r="R336"/>
  <c r="R372"/>
  <c r="R543"/>
  <c r="R376"/>
  <c r="R377"/>
  <c r="R457"/>
  <c r="R458"/>
  <c r="R459"/>
  <c r="R38"/>
  <c r="R40"/>
  <c r="R39"/>
  <c r="R193"/>
  <c r="R246"/>
  <c r="R243"/>
  <c r="R244"/>
  <c r="R245"/>
  <c r="R440"/>
  <c r="R439"/>
  <c r="R480"/>
  <c r="R153"/>
  <c r="R152"/>
  <c r="R154"/>
  <c r="R151"/>
  <c r="R337"/>
  <c r="R338"/>
  <c r="R195"/>
  <c r="R194"/>
  <c r="R198"/>
  <c r="R196"/>
  <c r="R197"/>
  <c r="R234"/>
  <c r="R2"/>
  <c r="R46"/>
  <c r="R47"/>
  <c r="R48"/>
  <c r="R460"/>
  <c r="R461"/>
  <c r="R205"/>
  <c r="R206"/>
  <c r="R544"/>
  <c r="R379"/>
  <c r="R378"/>
  <c r="H17" i="12"/>
  <c r="H107" i="10"/>
  <c r="I107"/>
  <c r="H106"/>
  <c r="I106"/>
  <c r="H105"/>
  <c r="I105"/>
  <c r="H104"/>
  <c r="I104"/>
  <c r="F17" i="1"/>
  <c r="J17"/>
  <c r="I17"/>
  <c r="G17"/>
  <c r="H76" i="8"/>
  <c r="H8" i="10"/>
  <c r="I8"/>
  <c r="H16" i="12"/>
  <c r="H91" i="10"/>
  <c r="I91"/>
  <c r="H90"/>
  <c r="I90"/>
  <c r="H73"/>
  <c r="I73"/>
  <c r="H100"/>
  <c r="I100"/>
  <c r="H15" i="12"/>
  <c r="H20" i="8"/>
  <c r="H59" i="10"/>
  <c r="I59"/>
  <c r="H14" i="12"/>
  <c r="H64" i="8"/>
  <c r="H81"/>
  <c r="H13" i="12"/>
  <c r="H87" i="10"/>
  <c r="I87"/>
  <c r="H12" i="12"/>
  <c r="H67" i="10"/>
  <c r="I67"/>
  <c r="H55"/>
  <c r="I55"/>
  <c r="H11" i="12"/>
  <c r="H66" i="8"/>
  <c r="H68"/>
  <c r="H83"/>
  <c r="H82"/>
  <c r="H67"/>
  <c r="H65"/>
  <c r="H63"/>
  <c r="H53"/>
  <c r="H52"/>
  <c r="H15"/>
  <c r="H14"/>
  <c r="H13"/>
  <c r="H12"/>
  <c r="H11"/>
  <c r="P5" i="12"/>
  <c r="P4"/>
  <c r="P3"/>
  <c r="O5"/>
  <c r="O4"/>
  <c r="O3"/>
  <c r="N5"/>
  <c r="N4"/>
  <c r="N3"/>
  <c r="M5"/>
  <c r="M4"/>
  <c r="M3"/>
  <c r="K2"/>
  <c r="L3"/>
  <c r="K5"/>
  <c r="K4"/>
  <c r="K3"/>
  <c r="L4"/>
  <c r="L5"/>
  <c r="P2"/>
  <c r="O2"/>
  <c r="N2"/>
  <c r="M2"/>
  <c r="L2"/>
  <c r="M16"/>
  <c r="AH3" i="10" l="1"/>
  <c r="AJ3" s="1"/>
  <c r="AH5"/>
  <c r="AJ5" s="1"/>
  <c r="AH7"/>
  <c r="AJ7" s="1"/>
  <c r="AH9"/>
  <c r="AJ9" s="1"/>
  <c r="AH11"/>
  <c r="AJ11" s="1"/>
  <c r="AH13"/>
  <c r="AJ13" s="1"/>
  <c r="AH15"/>
  <c r="AJ15" s="1"/>
  <c r="AH17"/>
  <c r="AJ17" s="1"/>
  <c r="AH19"/>
  <c r="AJ19" s="1"/>
  <c r="AH21"/>
  <c r="AJ21" s="1"/>
  <c r="AH23"/>
  <c r="AJ23" s="1"/>
  <c r="AH25"/>
  <c r="AJ25" s="1"/>
  <c r="AH27"/>
  <c r="AJ27" s="1"/>
  <c r="AH29"/>
  <c r="AJ29" s="1"/>
  <c r="AH31"/>
  <c r="AJ31" s="1"/>
  <c r="AH33"/>
  <c r="AJ33" s="1"/>
  <c r="AH35"/>
  <c r="AJ35" s="1"/>
  <c r="AH37"/>
  <c r="AJ37" s="1"/>
  <c r="AH39"/>
  <c r="AJ39" s="1"/>
  <c r="AH41"/>
  <c r="AJ41" s="1"/>
  <c r="AH43"/>
  <c r="AJ43" s="1"/>
  <c r="AH45"/>
  <c r="AJ45" s="1"/>
  <c r="AH47"/>
  <c r="AJ47" s="1"/>
  <c r="AH49"/>
  <c r="AJ49" s="1"/>
  <c r="AH51"/>
  <c r="AJ51" s="1"/>
  <c r="AH53"/>
  <c r="AJ53" s="1"/>
  <c r="AH55"/>
  <c r="AJ55" s="1"/>
  <c r="AH57"/>
  <c r="AJ57" s="1"/>
  <c r="AH59"/>
  <c r="AJ59" s="1"/>
  <c r="AH61"/>
  <c r="AJ61" s="1"/>
  <c r="AH63"/>
  <c r="AJ63" s="1"/>
  <c r="AH65"/>
  <c r="AJ65" s="1"/>
  <c r="AH67"/>
  <c r="AJ67" s="1"/>
  <c r="AH69"/>
  <c r="AJ69" s="1"/>
  <c r="AH71"/>
  <c r="AJ71" s="1"/>
  <c r="AH73"/>
  <c r="AJ73" s="1"/>
  <c r="AH75"/>
  <c r="AJ75" s="1"/>
  <c r="AH77"/>
  <c r="AJ77" s="1"/>
  <c r="AH79"/>
  <c r="AJ79" s="1"/>
  <c r="AH81"/>
  <c r="AJ81" s="1"/>
  <c r="AH83"/>
  <c r="AJ83" s="1"/>
  <c r="AH85"/>
  <c r="AJ85" s="1"/>
  <c r="AH87"/>
  <c r="AJ87" s="1"/>
  <c r="AH89"/>
  <c r="AJ89" s="1"/>
  <c r="AH91"/>
  <c r="AJ91" s="1"/>
  <c r="AH93"/>
  <c r="AJ93" s="1"/>
  <c r="AH95"/>
  <c r="AJ95" s="1"/>
  <c r="AH97"/>
  <c r="AJ97" s="1"/>
  <c r="AH99"/>
  <c r="AJ99" s="1"/>
  <c r="AH101"/>
  <c r="AJ101" s="1"/>
  <c r="AH103"/>
  <c r="AJ103" s="1"/>
  <c r="AH105"/>
  <c r="AJ105" s="1"/>
  <c r="AH107"/>
  <c r="AJ107" s="1"/>
  <c r="AD3"/>
  <c r="AF3" s="1"/>
  <c r="AD5"/>
  <c r="AF5" s="1"/>
  <c r="AD7"/>
  <c r="AF7" s="1"/>
  <c r="AD9"/>
  <c r="AF9" s="1"/>
  <c r="AD11"/>
  <c r="AF11" s="1"/>
  <c r="AD13"/>
  <c r="AF13" s="1"/>
  <c r="AD15"/>
  <c r="AF15" s="1"/>
  <c r="AD17"/>
  <c r="AF17" s="1"/>
  <c r="AD19"/>
  <c r="AF19" s="1"/>
  <c r="AD21"/>
  <c r="AF21" s="1"/>
  <c r="AD23"/>
  <c r="AF23" s="1"/>
  <c r="AD25"/>
  <c r="AF25" s="1"/>
  <c r="AD27"/>
  <c r="AF27" s="1"/>
  <c r="AD29"/>
  <c r="AF29" s="1"/>
  <c r="AD31"/>
  <c r="AF31" s="1"/>
  <c r="AD33"/>
  <c r="AF33" s="1"/>
  <c r="AD35"/>
  <c r="AF35" s="1"/>
  <c r="AD37"/>
  <c r="AF37" s="1"/>
  <c r="AD39"/>
  <c r="AF39" s="1"/>
  <c r="AD41"/>
  <c r="AF41" s="1"/>
  <c r="AD43"/>
  <c r="AF43" s="1"/>
  <c r="AD45"/>
  <c r="AF45" s="1"/>
  <c r="AD47"/>
  <c r="AF47" s="1"/>
  <c r="AD49"/>
  <c r="AF49" s="1"/>
  <c r="AD51"/>
  <c r="AF51" s="1"/>
  <c r="AD53"/>
  <c r="AF53" s="1"/>
  <c r="AD55"/>
  <c r="AF55" s="1"/>
  <c r="AD57"/>
  <c r="AF57" s="1"/>
  <c r="AD59"/>
  <c r="AF59" s="1"/>
  <c r="AD61"/>
  <c r="AF61" s="1"/>
  <c r="AD63"/>
  <c r="AF63" s="1"/>
  <c r="AD65"/>
  <c r="AF65" s="1"/>
  <c r="AD67"/>
  <c r="AF67" s="1"/>
  <c r="AD69"/>
  <c r="AF69" s="1"/>
  <c r="AD71"/>
  <c r="AF71" s="1"/>
  <c r="AD73"/>
  <c r="AF73" s="1"/>
  <c r="AD75"/>
  <c r="AF75" s="1"/>
  <c r="AD77"/>
  <c r="AF77" s="1"/>
  <c r="AD79"/>
  <c r="AF79" s="1"/>
  <c r="AD81"/>
  <c r="AF81" s="1"/>
  <c r="AD83"/>
  <c r="AF83" s="1"/>
  <c r="AD85"/>
  <c r="AF85" s="1"/>
  <c r="AD87"/>
  <c r="AF87" s="1"/>
  <c r="AD89"/>
  <c r="AF89" s="1"/>
  <c r="AD91"/>
  <c r="AF91" s="1"/>
  <c r="AD93"/>
  <c r="AF93" s="1"/>
  <c r="AD95"/>
  <c r="AF95" s="1"/>
  <c r="AD97"/>
  <c r="AF97" s="1"/>
  <c r="AD99"/>
  <c r="AF99" s="1"/>
  <c r="AD101"/>
  <c r="AF101" s="1"/>
  <c r="AD103"/>
  <c r="AF103" s="1"/>
  <c r="AD105"/>
  <c r="AF105" s="1"/>
  <c r="AD107"/>
  <c r="AF107" s="1"/>
  <c r="Z3"/>
  <c r="AB3" s="1"/>
  <c r="Z5"/>
  <c r="AB5" s="1"/>
  <c r="Z7"/>
  <c r="AB7" s="1"/>
  <c r="Z9"/>
  <c r="AB9" s="1"/>
  <c r="Z11"/>
  <c r="AB11" s="1"/>
  <c r="Z13"/>
  <c r="AB13" s="1"/>
  <c r="Z15"/>
  <c r="AB15" s="1"/>
  <c r="Z17"/>
  <c r="AB17" s="1"/>
  <c r="Z19"/>
  <c r="AB19" s="1"/>
  <c r="Z21"/>
  <c r="AB21" s="1"/>
  <c r="Z23"/>
  <c r="AB23" s="1"/>
  <c r="Z25"/>
  <c r="AB25" s="1"/>
  <c r="Z27"/>
  <c r="AB27" s="1"/>
  <c r="Z29"/>
  <c r="AB29" s="1"/>
  <c r="Z31"/>
  <c r="AB31" s="1"/>
  <c r="Z33"/>
  <c r="AB33" s="1"/>
  <c r="Z35"/>
  <c r="AB35" s="1"/>
  <c r="Z37"/>
  <c r="AB37" s="1"/>
  <c r="Z39"/>
  <c r="AB39" s="1"/>
  <c r="Z41"/>
  <c r="AB41" s="1"/>
  <c r="Z43"/>
  <c r="AB43" s="1"/>
  <c r="Z45"/>
  <c r="AB45" s="1"/>
  <c r="Z47"/>
  <c r="AB47" s="1"/>
  <c r="Z49"/>
  <c r="AB49" s="1"/>
  <c r="Z51"/>
  <c r="AB51" s="1"/>
  <c r="Z53"/>
  <c r="AB53" s="1"/>
  <c r="Z55"/>
  <c r="AB55" s="1"/>
  <c r="Z57"/>
  <c r="AB57" s="1"/>
  <c r="Z59"/>
  <c r="AB59" s="1"/>
  <c r="Z61"/>
  <c r="AB61" s="1"/>
  <c r="Z63"/>
  <c r="AB63" s="1"/>
  <c r="Z65"/>
  <c r="AB65" s="1"/>
  <c r="Z67"/>
  <c r="AB67" s="1"/>
  <c r="Z69"/>
  <c r="AB69" s="1"/>
  <c r="Z71"/>
  <c r="AB71" s="1"/>
  <c r="Z73"/>
  <c r="AB73" s="1"/>
  <c r="Z75"/>
  <c r="AB75" s="1"/>
  <c r="Z77"/>
  <c r="AB77" s="1"/>
  <c r="Z79"/>
  <c r="AB79" s="1"/>
  <c r="Z81"/>
  <c r="AB81" s="1"/>
  <c r="Z83"/>
  <c r="AB83" s="1"/>
  <c r="Z85"/>
  <c r="AB85" s="1"/>
  <c r="Z87"/>
  <c r="AB87" s="1"/>
  <c r="Z89"/>
  <c r="AB89" s="1"/>
  <c r="Z91"/>
  <c r="AB91" s="1"/>
  <c r="Z93"/>
  <c r="AB93" s="1"/>
  <c r="Z95"/>
  <c r="AB95" s="1"/>
  <c r="Z97"/>
  <c r="AB97" s="1"/>
  <c r="Z99"/>
  <c r="AB99" s="1"/>
  <c r="Z101"/>
  <c r="AB101" s="1"/>
  <c r="Z103"/>
  <c r="AB103" s="1"/>
  <c r="Z105"/>
  <c r="AB105" s="1"/>
  <c r="Z107"/>
  <c r="AB107" s="1"/>
  <c r="V3"/>
  <c r="X3" s="1"/>
  <c r="V5"/>
  <c r="X5" s="1"/>
  <c r="V7"/>
  <c r="X7" s="1"/>
  <c r="V9"/>
  <c r="X9" s="1"/>
  <c r="V11"/>
  <c r="X11" s="1"/>
  <c r="V13"/>
  <c r="X13" s="1"/>
  <c r="V15"/>
  <c r="X15" s="1"/>
  <c r="V17"/>
  <c r="X17" s="1"/>
  <c r="V19"/>
  <c r="X19" s="1"/>
  <c r="V21"/>
  <c r="X21" s="1"/>
  <c r="V23"/>
  <c r="X23" s="1"/>
  <c r="V25"/>
  <c r="X25" s="1"/>
  <c r="V27"/>
  <c r="X27" s="1"/>
  <c r="V29"/>
  <c r="X29" s="1"/>
  <c r="V31"/>
  <c r="X31" s="1"/>
  <c r="V33"/>
  <c r="X33" s="1"/>
  <c r="V35"/>
  <c r="X35" s="1"/>
  <c r="V37"/>
  <c r="X37" s="1"/>
  <c r="V39"/>
  <c r="X39" s="1"/>
  <c r="V41"/>
  <c r="X41" s="1"/>
  <c r="V43"/>
  <c r="X43" s="1"/>
  <c r="V45"/>
  <c r="X45" s="1"/>
  <c r="V47"/>
  <c r="X47" s="1"/>
  <c r="V49"/>
  <c r="X49" s="1"/>
  <c r="V51"/>
  <c r="X51" s="1"/>
  <c r="V53"/>
  <c r="X53" s="1"/>
  <c r="V55"/>
  <c r="X55" s="1"/>
  <c r="V57"/>
  <c r="X57" s="1"/>
  <c r="V59"/>
  <c r="X59" s="1"/>
  <c r="V61"/>
  <c r="X61" s="1"/>
  <c r="V63"/>
  <c r="X63" s="1"/>
  <c r="V65"/>
  <c r="X65" s="1"/>
  <c r="V67"/>
  <c r="X67" s="1"/>
  <c r="V69"/>
  <c r="X69" s="1"/>
  <c r="V71"/>
  <c r="X71" s="1"/>
  <c r="V73"/>
  <c r="X73" s="1"/>
  <c r="V75"/>
  <c r="X75" s="1"/>
  <c r="V77"/>
  <c r="X77" s="1"/>
  <c r="V79"/>
  <c r="X79" s="1"/>
  <c r="V81"/>
  <c r="X81" s="1"/>
  <c r="V83"/>
  <c r="X83" s="1"/>
  <c r="V85"/>
  <c r="X85" s="1"/>
  <c r="V87"/>
  <c r="X87" s="1"/>
  <c r="V89"/>
  <c r="X89" s="1"/>
  <c r="V91"/>
  <c r="X91" s="1"/>
  <c r="V93"/>
  <c r="X93" s="1"/>
  <c r="V95"/>
  <c r="X95" s="1"/>
  <c r="V97"/>
  <c r="X97" s="1"/>
  <c r="V99"/>
  <c r="X99" s="1"/>
  <c r="V101"/>
  <c r="X101" s="1"/>
  <c r="V103"/>
  <c r="X103" s="1"/>
  <c r="V105"/>
  <c r="X105" s="1"/>
  <c r="V107"/>
  <c r="X107" s="1"/>
  <c r="R3"/>
  <c r="T3" s="1"/>
  <c r="R5"/>
  <c r="T5" s="1"/>
  <c r="R7"/>
  <c r="T7" s="1"/>
  <c r="R9"/>
  <c r="T9" s="1"/>
  <c r="R11"/>
  <c r="T11" s="1"/>
  <c r="R13"/>
  <c r="T13" s="1"/>
  <c r="R15"/>
  <c r="T15" s="1"/>
  <c r="R17"/>
  <c r="T17" s="1"/>
  <c r="R19"/>
  <c r="T19" s="1"/>
  <c r="R21"/>
  <c r="T21" s="1"/>
  <c r="R23"/>
  <c r="T23" s="1"/>
  <c r="R25"/>
  <c r="T25" s="1"/>
  <c r="R27"/>
  <c r="T27" s="1"/>
  <c r="R29"/>
  <c r="T29" s="1"/>
  <c r="R31"/>
  <c r="T31" s="1"/>
  <c r="R33"/>
  <c r="T33" s="1"/>
  <c r="R35"/>
  <c r="T35" s="1"/>
  <c r="R37"/>
  <c r="T37" s="1"/>
  <c r="R39"/>
  <c r="T39" s="1"/>
  <c r="R41"/>
  <c r="T41" s="1"/>
  <c r="R43"/>
  <c r="T43" s="1"/>
  <c r="R45"/>
  <c r="T45" s="1"/>
  <c r="R47"/>
  <c r="T47" s="1"/>
  <c r="R49"/>
  <c r="T49" s="1"/>
  <c r="R51"/>
  <c r="T51" s="1"/>
  <c r="R53"/>
  <c r="T53" s="1"/>
  <c r="R55"/>
  <c r="T55" s="1"/>
  <c r="R57"/>
  <c r="T57" s="1"/>
  <c r="R59"/>
  <c r="T59" s="1"/>
  <c r="R61"/>
  <c r="T61" s="1"/>
  <c r="R63"/>
  <c r="T63" s="1"/>
  <c r="R65"/>
  <c r="T65" s="1"/>
  <c r="R67"/>
  <c r="T67" s="1"/>
  <c r="R69"/>
  <c r="T69" s="1"/>
  <c r="R71"/>
  <c r="T71" s="1"/>
  <c r="R73"/>
  <c r="T73" s="1"/>
  <c r="R75"/>
  <c r="T75" s="1"/>
  <c r="R77"/>
  <c r="T77" s="1"/>
  <c r="R79"/>
  <c r="T79" s="1"/>
  <c r="R81"/>
  <c r="T81" s="1"/>
  <c r="R83"/>
  <c r="T83" s="1"/>
  <c r="R85"/>
  <c r="T85" s="1"/>
  <c r="R87"/>
  <c r="T87" s="1"/>
  <c r="R89"/>
  <c r="T89" s="1"/>
  <c r="J106"/>
  <c r="L106" s="1"/>
  <c r="J104"/>
  <c r="L104" s="1"/>
  <c r="J102"/>
  <c r="L102" s="1"/>
  <c r="J100"/>
  <c r="L100" s="1"/>
  <c r="J98"/>
  <c r="L98" s="1"/>
  <c r="J96"/>
  <c r="L96" s="1"/>
  <c r="J94"/>
  <c r="L94" s="1"/>
  <c r="J92"/>
  <c r="L92" s="1"/>
  <c r="J90"/>
  <c r="L90" s="1"/>
  <c r="J88"/>
  <c r="L88" s="1"/>
  <c r="J86"/>
  <c r="L86" s="1"/>
  <c r="J84"/>
  <c r="L84" s="1"/>
  <c r="J82"/>
  <c r="L82" s="1"/>
  <c r="J80"/>
  <c r="L80" s="1"/>
  <c r="J78"/>
  <c r="L78" s="1"/>
  <c r="J76"/>
  <c r="L76" s="1"/>
  <c r="J74"/>
  <c r="L74" s="1"/>
  <c r="J72"/>
  <c r="L72" s="1"/>
  <c r="J70"/>
  <c r="L70" s="1"/>
  <c r="J68"/>
  <c r="L68" s="1"/>
  <c r="J66"/>
  <c r="L66" s="1"/>
  <c r="J64"/>
  <c r="L64" s="1"/>
  <c r="J62"/>
  <c r="L62" s="1"/>
  <c r="J60"/>
  <c r="L60" s="1"/>
  <c r="J58"/>
  <c r="L58" s="1"/>
  <c r="J56"/>
  <c r="L56" s="1"/>
  <c r="J54"/>
  <c r="L54" s="1"/>
  <c r="J52"/>
  <c r="L52" s="1"/>
  <c r="J50"/>
  <c r="L50" s="1"/>
  <c r="J48"/>
  <c r="L48" s="1"/>
  <c r="J46"/>
  <c r="L46" s="1"/>
  <c r="J44"/>
  <c r="L44" s="1"/>
  <c r="J42"/>
  <c r="L42" s="1"/>
  <c r="J40"/>
  <c r="L40" s="1"/>
  <c r="J38"/>
  <c r="L38" s="1"/>
  <c r="J36"/>
  <c r="L36" s="1"/>
  <c r="J34"/>
  <c r="L34" s="1"/>
  <c r="J32"/>
  <c r="L32" s="1"/>
  <c r="J30"/>
  <c r="L30" s="1"/>
  <c r="J28"/>
  <c r="L28" s="1"/>
  <c r="J26"/>
  <c r="L26" s="1"/>
  <c r="J24"/>
  <c r="L24" s="1"/>
  <c r="J22"/>
  <c r="L22" s="1"/>
  <c r="J20"/>
  <c r="L20" s="1"/>
  <c r="J18"/>
  <c r="L18" s="1"/>
  <c r="J16"/>
  <c r="L16" s="1"/>
  <c r="J14"/>
  <c r="L14" s="1"/>
  <c r="J12"/>
  <c r="L12" s="1"/>
  <c r="J10"/>
  <c r="L10" s="1"/>
  <c r="J8"/>
  <c r="L8" s="1"/>
  <c r="J6"/>
  <c r="L6" s="1"/>
  <c r="J4"/>
  <c r="L4" s="1"/>
  <c r="J2"/>
  <c r="L2" s="1"/>
  <c r="N106"/>
  <c r="P106" s="1"/>
  <c r="N104"/>
  <c r="P104" s="1"/>
  <c r="N102"/>
  <c r="P102" s="1"/>
  <c r="N100"/>
  <c r="P100" s="1"/>
  <c r="N98"/>
  <c r="P98" s="1"/>
  <c r="N96"/>
  <c r="P96" s="1"/>
  <c r="N94"/>
  <c r="P94" s="1"/>
  <c r="N92"/>
  <c r="P92" s="1"/>
  <c r="N90"/>
  <c r="P90" s="1"/>
  <c r="N88"/>
  <c r="P88" s="1"/>
  <c r="N86"/>
  <c r="P86" s="1"/>
  <c r="N84"/>
  <c r="P84" s="1"/>
  <c r="N82"/>
  <c r="P82" s="1"/>
  <c r="N80"/>
  <c r="P80" s="1"/>
  <c r="N78"/>
  <c r="P78" s="1"/>
  <c r="N76"/>
  <c r="P76" s="1"/>
  <c r="N74"/>
  <c r="P74" s="1"/>
  <c r="N72"/>
  <c r="P72" s="1"/>
  <c r="N70"/>
  <c r="P70" s="1"/>
  <c r="N68"/>
  <c r="P68" s="1"/>
  <c r="N66"/>
  <c r="P66" s="1"/>
  <c r="N64"/>
  <c r="P64" s="1"/>
  <c r="N62"/>
  <c r="P62" s="1"/>
  <c r="N60"/>
  <c r="P60" s="1"/>
  <c r="N58"/>
  <c r="P58" s="1"/>
  <c r="N56"/>
  <c r="P56" s="1"/>
  <c r="N54"/>
  <c r="P54" s="1"/>
  <c r="N52"/>
  <c r="P52" s="1"/>
  <c r="N50"/>
  <c r="P50" s="1"/>
  <c r="N48"/>
  <c r="P48" s="1"/>
  <c r="N46"/>
  <c r="P46" s="1"/>
  <c r="N44"/>
  <c r="P44" s="1"/>
  <c r="N42"/>
  <c r="P42" s="1"/>
  <c r="N40"/>
  <c r="P40" s="1"/>
  <c r="N38"/>
  <c r="P38" s="1"/>
  <c r="N36"/>
  <c r="P36" s="1"/>
  <c r="N34"/>
  <c r="P34" s="1"/>
  <c r="N32"/>
  <c r="P32" s="1"/>
  <c r="N30"/>
  <c r="P30" s="1"/>
  <c r="N28"/>
  <c r="P28" s="1"/>
  <c r="N26"/>
  <c r="P26" s="1"/>
  <c r="N24"/>
  <c r="P24" s="1"/>
  <c r="N22"/>
  <c r="P22" s="1"/>
  <c r="N20"/>
  <c r="P20" s="1"/>
  <c r="N18"/>
  <c r="P18" s="1"/>
  <c r="N16"/>
  <c r="P16" s="1"/>
  <c r="N14"/>
  <c r="P14" s="1"/>
  <c r="N12"/>
  <c r="P12" s="1"/>
  <c r="N10"/>
  <c r="P10" s="1"/>
  <c r="N8"/>
  <c r="P8" s="1"/>
  <c r="N6"/>
  <c r="P6" s="1"/>
  <c r="N4"/>
  <c r="P4" s="1"/>
  <c r="N2"/>
  <c r="P2" s="1"/>
  <c r="R106"/>
  <c r="T106" s="1"/>
  <c r="R104"/>
  <c r="T104" s="1"/>
  <c r="R102"/>
  <c r="T102" s="1"/>
  <c r="R100"/>
  <c r="T100" s="1"/>
  <c r="R98"/>
  <c r="T98" s="1"/>
  <c r="R96"/>
  <c r="T96" s="1"/>
  <c r="R94"/>
  <c r="T94" s="1"/>
  <c r="R92"/>
  <c r="T92" s="1"/>
  <c r="R90"/>
  <c r="T90" s="1"/>
  <c r="R86"/>
  <c r="T86" s="1"/>
  <c r="R82"/>
  <c r="T82" s="1"/>
  <c r="R78"/>
  <c r="T78" s="1"/>
  <c r="R74"/>
  <c r="T74" s="1"/>
  <c r="R70"/>
  <c r="T70" s="1"/>
  <c r="R66"/>
  <c r="T66" s="1"/>
  <c r="R62"/>
  <c r="T62" s="1"/>
  <c r="R58"/>
  <c r="T58" s="1"/>
  <c r="R54"/>
  <c r="T54" s="1"/>
  <c r="R50"/>
  <c r="T50" s="1"/>
  <c r="R46"/>
  <c r="T46" s="1"/>
  <c r="R42"/>
  <c r="T42" s="1"/>
  <c r="R38"/>
  <c r="T38" s="1"/>
  <c r="R34"/>
  <c r="T34" s="1"/>
  <c r="R30"/>
  <c r="T30" s="1"/>
  <c r="R26"/>
  <c r="T26" s="1"/>
  <c r="R22"/>
  <c r="T22" s="1"/>
  <c r="R18"/>
  <c r="T18" s="1"/>
  <c r="R14"/>
  <c r="T14" s="1"/>
  <c r="R10"/>
  <c r="T10" s="1"/>
  <c r="R6"/>
  <c r="T6" s="1"/>
  <c r="R2"/>
  <c r="T2" s="1"/>
  <c r="V104"/>
  <c r="X104" s="1"/>
  <c r="V100"/>
  <c r="X100" s="1"/>
  <c r="V96"/>
  <c r="X96" s="1"/>
  <c r="V92"/>
  <c r="X92" s="1"/>
  <c r="V88"/>
  <c r="X88" s="1"/>
  <c r="V84"/>
  <c r="X84" s="1"/>
  <c r="V80"/>
  <c r="X80" s="1"/>
  <c r="V76"/>
  <c r="X76" s="1"/>
  <c r="V72"/>
  <c r="X72" s="1"/>
  <c r="V68"/>
  <c r="X68" s="1"/>
  <c r="V64"/>
  <c r="X64" s="1"/>
  <c r="V60"/>
  <c r="X60" s="1"/>
  <c r="V56"/>
  <c r="X56" s="1"/>
  <c r="V52"/>
  <c r="X52" s="1"/>
  <c r="V48"/>
  <c r="X48" s="1"/>
  <c r="V44"/>
  <c r="X44" s="1"/>
  <c r="V40"/>
  <c r="X40" s="1"/>
  <c r="V36"/>
  <c r="X36" s="1"/>
  <c r="V32"/>
  <c r="X32" s="1"/>
  <c r="V28"/>
  <c r="X28" s="1"/>
  <c r="V24"/>
  <c r="X24" s="1"/>
  <c r="V20"/>
  <c r="X20" s="1"/>
  <c r="V16"/>
  <c r="X16" s="1"/>
  <c r="V12"/>
  <c r="X12" s="1"/>
  <c r="V8"/>
  <c r="X8" s="1"/>
  <c r="V4"/>
  <c r="X4" s="1"/>
  <c r="Z106"/>
  <c r="AB106" s="1"/>
  <c r="Z102"/>
  <c r="AB102" s="1"/>
  <c r="Z98"/>
  <c r="AB98" s="1"/>
  <c r="Z94"/>
  <c r="AB94" s="1"/>
  <c r="Z90"/>
  <c r="AB90" s="1"/>
  <c r="Z86"/>
  <c r="AB86" s="1"/>
  <c r="Z82"/>
  <c r="AB82" s="1"/>
  <c r="Z78"/>
  <c r="AB78" s="1"/>
  <c r="Z74"/>
  <c r="AB74" s="1"/>
  <c r="Z70"/>
  <c r="AB70" s="1"/>
  <c r="Z66"/>
  <c r="AB66" s="1"/>
  <c r="Z62"/>
  <c r="AB62" s="1"/>
  <c r="Z58"/>
  <c r="AB58" s="1"/>
  <c r="Z54"/>
  <c r="AB54" s="1"/>
  <c r="Z50"/>
  <c r="AB50" s="1"/>
  <c r="Z46"/>
  <c r="AB46" s="1"/>
  <c r="Z42"/>
  <c r="AB42" s="1"/>
  <c r="Z38"/>
  <c r="AB38" s="1"/>
  <c r="Z34"/>
  <c r="AB34" s="1"/>
  <c r="Z30"/>
  <c r="AB30" s="1"/>
  <c r="Z26"/>
  <c r="AB26" s="1"/>
  <c r="Z22"/>
  <c r="AB22" s="1"/>
  <c r="Z18"/>
  <c r="AB18" s="1"/>
  <c r="Z14"/>
  <c r="AB14" s="1"/>
  <c r="Z10"/>
  <c r="AB10" s="1"/>
  <c r="Z6"/>
  <c r="AB6" s="1"/>
  <c r="Z2"/>
  <c r="AB2" s="1"/>
  <c r="AD104"/>
  <c r="AF104" s="1"/>
  <c r="AD100"/>
  <c r="AF100" s="1"/>
  <c r="AD96"/>
  <c r="AF96" s="1"/>
  <c r="AD92"/>
  <c r="AF92" s="1"/>
  <c r="AD88"/>
  <c r="AF88" s="1"/>
  <c r="AD84"/>
  <c r="AF84" s="1"/>
  <c r="AD80"/>
  <c r="AF80" s="1"/>
  <c r="AD76"/>
  <c r="AF76" s="1"/>
  <c r="AD72"/>
  <c r="AF72" s="1"/>
  <c r="AD68"/>
  <c r="AF68" s="1"/>
  <c r="AD64"/>
  <c r="AF64" s="1"/>
  <c r="AD60"/>
  <c r="AF60" s="1"/>
  <c r="AD56"/>
  <c r="AF56" s="1"/>
  <c r="AD52"/>
  <c r="AF52" s="1"/>
  <c r="AD48"/>
  <c r="AF48" s="1"/>
  <c r="AD44"/>
  <c r="AF44" s="1"/>
  <c r="AD40"/>
  <c r="AF40" s="1"/>
  <c r="AD36"/>
  <c r="AF36" s="1"/>
  <c r="AD32"/>
  <c r="AF32" s="1"/>
  <c r="AD28"/>
  <c r="AF28" s="1"/>
  <c r="AD24"/>
  <c r="AF24" s="1"/>
  <c r="AD20"/>
  <c r="AF20" s="1"/>
  <c r="AD16"/>
  <c r="AF16" s="1"/>
  <c r="AD12"/>
  <c r="AF12" s="1"/>
  <c r="AD8"/>
  <c r="AF8" s="1"/>
  <c r="AD4"/>
  <c r="AF4" s="1"/>
  <c r="AH106"/>
  <c r="AJ106" s="1"/>
  <c r="AH102"/>
  <c r="AJ102" s="1"/>
  <c r="AH98"/>
  <c r="AJ98" s="1"/>
  <c r="AH94"/>
  <c r="AJ94" s="1"/>
  <c r="AH90"/>
  <c r="AJ90" s="1"/>
  <c r="AH86"/>
  <c r="AJ86" s="1"/>
  <c r="AH82"/>
  <c r="AJ82" s="1"/>
  <c r="AH78"/>
  <c r="AJ78" s="1"/>
  <c r="AH74"/>
  <c r="AJ74" s="1"/>
  <c r="AH70"/>
  <c r="AJ70" s="1"/>
  <c r="AH66"/>
  <c r="AJ66" s="1"/>
  <c r="AH62"/>
  <c r="AJ62" s="1"/>
  <c r="AH58"/>
  <c r="AJ58" s="1"/>
  <c r="AH54"/>
  <c r="AJ54" s="1"/>
  <c r="AH50"/>
  <c r="AJ50" s="1"/>
  <c r="AH46"/>
  <c r="AJ46" s="1"/>
  <c r="AH42"/>
  <c r="AJ42" s="1"/>
  <c r="AH38"/>
  <c r="AJ38" s="1"/>
  <c r="AH34"/>
  <c r="AJ34" s="1"/>
  <c r="AH30"/>
  <c r="AJ30" s="1"/>
  <c r="AH26"/>
  <c r="AJ26" s="1"/>
  <c r="AH22"/>
  <c r="AJ22" s="1"/>
  <c r="AH18"/>
  <c r="AJ18" s="1"/>
  <c r="AH14"/>
  <c r="AJ14" s="1"/>
  <c r="AH10"/>
  <c r="AJ10" s="1"/>
  <c r="AH6"/>
  <c r="AJ6" s="1"/>
  <c r="AH2"/>
  <c r="AJ2" s="1"/>
  <c r="J107"/>
  <c r="L107" s="1"/>
  <c r="J105"/>
  <c r="L105" s="1"/>
  <c r="J103"/>
  <c r="L103" s="1"/>
  <c r="J101"/>
  <c r="L101" s="1"/>
  <c r="J99"/>
  <c r="L99" s="1"/>
  <c r="J97"/>
  <c r="L97" s="1"/>
  <c r="J95"/>
  <c r="L95" s="1"/>
  <c r="J93"/>
  <c r="L93" s="1"/>
  <c r="J91"/>
  <c r="L91" s="1"/>
  <c r="J89"/>
  <c r="L89" s="1"/>
  <c r="J87"/>
  <c r="L87" s="1"/>
  <c r="J85"/>
  <c r="L85" s="1"/>
  <c r="J83"/>
  <c r="L83" s="1"/>
  <c r="J81"/>
  <c r="L81" s="1"/>
  <c r="J79"/>
  <c r="L79" s="1"/>
  <c r="J77"/>
  <c r="L77" s="1"/>
  <c r="J75"/>
  <c r="L75" s="1"/>
  <c r="J73"/>
  <c r="L73" s="1"/>
  <c r="J71"/>
  <c r="L71" s="1"/>
  <c r="J69"/>
  <c r="L69" s="1"/>
  <c r="J67"/>
  <c r="L67" s="1"/>
  <c r="J65"/>
  <c r="L65" s="1"/>
  <c r="J63"/>
  <c r="L63" s="1"/>
  <c r="J61"/>
  <c r="L61" s="1"/>
  <c r="J59"/>
  <c r="L59" s="1"/>
  <c r="J57"/>
  <c r="L57" s="1"/>
  <c r="J55"/>
  <c r="L55" s="1"/>
  <c r="J53"/>
  <c r="L53" s="1"/>
  <c r="J51"/>
  <c r="L51" s="1"/>
  <c r="J49"/>
  <c r="L49" s="1"/>
  <c r="J47"/>
  <c r="L47" s="1"/>
  <c r="J45"/>
  <c r="L45" s="1"/>
  <c r="J43"/>
  <c r="L43" s="1"/>
  <c r="J41"/>
  <c r="L41" s="1"/>
  <c r="J39"/>
  <c r="L39" s="1"/>
  <c r="J37"/>
  <c r="L37" s="1"/>
  <c r="J35"/>
  <c r="L35" s="1"/>
  <c r="J33"/>
  <c r="L33" s="1"/>
  <c r="J31"/>
  <c r="L31" s="1"/>
  <c r="J29"/>
  <c r="L29" s="1"/>
  <c r="J27"/>
  <c r="L27" s="1"/>
  <c r="J25"/>
  <c r="L25" s="1"/>
  <c r="J23"/>
  <c r="L23" s="1"/>
  <c r="J21"/>
  <c r="L21" s="1"/>
  <c r="J19"/>
  <c r="L19" s="1"/>
  <c r="J17"/>
  <c r="L17" s="1"/>
  <c r="J15"/>
  <c r="L15" s="1"/>
  <c r="J13"/>
  <c r="L13" s="1"/>
  <c r="J11"/>
  <c r="L11" s="1"/>
  <c r="J9"/>
  <c r="L9" s="1"/>
  <c r="J7"/>
  <c r="L7" s="1"/>
  <c r="J5"/>
  <c r="L5" s="1"/>
  <c r="J3"/>
  <c r="L3" s="1"/>
  <c r="N107"/>
  <c r="P107" s="1"/>
  <c r="N105"/>
  <c r="P105" s="1"/>
  <c r="N103"/>
  <c r="P103" s="1"/>
  <c r="N101"/>
  <c r="P101" s="1"/>
  <c r="N99"/>
  <c r="P99" s="1"/>
  <c r="N97"/>
  <c r="P97" s="1"/>
  <c r="N95"/>
  <c r="P95" s="1"/>
  <c r="N93"/>
  <c r="P93" s="1"/>
  <c r="N91"/>
  <c r="P91" s="1"/>
  <c r="N89"/>
  <c r="P89" s="1"/>
  <c r="N87"/>
  <c r="P87" s="1"/>
  <c r="N85"/>
  <c r="P85" s="1"/>
  <c r="N83"/>
  <c r="P83" s="1"/>
  <c r="N81"/>
  <c r="P81" s="1"/>
  <c r="N79"/>
  <c r="P79" s="1"/>
  <c r="N77"/>
  <c r="P77" s="1"/>
  <c r="N75"/>
  <c r="P75" s="1"/>
  <c r="N73"/>
  <c r="P73" s="1"/>
  <c r="N71"/>
  <c r="P71" s="1"/>
  <c r="N69"/>
  <c r="P69" s="1"/>
  <c r="N67"/>
  <c r="P67" s="1"/>
  <c r="N65"/>
  <c r="P65" s="1"/>
  <c r="N63"/>
  <c r="P63" s="1"/>
  <c r="N61"/>
  <c r="P61" s="1"/>
  <c r="N59"/>
  <c r="P59" s="1"/>
  <c r="N57"/>
  <c r="P57" s="1"/>
  <c r="N55"/>
  <c r="P55" s="1"/>
  <c r="N53"/>
  <c r="P53" s="1"/>
  <c r="N51"/>
  <c r="P51" s="1"/>
  <c r="N49"/>
  <c r="P49" s="1"/>
  <c r="N47"/>
  <c r="P47" s="1"/>
  <c r="N45"/>
  <c r="P45" s="1"/>
  <c r="N43"/>
  <c r="P43" s="1"/>
  <c r="N41"/>
  <c r="P41" s="1"/>
  <c r="N39"/>
  <c r="P39" s="1"/>
  <c r="N37"/>
  <c r="P37" s="1"/>
  <c r="N35"/>
  <c r="P35" s="1"/>
  <c r="N33"/>
  <c r="P33" s="1"/>
  <c r="N31"/>
  <c r="P31" s="1"/>
  <c r="N29"/>
  <c r="P29" s="1"/>
  <c r="N27"/>
  <c r="P27" s="1"/>
  <c r="N25"/>
  <c r="P25" s="1"/>
  <c r="N23"/>
  <c r="P23" s="1"/>
  <c r="N21"/>
  <c r="P21" s="1"/>
  <c r="N19"/>
  <c r="P19" s="1"/>
  <c r="N17"/>
  <c r="P17" s="1"/>
  <c r="N15"/>
  <c r="P15" s="1"/>
  <c r="N13"/>
  <c r="P13" s="1"/>
  <c r="N11"/>
  <c r="P11" s="1"/>
  <c r="N9"/>
  <c r="P9" s="1"/>
  <c r="N7"/>
  <c r="P7" s="1"/>
  <c r="N5"/>
  <c r="P5" s="1"/>
  <c r="N3"/>
  <c r="P3" s="1"/>
  <c r="R107"/>
  <c r="T107" s="1"/>
  <c r="R105"/>
  <c r="T105" s="1"/>
  <c r="R103"/>
  <c r="T103" s="1"/>
  <c r="R101"/>
  <c r="T101" s="1"/>
  <c r="R99"/>
  <c r="T99" s="1"/>
  <c r="R97"/>
  <c r="T97" s="1"/>
  <c r="R95"/>
  <c r="T95" s="1"/>
  <c r="R93"/>
  <c r="T93" s="1"/>
  <c r="R91"/>
  <c r="T91" s="1"/>
  <c r="R88"/>
  <c r="T88" s="1"/>
  <c r="R84"/>
  <c r="T84" s="1"/>
  <c r="R80"/>
  <c r="T80" s="1"/>
  <c r="R76"/>
  <c r="T76" s="1"/>
  <c r="R72"/>
  <c r="T72" s="1"/>
  <c r="R68"/>
  <c r="T68" s="1"/>
  <c r="R64"/>
  <c r="T64" s="1"/>
  <c r="R60"/>
  <c r="T60" s="1"/>
  <c r="R56"/>
  <c r="T56" s="1"/>
  <c r="R52"/>
  <c r="T52" s="1"/>
  <c r="R48"/>
  <c r="T48" s="1"/>
  <c r="R44"/>
  <c r="T44" s="1"/>
  <c r="R40"/>
  <c r="T40" s="1"/>
  <c r="R36"/>
  <c r="T36" s="1"/>
  <c r="R32"/>
  <c r="T32" s="1"/>
  <c r="R28"/>
  <c r="T28" s="1"/>
  <c r="R24"/>
  <c r="T24" s="1"/>
  <c r="R20"/>
  <c r="T20" s="1"/>
  <c r="R16"/>
  <c r="T16" s="1"/>
  <c r="R12"/>
  <c r="T12" s="1"/>
  <c r="R8"/>
  <c r="T8" s="1"/>
  <c r="R4"/>
  <c r="T4" s="1"/>
  <c r="V106"/>
  <c r="X106" s="1"/>
  <c r="V102"/>
  <c r="X102" s="1"/>
  <c r="V98"/>
  <c r="X98" s="1"/>
  <c r="V94"/>
  <c r="X94" s="1"/>
  <c r="V90"/>
  <c r="X90" s="1"/>
  <c r="V86"/>
  <c r="X86" s="1"/>
  <c r="V82"/>
  <c r="X82" s="1"/>
  <c r="V78"/>
  <c r="X78" s="1"/>
  <c r="V74"/>
  <c r="X74" s="1"/>
  <c r="V70"/>
  <c r="X70" s="1"/>
  <c r="V66"/>
  <c r="X66" s="1"/>
  <c r="V62"/>
  <c r="X62" s="1"/>
  <c r="V58"/>
  <c r="X58" s="1"/>
  <c r="V54"/>
  <c r="X54" s="1"/>
  <c r="V50"/>
  <c r="X50" s="1"/>
  <c r="V46"/>
  <c r="X46" s="1"/>
  <c r="V42"/>
  <c r="X42" s="1"/>
  <c r="V38"/>
  <c r="X38" s="1"/>
  <c r="V34"/>
  <c r="X34" s="1"/>
  <c r="V30"/>
  <c r="X30" s="1"/>
  <c r="V26"/>
  <c r="X26" s="1"/>
  <c r="V22"/>
  <c r="X22" s="1"/>
  <c r="V18"/>
  <c r="X18" s="1"/>
  <c r="V14"/>
  <c r="X14" s="1"/>
  <c r="V10"/>
  <c r="X10" s="1"/>
  <c r="V6"/>
  <c r="X6" s="1"/>
  <c r="V2"/>
  <c r="X2" s="1"/>
  <c r="Z104"/>
  <c r="AB104" s="1"/>
  <c r="Z100"/>
  <c r="AB100" s="1"/>
  <c r="Z96"/>
  <c r="AB96" s="1"/>
  <c r="Z92"/>
  <c r="AB92" s="1"/>
  <c r="Z88"/>
  <c r="AB88" s="1"/>
  <c r="Z84"/>
  <c r="AB84" s="1"/>
  <c r="Z80"/>
  <c r="AB80" s="1"/>
  <c r="Z76"/>
  <c r="AB76" s="1"/>
  <c r="Z72"/>
  <c r="AB72" s="1"/>
  <c r="Z68"/>
  <c r="AB68" s="1"/>
  <c r="Z64"/>
  <c r="AB64" s="1"/>
  <c r="Z60"/>
  <c r="AB60" s="1"/>
  <c r="Z56"/>
  <c r="AB56" s="1"/>
  <c r="Z52"/>
  <c r="AB52" s="1"/>
  <c r="Z48"/>
  <c r="AB48" s="1"/>
  <c r="Z44"/>
  <c r="AB44" s="1"/>
  <c r="Z40"/>
  <c r="AB40" s="1"/>
  <c r="Z36"/>
  <c r="AB36" s="1"/>
  <c r="Z32"/>
  <c r="AB32" s="1"/>
  <c r="Z28"/>
  <c r="AB28" s="1"/>
  <c r="Z24"/>
  <c r="AB24" s="1"/>
  <c r="Z20"/>
  <c r="AB20" s="1"/>
  <c r="Z16"/>
  <c r="AB16" s="1"/>
  <c r="Z12"/>
  <c r="AB12" s="1"/>
  <c r="Z8"/>
  <c r="AB8" s="1"/>
  <c r="Z4"/>
  <c r="AB4" s="1"/>
  <c r="AD106"/>
  <c r="AF106" s="1"/>
  <c r="AD102"/>
  <c r="AF102" s="1"/>
  <c r="AD98"/>
  <c r="AF98" s="1"/>
  <c r="AD94"/>
  <c r="AF94" s="1"/>
  <c r="AD90"/>
  <c r="AF90" s="1"/>
  <c r="AD86"/>
  <c r="AF86" s="1"/>
  <c r="AD82"/>
  <c r="AF82" s="1"/>
  <c r="AD78"/>
  <c r="AF78" s="1"/>
  <c r="AD74"/>
  <c r="AF74" s="1"/>
  <c r="AD70"/>
  <c r="AF70" s="1"/>
  <c r="AD66"/>
  <c r="AF66" s="1"/>
  <c r="AD62"/>
  <c r="AF62" s="1"/>
  <c r="AD58"/>
  <c r="AF58" s="1"/>
  <c r="AD54"/>
  <c r="AF54" s="1"/>
  <c r="AD50"/>
  <c r="AF50" s="1"/>
  <c r="AD46"/>
  <c r="AF46" s="1"/>
  <c r="AD42"/>
  <c r="AF42" s="1"/>
  <c r="AD38"/>
  <c r="AF38" s="1"/>
  <c r="AD34"/>
  <c r="AF34" s="1"/>
  <c r="AD30"/>
  <c r="AF30" s="1"/>
  <c r="AD26"/>
  <c r="AF26" s="1"/>
  <c r="AD22"/>
  <c r="AF22" s="1"/>
  <c r="AD18"/>
  <c r="AF18" s="1"/>
  <c r="AD14"/>
  <c r="AF14" s="1"/>
  <c r="AD10"/>
  <c r="AF10" s="1"/>
  <c r="AD6"/>
  <c r="AF6" s="1"/>
  <c r="AD2"/>
  <c r="AF2" s="1"/>
  <c r="AH104"/>
  <c r="AJ104" s="1"/>
  <c r="AH100"/>
  <c r="AJ100" s="1"/>
  <c r="AH96"/>
  <c r="AJ96" s="1"/>
  <c r="AH92"/>
  <c r="AJ92" s="1"/>
  <c r="AH88"/>
  <c r="AJ88" s="1"/>
  <c r="AH84"/>
  <c r="AJ84" s="1"/>
  <c r="AH80"/>
  <c r="AJ80" s="1"/>
  <c r="AH76"/>
  <c r="AJ76" s="1"/>
  <c r="AH72"/>
  <c r="AJ72" s="1"/>
  <c r="AH68"/>
  <c r="AJ68" s="1"/>
  <c r="AH64"/>
  <c r="AJ64" s="1"/>
  <c r="AH60"/>
  <c r="AJ60" s="1"/>
  <c r="AH56"/>
  <c r="AJ56" s="1"/>
  <c r="AH52"/>
  <c r="AJ52" s="1"/>
  <c r="AH48"/>
  <c r="AJ48" s="1"/>
  <c r="AH44"/>
  <c r="AJ44" s="1"/>
  <c r="AH40"/>
  <c r="AJ40" s="1"/>
  <c r="AH36"/>
  <c r="AJ36" s="1"/>
  <c r="AH32"/>
  <c r="AJ32" s="1"/>
  <c r="AH28"/>
  <c r="AJ28" s="1"/>
  <c r="AH24"/>
  <c r="AJ24" s="1"/>
  <c r="AH20"/>
  <c r="AJ20" s="1"/>
  <c r="AH16"/>
  <c r="AJ16" s="1"/>
  <c r="AH12"/>
  <c r="AJ12" s="1"/>
  <c r="AH8"/>
  <c r="AJ8" s="1"/>
  <c r="AH4"/>
  <c r="AJ4" s="1"/>
  <c r="H2"/>
  <c r="H3"/>
  <c r="H4"/>
  <c r="H5"/>
  <c r="H6"/>
  <c r="H7"/>
  <c r="H10"/>
  <c r="H11"/>
  <c r="H12"/>
  <c r="H13"/>
  <c r="H14"/>
  <c r="H15"/>
  <c r="H16"/>
  <c r="H19"/>
  <c r="H20"/>
  <c r="H21"/>
  <c r="H22"/>
  <c r="H23"/>
  <c r="H25"/>
  <c r="H28"/>
  <c r="H30"/>
  <c r="H31"/>
  <c r="H32"/>
  <c r="H33"/>
  <c r="H34"/>
  <c r="H35"/>
  <c r="H36"/>
  <c r="H37"/>
  <c r="H38"/>
  <c r="H39"/>
  <c r="H40"/>
  <c r="H43"/>
  <c r="H44"/>
  <c r="H45"/>
  <c r="H46"/>
  <c r="H47"/>
  <c r="H48"/>
  <c r="H49"/>
  <c r="H50"/>
  <c r="H51"/>
  <c r="H52"/>
  <c r="H53"/>
  <c r="H54"/>
  <c r="H56"/>
  <c r="H57"/>
  <c r="H58"/>
  <c r="H42"/>
  <c r="H60"/>
  <c r="H61"/>
  <c r="H62"/>
  <c r="H63"/>
  <c r="H64"/>
  <c r="H65"/>
  <c r="H66"/>
  <c r="H68"/>
  <c r="H69"/>
  <c r="H70"/>
  <c r="H71"/>
  <c r="H72"/>
  <c r="H74"/>
  <c r="H75"/>
  <c r="H78"/>
  <c r="H79"/>
  <c r="H80"/>
  <c r="H81"/>
  <c r="H82"/>
  <c r="H83"/>
  <c r="H84"/>
  <c r="H85"/>
  <c r="H86"/>
  <c r="H89"/>
  <c r="H92"/>
  <c r="H95"/>
  <c r="H96"/>
  <c r="H94"/>
  <c r="H97"/>
  <c r="H77"/>
  <c r="H98"/>
  <c r="H103"/>
  <c r="H101"/>
  <c r="H102"/>
  <c r="H9"/>
  <c r="H88"/>
  <c r="H26"/>
  <c r="H29"/>
  <c r="H27"/>
  <c r="H99"/>
  <c r="H24"/>
  <c r="H76"/>
  <c r="H93"/>
  <c r="H18"/>
  <c r="H17"/>
  <c r="H41"/>
  <c r="I2"/>
  <c r="I3"/>
  <c r="I4"/>
  <c r="I5"/>
  <c r="I6"/>
  <c r="I7"/>
  <c r="I10"/>
  <c r="I11"/>
  <c r="I12"/>
  <c r="I13"/>
  <c r="I14"/>
  <c r="I15"/>
  <c r="I16"/>
  <c r="I19"/>
  <c r="I20"/>
  <c r="I21"/>
  <c r="I22"/>
  <c r="I23"/>
  <c r="I25"/>
  <c r="I28"/>
  <c r="I30"/>
  <c r="I31"/>
  <c r="I32"/>
  <c r="I33"/>
  <c r="I34"/>
  <c r="I35"/>
  <c r="I36"/>
  <c r="I37"/>
  <c r="I38"/>
  <c r="I39"/>
  <c r="I40"/>
  <c r="I43"/>
  <c r="I44"/>
  <c r="I45"/>
  <c r="I46"/>
  <c r="I47"/>
  <c r="I48"/>
  <c r="I49"/>
  <c r="I50"/>
  <c r="I51"/>
  <c r="I52"/>
  <c r="I53"/>
  <c r="I54"/>
  <c r="I56"/>
  <c r="I57"/>
  <c r="I58"/>
  <c r="I42"/>
  <c r="I60"/>
  <c r="I61"/>
  <c r="I62"/>
  <c r="I63"/>
  <c r="I64"/>
  <c r="I65"/>
  <c r="I66"/>
  <c r="I68"/>
  <c r="I69"/>
  <c r="I70"/>
  <c r="I71"/>
  <c r="I72"/>
  <c r="I74"/>
  <c r="I75"/>
  <c r="I78"/>
  <c r="I79"/>
  <c r="I80"/>
  <c r="I81"/>
  <c r="I82"/>
  <c r="I83"/>
  <c r="I84"/>
  <c r="I85"/>
  <c r="I86"/>
  <c r="I89"/>
  <c r="I92"/>
  <c r="I95"/>
  <c r="I96"/>
  <c r="I94"/>
  <c r="I97"/>
  <c r="I77"/>
  <c r="I98"/>
  <c r="I103"/>
  <c r="I101"/>
  <c r="I102"/>
  <c r="I9"/>
  <c r="I88"/>
  <c r="I26"/>
  <c r="I29"/>
  <c r="I27"/>
  <c r="I99"/>
  <c r="I24"/>
  <c r="I76"/>
  <c r="I93"/>
  <c r="I18"/>
  <c r="I17"/>
  <c r="I41"/>
  <c r="H80" i="8"/>
  <c r="H70"/>
  <c r="H69"/>
  <c r="H78"/>
  <c r="H79"/>
  <c r="P17" i="1"/>
  <c r="Q17"/>
  <c r="M17"/>
  <c r="L17"/>
  <c r="H33" i="8"/>
  <c r="H38"/>
  <c r="H31"/>
  <c r="H21"/>
  <c r="H54"/>
  <c r="H27"/>
  <c r="H28"/>
  <c r="H2" i="12"/>
  <c r="H74" i="8"/>
  <c r="H73"/>
  <c r="H71"/>
  <c r="H72"/>
  <c r="H22"/>
  <c r="H23"/>
  <c r="H24"/>
  <c r="H16"/>
  <c r="H25"/>
  <c r="H26"/>
  <c r="H55"/>
  <c r="H39"/>
  <c r="H40"/>
  <c r="H41"/>
  <c r="H42"/>
  <c r="H43"/>
  <c r="H29"/>
  <c r="H56"/>
  <c r="H17"/>
  <c r="H30"/>
  <c r="H75"/>
  <c r="H77"/>
  <c r="H32"/>
  <c r="H44"/>
  <c r="H57"/>
  <c r="H58"/>
  <c r="H59"/>
  <c r="H60"/>
  <c r="H61"/>
  <c r="H34"/>
  <c r="H45"/>
  <c r="H18"/>
  <c r="H46"/>
  <c r="H47"/>
  <c r="H48"/>
  <c r="H49"/>
  <c r="H50"/>
  <c r="H51"/>
  <c r="H36"/>
  <c r="H35"/>
  <c r="H62"/>
  <c r="H19"/>
  <c r="H37"/>
  <c r="L21" i="1"/>
  <c r="J2" s="1"/>
  <c r="M21"/>
  <c r="K2" s="1"/>
  <c r="N21"/>
  <c r="L2" s="1"/>
  <c r="O21"/>
  <c r="M2" s="1"/>
  <c r="P21"/>
  <c r="N2" s="1"/>
  <c r="Q21"/>
  <c r="O2" s="1"/>
  <c r="H3" i="12"/>
  <c r="H4"/>
  <c r="H5"/>
  <c r="H6"/>
  <c r="H7"/>
  <c r="H8"/>
  <c r="H9"/>
  <c r="H10"/>
  <c r="I2" i="1"/>
  <c r="A2"/>
  <c r="S21"/>
  <c r="G2"/>
  <c r="F2"/>
  <c r="E2"/>
  <c r="D2"/>
  <c r="C2"/>
  <c r="B2"/>
  <c r="H17" l="1"/>
  <c r="Q4" i="12"/>
  <c r="Q5"/>
  <c r="Q3"/>
  <c r="Q2"/>
  <c r="O17" i="1"/>
</calcChain>
</file>

<file path=xl/comments1.xml><?xml version="1.0" encoding="utf-8"?>
<comments xmlns="http://schemas.openxmlformats.org/spreadsheetml/2006/main">
  <authors>
    <author>Sophie et Manu</author>
  </authors>
  <commentList>
    <comment ref="N53" authorId="0">
      <text>
        <r>
          <rPr>
            <b/>
            <sz val="9"/>
            <color indexed="81"/>
            <rFont val="Tahoma"/>
            <family val="2"/>
          </rPr>
          <t xml:space="preserve">100 ml + Hand C ream + Bed and Body Lemonade
</t>
        </r>
      </text>
    </comment>
    <comment ref="E71" authorId="0">
      <text>
        <r>
          <rPr>
            <b/>
            <sz val="9"/>
            <color indexed="81"/>
            <rFont val="Tahoma"/>
            <family val="2"/>
          </rPr>
          <t xml:space="preserve">100 ml + Hand C ream + Bed and Body Lemonade
</t>
        </r>
      </text>
    </comment>
  </commentList>
</comments>
</file>

<file path=xl/sharedStrings.xml><?xml version="1.0" encoding="utf-8"?>
<sst xmlns="http://schemas.openxmlformats.org/spreadsheetml/2006/main" count="3862" uniqueCount="902">
  <si>
    <t>Produits</t>
  </si>
  <si>
    <t>Quantité</t>
  </si>
  <si>
    <t>Marge</t>
  </si>
  <si>
    <t>PV</t>
  </si>
  <si>
    <t>GV</t>
  </si>
  <si>
    <t>Prix VDI</t>
  </si>
  <si>
    <t>Contenance</t>
  </si>
  <si>
    <t>Parfums</t>
  </si>
  <si>
    <t>Accessoires</t>
  </si>
  <si>
    <t>Aloe_vera</t>
  </si>
  <si>
    <t>Clear_care</t>
  </si>
  <si>
    <t>Liste_type</t>
  </si>
  <si>
    <t>Make_Up</t>
  </si>
  <si>
    <t>___</t>
  </si>
  <si>
    <t>Prix_client</t>
  </si>
  <si>
    <t>Total Marge</t>
  </si>
  <si>
    <t>Total PV</t>
  </si>
  <si>
    <t>Total_GV</t>
  </si>
  <si>
    <t xml:space="preserve">Nom_prenom </t>
  </si>
  <si>
    <t>Type_de_produits</t>
  </si>
  <si>
    <t>Total_VDI</t>
  </si>
  <si>
    <t>Total_Client</t>
  </si>
  <si>
    <t>__</t>
  </si>
  <si>
    <t>produits_ cosmetique</t>
  </si>
  <si>
    <t>Qté</t>
  </si>
  <si>
    <t>_,</t>
  </si>
  <si>
    <t>Adresse</t>
  </si>
  <si>
    <t>@mail</t>
  </si>
  <si>
    <t>Telephone</t>
  </si>
  <si>
    <t>Ville</t>
  </si>
  <si>
    <t>Nom_prenom</t>
  </si>
  <si>
    <t>Code poste</t>
  </si>
  <si>
    <t>Nouveau_client</t>
  </si>
  <si>
    <t>Validation des commandes</t>
  </si>
  <si>
    <t>Date</t>
  </si>
  <si>
    <t>produits_</t>
  </si>
  <si>
    <t>Mois</t>
  </si>
  <si>
    <t xml:space="preserve">Total du mois </t>
  </si>
  <si>
    <t>Ou</t>
  </si>
  <si>
    <t>Internet</t>
  </si>
  <si>
    <t>lieu_commande</t>
  </si>
  <si>
    <t>Atelier Decouv,</t>
  </si>
  <si>
    <t>Reduction</t>
  </si>
  <si>
    <t>Marge_VDI_=
((Total_Client - 400€(Conso_perso))*25%)</t>
  </si>
  <si>
    <t>_</t>
  </si>
  <si>
    <t>Juin_2019</t>
  </si>
  <si>
    <t>_______________________________</t>
  </si>
  <si>
    <t>__________________________</t>
  </si>
  <si>
    <t>Box</t>
  </si>
  <si>
    <t>Colonne1</t>
  </si>
  <si>
    <t>Parf_lit</t>
  </si>
  <si>
    <t>Promotions</t>
  </si>
  <si>
    <t>Roll-on_destock1</t>
  </si>
  <si>
    <t>Roll-on_destock2</t>
  </si>
  <si>
    <t>FSE_10ml</t>
  </si>
  <si>
    <t>FSE_50ml</t>
  </si>
  <si>
    <t>Boutique_internet</t>
  </si>
  <si>
    <t>12,02</t>
  </si>
  <si>
    <t>Clean_care</t>
  </si>
  <si>
    <t>22,50</t>
  </si>
  <si>
    <t>14</t>
  </si>
  <si>
    <t>25,5</t>
  </si>
  <si>
    <t>18,49</t>
  </si>
  <si>
    <t>Quantité_achat
_clients_annuelle</t>
  </si>
  <si>
    <t>Total_achat
_clients_annuel</t>
  </si>
  <si>
    <t>Quantités</t>
  </si>
  <si>
    <t>Total_VDIs</t>
  </si>
  <si>
    <t>Reductions</t>
  </si>
  <si>
    <t>Total Marges</t>
  </si>
  <si>
    <t>Total PVs</t>
  </si>
  <si>
    <t>Total_GVs</t>
  </si>
  <si>
    <t>Marge_VDIs_=
((Total_Client - 400€(Conso_perso))*25%)</t>
  </si>
  <si>
    <t>Parfum</t>
  </si>
  <si>
    <t>002_ml</t>
  </si>
  <si>
    <t>010_ml</t>
  </si>
  <si>
    <t>050_ml</t>
  </si>
  <si>
    <t>100_ml</t>
  </si>
  <si>
    <t>0</t>
  </si>
  <si>
    <t>Parfums_fin_de_stock_50ml 6,90</t>
  </si>
  <si>
    <t>Parfums_fin_de_stock_100ml vendu 27€</t>
  </si>
  <si>
    <t>Parfums_fin_de_stock_50ml VDI 5,80€</t>
  </si>
  <si>
    <t>Parfums_fin_de_stock_50ml VDI 6,90€</t>
  </si>
  <si>
    <t>Parfums_fin_de_stock_100ml à 27€</t>
  </si>
  <si>
    <t>Parfums_fin_de_stock_100ml à 25€</t>
  </si>
  <si>
    <t>Parfums fin de stock 100 ml 9,90 €</t>
  </si>
  <si>
    <t>An,</t>
  </si>
  <si>
    <t>10</t>
  </si>
  <si>
    <t>12,5</t>
  </si>
  <si>
    <t>8</t>
  </si>
  <si>
    <t>PV client 
utilisés 2019</t>
  </si>
  <si>
    <t>-</t>
  </si>
  <si>
    <t>PV client 
utilisés 2020</t>
  </si>
  <si>
    <t>+</t>
  </si>
  <si>
    <t>PV client 
utilisés 2021</t>
  </si>
  <si>
    <t>*</t>
  </si>
  <si>
    <t>Total PV
 client 2022</t>
  </si>
  <si>
    <t>PV client 
utilisés 2022</t>
  </si>
  <si>
    <t>PV client 
restant 2022</t>
  </si>
  <si>
    <t>,</t>
  </si>
  <si>
    <t>Total PV
 client 2023</t>
  </si>
  <si>
    <t>PV client 
utilisés 2023</t>
  </si>
  <si>
    <t>PV client 
restant 2023</t>
  </si>
  <si>
    <t>,,</t>
  </si>
  <si>
    <t>Total PV
 client 2024</t>
  </si>
  <si>
    <t>PV client 
utilisés 2024</t>
  </si>
  <si>
    <t>PV client 
restant 2024</t>
  </si>
  <si>
    <t>,2</t>
  </si>
  <si>
    <t>Total PV
 client 2025</t>
  </si>
  <si>
    <t>PV client 
utilisés 2025</t>
  </si>
  <si>
    <t>PV client 
restant 2025</t>
  </si>
  <si>
    <t>,,6</t>
  </si>
  <si>
    <t>Total PV client 2019</t>
  </si>
  <si>
    <t>PV client restant 2019</t>
  </si>
  <si>
    <t>Total PV client 2020</t>
  </si>
  <si>
    <t>PV client restant 2020</t>
  </si>
  <si>
    <t>Total PV client 2021</t>
  </si>
  <si>
    <t>PV client restant 2021</t>
  </si>
  <si>
    <t>F__Parfums 1</t>
  </si>
  <si>
    <t>Adresse 1</t>
  </si>
  <si>
    <t>Code poste 1</t>
  </si>
  <si>
    <t>Ville 1</t>
  </si>
  <si>
    <t>Telephone 1</t>
  </si>
  <si>
    <t>@mail 1</t>
  </si>
  <si>
    <t>Adresse 2</t>
  </si>
  <si>
    <t>Code poste 2</t>
  </si>
  <si>
    <t>Ville 2</t>
  </si>
  <si>
    <t>Telephone 2</t>
  </si>
  <si>
    <t>@mail 2</t>
  </si>
  <si>
    <t>Adresse 3</t>
  </si>
  <si>
    <t>Code poste 3</t>
  </si>
  <si>
    <t>Ville 3</t>
  </si>
  <si>
    <t>Telephone 3</t>
  </si>
  <si>
    <t>@mail 3</t>
  </si>
  <si>
    <t>Adresse 4</t>
  </si>
  <si>
    <t>Code poste 4</t>
  </si>
  <si>
    <t>Ville 4</t>
  </si>
  <si>
    <t>Telephone 4</t>
  </si>
  <si>
    <t>@mail 4</t>
  </si>
  <si>
    <t>Adresse 5</t>
  </si>
  <si>
    <t>Code poste 5</t>
  </si>
  <si>
    <t>Ville 5</t>
  </si>
  <si>
    <t>Telephone 5</t>
  </si>
  <si>
    <t>@mail 5</t>
  </si>
  <si>
    <t>Adresse 6</t>
  </si>
  <si>
    <t>Code poste 6</t>
  </si>
  <si>
    <t>Ville 6</t>
  </si>
  <si>
    <t>Telephone 6</t>
  </si>
  <si>
    <t>@mail 6</t>
  </si>
  <si>
    <t>Adresse 7</t>
  </si>
  <si>
    <t>Code poste 7</t>
  </si>
  <si>
    <t>Ville 7</t>
  </si>
  <si>
    <t>Telephone 7</t>
  </si>
  <si>
    <t>@mail 7</t>
  </si>
  <si>
    <t>Adresse 8</t>
  </si>
  <si>
    <t>Code poste 8</t>
  </si>
  <si>
    <t>Ville 8</t>
  </si>
  <si>
    <t>Telephone 8</t>
  </si>
  <si>
    <t>@mail 8</t>
  </si>
  <si>
    <t>Adresse 9</t>
  </si>
  <si>
    <t>Code poste 9</t>
  </si>
  <si>
    <t>Ville 9</t>
  </si>
  <si>
    <t>Telephone 9</t>
  </si>
  <si>
    <t>@mail 9</t>
  </si>
  <si>
    <t>Adresse 10</t>
  </si>
  <si>
    <t>Code poste 10</t>
  </si>
  <si>
    <t>Ville 10</t>
  </si>
  <si>
    <t>Telephone 10</t>
  </si>
  <si>
    <t>@mail 10</t>
  </si>
  <si>
    <t>Adresse 11</t>
  </si>
  <si>
    <t>Code poste 11</t>
  </si>
  <si>
    <t>Ville 11</t>
  </si>
  <si>
    <t>Telephone 11</t>
  </si>
  <si>
    <t>@mail 11</t>
  </si>
  <si>
    <t>Adresse 12</t>
  </si>
  <si>
    <t>Code poste 12</t>
  </si>
  <si>
    <t>Ville 12</t>
  </si>
  <si>
    <t>Telephone 12</t>
  </si>
  <si>
    <t>@mail 12</t>
  </si>
  <si>
    <t>Adresse 13</t>
  </si>
  <si>
    <t>Code poste 13</t>
  </si>
  <si>
    <t>Ville 13</t>
  </si>
  <si>
    <t>Telephone 13</t>
  </si>
  <si>
    <t>@mail 13</t>
  </si>
  <si>
    <t>Adresse 14</t>
  </si>
  <si>
    <t>Code poste 14</t>
  </si>
  <si>
    <t>Ville 14</t>
  </si>
  <si>
    <t>Telephone 14</t>
  </si>
  <si>
    <t>@mail 14</t>
  </si>
  <si>
    <t>Adresse 15</t>
  </si>
  <si>
    <t>Code poste 15</t>
  </si>
  <si>
    <t>Ville 15</t>
  </si>
  <si>
    <t>Telephone 15</t>
  </si>
  <si>
    <t>@mail 15</t>
  </si>
  <si>
    <t>Adresse 16</t>
  </si>
  <si>
    <t>Code poste 16</t>
  </si>
  <si>
    <t>Ville 16</t>
  </si>
  <si>
    <t>Telephone 16</t>
  </si>
  <si>
    <t>@mail 16</t>
  </si>
  <si>
    <t>Adresse 17</t>
  </si>
  <si>
    <t>Code poste 17</t>
  </si>
  <si>
    <t>Ville 17</t>
  </si>
  <si>
    <t>Telephone 17</t>
  </si>
  <si>
    <t>@mail 17</t>
  </si>
  <si>
    <t>Adresse 18</t>
  </si>
  <si>
    <t>Code poste 18</t>
  </si>
  <si>
    <t>Ville 18</t>
  </si>
  <si>
    <t>Telephone 18</t>
  </si>
  <si>
    <t>@mail 18</t>
  </si>
  <si>
    <t>Adresse 19</t>
  </si>
  <si>
    <t>Code poste 19</t>
  </si>
  <si>
    <t>Ville 19</t>
  </si>
  <si>
    <t>Telephone 19</t>
  </si>
  <si>
    <t>@mail 19</t>
  </si>
  <si>
    <t>Adresse 20</t>
  </si>
  <si>
    <t>Code poste 20</t>
  </si>
  <si>
    <t>Ville 20</t>
  </si>
  <si>
    <t>Telephone 20</t>
  </si>
  <si>
    <t>@mail 20</t>
  </si>
  <si>
    <t>Adresse 21</t>
  </si>
  <si>
    <t>Code poste 21</t>
  </si>
  <si>
    <t>Ville 21</t>
  </si>
  <si>
    <t>Telephone 21</t>
  </si>
  <si>
    <t>@mail 21</t>
  </si>
  <si>
    <t>Adresse 22</t>
  </si>
  <si>
    <t>Code poste 22</t>
  </si>
  <si>
    <t>Ville 22</t>
  </si>
  <si>
    <t>Telephone 22</t>
  </si>
  <si>
    <t>@mail 22</t>
  </si>
  <si>
    <t>Adresse 23</t>
  </si>
  <si>
    <t>Code poste 23</t>
  </si>
  <si>
    <t>Ville 23</t>
  </si>
  <si>
    <t>Telephone 23</t>
  </si>
  <si>
    <t>@mail 23</t>
  </si>
  <si>
    <t>Adresse 24</t>
  </si>
  <si>
    <t>Code poste 24</t>
  </si>
  <si>
    <t>Ville 24</t>
  </si>
  <si>
    <t>Telephone 24</t>
  </si>
  <si>
    <t>@mail 24</t>
  </si>
  <si>
    <t>Adresse 25</t>
  </si>
  <si>
    <t>Code poste 25</t>
  </si>
  <si>
    <t>Ville 25</t>
  </si>
  <si>
    <t>Telephone 25</t>
  </si>
  <si>
    <t>@mail 25</t>
  </si>
  <si>
    <t>Adresse 26</t>
  </si>
  <si>
    <t>Code poste 26</t>
  </si>
  <si>
    <t>Ville 26</t>
  </si>
  <si>
    <t>Telephone 26</t>
  </si>
  <si>
    <t>@mail 26</t>
  </si>
  <si>
    <t>Adresse 27</t>
  </si>
  <si>
    <t>Code poste 27</t>
  </si>
  <si>
    <t>Ville 27</t>
  </si>
  <si>
    <t>Telephone 27</t>
  </si>
  <si>
    <t>@mail 27</t>
  </si>
  <si>
    <t>Adresse 28</t>
  </si>
  <si>
    <t>Code poste 28</t>
  </si>
  <si>
    <t>Ville 28</t>
  </si>
  <si>
    <t>Telephone 28</t>
  </si>
  <si>
    <t>@mail 28</t>
  </si>
  <si>
    <t>Adresse 29</t>
  </si>
  <si>
    <t>Code poste 29</t>
  </si>
  <si>
    <t>Ville 29</t>
  </si>
  <si>
    <t>Telephone 29</t>
  </si>
  <si>
    <t>@mail 29</t>
  </si>
  <si>
    <t>Adresse 30</t>
  </si>
  <si>
    <t>Code poste 30</t>
  </si>
  <si>
    <t>Ville 30</t>
  </si>
  <si>
    <t>Telephone 30</t>
  </si>
  <si>
    <t>@mail 30</t>
  </si>
  <si>
    <t>Adresse 31</t>
  </si>
  <si>
    <t>Code poste 31</t>
  </si>
  <si>
    <t>Ville 31</t>
  </si>
  <si>
    <t>Telephone 31</t>
  </si>
  <si>
    <t>@mail 31</t>
  </si>
  <si>
    <t>Adresse 32</t>
  </si>
  <si>
    <t>Code poste 32</t>
  </si>
  <si>
    <t>Ville 32</t>
  </si>
  <si>
    <t>Telephone 32</t>
  </si>
  <si>
    <t>@mail 32</t>
  </si>
  <si>
    <t>Adresse 33</t>
  </si>
  <si>
    <t>Code poste 33</t>
  </si>
  <si>
    <t>Ville 33</t>
  </si>
  <si>
    <t>Telephone 33</t>
  </si>
  <si>
    <t>@mail 33</t>
  </si>
  <si>
    <t>Adresse 34</t>
  </si>
  <si>
    <t>Code poste 34</t>
  </si>
  <si>
    <t>Ville 34</t>
  </si>
  <si>
    <t>Telephone 34</t>
  </si>
  <si>
    <t>@mail 34</t>
  </si>
  <si>
    <t>Adresse 35</t>
  </si>
  <si>
    <t>Code poste 35</t>
  </si>
  <si>
    <t>Ville 35</t>
  </si>
  <si>
    <t>Telephone 35</t>
  </si>
  <si>
    <t>@mail 35</t>
  </si>
  <si>
    <t>Adresse 36</t>
  </si>
  <si>
    <t>Code poste 36</t>
  </si>
  <si>
    <t>Ville 36</t>
  </si>
  <si>
    <t>Telephone 36</t>
  </si>
  <si>
    <t>@mail 36</t>
  </si>
  <si>
    <t>Adresse 37</t>
  </si>
  <si>
    <t>Code poste 37</t>
  </si>
  <si>
    <t>Ville 37</t>
  </si>
  <si>
    <t>Telephone 37</t>
  </si>
  <si>
    <t>@mail 37</t>
  </si>
  <si>
    <t>Adresse 38</t>
  </si>
  <si>
    <t>Code poste 38</t>
  </si>
  <si>
    <t>Ville 38</t>
  </si>
  <si>
    <t>Telephone 38</t>
  </si>
  <si>
    <t>@mail 38</t>
  </si>
  <si>
    <t>Adresse 39</t>
  </si>
  <si>
    <t>Code poste 39</t>
  </si>
  <si>
    <t>Ville 39</t>
  </si>
  <si>
    <t>Telephone 39</t>
  </si>
  <si>
    <t>@mail 39</t>
  </si>
  <si>
    <t>Adresse 40</t>
  </si>
  <si>
    <t>Code poste 40</t>
  </si>
  <si>
    <t>Ville 40</t>
  </si>
  <si>
    <t>Telephone 40</t>
  </si>
  <si>
    <t>@mail 40</t>
  </si>
  <si>
    <t>Adresse 41</t>
  </si>
  <si>
    <t>Code poste 41</t>
  </si>
  <si>
    <t>Ville 41</t>
  </si>
  <si>
    <t>Telephone 41</t>
  </si>
  <si>
    <t>@mail 41</t>
  </si>
  <si>
    <t>Adresse 42</t>
  </si>
  <si>
    <t>Code poste 42</t>
  </si>
  <si>
    <t>Ville 42</t>
  </si>
  <si>
    <t>Telephone 42</t>
  </si>
  <si>
    <t>@mail 42</t>
  </si>
  <si>
    <t>Adresse 43</t>
  </si>
  <si>
    <t>Code poste 43</t>
  </si>
  <si>
    <t>Ville 43</t>
  </si>
  <si>
    <t>Telephone 43</t>
  </si>
  <si>
    <t>@mail 43</t>
  </si>
  <si>
    <t>Adresse 44</t>
  </si>
  <si>
    <t>Code poste 44</t>
  </si>
  <si>
    <t>Ville 44</t>
  </si>
  <si>
    <t>Telephone 44</t>
  </si>
  <si>
    <t>@mail 44</t>
  </si>
  <si>
    <t>Adresse 45</t>
  </si>
  <si>
    <t>Code poste 45</t>
  </si>
  <si>
    <t>Ville 45</t>
  </si>
  <si>
    <t>Telephone 45</t>
  </si>
  <si>
    <t>@mail 45</t>
  </si>
  <si>
    <t>Adresse 46</t>
  </si>
  <si>
    <t>Code poste 46</t>
  </si>
  <si>
    <t>Ville 46</t>
  </si>
  <si>
    <t>Telephone 46</t>
  </si>
  <si>
    <t>@mail 46</t>
  </si>
  <si>
    <t>Adresse 47</t>
  </si>
  <si>
    <t>Code poste 47</t>
  </si>
  <si>
    <t>Ville 47</t>
  </si>
  <si>
    <t>Telephone 47</t>
  </si>
  <si>
    <t>@mail 47</t>
  </si>
  <si>
    <t>Adresse 48</t>
  </si>
  <si>
    <t>Code poste 48</t>
  </si>
  <si>
    <t>Ville 48</t>
  </si>
  <si>
    <t>Telephone 48</t>
  </si>
  <si>
    <t>@mail 48</t>
  </si>
  <si>
    <t>Adresse 49</t>
  </si>
  <si>
    <t>Code poste 49</t>
  </si>
  <si>
    <t>Ville 49</t>
  </si>
  <si>
    <t>Telephone 49</t>
  </si>
  <si>
    <t>@mail 49</t>
  </si>
  <si>
    <t>Adresse 50</t>
  </si>
  <si>
    <t>Code poste 50</t>
  </si>
  <si>
    <t>Ville 50</t>
  </si>
  <si>
    <t>Telephone 50</t>
  </si>
  <si>
    <t>@mail 50</t>
  </si>
  <si>
    <t>Adresse 51</t>
  </si>
  <si>
    <t>Code poste 51</t>
  </si>
  <si>
    <t>Ville 51</t>
  </si>
  <si>
    <t>Telephone 51</t>
  </si>
  <si>
    <t>@mail 51</t>
  </si>
  <si>
    <t>Adresse 52</t>
  </si>
  <si>
    <t>Code poste 52</t>
  </si>
  <si>
    <t>Ville 52</t>
  </si>
  <si>
    <t>Telephone 52</t>
  </si>
  <si>
    <t>@mail 52</t>
  </si>
  <si>
    <t>Adresse 53</t>
  </si>
  <si>
    <t>Code poste 53</t>
  </si>
  <si>
    <t>Ville 53</t>
  </si>
  <si>
    <t>Telephone 53</t>
  </si>
  <si>
    <t>@mail 53</t>
  </si>
  <si>
    <t>Adresse 54</t>
  </si>
  <si>
    <t>Code poste 54</t>
  </si>
  <si>
    <t>Ville 54</t>
  </si>
  <si>
    <t>Telephone 54</t>
  </si>
  <si>
    <t>@mail 54</t>
  </si>
  <si>
    <t>Adresse 55</t>
  </si>
  <si>
    <t>Code poste 55</t>
  </si>
  <si>
    <t>Ville 55</t>
  </si>
  <si>
    <t>Telephone 55</t>
  </si>
  <si>
    <t>@mail 55</t>
  </si>
  <si>
    <t>Adresse 56</t>
  </si>
  <si>
    <t>Code poste 56</t>
  </si>
  <si>
    <t>Ville 56</t>
  </si>
  <si>
    <t>Telephone 56</t>
  </si>
  <si>
    <t>@mail 56</t>
  </si>
  <si>
    <t>Adresse 57</t>
  </si>
  <si>
    <t>Code poste 57</t>
  </si>
  <si>
    <t>Ville 57</t>
  </si>
  <si>
    <t>Telephone 57</t>
  </si>
  <si>
    <t>@mail 57</t>
  </si>
  <si>
    <t>Adresse 58</t>
  </si>
  <si>
    <t>Code poste 58</t>
  </si>
  <si>
    <t>Ville 58</t>
  </si>
  <si>
    <t>Telephone 58</t>
  </si>
  <si>
    <t>@mail 58</t>
  </si>
  <si>
    <t>Adresse 59</t>
  </si>
  <si>
    <t>Code poste 59</t>
  </si>
  <si>
    <t>Ville 59</t>
  </si>
  <si>
    <t>Telephone 59</t>
  </si>
  <si>
    <t>@mail 59</t>
  </si>
  <si>
    <t>Adresse 60</t>
  </si>
  <si>
    <t>Code poste 60</t>
  </si>
  <si>
    <t>Ville 60</t>
  </si>
  <si>
    <t>Telephone 60</t>
  </si>
  <si>
    <t>@mail 60</t>
  </si>
  <si>
    <t>Adresse 61</t>
  </si>
  <si>
    <t>Code poste 61</t>
  </si>
  <si>
    <t>Ville 61</t>
  </si>
  <si>
    <t>Telephone 61</t>
  </si>
  <si>
    <t>@mail 61</t>
  </si>
  <si>
    <t>Adresse 62</t>
  </si>
  <si>
    <t>Code poste 62</t>
  </si>
  <si>
    <t>Ville 62</t>
  </si>
  <si>
    <t>Telephone 62</t>
  </si>
  <si>
    <t>@mail 62</t>
  </si>
  <si>
    <t>Adresse 63</t>
  </si>
  <si>
    <t>Code poste 63</t>
  </si>
  <si>
    <t>Ville 63</t>
  </si>
  <si>
    <t>Telephone 63</t>
  </si>
  <si>
    <t>@mail 63</t>
  </si>
  <si>
    <t>Adresse 64</t>
  </si>
  <si>
    <t>Code poste 64</t>
  </si>
  <si>
    <t>Ville 64</t>
  </si>
  <si>
    <t>Telephone 64</t>
  </si>
  <si>
    <t>@mail 64</t>
  </si>
  <si>
    <t>Adresse 65</t>
  </si>
  <si>
    <t>Code poste 65</t>
  </si>
  <si>
    <t>Ville 65</t>
  </si>
  <si>
    <t>Telephone 65</t>
  </si>
  <si>
    <t>@mail 65</t>
  </si>
  <si>
    <t>Adresse 66</t>
  </si>
  <si>
    <t>Code poste 66</t>
  </si>
  <si>
    <t>Ville 66</t>
  </si>
  <si>
    <t>Telephone 66</t>
  </si>
  <si>
    <t>@mail 66</t>
  </si>
  <si>
    <t>Adresse 67</t>
  </si>
  <si>
    <t>Code poste 67</t>
  </si>
  <si>
    <t>Ville 67</t>
  </si>
  <si>
    <t>Telephone 67</t>
  </si>
  <si>
    <t>@mail 67</t>
  </si>
  <si>
    <t>Adresse 68</t>
  </si>
  <si>
    <t>Code poste 68</t>
  </si>
  <si>
    <t>Ville 68</t>
  </si>
  <si>
    <t>Telephone 68</t>
  </si>
  <si>
    <t>@mail 68</t>
  </si>
  <si>
    <t>Adresse 69</t>
  </si>
  <si>
    <t>Code poste 69</t>
  </si>
  <si>
    <t>Ville 69</t>
  </si>
  <si>
    <t>Telephone 69</t>
  </si>
  <si>
    <t>@mail 69</t>
  </si>
  <si>
    <t>Adresse 70</t>
  </si>
  <si>
    <t>Code poste 70</t>
  </si>
  <si>
    <t>Ville 70</t>
  </si>
  <si>
    <t>Telephone 70</t>
  </si>
  <si>
    <t>@mail 70</t>
  </si>
  <si>
    <t>Adresse 71</t>
  </si>
  <si>
    <t>Code poste 71</t>
  </si>
  <si>
    <t>Ville 71</t>
  </si>
  <si>
    <t>Telephone 71</t>
  </si>
  <si>
    <t>@mail 71</t>
  </si>
  <si>
    <t>Adresse 72</t>
  </si>
  <si>
    <t>Code poste 72</t>
  </si>
  <si>
    <t>Ville 72</t>
  </si>
  <si>
    <t>Telephone 72</t>
  </si>
  <si>
    <t>@mail 72</t>
  </si>
  <si>
    <t>Adresse 73</t>
  </si>
  <si>
    <t>Code poste 73</t>
  </si>
  <si>
    <t>Ville 73</t>
  </si>
  <si>
    <t>Telephone 73</t>
  </si>
  <si>
    <t>@mail 73</t>
  </si>
  <si>
    <t>Adresse 74</t>
  </si>
  <si>
    <t>Code poste 74</t>
  </si>
  <si>
    <t>Ville 74</t>
  </si>
  <si>
    <t>Telephone 74</t>
  </si>
  <si>
    <t>@mail 74</t>
  </si>
  <si>
    <t>Adresse 75</t>
  </si>
  <si>
    <t>Code poste 75</t>
  </si>
  <si>
    <t>Ville 75</t>
  </si>
  <si>
    <t>Telephone 75</t>
  </si>
  <si>
    <t>@mail 75</t>
  </si>
  <si>
    <t>Adresse 76</t>
  </si>
  <si>
    <t>Code poste 76</t>
  </si>
  <si>
    <t>Ville 76</t>
  </si>
  <si>
    <t>Telephone 76</t>
  </si>
  <si>
    <t>@mail 76</t>
  </si>
  <si>
    <t>Adresse 77</t>
  </si>
  <si>
    <t>Code poste 77</t>
  </si>
  <si>
    <t>Ville 77</t>
  </si>
  <si>
    <t>Telephone 77</t>
  </si>
  <si>
    <t>@mail 77</t>
  </si>
  <si>
    <t>Adresse 78</t>
  </si>
  <si>
    <t>Code poste 78</t>
  </si>
  <si>
    <t>Ville 78</t>
  </si>
  <si>
    <t>Telephone 78</t>
  </si>
  <si>
    <t>@mail 78</t>
  </si>
  <si>
    <t>Adresse 79</t>
  </si>
  <si>
    <t>Code poste 79</t>
  </si>
  <si>
    <t>Ville 79</t>
  </si>
  <si>
    <t>Telephone 79</t>
  </si>
  <si>
    <t>@mail 79</t>
  </si>
  <si>
    <t>Adresse 80</t>
  </si>
  <si>
    <t>Code poste 80</t>
  </si>
  <si>
    <t>Ville 80</t>
  </si>
  <si>
    <t>Telephone 80</t>
  </si>
  <si>
    <t>@mail 80</t>
  </si>
  <si>
    <t>Adresse 81</t>
  </si>
  <si>
    <t>Code poste 81</t>
  </si>
  <si>
    <t>Ville 81</t>
  </si>
  <si>
    <t>Telephone 81</t>
  </si>
  <si>
    <t>@mail 81</t>
  </si>
  <si>
    <t>Adresse 82</t>
  </si>
  <si>
    <t>Code poste 82</t>
  </si>
  <si>
    <t>Ville 82</t>
  </si>
  <si>
    <t>Telephone 82</t>
  </si>
  <si>
    <t>@mail 82</t>
  </si>
  <si>
    <t>Adresse 83</t>
  </si>
  <si>
    <t>Code poste 83</t>
  </si>
  <si>
    <t>Ville 83</t>
  </si>
  <si>
    <t>Telephone 83</t>
  </si>
  <si>
    <t>@mail 83</t>
  </si>
  <si>
    <t>Adresse 84</t>
  </si>
  <si>
    <t>Code poste 84</t>
  </si>
  <si>
    <t>Ville 84</t>
  </si>
  <si>
    <t>Telephone 84</t>
  </si>
  <si>
    <t>@mail 84</t>
  </si>
  <si>
    <t>Adresse 85</t>
  </si>
  <si>
    <t>Code poste 85</t>
  </si>
  <si>
    <t>Ville 85</t>
  </si>
  <si>
    <t>Telephone 85</t>
  </si>
  <si>
    <t>@mail 85</t>
  </si>
  <si>
    <t>Adresse 86</t>
  </si>
  <si>
    <t>Code poste 86</t>
  </si>
  <si>
    <t>Ville 86</t>
  </si>
  <si>
    <t>Telephone 86</t>
  </si>
  <si>
    <t>@mail 86</t>
  </si>
  <si>
    <t>Adresse 87</t>
  </si>
  <si>
    <t>Code poste 87</t>
  </si>
  <si>
    <t>Ville 87</t>
  </si>
  <si>
    <t>Telephone 87</t>
  </si>
  <si>
    <t>@mail 87</t>
  </si>
  <si>
    <t>Adresse 88</t>
  </si>
  <si>
    <t>Code poste 88</t>
  </si>
  <si>
    <t>Ville 88</t>
  </si>
  <si>
    <t>Telephone 88</t>
  </si>
  <si>
    <t>@mail 88</t>
  </si>
  <si>
    <t>Adresse 89</t>
  </si>
  <si>
    <t>Code poste 89</t>
  </si>
  <si>
    <t>Ville 89</t>
  </si>
  <si>
    <t>Telephone 89</t>
  </si>
  <si>
    <t>@mail 89</t>
  </si>
  <si>
    <t>Adresse 90</t>
  </si>
  <si>
    <t>Code poste 90</t>
  </si>
  <si>
    <t>Ville 90</t>
  </si>
  <si>
    <t>Telephone 90</t>
  </si>
  <si>
    <t>@mail 90</t>
  </si>
  <si>
    <t>Adresse 91</t>
  </si>
  <si>
    <t>Code poste 91</t>
  </si>
  <si>
    <t>Ville 91</t>
  </si>
  <si>
    <t>Telephone 91</t>
  </si>
  <si>
    <t>@mail 91</t>
  </si>
  <si>
    <t>Adresse 92</t>
  </si>
  <si>
    <t>Code poste 92</t>
  </si>
  <si>
    <t>Ville 92</t>
  </si>
  <si>
    <t>Telephone 92</t>
  </si>
  <si>
    <t>@mail 92</t>
  </si>
  <si>
    <t>Adresse 93</t>
  </si>
  <si>
    <t>Code poste 93</t>
  </si>
  <si>
    <t>Ville 93</t>
  </si>
  <si>
    <t>Telephone 93</t>
  </si>
  <si>
    <t>@mail 93</t>
  </si>
  <si>
    <t>Adresse 94</t>
  </si>
  <si>
    <t>Code poste 94</t>
  </si>
  <si>
    <t>Ville 94</t>
  </si>
  <si>
    <t>Telephone 94</t>
  </si>
  <si>
    <t>@mail 94</t>
  </si>
  <si>
    <t>Adresse 95</t>
  </si>
  <si>
    <t>Code poste 95</t>
  </si>
  <si>
    <t>Ville 95</t>
  </si>
  <si>
    <t>Telephone 95</t>
  </si>
  <si>
    <t>@mail 95</t>
  </si>
  <si>
    <t>Adresse 96</t>
  </si>
  <si>
    <t>Code poste 96</t>
  </si>
  <si>
    <t>Ville 96</t>
  </si>
  <si>
    <t>Telephone 96</t>
  </si>
  <si>
    <t>@mail 96</t>
  </si>
  <si>
    <t>Adresse 97</t>
  </si>
  <si>
    <t>Code poste 97</t>
  </si>
  <si>
    <t>Ville 97</t>
  </si>
  <si>
    <t>Telephone 97</t>
  </si>
  <si>
    <t>@mail 97</t>
  </si>
  <si>
    <t>Adresse 98</t>
  </si>
  <si>
    <t>Code poste 98</t>
  </si>
  <si>
    <t>Ville 98</t>
  </si>
  <si>
    <t>Telephone 98</t>
  </si>
  <si>
    <t>@mail 98</t>
  </si>
  <si>
    <t>Adresse 99</t>
  </si>
  <si>
    <t>Code poste 99</t>
  </si>
  <si>
    <t>Ville 99</t>
  </si>
  <si>
    <t>Telephone 99</t>
  </si>
  <si>
    <t>@mail 99</t>
  </si>
  <si>
    <t>Adresse 100</t>
  </si>
  <si>
    <t>Code poste 100</t>
  </si>
  <si>
    <t>Ville 100</t>
  </si>
  <si>
    <t>Telephone 100</t>
  </si>
  <si>
    <t>@mail 100</t>
  </si>
  <si>
    <t>Adresse 101</t>
  </si>
  <si>
    <t>Code poste 101</t>
  </si>
  <si>
    <t>Ville 101</t>
  </si>
  <si>
    <t>Telephone 101</t>
  </si>
  <si>
    <t>@mail 101</t>
  </si>
  <si>
    <t>Adresse 102</t>
  </si>
  <si>
    <t>Code poste 102</t>
  </si>
  <si>
    <t>Ville 102</t>
  </si>
  <si>
    <t>Telephone 102</t>
  </si>
  <si>
    <t>@mail 102</t>
  </si>
  <si>
    <t>Adresse 103</t>
  </si>
  <si>
    <t>Code poste 103</t>
  </si>
  <si>
    <t>Ville 103</t>
  </si>
  <si>
    <t>Telephone 103</t>
  </si>
  <si>
    <t>@mail 103</t>
  </si>
  <si>
    <t>Adresse 104</t>
  </si>
  <si>
    <t>Code poste 104</t>
  </si>
  <si>
    <t>Ville 104</t>
  </si>
  <si>
    <t>Telephone 104</t>
  </si>
  <si>
    <t>@mail 104</t>
  </si>
  <si>
    <t>Adresse 105</t>
  </si>
  <si>
    <t>Code poste 105</t>
  </si>
  <si>
    <t>Ville 105</t>
  </si>
  <si>
    <t>Telephone 105</t>
  </si>
  <si>
    <t>@mail 105</t>
  </si>
  <si>
    <t>Adresse 106</t>
  </si>
  <si>
    <t>Code poste 106</t>
  </si>
  <si>
    <t>Ville 106</t>
  </si>
  <si>
    <t>Telephone 106</t>
  </si>
  <si>
    <t>@mail 106</t>
  </si>
  <si>
    <t>Nom_prenom 2</t>
  </si>
  <si>
    <t>Nom_prenom 3</t>
  </si>
  <si>
    <t>Nom_prenom 4</t>
  </si>
  <si>
    <t>Nom_prenom 5</t>
  </si>
  <si>
    <t>Nom_prenom 6</t>
  </si>
  <si>
    <t>Nom_prenom 7</t>
  </si>
  <si>
    <t>Nom_prenom 8</t>
  </si>
  <si>
    <t>Nom_prenom 9</t>
  </si>
  <si>
    <t>Nom_prenom 10</t>
  </si>
  <si>
    <t>Nom_prenom 11</t>
  </si>
  <si>
    <t>Nom_prenom 12</t>
  </si>
  <si>
    <t>Nom_prenom 13</t>
  </si>
  <si>
    <t>Nom_prenom 14</t>
  </si>
  <si>
    <t>Nom_prenom 15</t>
  </si>
  <si>
    <t>Nom_prenom 16</t>
  </si>
  <si>
    <t>Nom_prenom 17</t>
  </si>
  <si>
    <t>Nom_prenom 18</t>
  </si>
  <si>
    <t>Nom_prenom 19</t>
  </si>
  <si>
    <t>Nom_prenom 20</t>
  </si>
  <si>
    <t>Nom_prenom 21</t>
  </si>
  <si>
    <t>Nom_prenom 22</t>
  </si>
  <si>
    <t>Nom_prenom 23</t>
  </si>
  <si>
    <t>Nom_prenom 24</t>
  </si>
  <si>
    <t>Nom_prenom 25</t>
  </si>
  <si>
    <t>Nom_prenom 26</t>
  </si>
  <si>
    <t>Nom_prenom 29</t>
  </si>
  <si>
    <t>Nom_prenom 27</t>
  </si>
  <si>
    <t>Nom_prenom 28</t>
  </si>
  <si>
    <t>Nom_prenom 30</t>
  </si>
  <si>
    <t>Nom_prenom 35</t>
  </si>
  <si>
    <t>Nom_prenom 36</t>
  </si>
  <si>
    <t>Nom_prenom 37</t>
  </si>
  <si>
    <t>Nom_prenom 38</t>
  </si>
  <si>
    <t>Nom_prenom 39</t>
  </si>
  <si>
    <t>Nom_prenom 40</t>
  </si>
  <si>
    <t>Nom_prenom 41</t>
  </si>
  <si>
    <t>Nom_prenom 42</t>
  </si>
  <si>
    <t>Nom_prenom 44</t>
  </si>
  <si>
    <t>Nom_prenom 43</t>
  </si>
  <si>
    <t>Nom_prenom 45</t>
  </si>
  <si>
    <t>Nom_prenom 100</t>
  </si>
  <si>
    <t>Nom_prenom 101</t>
  </si>
  <si>
    <t>Nom_prenom 102</t>
  </si>
  <si>
    <t>Nom_prenom 103</t>
  </si>
  <si>
    <t>Aloe_vera 001</t>
  </si>
  <si>
    <t>Aloe_vera 011</t>
  </si>
  <si>
    <t>Aloe_vera 010</t>
  </si>
  <si>
    <t>Aloe_vera 013</t>
  </si>
  <si>
    <t>Aloe_vera 014</t>
  </si>
  <si>
    <t>Aloe_vera 015</t>
  </si>
  <si>
    <t>Aloe_vera 016</t>
  </si>
  <si>
    <t>Aloe_vera 017</t>
  </si>
  <si>
    <t>Aloe_vera 018</t>
  </si>
  <si>
    <t>Aloe_vera 002</t>
  </si>
  <si>
    <t>Aloe_vera 003</t>
  </si>
  <si>
    <t>Aloe_vera 004</t>
  </si>
  <si>
    <t>Aloe_vera 005</t>
  </si>
  <si>
    <t>Aloe_vera 006</t>
  </si>
  <si>
    <t>Aloe_vera 007</t>
  </si>
  <si>
    <t>Aloe_vera 009</t>
  </si>
  <si>
    <t>Aloe_vera 012</t>
  </si>
  <si>
    <t>Aloe_vera 008</t>
  </si>
  <si>
    <t>Clean_care 001</t>
  </si>
  <si>
    <t>Clean_care 010</t>
  </si>
  <si>
    <t>Clean_care 011</t>
  </si>
  <si>
    <t>Clean_care 012</t>
  </si>
  <si>
    <t>Clean_care 013</t>
  </si>
  <si>
    <t>Clean_care 014</t>
  </si>
  <si>
    <t>Clean_care 002</t>
  </si>
  <si>
    <t>Clean_care 003</t>
  </si>
  <si>
    <t>Clean_care 004</t>
  </si>
  <si>
    <t>Clean_care 005</t>
  </si>
  <si>
    <t>Clean_care 006</t>
  </si>
  <si>
    <t>Clean_care 007</t>
  </si>
  <si>
    <t>Clean_care 008</t>
  </si>
  <si>
    <t>Clean_care 009</t>
  </si>
  <si>
    <t>Make_Up 001</t>
  </si>
  <si>
    <t>Make_Up 002</t>
  </si>
  <si>
    <t>Make_Up 003</t>
  </si>
  <si>
    <t>Make_Up 004</t>
  </si>
  <si>
    <t>Make_Up 005</t>
  </si>
  <si>
    <t>Make_Up 006</t>
  </si>
  <si>
    <t>Make_Up 007</t>
  </si>
  <si>
    <t>Make_Up 008</t>
  </si>
  <si>
    <t>Promotions 001</t>
  </si>
  <si>
    <t>Promotions 010</t>
  </si>
  <si>
    <t>Promotions 011</t>
  </si>
  <si>
    <t>Promotions 012</t>
  </si>
  <si>
    <t>Promotions 013</t>
  </si>
  <si>
    <t>Promotions 003</t>
  </si>
  <si>
    <t>Promotions 002</t>
  </si>
  <si>
    <t>Promotions 004</t>
  </si>
  <si>
    <t>Promotions 005</t>
  </si>
  <si>
    <t>Promotions 006</t>
  </si>
  <si>
    <t>Promotions 007</t>
  </si>
  <si>
    <t>Promotions 008</t>
  </si>
  <si>
    <t>Promotions 009</t>
  </si>
  <si>
    <t>Accessoires 001</t>
  </si>
  <si>
    <t>Accessoires 002</t>
  </si>
  <si>
    <t>Accessoires 003</t>
  </si>
  <si>
    <t>Accessoires 004</t>
  </si>
  <si>
    <t>F__Parfums 001</t>
  </si>
  <si>
    <t>F__Parfums 002</t>
  </si>
  <si>
    <t>F__Parfums 003</t>
  </si>
  <si>
    <t>F__Parfums 004</t>
  </si>
  <si>
    <t>F__Parfums 005</t>
  </si>
  <si>
    <t>F__Parfums 006</t>
  </si>
  <si>
    <t>F__Parfums 007</t>
  </si>
  <si>
    <t>F__Parfums 008</t>
  </si>
  <si>
    <t>F__Parfums 009</t>
  </si>
  <si>
    <t>F__Parfums 010</t>
  </si>
  <si>
    <t>F__Parfums 011</t>
  </si>
  <si>
    <t>F__Parfums 012</t>
  </si>
  <si>
    <t>F__Parfums 013</t>
  </si>
  <si>
    <t>F__Parfums 014</t>
  </si>
  <si>
    <t>F__Parfums 015</t>
  </si>
  <si>
    <t>F__Parfums 016</t>
  </si>
  <si>
    <t>F__Parfums 017</t>
  </si>
  <si>
    <t>F__Parfums 018</t>
  </si>
  <si>
    <t>F__Parfums 019</t>
  </si>
  <si>
    <t>F__Parfums 020</t>
  </si>
  <si>
    <t>F__Parfums 021</t>
  </si>
  <si>
    <t>F__Parfums 022</t>
  </si>
  <si>
    <t>F__Parfums 023</t>
  </si>
  <si>
    <t>F__Parfums 024</t>
  </si>
  <si>
    <t>F__Parfums 025</t>
  </si>
  <si>
    <t>F__Parfums 026</t>
  </si>
  <si>
    <t>F__Parfums 027</t>
  </si>
  <si>
    <t>F__Parfums 028</t>
  </si>
  <si>
    <t>F__Parfums 029</t>
  </si>
  <si>
    <t>F__Parfums 030</t>
  </si>
  <si>
    <t>F__Parfums 031</t>
  </si>
  <si>
    <t>F__Parfums 032</t>
  </si>
  <si>
    <t>F__Parfums 033</t>
  </si>
  <si>
    <t>H__Parfums 001</t>
  </si>
  <si>
    <t>H__Parfums 002</t>
  </si>
  <si>
    <t>H__Parfums 003</t>
  </si>
  <si>
    <t>H__Parfums 004</t>
  </si>
  <si>
    <t>H__Parfums 005</t>
  </si>
  <si>
    <t>H__Parfums 006</t>
  </si>
  <si>
    <t>H__Parfums 007</t>
  </si>
  <si>
    <t>H__Parfums 008</t>
  </si>
  <si>
    <t>H__Parfums 009</t>
  </si>
  <si>
    <t>H__Parfums 010</t>
  </si>
  <si>
    <t>H__Parfums 011</t>
  </si>
  <si>
    <t>H__Parfums 012</t>
  </si>
  <si>
    <t>H__Parfums 013</t>
  </si>
  <si>
    <t>H__Parfums 014</t>
  </si>
  <si>
    <t>H__Parfums 015</t>
  </si>
  <si>
    <t>H__Parfums 016</t>
  </si>
  <si>
    <t>H__Parfums 017</t>
  </si>
  <si>
    <t>H__Parfums 018</t>
  </si>
  <si>
    <t>Nom_prenom 001</t>
  </si>
  <si>
    <t>Nom_prenom 002</t>
  </si>
  <si>
    <t>Nom_prenom 003</t>
  </si>
  <si>
    <t>Nom_prenom 004</t>
  </si>
  <si>
    <t>Nom_prenom 005</t>
  </si>
  <si>
    <t>Nom_prenom 006</t>
  </si>
  <si>
    <t>Nom_prenom 007</t>
  </si>
  <si>
    <t>Nom_prenom 008</t>
  </si>
  <si>
    <t>Nom_prenom 010</t>
  </si>
  <si>
    <t>Nom_prenom 011</t>
  </si>
  <si>
    <t>Nom_prenom 012</t>
  </si>
  <si>
    <t>Nom_prenom 013</t>
  </si>
  <si>
    <t>Nom_prenom 014</t>
  </si>
  <si>
    <t>Nom_prenom 015</t>
  </si>
  <si>
    <t>Nom_prenom 016</t>
  </si>
  <si>
    <t>Nom_prenom 017</t>
  </si>
  <si>
    <t>Nom_prenom 018</t>
  </si>
  <si>
    <t>Nom_prenom 019</t>
  </si>
  <si>
    <t>Nom_prenom 020</t>
  </si>
  <si>
    <t>Nom_prenom 021</t>
  </si>
  <si>
    <t>Nom_prenom 022</t>
  </si>
  <si>
    <t>Nom_prenom 023</t>
  </si>
  <si>
    <t>Nom_prenom 024</t>
  </si>
  <si>
    <t>Nom_prenom 025</t>
  </si>
  <si>
    <t>Nom_prenom 026</t>
  </si>
  <si>
    <t>Nom_prenom 027</t>
  </si>
  <si>
    <t>Nom_prenom 028</t>
  </si>
  <si>
    <t>Nom_prenom 029</t>
  </si>
  <si>
    <t>Nom_prenom 030</t>
  </si>
  <si>
    <t>Nom_prenom 031</t>
  </si>
  <si>
    <t>Nom_prenom 032</t>
  </si>
  <si>
    <t>Nom_prenom 033</t>
  </si>
  <si>
    <t>Nom_prenom 034</t>
  </si>
  <si>
    <t>Nom_prenom 035</t>
  </si>
  <si>
    <t>Nom_prenom 036</t>
  </si>
  <si>
    <t>Nom_prenom 037</t>
  </si>
  <si>
    <t>Nom_prenom 038</t>
  </si>
  <si>
    <t>Nom_prenom 039</t>
  </si>
  <si>
    <t>Nom_prenom 040</t>
  </si>
  <si>
    <t>Nom_prenom 041</t>
  </si>
  <si>
    <t>Nom_prenom 042</t>
  </si>
  <si>
    <t>Nom_prenom 043</t>
  </si>
  <si>
    <t>Nom_prenom 044</t>
  </si>
  <si>
    <t>Nom_prenom 045</t>
  </si>
  <si>
    <t>Nom_prenom 046</t>
  </si>
  <si>
    <t>Nom_prenom 047</t>
  </si>
  <si>
    <t>Nom_prenom 048</t>
  </si>
  <si>
    <t>Nom_prenom 049</t>
  </si>
  <si>
    <t>Nom_prenom 050</t>
  </si>
  <si>
    <t>Nom_prenom 051</t>
  </si>
  <si>
    <t>Nom_prenom 052</t>
  </si>
  <si>
    <t>Nom_prenom 053</t>
  </si>
  <si>
    <t>Nom_prenom 054</t>
  </si>
  <si>
    <t>Nom_prenom 055</t>
  </si>
  <si>
    <t>Nom_prenom 056</t>
  </si>
  <si>
    <t>Nom_prenom 057</t>
  </si>
  <si>
    <t>Nom_prenom 058</t>
  </si>
  <si>
    <t>Nom_prenom 059</t>
  </si>
  <si>
    <t>Nom_prenom 060</t>
  </si>
  <si>
    <t>Nom_prenom 061</t>
  </si>
  <si>
    <t>Nom_prenom 062</t>
  </si>
  <si>
    <t>Nom_prenom 063</t>
  </si>
  <si>
    <t>Nom_prenom 064</t>
  </si>
  <si>
    <t>Nom_prenom 065</t>
  </si>
  <si>
    <t>Nom_prenom 066</t>
  </si>
  <si>
    <t>Nom_prenom 067</t>
  </si>
  <si>
    <t>Nom_prenom 068</t>
  </si>
  <si>
    <t>Nom_prenom 069</t>
  </si>
  <si>
    <t>Nom_prenom 070</t>
  </si>
  <si>
    <t>Nom_prenom 071</t>
  </si>
  <si>
    <t>Nom_prenom 072</t>
  </si>
  <si>
    <t>Nom_prenom 073</t>
  </si>
  <si>
    <t>Nom_prenom 074</t>
  </si>
  <si>
    <t>Nom_prenom 075</t>
  </si>
  <si>
    <t>Nom_prenom 076</t>
  </si>
  <si>
    <t>Nom_prenom 077</t>
  </si>
  <si>
    <t>Nom_prenom 078</t>
  </si>
  <si>
    <t>Nom_prenom 079</t>
  </si>
  <si>
    <t>Nom_prenom 080</t>
  </si>
  <si>
    <t>Nom_prenom 081</t>
  </si>
  <si>
    <t>Nom_prenom 082</t>
  </si>
  <si>
    <t>Nom_prenom 083</t>
  </si>
  <si>
    <t>Nom_prenom 084</t>
  </si>
  <si>
    <t>Nom_prenom 085</t>
  </si>
  <si>
    <t>Nom_prenom 086</t>
  </si>
  <si>
    <t>Nom_prenom 087</t>
  </si>
  <si>
    <t>Nom_prenom 088</t>
  </si>
  <si>
    <t>Nom_prenom 089</t>
  </si>
  <si>
    <t>Nom_prenom 090</t>
  </si>
  <si>
    <t>Nom_prenom 091</t>
  </si>
  <si>
    <t>Nom_prenom 092</t>
  </si>
  <si>
    <t>Nom_prenom 093</t>
  </si>
  <si>
    <t>Nom_prenom 094</t>
  </si>
  <si>
    <t>Nom_prenom 095</t>
  </si>
  <si>
    <t>Nom_prenom 096</t>
  </si>
  <si>
    <t>Nom_prenom 097</t>
  </si>
  <si>
    <t>Nom_prenom 098</t>
  </si>
  <si>
    <t>Nom_prenom 099</t>
  </si>
  <si>
    <t>Nom_prenom 009</t>
  </si>
  <si>
    <t>Nom_prenom 104</t>
  </si>
  <si>
    <t>Nom_prenom 105</t>
  </si>
  <si>
    <t>Nom_prenom 106</t>
  </si>
</sst>
</file>

<file path=xl/styles.xml><?xml version="1.0" encoding="utf-8"?>
<styleSheet xmlns="http://schemas.openxmlformats.org/spreadsheetml/2006/main">
  <numFmts count="6">
    <numFmt numFmtId="164" formatCode="0.00\ &quot;€&quot;"/>
    <numFmt numFmtId="165" formatCode="#,##0.00\ &quot;€&quot;"/>
    <numFmt numFmtId="166" formatCode="mmmm\-yyyy"/>
    <numFmt numFmtId="167" formatCode="&quot;Total PV client &quot;yyyy"/>
    <numFmt numFmtId="168" formatCode="&quot;PV client restant&quot;\ yyyy"/>
    <numFmt numFmtId="169" formatCode="mmmm_ayyyy"/>
  </numFmts>
  <fonts count="2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rgb="FF00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rgb="FF000000"/>
      <name val="MS Shell Dlg 2"/>
    </font>
    <font>
      <sz val="8"/>
      <color theme="0"/>
      <name val="MS Shell Dlg 2"/>
    </font>
    <font>
      <sz val="8"/>
      <color theme="0"/>
      <name val="Calibri"/>
      <family val="2"/>
      <scheme val="minor"/>
    </font>
    <font>
      <b/>
      <i/>
      <sz val="10"/>
      <color theme="0"/>
      <name val="Calibri"/>
      <family val="2"/>
      <scheme val="minor"/>
    </font>
    <font>
      <sz val="11"/>
      <color rgb="FFC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05">
    <xf numFmtId="0" fontId="0" fillId="0" borderId="0" xfId="0"/>
    <xf numFmtId="0" fontId="3" fillId="0" borderId="0" xfId="0" applyFont="1" applyFill="1" applyAlignment="1">
      <alignment vertical="top"/>
    </xf>
    <xf numFmtId="0" fontId="4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  <xf numFmtId="0" fontId="0" fillId="0" borderId="0" xfId="0" applyFill="1" applyAlignment="1">
      <alignment horizontal="left" vertical="top"/>
    </xf>
    <xf numFmtId="0" fontId="0" fillId="0" borderId="0" xfId="0" applyFill="1" applyAlignment="1"/>
    <xf numFmtId="0" fontId="0" fillId="0" borderId="1" xfId="0" applyFont="1" applyFill="1" applyBorder="1" applyAlignment="1">
      <alignment horizontal="left" vertical="top"/>
    </xf>
    <xf numFmtId="0" fontId="0" fillId="0" borderId="6" xfId="0" applyFont="1" applyFill="1" applyBorder="1" applyAlignment="1">
      <alignment horizontal="left" vertical="top"/>
    </xf>
    <xf numFmtId="0" fontId="0" fillId="0" borderId="0" xfId="0" applyFill="1" applyAlignment="1">
      <alignment horizontal="right"/>
    </xf>
    <xf numFmtId="0" fontId="0" fillId="0" borderId="3" xfId="0" applyFill="1" applyBorder="1" applyAlignment="1"/>
    <xf numFmtId="0" fontId="0" fillId="0" borderId="0" xfId="0" applyFill="1" applyBorder="1" applyAlignment="1"/>
    <xf numFmtId="0" fontId="1" fillId="0" borderId="5" xfId="0" applyFont="1" applyFill="1" applyBorder="1" applyAlignment="1">
      <alignment vertical="top"/>
    </xf>
    <xf numFmtId="0" fontId="0" fillId="2" borderId="0" xfId="0" applyFill="1" applyAlignment="1"/>
    <xf numFmtId="0" fontId="0" fillId="2" borderId="0" xfId="0" applyFill="1" applyAlignment="1">
      <alignment horizontal="left" vertical="top" wrapText="1"/>
    </xf>
    <xf numFmtId="0" fontId="0" fillId="2" borderId="0" xfId="0" applyFill="1" applyAlignment="1">
      <alignment horizontal="left" vertical="top"/>
    </xf>
    <xf numFmtId="0" fontId="0" fillId="2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right"/>
    </xf>
    <xf numFmtId="0" fontId="2" fillId="2" borderId="3" xfId="0" applyFont="1" applyFill="1" applyBorder="1" applyAlignment="1"/>
    <xf numFmtId="0" fontId="2" fillId="2" borderId="3" xfId="0" applyFont="1" applyFill="1" applyBorder="1" applyAlignment="1">
      <alignment horizontal="right" vertical="center"/>
    </xf>
    <xf numFmtId="0" fontId="2" fillId="3" borderId="3" xfId="0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right"/>
    </xf>
    <xf numFmtId="0" fontId="0" fillId="4" borderId="12" xfId="0" applyFill="1" applyBorder="1" applyAlignment="1"/>
    <xf numFmtId="0" fontId="0" fillId="4" borderId="12" xfId="0" applyFont="1" applyFill="1" applyBorder="1" applyAlignment="1"/>
    <xf numFmtId="0" fontId="0" fillId="4" borderId="13" xfId="0" applyFill="1" applyBorder="1" applyAlignment="1"/>
    <xf numFmtId="0" fontId="0" fillId="5" borderId="0" xfId="0" applyFill="1" applyBorder="1" applyAlignment="1"/>
    <xf numFmtId="0" fontId="0" fillId="5" borderId="0" xfId="0" applyFont="1" applyFill="1" applyBorder="1" applyAlignment="1"/>
    <xf numFmtId="0" fontId="0" fillId="5" borderId="16" xfId="0" applyFill="1" applyBorder="1" applyAlignment="1"/>
    <xf numFmtId="0" fontId="5" fillId="6" borderId="13" xfId="0" applyFont="1" applyFill="1" applyBorder="1" applyAlignment="1"/>
    <xf numFmtId="0" fontId="5" fillId="6" borderId="14" xfId="0" applyFont="1" applyFill="1" applyBorder="1" applyAlignment="1"/>
    <xf numFmtId="0" fontId="5" fillId="6" borderId="12" xfId="0" applyFont="1" applyFill="1" applyBorder="1" applyAlignment="1"/>
    <xf numFmtId="49" fontId="0" fillId="8" borderId="0" xfId="0" applyNumberFormat="1" applyFill="1" applyBorder="1" applyAlignment="1"/>
    <xf numFmtId="49" fontId="0" fillId="7" borderId="0" xfId="0" applyNumberFormat="1" applyFill="1" applyBorder="1" applyAlignment="1"/>
    <xf numFmtId="0" fontId="0" fillId="7" borderId="0" xfId="0" applyFill="1" applyBorder="1" applyAlignment="1"/>
    <xf numFmtId="49" fontId="6" fillId="6" borderId="22" xfId="0" applyNumberFormat="1" applyFont="1" applyFill="1" applyBorder="1" applyAlignment="1"/>
    <xf numFmtId="49" fontId="0" fillId="0" borderId="5" xfId="0" applyNumberFormat="1" applyFill="1" applyBorder="1" applyAlignment="1"/>
    <xf numFmtId="0" fontId="0" fillId="4" borderId="15" xfId="0" applyFill="1" applyBorder="1" applyAlignment="1"/>
    <xf numFmtId="0" fontId="0" fillId="0" borderId="1" xfId="0" applyFill="1" applyBorder="1" applyAlignment="1">
      <alignment horizontal="left" vertical="top" wrapText="1"/>
    </xf>
    <xf numFmtId="0" fontId="0" fillId="0" borderId="1" xfId="0" applyFill="1" applyBorder="1" applyAlignment="1"/>
    <xf numFmtId="0" fontId="0" fillId="0" borderId="6" xfId="0" applyFill="1" applyBorder="1" applyAlignment="1"/>
    <xf numFmtId="0" fontId="4" fillId="0" borderId="0" xfId="0" applyFont="1" applyFill="1" applyAlignment="1">
      <alignment horizontal="left" vertical="top"/>
    </xf>
    <xf numFmtId="0" fontId="0" fillId="0" borderId="0" xfId="0" applyFont="1" applyFill="1" applyBorder="1" applyAlignment="1">
      <alignment horizontal="left"/>
    </xf>
    <xf numFmtId="0" fontId="5" fillId="6" borderId="13" xfId="0" applyFont="1" applyFill="1" applyBorder="1" applyAlignment="1">
      <alignment horizontal="left"/>
    </xf>
    <xf numFmtId="49" fontId="6" fillId="6" borderId="22" xfId="0" applyNumberFormat="1" applyFont="1" applyFill="1" applyBorder="1" applyAlignment="1">
      <alignment horizontal="left" vertical="center"/>
    </xf>
    <xf numFmtId="49" fontId="0" fillId="0" borderId="5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4" borderId="13" xfId="0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49" fontId="6" fillId="6" borderId="22" xfId="0" applyNumberFormat="1" applyFont="1" applyFill="1" applyBorder="1" applyAlignment="1">
      <alignment horizontal="left"/>
    </xf>
    <xf numFmtId="49" fontId="6" fillId="6" borderId="17" xfId="0" applyNumberFormat="1" applyFont="1" applyFill="1" applyBorder="1" applyAlignment="1">
      <alignment horizontal="left"/>
    </xf>
    <xf numFmtId="49" fontId="0" fillId="0" borderId="5" xfId="0" applyNumberForma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Border="1"/>
    <xf numFmtId="49" fontId="11" fillId="6" borderId="20" xfId="0" applyNumberFormat="1" applyFont="1" applyFill="1" applyBorder="1" applyAlignment="1">
      <alignment horizontal="left"/>
    </xf>
    <xf numFmtId="0" fontId="0" fillId="0" borderId="26" xfId="0" applyFill="1" applyBorder="1" applyAlignment="1"/>
    <xf numFmtId="49" fontId="0" fillId="0" borderId="7" xfId="0" applyNumberFormat="1" applyFont="1" applyFill="1" applyBorder="1" applyAlignment="1">
      <alignment horizontal="left"/>
    </xf>
    <xf numFmtId="49" fontId="12" fillId="6" borderId="3" xfId="0" applyNumberFormat="1" applyFont="1" applyFill="1" applyBorder="1" applyAlignment="1">
      <alignment horizontal="left"/>
    </xf>
    <xf numFmtId="0" fontId="0" fillId="4" borderId="29" xfId="0" applyFill="1" applyBorder="1" applyAlignment="1"/>
    <xf numFmtId="0" fontId="0" fillId="0" borderId="23" xfId="0" applyFill="1" applyBorder="1" applyAlignment="1"/>
    <xf numFmtId="49" fontId="6" fillId="6" borderId="20" xfId="0" applyNumberFormat="1" applyFont="1" applyFill="1" applyBorder="1" applyAlignment="1">
      <alignment horizontal="left"/>
    </xf>
    <xf numFmtId="0" fontId="0" fillId="8" borderId="0" xfId="0" applyFill="1" applyBorder="1" applyAlignment="1"/>
    <xf numFmtId="0" fontId="0" fillId="8" borderId="0" xfId="0" applyFont="1" applyFill="1" applyBorder="1" applyAlignment="1">
      <alignment horizontal="left"/>
    </xf>
    <xf numFmtId="0" fontId="0" fillId="8" borderId="0" xfId="0" applyFill="1" applyBorder="1" applyAlignment="1">
      <alignment horizontal="left"/>
    </xf>
    <xf numFmtId="0" fontId="0" fillId="8" borderId="0" xfId="0" applyFill="1" applyBorder="1" applyAlignment="1">
      <alignment horizontal="left" vertical="center"/>
    </xf>
    <xf numFmtId="49" fontId="0" fillId="8" borderId="21" xfId="0" applyNumberFormat="1" applyFill="1" applyBorder="1" applyAlignment="1"/>
    <xf numFmtId="0" fontId="7" fillId="8" borderId="0" xfId="0" applyFont="1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0" fillId="8" borderId="29" xfId="0" applyFill="1" applyBorder="1" applyAlignment="1"/>
    <xf numFmtId="14" fontId="0" fillId="0" borderId="3" xfId="0" applyNumberFormat="1" applyFill="1" applyBorder="1" applyAlignment="1"/>
    <xf numFmtId="165" fontId="0" fillId="0" borderId="3" xfId="0" applyNumberFormat="1" applyFill="1" applyBorder="1" applyAlignment="1"/>
    <xf numFmtId="0" fontId="0" fillId="10" borderId="0" xfId="0" applyFill="1" applyBorder="1" applyAlignment="1"/>
    <xf numFmtId="14" fontId="2" fillId="9" borderId="1" xfId="0" applyNumberFormat="1" applyFont="1" applyFill="1" applyBorder="1" applyAlignment="1">
      <alignment vertical="center"/>
    </xf>
    <xf numFmtId="14" fontId="2" fillId="9" borderId="7" xfId="0" applyNumberFormat="1" applyFont="1" applyFill="1" applyBorder="1" applyAlignment="1">
      <alignment vertical="center"/>
    </xf>
    <xf numFmtId="164" fontId="3" fillId="0" borderId="4" xfId="0" applyNumberFormat="1" applyFont="1" applyFill="1" applyBorder="1" applyAlignment="1"/>
    <xf numFmtId="0" fontId="2" fillId="2" borderId="26" xfId="0" applyFont="1" applyFill="1" applyBorder="1" applyAlignment="1">
      <alignment horizontal="left"/>
    </xf>
    <xf numFmtId="0" fontId="0" fillId="2" borderId="0" xfId="0" applyFill="1"/>
    <xf numFmtId="0" fontId="2" fillId="2" borderId="30" xfId="0" applyFont="1" applyFill="1" applyBorder="1" applyAlignment="1">
      <alignment horizontal="right" vertical="center"/>
    </xf>
    <xf numFmtId="0" fontId="5" fillId="2" borderId="0" xfId="0" applyFont="1" applyFill="1"/>
    <xf numFmtId="0" fontId="5" fillId="0" borderId="0" xfId="0" applyFont="1"/>
    <xf numFmtId="0" fontId="5" fillId="0" borderId="0" xfId="0" applyFont="1" applyFill="1"/>
    <xf numFmtId="0" fontId="0" fillId="2" borderId="0" xfId="0" applyFill="1" applyAlignment="1"/>
    <xf numFmtId="49" fontId="0" fillId="0" borderId="7" xfId="0" applyNumberFormat="1" applyFill="1" applyBorder="1" applyAlignment="1">
      <alignment horizontal="left" vertical="top"/>
    </xf>
    <xf numFmtId="0" fontId="0" fillId="0" borderId="1" xfId="0" applyFill="1" applyBorder="1" applyAlignment="1">
      <alignment horizontal="left" vertical="top"/>
    </xf>
    <xf numFmtId="49" fontId="0" fillId="0" borderId="7" xfId="0" applyNumberFormat="1" applyFill="1" applyBorder="1" applyAlignment="1"/>
    <xf numFmtId="49" fontId="0" fillId="0" borderId="3" xfId="0" applyNumberFormat="1" applyFill="1" applyBorder="1" applyAlignment="1">
      <alignment vertical="center"/>
    </xf>
    <xf numFmtId="49" fontId="0" fillId="0" borderId="10" xfId="0" applyNumberFormat="1" applyFill="1" applyBorder="1" applyAlignment="1">
      <alignment vertical="center"/>
    </xf>
    <xf numFmtId="0" fontId="1" fillId="5" borderId="2" xfId="0" applyFont="1" applyFill="1" applyBorder="1" applyAlignment="1">
      <alignment horizontal="left" vertical="top"/>
    </xf>
    <xf numFmtId="0" fontId="1" fillId="5" borderId="3" xfId="0" applyFont="1" applyFill="1" applyBorder="1" applyAlignment="1">
      <alignment horizontal="right" vertical="top"/>
    </xf>
    <xf numFmtId="0" fontId="1" fillId="5" borderId="3" xfId="0" applyFont="1" applyFill="1" applyBorder="1" applyAlignment="1">
      <alignment horizontal="left" vertical="top" wrapText="1"/>
    </xf>
    <xf numFmtId="165" fontId="5" fillId="0" borderId="3" xfId="0" applyNumberFormat="1" applyFont="1" applyFill="1" applyBorder="1" applyProtection="1">
      <protection locked="0"/>
    </xf>
    <xf numFmtId="0" fontId="2" fillId="0" borderId="4" xfId="0" applyFont="1" applyFill="1" applyBorder="1" applyAlignment="1" applyProtection="1">
      <alignment horizontal="right" vertical="center"/>
      <protection locked="0"/>
    </xf>
    <xf numFmtId="0" fontId="0" fillId="0" borderId="0" xfId="0" applyFill="1" applyProtection="1">
      <protection locked="0"/>
    </xf>
    <xf numFmtId="0" fontId="5" fillId="0" borderId="3" xfId="0" applyFont="1" applyFill="1" applyBorder="1" applyProtection="1">
      <protection locked="0"/>
    </xf>
    <xf numFmtId="0" fontId="5" fillId="0" borderId="0" xfId="0" applyFont="1" applyFill="1" applyProtection="1">
      <protection locked="0"/>
    </xf>
    <xf numFmtId="0" fontId="2" fillId="0" borderId="4" xfId="0" applyFont="1" applyFill="1" applyBorder="1" applyAlignment="1" applyProtection="1">
      <alignment horizontal="left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Alignment="1" applyProtection="1">
      <protection locked="0"/>
    </xf>
    <xf numFmtId="0" fontId="0" fillId="0" borderId="0" xfId="0" applyFill="1" applyBorder="1" applyProtection="1">
      <protection locked="0"/>
    </xf>
    <xf numFmtId="0" fontId="0" fillId="0" borderId="4" xfId="0" applyFill="1" applyBorder="1" applyAlignment="1" applyProtection="1">
      <alignment horizontal="left" shrinkToFit="1"/>
      <protection locked="0"/>
    </xf>
    <xf numFmtId="0" fontId="0" fillId="0" borderId="4" xfId="0" applyFont="1" applyFill="1" applyBorder="1" applyAlignment="1" applyProtection="1">
      <alignment horizontal="left" shrinkToFit="1"/>
      <protection locked="0"/>
    </xf>
    <xf numFmtId="0" fontId="0" fillId="0" borderId="4" xfId="0" applyFont="1" applyFill="1" applyBorder="1" applyAlignment="1" applyProtection="1">
      <alignment horizontal="right" vertical="center" shrinkToFit="1"/>
      <protection locked="0"/>
    </xf>
    <xf numFmtId="0" fontId="0" fillId="0" borderId="0" xfId="0" applyFont="1" applyFill="1" applyBorder="1" applyAlignment="1">
      <alignment horizontal="left" shrinkToFit="1"/>
    </xf>
    <xf numFmtId="0" fontId="0" fillId="0" borderId="0" xfId="0" applyFill="1" applyBorder="1" applyAlignment="1">
      <alignment horizontal="left" shrinkToFit="1"/>
    </xf>
    <xf numFmtId="0" fontId="0" fillId="0" borderId="0" xfId="0" applyFill="1" applyBorder="1" applyAlignment="1">
      <alignment horizontal="left" vertical="center" shrinkToFit="1"/>
    </xf>
    <xf numFmtId="0" fontId="0" fillId="0" borderId="0" xfId="0" applyFill="1" applyBorder="1" applyAlignment="1">
      <alignment shrinkToFit="1"/>
    </xf>
    <xf numFmtId="0" fontId="1" fillId="5" borderId="1" xfId="0" applyFont="1" applyFill="1" applyBorder="1" applyAlignment="1">
      <alignment horizontal="left" vertical="top"/>
    </xf>
    <xf numFmtId="0" fontId="1" fillId="5" borderId="9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 vertical="top"/>
    </xf>
    <xf numFmtId="0" fontId="4" fillId="0" borderId="0" xfId="0" applyFont="1" applyFill="1" applyAlignment="1">
      <alignment horizontal="right" vertical="top" wrapText="1"/>
    </xf>
    <xf numFmtId="0" fontId="0" fillId="0" borderId="0" xfId="0" applyFill="1" applyAlignment="1">
      <alignment horizontal="right" vertical="top" wrapText="1"/>
    </xf>
    <xf numFmtId="0" fontId="0" fillId="0" borderId="0" xfId="0" applyFill="1" applyBorder="1" applyAlignment="1">
      <alignment horizontal="right" vertical="top" wrapText="1"/>
    </xf>
    <xf numFmtId="165" fontId="0" fillId="0" borderId="3" xfId="0" applyNumberFormat="1" applyFill="1" applyBorder="1" applyAlignment="1">
      <alignment horizontal="right" vertical="top"/>
    </xf>
    <xf numFmtId="164" fontId="14" fillId="5" borderId="0" xfId="0" applyNumberFormat="1" applyFont="1" applyFill="1" applyAlignment="1">
      <alignment horizontal="right"/>
    </xf>
    <xf numFmtId="49" fontId="0" fillId="0" borderId="3" xfId="0" applyNumberFormat="1" applyFill="1" applyBorder="1" applyAlignment="1">
      <alignment horizontal="right" vertical="top"/>
    </xf>
    <xf numFmtId="49" fontId="0" fillId="0" borderId="5" xfId="0" applyNumberFormat="1" applyFill="1" applyBorder="1" applyAlignment="1">
      <alignment horizontal="right" vertical="top"/>
    </xf>
    <xf numFmtId="49" fontId="0" fillId="0" borderId="10" xfId="0" applyNumberFormat="1" applyFill="1" applyBorder="1" applyAlignment="1">
      <alignment horizontal="right" vertical="top"/>
    </xf>
    <xf numFmtId="49" fontId="0" fillId="0" borderId="11" xfId="0" applyNumberFormat="1" applyFill="1" applyBorder="1" applyAlignment="1">
      <alignment horizontal="right" vertical="top"/>
    </xf>
    <xf numFmtId="14" fontId="0" fillId="0" borderId="31" xfId="0" applyNumberFormat="1" applyFont="1" applyFill="1" applyBorder="1"/>
    <xf numFmtId="0" fontId="0" fillId="0" borderId="32" xfId="0" applyFont="1" applyFill="1" applyBorder="1"/>
    <xf numFmtId="0" fontId="0" fillId="0" borderId="33" xfId="0" applyFont="1" applyFill="1" applyBorder="1"/>
    <xf numFmtId="0" fontId="0" fillId="0" borderId="32" xfId="0" applyNumberFormat="1" applyFont="1" applyFill="1" applyBorder="1"/>
    <xf numFmtId="0" fontId="0" fillId="0" borderId="0" xfId="0" applyNumberFormat="1" applyFill="1" applyBorder="1" applyProtection="1">
      <protection locked="0"/>
    </xf>
    <xf numFmtId="0" fontId="0" fillId="0" borderId="5" xfId="0" applyNumberFormat="1" applyFill="1" applyBorder="1" applyAlignment="1">
      <alignment horizontal="right" vertical="top"/>
    </xf>
    <xf numFmtId="164" fontId="15" fillId="5" borderId="4" xfId="0" applyNumberFormat="1" applyFont="1" applyFill="1" applyBorder="1" applyAlignment="1" applyProtection="1">
      <alignment horizontal="right" vertical="center"/>
    </xf>
    <xf numFmtId="2" fontId="15" fillId="5" borderId="4" xfId="0" applyNumberFormat="1" applyFont="1" applyFill="1" applyBorder="1" applyAlignment="1" applyProtection="1">
      <alignment horizontal="right" vertical="center"/>
    </xf>
    <xf numFmtId="0" fontId="0" fillId="0" borderId="4" xfId="0" applyFont="1" applyFill="1" applyBorder="1" applyAlignment="1" applyProtection="1"/>
    <xf numFmtId="164" fontId="15" fillId="5" borderId="4" xfId="0" applyNumberFormat="1" applyFont="1" applyFill="1" applyBorder="1" applyAlignment="1" applyProtection="1"/>
    <xf numFmtId="0" fontId="0" fillId="8" borderId="0" xfId="0" applyFont="1" applyFill="1" applyBorder="1" applyAlignment="1" applyProtection="1"/>
    <xf numFmtId="165" fontId="15" fillId="5" borderId="27" xfId="0" applyNumberFormat="1" applyFont="1" applyFill="1" applyBorder="1" applyAlignment="1" applyProtection="1"/>
    <xf numFmtId="0" fontId="15" fillId="5" borderId="27" xfId="0" applyFont="1" applyFill="1" applyBorder="1" applyAlignment="1" applyProtection="1"/>
    <xf numFmtId="0" fontId="18" fillId="0" borderId="1" xfId="0" applyFont="1" applyFill="1" applyBorder="1" applyAlignment="1">
      <alignment horizontal="left" vertical="top"/>
    </xf>
    <xf numFmtId="0" fontId="18" fillId="0" borderId="3" xfId="0" applyFont="1" applyFill="1" applyBorder="1" applyAlignment="1">
      <alignment horizontal="left" vertical="top"/>
    </xf>
    <xf numFmtId="0" fontId="0" fillId="0" borderId="0" xfId="0" applyBorder="1" applyAlignment="1">
      <alignment horizontal="right"/>
    </xf>
    <xf numFmtId="15" fontId="0" fillId="0" borderId="20" xfId="0" applyNumberFormat="1" applyFill="1" applyBorder="1" applyAlignment="1" applyProtection="1">
      <alignment horizontal="left"/>
      <protection locked="0"/>
    </xf>
    <xf numFmtId="0" fontId="0" fillId="0" borderId="32" xfId="0" applyFill="1" applyBorder="1"/>
    <xf numFmtId="0" fontId="0" fillId="0" borderId="11" xfId="0" applyNumberFormat="1" applyFill="1" applyBorder="1" applyAlignment="1">
      <alignment horizontal="right" vertical="top"/>
    </xf>
    <xf numFmtId="0" fontId="0" fillId="0" borderId="10" xfId="0" applyNumberFormat="1" applyFill="1" applyBorder="1" applyAlignment="1">
      <alignment horizontal="right" vertical="top"/>
    </xf>
    <xf numFmtId="165" fontId="2" fillId="0" borderId="4" xfId="0" applyNumberFormat="1" applyFont="1" applyFill="1" applyBorder="1" applyAlignment="1" applyProtection="1">
      <alignment horizontal="right" vertical="center"/>
      <protection locked="0"/>
    </xf>
    <xf numFmtId="165" fontId="0" fillId="0" borderId="0" xfId="0" applyNumberFormat="1" applyFill="1" applyBorder="1" applyProtection="1">
      <protection locked="0"/>
    </xf>
    <xf numFmtId="165" fontId="0" fillId="0" borderId="0" xfId="0" applyNumberFormat="1" applyFill="1" applyProtection="1">
      <protection locked="0"/>
    </xf>
    <xf numFmtId="0" fontId="2" fillId="0" borderId="4" xfId="0" applyNumberFormat="1" applyFont="1" applyFill="1" applyBorder="1" applyAlignment="1" applyProtection="1">
      <alignment horizontal="right" vertical="center"/>
      <protection locked="0"/>
    </xf>
    <xf numFmtId="0" fontId="0" fillId="0" borderId="0" xfId="0" applyNumberFormat="1" applyFill="1" applyProtection="1">
      <protection locked="0"/>
    </xf>
    <xf numFmtId="165" fontId="0" fillId="0" borderId="0" xfId="0" applyNumberFormat="1" applyBorder="1"/>
    <xf numFmtId="1" fontId="0" fillId="0" borderId="0" xfId="0" applyNumberFormat="1" applyFill="1" applyBorder="1" applyProtection="1">
      <protection locked="0"/>
    </xf>
    <xf numFmtId="1" fontId="0" fillId="0" borderId="0" xfId="0" applyNumberFormat="1" applyBorder="1"/>
    <xf numFmtId="1" fontId="20" fillId="0" borderId="4" xfId="0" applyNumberFormat="1" applyFont="1" applyFill="1" applyBorder="1" applyAlignment="1">
      <alignment horizontal="center" vertical="center" wrapText="1"/>
    </xf>
    <xf numFmtId="0" fontId="0" fillId="0" borderId="7" xfId="0" applyBorder="1"/>
    <xf numFmtId="49" fontId="0" fillId="0" borderId="3" xfId="0" applyNumberFormat="1" applyFill="1" applyBorder="1" applyAlignment="1">
      <alignment horizontal="right"/>
    </xf>
    <xf numFmtId="1" fontId="19" fillId="0" borderId="3" xfId="0" applyNumberFormat="1" applyFont="1" applyFill="1" applyBorder="1" applyAlignment="1"/>
    <xf numFmtId="1" fontId="0" fillId="0" borderId="3" xfId="0" applyNumberFormat="1" applyFill="1" applyBorder="1" applyAlignment="1"/>
    <xf numFmtId="1" fontId="0" fillId="0" borderId="10" xfId="0" applyNumberFormat="1" applyFill="1" applyBorder="1" applyAlignment="1"/>
    <xf numFmtId="165" fontId="5" fillId="0" borderId="10" xfId="0" applyNumberFormat="1" applyFont="1" applyFill="1" applyBorder="1" applyProtection="1">
      <protection locked="0"/>
    </xf>
    <xf numFmtId="0" fontId="5" fillId="0" borderId="10" xfId="0" applyFont="1" applyFill="1" applyBorder="1" applyProtection="1">
      <protection locked="0"/>
    </xf>
    <xf numFmtId="49" fontId="15" fillId="0" borderId="8" xfId="0" applyNumberFormat="1" applyFont="1" applyFill="1" applyBorder="1" applyAlignment="1" applyProtection="1">
      <alignment horizontal="right" vertical="center"/>
      <protection locked="0"/>
    </xf>
    <xf numFmtId="49" fontId="15" fillId="0" borderId="4" xfId="0" applyNumberFormat="1" applyFont="1" applyFill="1" applyBorder="1" applyAlignment="1" applyProtection="1">
      <alignment horizontal="right" vertical="center"/>
      <protection locked="0"/>
    </xf>
    <xf numFmtId="49" fontId="15" fillId="0" borderId="4" xfId="0" applyNumberFormat="1" applyFont="1" applyFill="1" applyBorder="1" applyAlignment="1" applyProtection="1">
      <alignment horizontal="right" vertical="center" wrapText="1"/>
      <protection locked="0"/>
    </xf>
    <xf numFmtId="49" fontId="15" fillId="0" borderId="28" xfId="0" applyNumberFormat="1" applyFont="1" applyFill="1" applyBorder="1" applyAlignment="1" applyProtection="1">
      <alignment horizontal="right" vertical="center" wrapText="1"/>
      <protection locked="0"/>
    </xf>
    <xf numFmtId="166" fontId="1" fillId="5" borderId="3" xfId="0" applyNumberFormat="1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166" fontId="1" fillId="5" borderId="10" xfId="0" applyNumberFormat="1" applyFont="1" applyFill="1" applyBorder="1" applyAlignment="1">
      <alignment horizontal="left" vertical="top" wrapText="1"/>
    </xf>
    <xf numFmtId="166" fontId="0" fillId="0" borderId="4" xfId="0" applyNumberFormat="1" applyFont="1" applyFill="1" applyBorder="1" applyAlignment="1" applyProtection="1">
      <alignment horizontal="left" shrinkToFit="1"/>
      <protection locked="0"/>
    </xf>
    <xf numFmtId="166" fontId="15" fillId="5" borderId="5" xfId="0" applyNumberFormat="1" applyFont="1" applyFill="1" applyBorder="1" applyAlignment="1">
      <alignment vertical="center"/>
    </xf>
    <xf numFmtId="49" fontId="22" fillId="0" borderId="8" xfId="0" applyNumberFormat="1" applyFont="1" applyFill="1" applyBorder="1" applyAlignment="1">
      <alignment horizontal="center" vertical="center"/>
    </xf>
    <xf numFmtId="49" fontId="22" fillId="0" borderId="4" xfId="0" applyNumberFormat="1" applyFont="1" applyFill="1" applyBorder="1" applyAlignment="1">
      <alignment horizontal="center" vertical="center"/>
    </xf>
    <xf numFmtId="49" fontId="22" fillId="0" borderId="28" xfId="0" applyNumberFormat="1" applyFont="1" applyFill="1" applyBorder="1" applyAlignment="1">
      <alignment horizontal="center" vertical="center" wrapText="1"/>
    </xf>
    <xf numFmtId="13" fontId="5" fillId="0" borderId="7" xfId="0" applyNumberFormat="1" applyFont="1" applyBorder="1" applyAlignment="1">
      <alignment vertical="center"/>
    </xf>
    <xf numFmtId="165" fontId="5" fillId="0" borderId="0" xfId="0" applyNumberFormat="1" applyFont="1"/>
    <xf numFmtId="166" fontId="4" fillId="0" borderId="3" xfId="0" applyNumberFormat="1" applyFont="1" applyFill="1" applyBorder="1" applyAlignment="1">
      <alignment horizontal="right" vertical="top" wrapText="1"/>
    </xf>
    <xf numFmtId="165" fontId="13" fillId="0" borderId="5" xfId="0" applyNumberFormat="1" applyFont="1" applyFill="1" applyBorder="1" applyProtection="1">
      <protection locked="0"/>
    </xf>
    <xf numFmtId="165" fontId="13" fillId="0" borderId="11" xfId="0" applyNumberFormat="1" applyFont="1" applyFill="1" applyBorder="1" applyProtection="1">
      <protection locked="0"/>
    </xf>
    <xf numFmtId="49" fontId="15" fillId="2" borderId="0" xfId="0" applyNumberFormat="1" applyFont="1" applyFill="1" applyAlignment="1">
      <alignment horizontal="right" vertical="center"/>
    </xf>
    <xf numFmtId="49" fontId="15" fillId="0" borderId="0" xfId="0" applyNumberFormat="1" applyFont="1" applyFill="1" applyAlignment="1">
      <alignment horizontal="right" vertical="center"/>
    </xf>
    <xf numFmtId="0" fontId="5" fillId="0" borderId="3" xfId="0" applyFont="1" applyFill="1" applyBorder="1" applyAlignment="1" applyProtection="1">
      <alignment horizontal="right" wrapText="1"/>
      <protection locked="0"/>
    </xf>
    <xf numFmtId="0" fontId="0" fillId="0" borderId="0" xfId="0" applyFill="1" applyAlignment="1">
      <alignment horizontal="left" vertical="top" wrapText="1"/>
    </xf>
    <xf numFmtId="0" fontId="0" fillId="0" borderId="0" xfId="0" applyFill="1" applyBorder="1" applyAlignment="1"/>
    <xf numFmtId="0" fontId="0" fillId="4" borderId="13" xfId="0" applyFill="1" applyBorder="1" applyAlignment="1"/>
    <xf numFmtId="0" fontId="0" fillId="8" borderId="0" xfId="0" applyFill="1" applyBorder="1" applyAlignment="1"/>
    <xf numFmtId="49" fontId="0" fillId="0" borderId="7" xfId="0" applyNumberFormat="1" applyFill="1" applyBorder="1" applyAlignment="1">
      <alignment horizontal="left" vertical="top"/>
    </xf>
    <xf numFmtId="49" fontId="0" fillId="0" borderId="9" xfId="0" applyNumberFormat="1" applyFill="1" applyBorder="1" applyAlignment="1">
      <alignment horizontal="left" vertical="top"/>
    </xf>
    <xf numFmtId="49" fontId="0" fillId="0" borderId="10" xfId="0" applyNumberFormat="1" applyFill="1" applyBorder="1" applyAlignment="1">
      <alignment horizontal="left" vertical="top"/>
    </xf>
    <xf numFmtId="49" fontId="0" fillId="0" borderId="3" xfId="0" applyNumberFormat="1" applyFill="1" applyBorder="1" applyAlignment="1">
      <alignment horizontal="left" vertical="top"/>
    </xf>
    <xf numFmtId="49" fontId="0" fillId="0" borderId="1" xfId="0" applyNumberFormat="1" applyFill="1" applyBorder="1" applyAlignment="1">
      <alignment horizontal="left" vertical="top"/>
    </xf>
    <xf numFmtId="165" fontId="0" fillId="0" borderId="3" xfId="0" applyNumberFormat="1" applyFill="1" applyBorder="1" applyAlignment="1">
      <alignment horizontal="right" vertical="top"/>
    </xf>
    <xf numFmtId="164" fontId="14" fillId="5" borderId="0" xfId="0" applyNumberFormat="1" applyFont="1" applyFill="1" applyAlignment="1">
      <alignment horizontal="right"/>
    </xf>
    <xf numFmtId="165" fontId="0" fillId="0" borderId="10" xfId="0" applyNumberFormat="1" applyFill="1" applyBorder="1" applyAlignment="1">
      <alignment horizontal="right" vertical="top"/>
    </xf>
    <xf numFmtId="164" fontId="14" fillId="5" borderId="10" xfId="0" applyNumberFormat="1" applyFont="1" applyFill="1" applyBorder="1" applyAlignment="1">
      <alignment horizontal="right"/>
    </xf>
    <xf numFmtId="164" fontId="14" fillId="5" borderId="0" xfId="0" applyNumberFormat="1" applyFont="1" applyFill="1" applyAlignment="1">
      <alignment horizontal="right" vertical="top"/>
    </xf>
    <xf numFmtId="0" fontId="0" fillId="0" borderId="7" xfId="0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left" vertical="top"/>
    </xf>
    <xf numFmtId="0" fontId="0" fillId="0" borderId="3" xfId="0" applyFill="1" applyBorder="1" applyAlignment="1">
      <alignment horizontal="left" vertical="top" wrapText="1"/>
    </xf>
    <xf numFmtId="0" fontId="0" fillId="0" borderId="3" xfId="0" applyNumberFormat="1" applyFill="1" applyBorder="1" applyAlignment="1">
      <alignment horizontal="right" vertical="top"/>
    </xf>
    <xf numFmtId="0" fontId="0" fillId="0" borderId="3" xfId="0" applyFill="1" applyBorder="1" applyAlignment="1">
      <alignment horizontal="left" vertical="top"/>
    </xf>
    <xf numFmtId="164" fontId="14" fillId="5" borderId="10" xfId="0" applyNumberFormat="1" applyFont="1" applyFill="1" applyBorder="1" applyAlignment="1">
      <alignment horizontal="right" vertical="top"/>
    </xf>
    <xf numFmtId="164" fontId="14" fillId="5" borderId="3" xfId="0" applyNumberFormat="1" applyFont="1" applyFill="1" applyBorder="1" applyAlignment="1">
      <alignment horizontal="right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49" fontId="0" fillId="11" borderId="3" xfId="0" applyNumberFormat="1" applyFill="1" applyBorder="1" applyAlignment="1">
      <alignment horizontal="left" vertical="top"/>
    </xf>
    <xf numFmtId="49" fontId="4" fillId="11" borderId="3" xfId="0" applyNumberFormat="1" applyFont="1" applyFill="1" applyBorder="1" applyAlignment="1">
      <alignment horizontal="left" vertical="top"/>
    </xf>
    <xf numFmtId="49" fontId="4" fillId="11" borderId="10" xfId="0" applyNumberFormat="1" applyFont="1" applyFill="1" applyBorder="1" applyAlignment="1">
      <alignment horizontal="left" vertical="top"/>
    </xf>
    <xf numFmtId="49" fontId="4" fillId="11" borderId="0" xfId="0" applyNumberFormat="1" applyFont="1" applyFill="1" applyBorder="1" applyAlignment="1">
      <alignment horizontal="left" vertical="top"/>
    </xf>
    <xf numFmtId="49" fontId="4" fillId="11" borderId="6" xfId="0" applyNumberFormat="1" applyFont="1" applyFill="1" applyBorder="1" applyAlignment="1">
      <alignment horizontal="left" vertical="top"/>
    </xf>
    <xf numFmtId="0" fontId="0" fillId="2" borderId="0" xfId="0" applyFill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2" fontId="15" fillId="5" borderId="4" xfId="0" applyNumberFormat="1" applyFont="1" applyFill="1" applyBorder="1" applyAlignment="1" applyProtection="1"/>
    <xf numFmtId="0" fontId="0" fillId="0" borderId="10" xfId="0" applyFill="1" applyBorder="1" applyAlignment="1" applyProtection="1">
      <protection locked="0"/>
    </xf>
    <xf numFmtId="1" fontId="16" fillId="0" borderId="3" xfId="0" applyNumberFormat="1" applyFont="1" applyFill="1" applyBorder="1" applyAlignment="1"/>
    <xf numFmtId="49" fontId="0" fillId="0" borderId="9" xfId="0" applyNumberFormat="1" applyFill="1" applyBorder="1" applyAlignment="1"/>
    <xf numFmtId="166" fontId="4" fillId="0" borderId="10" xfId="0" applyNumberFormat="1" applyFont="1" applyFill="1" applyBorder="1" applyAlignment="1" applyProtection="1">
      <alignment horizontal="right" vertical="top" wrapText="1"/>
      <protection locked="0"/>
    </xf>
    <xf numFmtId="49" fontId="0" fillId="0" borderId="6" xfId="0" applyNumberFormat="1" applyFill="1" applyBorder="1" applyAlignment="1">
      <alignment horizontal="left" vertical="top"/>
    </xf>
    <xf numFmtId="49" fontId="0" fillId="0" borderId="10" xfId="0" applyNumberFormat="1" applyFill="1" applyBorder="1" applyAlignment="1">
      <alignment horizontal="right"/>
    </xf>
    <xf numFmtId="0" fontId="0" fillId="0" borderId="10" xfId="0" applyFill="1" applyBorder="1" applyAlignment="1"/>
    <xf numFmtId="14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NumberFormat="1" applyFont="1" applyFill="1" applyBorder="1"/>
    <xf numFmtId="14" fontId="0" fillId="0" borderId="0" xfId="0" applyNumberFormat="1" applyFont="1" applyFill="1" applyBorder="1" applyAlignment="1" applyProtection="1">
      <alignment horizontal="left" shrinkToFit="1"/>
      <protection locked="0"/>
    </xf>
    <xf numFmtId="0" fontId="0" fillId="0" borderId="0" xfId="0" applyFill="1" applyBorder="1" applyAlignment="1" applyProtection="1">
      <alignment horizontal="left" shrinkToFit="1"/>
      <protection locked="0"/>
    </xf>
    <xf numFmtId="0" fontId="0" fillId="0" borderId="0" xfId="0" applyFill="1" applyBorder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shrinkToFit="1"/>
      <protection locked="0"/>
    </xf>
    <xf numFmtId="49" fontId="4" fillId="11" borderId="0" xfId="0" applyNumberFormat="1" applyFont="1" applyFill="1" applyAlignment="1">
      <alignment horizontal="left" vertical="top"/>
    </xf>
    <xf numFmtId="0" fontId="0" fillId="0" borderId="6" xfId="0" applyFill="1" applyBorder="1" applyAlignment="1">
      <alignment horizontal="left" vertical="top" wrapText="1"/>
    </xf>
    <xf numFmtId="0" fontId="23" fillId="11" borderId="6" xfId="0" applyFont="1" applyFill="1" applyBorder="1" applyAlignment="1">
      <alignment horizontal="left" vertical="top" wrapText="1"/>
    </xf>
    <xf numFmtId="164" fontId="14" fillId="5" borderId="3" xfId="0" applyNumberFormat="1" applyFont="1" applyFill="1" applyBorder="1" applyAlignment="1">
      <alignment horizontal="right" vertical="top"/>
    </xf>
    <xf numFmtId="166" fontId="13" fillId="0" borderId="3" xfId="0" applyNumberFormat="1" applyFont="1" applyFill="1" applyBorder="1" applyAlignment="1">
      <alignment horizontal="left" wrapText="1"/>
    </xf>
    <xf numFmtId="166" fontId="13" fillId="0" borderId="4" xfId="0" applyNumberFormat="1" applyFont="1" applyFill="1" applyBorder="1" applyAlignment="1" applyProtection="1">
      <alignment horizontal="left"/>
      <protection locked="0"/>
    </xf>
    <xf numFmtId="166" fontId="13" fillId="0" borderId="0" xfId="0" applyNumberFormat="1" applyFont="1" applyFill="1" applyBorder="1" applyAlignment="1" applyProtection="1">
      <alignment horizontal="left"/>
      <protection locked="0"/>
    </xf>
    <xf numFmtId="166" fontId="13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Fill="1" applyBorder="1" applyAlignment="1" applyProtection="1">
      <protection locked="0"/>
    </xf>
    <xf numFmtId="49" fontId="14" fillId="0" borderId="4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Fill="1" applyBorder="1"/>
    <xf numFmtId="49" fontId="14" fillId="0" borderId="8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left" wrapText="1"/>
    </xf>
    <xf numFmtId="49" fontId="0" fillId="0" borderId="3" xfId="0" applyNumberFormat="1" applyFill="1" applyBorder="1" applyAlignment="1"/>
    <xf numFmtId="49" fontId="0" fillId="0" borderId="10" xfId="0" applyNumberFormat="1" applyFill="1" applyBorder="1" applyAlignment="1"/>
    <xf numFmtId="0" fontId="0" fillId="0" borderId="0" xfId="0" applyFill="1" applyBorder="1" applyProtection="1">
      <protection locked="0"/>
    </xf>
    <xf numFmtId="0" fontId="0" fillId="0" borderId="3" xfId="0" applyFill="1" applyBorder="1" applyProtection="1">
      <protection locked="0"/>
    </xf>
    <xf numFmtId="49" fontId="0" fillId="0" borderId="0" xfId="0" applyNumberFormat="1" applyFill="1" applyBorder="1" applyAlignment="1"/>
    <xf numFmtId="166" fontId="13" fillId="0" borderId="3" xfId="0" applyNumberFormat="1" applyFont="1" applyFill="1" applyBorder="1" applyAlignment="1" applyProtection="1">
      <alignment horizontal="left"/>
      <protection locked="0"/>
    </xf>
    <xf numFmtId="49" fontId="14" fillId="2" borderId="4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167" fontId="14" fillId="0" borderId="4" xfId="0" applyNumberFormat="1" applyFont="1" applyFill="1" applyBorder="1" applyAlignment="1">
      <alignment horizontal="center" vertical="center" wrapText="1"/>
    </xf>
    <xf numFmtId="168" fontId="14" fillId="0" borderId="4" xfId="0" applyNumberFormat="1" applyFont="1" applyFill="1" applyBorder="1" applyAlignment="1">
      <alignment horizontal="center" vertical="center" wrapText="1"/>
    </xf>
    <xf numFmtId="165" fontId="16" fillId="0" borderId="3" xfId="0" applyNumberFormat="1" applyFont="1" applyFill="1" applyBorder="1" applyAlignment="1">
      <alignment horizontal="right" vertical="top"/>
    </xf>
    <xf numFmtId="0" fontId="16" fillId="0" borderId="3" xfId="0" applyFont="1" applyFill="1" applyBorder="1" applyAlignment="1">
      <alignment horizontal="right" vertical="top"/>
    </xf>
    <xf numFmtId="2" fontId="16" fillId="0" borderId="5" xfId="0" applyNumberFormat="1" applyFont="1" applyFill="1" applyBorder="1" applyAlignment="1">
      <alignment horizontal="right" vertical="top"/>
    </xf>
    <xf numFmtId="0" fontId="0" fillId="0" borderId="3" xfId="0" applyFill="1" applyBorder="1" applyAlignment="1" applyProtection="1">
      <protection locked="0"/>
    </xf>
    <xf numFmtId="0" fontId="0" fillId="0" borderId="10" xfId="0" applyFill="1" applyBorder="1" applyProtection="1">
      <protection locked="0"/>
    </xf>
    <xf numFmtId="169" fontId="2" fillId="0" borderId="4" xfId="0" applyNumberFormat="1" applyFont="1" applyFill="1" applyBorder="1" applyAlignment="1" applyProtection="1">
      <alignment horizontal="left" vertical="top"/>
      <protection locked="0"/>
    </xf>
    <xf numFmtId="169" fontId="0" fillId="0" borderId="0" xfId="0" applyNumberFormat="1" applyFill="1" applyBorder="1" applyAlignment="1" applyProtection="1">
      <alignment horizontal="left"/>
      <protection locked="0"/>
    </xf>
    <xf numFmtId="169" fontId="0" fillId="0" borderId="0" xfId="0" applyNumberFormat="1" applyFill="1" applyBorder="1" applyAlignment="1" applyProtection="1">
      <alignment horizontal="left" vertical="top"/>
      <protection locked="0"/>
    </xf>
    <xf numFmtId="169" fontId="0" fillId="0" borderId="0" xfId="0" applyNumberFormat="1" applyFill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left"/>
    </xf>
    <xf numFmtId="0" fontId="15" fillId="5" borderId="26" xfId="0" applyFont="1" applyFill="1" applyBorder="1" applyAlignment="1">
      <alignment horizontal="left"/>
    </xf>
    <xf numFmtId="0" fontId="15" fillId="5" borderId="26" xfId="0" applyFont="1" applyFill="1" applyBorder="1" applyAlignment="1">
      <alignment horizontal="right" vertical="center"/>
    </xf>
    <xf numFmtId="0" fontId="15" fillId="5" borderId="3" xfId="0" applyFont="1" applyFill="1" applyBorder="1" applyAlignment="1">
      <alignment horizontal="right" vertical="center"/>
    </xf>
    <xf numFmtId="0" fontId="15" fillId="5" borderId="3" xfId="0" applyFont="1" applyFill="1" applyBorder="1" applyAlignment="1"/>
    <xf numFmtId="0" fontId="15" fillId="5" borderId="3" xfId="0" applyFont="1" applyFill="1" applyBorder="1" applyAlignment="1">
      <alignment horizontal="center" vertical="center"/>
    </xf>
    <xf numFmtId="0" fontId="15" fillId="5" borderId="26" xfId="0" applyFont="1" applyFill="1" applyBorder="1" applyAlignment="1"/>
    <xf numFmtId="0" fontId="15" fillId="5" borderId="1" xfId="0" applyFont="1" applyFill="1" applyBorder="1" applyAlignment="1">
      <alignment horizontal="center" vertical="center"/>
    </xf>
    <xf numFmtId="0" fontId="15" fillId="5" borderId="26" xfId="0" applyFont="1" applyFill="1" applyBorder="1" applyAlignment="1">
      <alignment horizontal="center" vertical="center"/>
    </xf>
    <xf numFmtId="0" fontId="15" fillId="5" borderId="1" xfId="0" applyFont="1" applyFill="1" applyBorder="1" applyAlignment="1"/>
    <xf numFmtId="0" fontId="15" fillId="5" borderId="23" xfId="0" applyFont="1" applyFill="1" applyBorder="1" applyAlignment="1"/>
    <xf numFmtId="49" fontId="4" fillId="11" borderId="1" xfId="0" applyNumberFormat="1" applyFont="1" applyFill="1" applyBorder="1" applyAlignment="1">
      <alignment horizontal="left" vertical="top"/>
    </xf>
    <xf numFmtId="165" fontId="21" fillId="0" borderId="4" xfId="0" applyNumberFormat="1" applyFont="1" applyFill="1" applyBorder="1" applyAlignment="1">
      <alignment horizontal="center" vertical="center" wrapText="1"/>
    </xf>
    <xf numFmtId="49" fontId="14" fillId="2" borderId="28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left" vertical="top" wrapText="1"/>
    </xf>
    <xf numFmtId="165" fontId="16" fillId="0" borderId="3" xfId="0" applyNumberFormat="1" applyFont="1" applyBorder="1"/>
    <xf numFmtId="0" fontId="0" fillId="0" borderId="3" xfId="0" applyNumberFormat="1" applyFill="1" applyBorder="1" applyAlignment="1"/>
    <xf numFmtId="0" fontId="0" fillId="2" borderId="3" xfId="0" applyNumberFormat="1" applyFill="1" applyBorder="1" applyAlignment="1"/>
    <xf numFmtId="0" fontId="0" fillId="2" borderId="5" xfId="0" applyNumberFormat="1" applyFill="1" applyBorder="1" applyAlignment="1"/>
    <xf numFmtId="165" fontId="0" fillId="0" borderId="10" xfId="0" applyNumberFormat="1" applyFill="1" applyBorder="1" applyAlignment="1"/>
    <xf numFmtId="0" fontId="0" fillId="0" borderId="10" xfId="0" applyNumberFormat="1" applyFill="1" applyBorder="1" applyAlignment="1"/>
    <xf numFmtId="0" fontId="0" fillId="2" borderId="10" xfId="0" applyNumberFormat="1" applyFill="1" applyBorder="1" applyAlignment="1"/>
    <xf numFmtId="0" fontId="0" fillId="2" borderId="11" xfId="0" applyNumberFormat="1" applyFill="1" applyBorder="1" applyAlignment="1"/>
    <xf numFmtId="14" fontId="2" fillId="9" borderId="3" xfId="0" applyNumberFormat="1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49" fontId="0" fillId="0" borderId="19" xfId="0" applyNumberFormat="1" applyFill="1" applyBorder="1" applyAlignment="1" applyProtection="1">
      <alignment horizontal="center"/>
      <protection locked="0"/>
    </xf>
    <xf numFmtId="49" fontId="0" fillId="0" borderId="20" xfId="0" applyNumberFormat="1" applyFill="1" applyBorder="1" applyAlignment="1" applyProtection="1">
      <alignment horizontal="center"/>
      <protection locked="0"/>
    </xf>
    <xf numFmtId="49" fontId="0" fillId="0" borderId="19" xfId="0" applyNumberFormat="1" applyFill="1" applyBorder="1" applyAlignment="1" applyProtection="1">
      <alignment horizontal="center" vertical="center"/>
      <protection locked="0"/>
    </xf>
    <xf numFmtId="49" fontId="0" fillId="0" borderId="13" xfId="0" applyNumberFormat="1" applyFill="1" applyBorder="1" applyAlignment="1" applyProtection="1">
      <alignment horizontal="center" vertical="center"/>
      <protection locked="0"/>
    </xf>
    <xf numFmtId="49" fontId="0" fillId="0" borderId="20" xfId="0" applyNumberFormat="1" applyFill="1" applyBorder="1" applyAlignment="1" applyProtection="1">
      <alignment horizontal="center" vertical="center"/>
      <protection locked="0"/>
    </xf>
    <xf numFmtId="49" fontId="0" fillId="0" borderId="13" xfId="0" applyNumberFormat="1" applyFill="1" applyBorder="1" applyAlignment="1" applyProtection="1">
      <alignment horizontal="center"/>
      <protection locked="0"/>
    </xf>
    <xf numFmtId="49" fontId="6" fillId="6" borderId="19" xfId="0" applyNumberFormat="1" applyFont="1" applyFill="1" applyBorder="1" applyAlignment="1">
      <alignment horizontal="center" vertical="center"/>
    </xf>
    <xf numFmtId="49" fontId="6" fillId="6" borderId="13" xfId="0" applyNumberFormat="1" applyFont="1" applyFill="1" applyBorder="1" applyAlignment="1">
      <alignment horizontal="center" vertical="center"/>
    </xf>
    <xf numFmtId="49" fontId="6" fillId="6" borderId="20" xfId="0" applyNumberFormat="1" applyFont="1" applyFill="1" applyBorder="1" applyAlignment="1">
      <alignment horizontal="center" vertical="center"/>
    </xf>
    <xf numFmtId="49" fontId="6" fillId="6" borderId="19" xfId="0" applyNumberFormat="1" applyFont="1" applyFill="1" applyBorder="1" applyAlignment="1">
      <alignment horizontal="center"/>
    </xf>
    <xf numFmtId="49" fontId="6" fillId="6" borderId="13" xfId="0" applyNumberFormat="1" applyFont="1" applyFill="1" applyBorder="1" applyAlignment="1">
      <alignment horizontal="center"/>
    </xf>
    <xf numFmtId="49" fontId="6" fillId="6" borderId="18" xfId="0" applyNumberFormat="1" applyFont="1" applyFill="1" applyBorder="1" applyAlignment="1">
      <alignment horizontal="left"/>
    </xf>
    <xf numFmtId="49" fontId="0" fillId="0" borderId="18" xfId="0" applyNumberFormat="1" applyFill="1" applyBorder="1" applyAlignment="1" applyProtection="1">
      <alignment horizontal="left"/>
      <protection locked="0"/>
    </xf>
    <xf numFmtId="49" fontId="6" fillId="6" borderId="20" xfId="0" applyNumberFormat="1" applyFont="1" applyFill="1" applyBorder="1" applyAlignment="1">
      <alignment horizontal="center"/>
    </xf>
    <xf numFmtId="49" fontId="8" fillId="0" borderId="19" xfId="1" applyNumberFormat="1" applyFill="1" applyBorder="1" applyAlignment="1" applyProtection="1">
      <alignment horizontal="center"/>
      <protection locked="0"/>
    </xf>
    <xf numFmtId="49" fontId="8" fillId="0" borderId="13" xfId="1" applyNumberFormat="1" applyFill="1" applyBorder="1" applyAlignment="1" applyProtection="1">
      <alignment horizontal="center"/>
      <protection locked="0"/>
    </xf>
    <xf numFmtId="49" fontId="8" fillId="0" borderId="20" xfId="1" applyNumberForma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158">
    <dxf>
      <font>
        <b val="0"/>
        <i/>
        <strike/>
        <color theme="0"/>
      </font>
      <fill>
        <patternFill>
          <bgColor rgb="FFFF0000"/>
        </patternFill>
      </fill>
    </dxf>
    <dxf>
      <font>
        <b val="0"/>
        <i/>
        <strike/>
        <color theme="0"/>
      </font>
      <fill>
        <patternFill>
          <bgColor rgb="FFFF0000"/>
        </patternFill>
      </fill>
    </dxf>
    <dxf>
      <font>
        <b val="0"/>
        <i/>
        <strike/>
        <color theme="0"/>
      </font>
      <fill>
        <patternFill>
          <bgColor rgb="FFFF0000"/>
        </patternFill>
      </fill>
    </dxf>
    <dxf>
      <font>
        <b val="0"/>
        <i/>
        <strike/>
        <color theme="0"/>
      </font>
      <fill>
        <patternFill>
          <bgColor rgb="FFFF0000"/>
        </patternFill>
      </fill>
    </dxf>
    <dxf>
      <font>
        <b val="0"/>
        <i/>
        <strike/>
        <color theme="0"/>
      </font>
      <fill>
        <patternFill>
          <bgColor rgb="FFFF0000"/>
        </patternFill>
      </fill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6" formatCode="mmmm\-yyyy"/>
      <fill>
        <patternFill patternType="solid">
          <fgColor indexed="64"/>
          <bgColor rgb="FFFF0000"/>
        </patternFill>
      </fill>
      <alignment horizontal="left" vertical="top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top" textRotation="0" wrapText="1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top" textRotation="0" wrapText="0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left" vertical="top" textRotation="0" wrapText="1" indent="0" relativeIndent="0" justifyLastLine="0" shrinkToFit="0" mergeCell="0" readingOrder="0"/>
    </dxf>
    <dxf>
      <numFmt numFmtId="30" formatCode="@"/>
      <fill>
        <patternFill patternType="none">
          <fgColor indexed="64"/>
          <bgColor indexed="65"/>
        </patternFill>
      </fill>
      <alignment horizontal="right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right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.00\ &quot;€&quot;"/>
      <fill>
        <patternFill patternType="none">
          <fgColor indexed="64"/>
          <bgColor indexed="65"/>
        </patternFill>
      </fill>
      <alignment horizontal="right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right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right" vertical="top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1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top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top" textRotation="0" wrapText="0" indent="0" relativeIndent="0" justifyLastLine="0" shrinkToFit="0" mergeCell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relativeIndent="255" justifyLastLine="0" shrinkToFit="0" mergeCell="0" readingOrder="0"/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9" tint="0.39997558519241921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theme="9" tint="0.39997558519241921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right" vertical="bottom" textRotation="0" wrapText="0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</dxf>
    <dxf>
      <border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0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0" hidden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0" hidden="0"/>
    </dxf>
    <dxf>
      <numFmt numFmtId="169" formatCode="mmmm_a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  <protection locked="0" hidden="0"/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top/>
      </border>
      <protection locked="0" hidden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alignment textRotation="0" wrapText="0" indent="0" relativeIndent="0" justifyLastLine="0" shrinkToFit="0" mergeCell="0" readingOrder="0"/>
      <border diagonalUp="0" diagonalDown="0" outline="0">
        <top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protection locked="0" hidden="0"/>
    </dxf>
    <dxf>
      <numFmt numFmtId="1" formatCode="0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protection locked="0" hidden="0"/>
    </dxf>
    <dxf>
      <numFmt numFmtId="165" formatCode="#,##0.00\ &quot;€&quot;"/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ill>
        <patternFill patternType="none">
          <fgColor indexed="64"/>
          <bgColor indexed="65"/>
        </patternFill>
      </fill>
      <protection locked="0" hidden="0"/>
    </dxf>
    <dxf>
      <font>
        <b/>
        <i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6" formatCode="mmmm\-yyyy"/>
      <fill>
        <patternFill patternType="none">
          <fgColor indexed="64"/>
          <bgColor indexed="65"/>
        </patternFill>
      </fill>
      <alignment horizontal="left" vertical="bottom" textRotation="0" indent="0" relativeIndent="255" justifyLastLine="0" shrinkToFit="0" mergeCell="0" readingOrder="0"/>
      <protection locked="0" hidden="0"/>
    </dxf>
    <dxf>
      <border outline="0">
        <top style="thin">
          <color indexed="64"/>
        </top>
      </border>
    </dxf>
    <dxf>
      <fill>
        <patternFill patternType="none">
          <fgColor indexed="64"/>
          <bgColor indexed="65"/>
        </patternFill>
      </fill>
      <alignment textRotation="0" wrapText="0" indent="0" relativeIndent="0" justifyLastLine="0" shrinkToFit="0" mergeCell="0" readingOrder="0"/>
      <border diagonalUp="0" diagonalDown="0">
        <top/>
      </border>
      <protection locked="0" hidden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8" formatCode="#&quot; &quot;??/??"/>
      <alignment horizontal="general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6" formatCode="mmmm\-yyyy"/>
      <fill>
        <patternFill patternType="none">
          <fgColor indexed="64"/>
          <bgColor indexed="65"/>
        </patternFill>
      </fill>
      <alignment horizontal="right" vertical="top" textRotation="0" wrapText="1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right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87464</xdr:colOff>
      <xdr:row>13</xdr:row>
      <xdr:rowOff>119269</xdr:rowOff>
    </xdr:from>
    <xdr:ext cx="184731" cy="264560"/>
    <xdr:sp macro="" textlink="">
      <xdr:nvSpPr>
        <xdr:cNvPr id="3" name="ZoneTexte 2"/>
        <xdr:cNvSpPr txBox="1"/>
      </xdr:nvSpPr>
      <xdr:spPr>
        <a:xfrm>
          <a:off x="5939624" y="2250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4</xdr:col>
      <xdr:colOff>31808</xdr:colOff>
      <xdr:row>11</xdr:row>
      <xdr:rowOff>95417</xdr:rowOff>
    </xdr:from>
    <xdr:to>
      <xdr:col>8</xdr:col>
      <xdr:colOff>367405</xdr:colOff>
      <xdr:row>12</xdr:row>
      <xdr:rowOff>190833</xdr:rowOff>
    </xdr:to>
    <xdr:sp macro="" textlink="">
      <xdr:nvSpPr>
        <xdr:cNvPr id="6" name="ZoneTexte 5"/>
        <xdr:cNvSpPr txBox="1"/>
      </xdr:nvSpPr>
      <xdr:spPr>
        <a:xfrm>
          <a:off x="4303578" y="1778900"/>
          <a:ext cx="3022589" cy="303795"/>
        </a:xfrm>
        <a:prstGeom prst="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200" b="1" i="1" u="sng">
              <a:solidFill>
                <a:sysClr val="windowText" lastClr="000000"/>
              </a:solidFill>
            </a:rPr>
            <a:t>Choix</a:t>
          </a:r>
          <a:r>
            <a:rPr lang="fr-FR" sz="1200" b="1" i="1" u="sng" baseline="0">
              <a:solidFill>
                <a:sysClr val="windowText" lastClr="000000"/>
              </a:solidFill>
            </a:rPr>
            <a:t> multiples dans les listes deroulantes</a:t>
          </a:r>
          <a:endParaRPr lang="fr-FR" sz="1200" b="1" i="1" u="sng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1134402</xdr:colOff>
      <xdr:row>12</xdr:row>
      <xdr:rowOff>190833</xdr:rowOff>
    </xdr:from>
    <xdr:to>
      <xdr:col>5</xdr:col>
      <xdr:colOff>709587</xdr:colOff>
      <xdr:row>14</xdr:row>
      <xdr:rowOff>196966</xdr:rowOff>
    </xdr:to>
    <xdr:cxnSp macro="">
      <xdr:nvCxnSpPr>
        <xdr:cNvPr id="8" name="Connecteur droit avec flèche 7"/>
        <xdr:cNvCxnSpPr>
          <a:stCxn id="6" idx="2"/>
        </xdr:cNvCxnSpPr>
      </xdr:nvCxnSpPr>
      <xdr:spPr>
        <a:xfrm flipH="1">
          <a:off x="1540193" y="2082695"/>
          <a:ext cx="4274680" cy="4448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874647</xdr:colOff>
      <xdr:row>12</xdr:row>
      <xdr:rowOff>190833</xdr:rowOff>
    </xdr:from>
    <xdr:to>
      <xdr:col>5</xdr:col>
      <xdr:colOff>709587</xdr:colOff>
      <xdr:row>14</xdr:row>
      <xdr:rowOff>186857</xdr:rowOff>
    </xdr:to>
    <xdr:cxnSp macro="">
      <xdr:nvCxnSpPr>
        <xdr:cNvPr id="9" name="Connecteur droit avec flèche 8"/>
        <xdr:cNvCxnSpPr>
          <a:stCxn id="6" idx="2"/>
        </xdr:cNvCxnSpPr>
      </xdr:nvCxnSpPr>
      <xdr:spPr>
        <a:xfrm flipH="1">
          <a:off x="3852273" y="2082695"/>
          <a:ext cx="1962600" cy="43471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803416</xdr:colOff>
      <xdr:row>12</xdr:row>
      <xdr:rowOff>190833</xdr:rowOff>
    </xdr:from>
    <xdr:to>
      <xdr:col>5</xdr:col>
      <xdr:colOff>709587</xdr:colOff>
      <xdr:row>15</xdr:row>
      <xdr:rowOff>1325</xdr:rowOff>
    </xdr:to>
    <xdr:cxnSp macro="">
      <xdr:nvCxnSpPr>
        <xdr:cNvPr id="10" name="Connecteur droit avec flèche 9"/>
        <xdr:cNvCxnSpPr>
          <a:stCxn id="6" idx="2"/>
        </xdr:cNvCxnSpPr>
      </xdr:nvCxnSpPr>
      <xdr:spPr>
        <a:xfrm flipH="1">
          <a:off x="2574637" y="2082695"/>
          <a:ext cx="3240236" cy="44659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516839</xdr:colOff>
      <xdr:row>12</xdr:row>
      <xdr:rowOff>190833</xdr:rowOff>
    </xdr:from>
    <xdr:to>
      <xdr:col>5</xdr:col>
      <xdr:colOff>709587</xdr:colOff>
      <xdr:row>14</xdr:row>
      <xdr:rowOff>176917</xdr:rowOff>
    </xdr:to>
    <xdr:cxnSp macro="">
      <xdr:nvCxnSpPr>
        <xdr:cNvPr id="11" name="Connecteur droit avec flèche 10"/>
        <xdr:cNvCxnSpPr>
          <a:stCxn id="6" idx="2"/>
        </xdr:cNvCxnSpPr>
      </xdr:nvCxnSpPr>
      <xdr:spPr>
        <a:xfrm flipH="1">
          <a:off x="4788609" y="2082695"/>
          <a:ext cx="1026264" cy="42477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709587</xdr:colOff>
      <xdr:row>12</xdr:row>
      <xdr:rowOff>190833</xdr:rowOff>
    </xdr:from>
    <xdr:to>
      <xdr:col>10</xdr:col>
      <xdr:colOff>345471</xdr:colOff>
      <xdr:row>15</xdr:row>
      <xdr:rowOff>5484</xdr:rowOff>
    </xdr:to>
    <xdr:cxnSp macro="">
      <xdr:nvCxnSpPr>
        <xdr:cNvPr id="14" name="Connecteur droit avec flèche 13"/>
        <xdr:cNvCxnSpPr>
          <a:stCxn id="6" idx="2"/>
        </xdr:cNvCxnSpPr>
      </xdr:nvCxnSpPr>
      <xdr:spPr>
        <a:xfrm>
          <a:off x="5814873" y="2082695"/>
          <a:ext cx="2257072" cy="45075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191929</xdr:colOff>
      <xdr:row>12</xdr:row>
      <xdr:rowOff>190833</xdr:rowOff>
    </xdr:from>
    <xdr:to>
      <xdr:col>5</xdr:col>
      <xdr:colOff>709587</xdr:colOff>
      <xdr:row>14</xdr:row>
      <xdr:rowOff>170643</xdr:rowOff>
    </xdr:to>
    <xdr:cxnSp macro="">
      <xdr:nvCxnSpPr>
        <xdr:cNvPr id="37" name="Connecteur droit avec flèche 36"/>
        <xdr:cNvCxnSpPr>
          <a:stCxn id="6" idx="2"/>
        </xdr:cNvCxnSpPr>
      </xdr:nvCxnSpPr>
      <xdr:spPr>
        <a:xfrm flipH="1">
          <a:off x="191929" y="2082695"/>
          <a:ext cx="5622944" cy="41850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106173</xdr:colOff>
      <xdr:row>4</xdr:row>
      <xdr:rowOff>33676</xdr:rowOff>
    </xdr:from>
    <xdr:to>
      <xdr:col>25</xdr:col>
      <xdr:colOff>134704</xdr:colOff>
      <xdr:row>8</xdr:row>
      <xdr:rowOff>57063</xdr:rowOff>
    </xdr:to>
    <xdr:sp macro="" textlink="">
      <xdr:nvSpPr>
        <xdr:cNvPr id="12" name="Organigramme : Processus 11"/>
        <xdr:cNvSpPr/>
      </xdr:nvSpPr>
      <xdr:spPr>
        <a:xfrm>
          <a:off x="13496170" y="272215"/>
          <a:ext cx="3185198" cy="842371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Bouton</a:t>
          </a:r>
          <a:r>
            <a:rPr lang="fr-FR" sz="1200" b="1" baseline="0"/>
            <a:t> permettant l'ajout de nouveau client dans l'onglet "Fiche_Client"</a:t>
          </a:r>
          <a:endParaRPr lang="fr-FR" sz="1200" b="1"/>
        </a:p>
      </xdr:txBody>
    </xdr:sp>
    <xdr:clientData/>
  </xdr:twoCellAnchor>
  <xdr:twoCellAnchor>
    <xdr:from>
      <xdr:col>19</xdr:col>
      <xdr:colOff>71561</xdr:colOff>
      <xdr:row>10</xdr:row>
      <xdr:rowOff>55660</xdr:rowOff>
    </xdr:from>
    <xdr:to>
      <xdr:col>25</xdr:col>
      <xdr:colOff>127221</xdr:colOff>
      <xdr:row>17</xdr:row>
      <xdr:rowOff>166978</xdr:rowOff>
    </xdr:to>
    <xdr:sp macro="" textlink="">
      <xdr:nvSpPr>
        <xdr:cNvPr id="13" name="Organigramme : Processus 12"/>
        <xdr:cNvSpPr/>
      </xdr:nvSpPr>
      <xdr:spPr>
        <a:xfrm>
          <a:off x="13246872" y="1526651"/>
          <a:ext cx="3427013" cy="1550504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Bouton permettant de transferrer</a:t>
          </a:r>
          <a:r>
            <a:rPr lang="fr-FR" sz="1200" b="1" baseline="0"/>
            <a:t> les informations remplies dans la ligne 17, Cela permet de visualiser toutes les commandes passées, le jour de la saisies ,Cela sert aussi à calculer le total mensuel,</a:t>
          </a:r>
          <a:endParaRPr lang="fr-FR" sz="1200" b="1"/>
        </a:p>
      </xdr:txBody>
    </xdr:sp>
    <xdr:clientData/>
  </xdr:twoCellAnchor>
  <xdr:twoCellAnchor>
    <xdr:from>
      <xdr:col>19</xdr:col>
      <xdr:colOff>31806</xdr:colOff>
      <xdr:row>26</xdr:row>
      <xdr:rowOff>0</xdr:rowOff>
    </xdr:from>
    <xdr:to>
      <xdr:col>25</xdr:col>
      <xdr:colOff>604299</xdr:colOff>
      <xdr:row>28</xdr:row>
      <xdr:rowOff>0</xdr:rowOff>
    </xdr:to>
    <xdr:sp macro="" textlink="">
      <xdr:nvSpPr>
        <xdr:cNvPr id="15" name="Organigramme : Processus 14"/>
        <xdr:cNvSpPr/>
      </xdr:nvSpPr>
      <xdr:spPr>
        <a:xfrm>
          <a:off x="13207117" y="5057030"/>
          <a:ext cx="3943846" cy="1208598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Bouton permettant de mettre</a:t>
          </a:r>
          <a:r>
            <a:rPr lang="fr-FR" sz="1200" b="1" baseline="0"/>
            <a:t> a jour  Les Achats CLients - les vente mensueel - les ventes anuel - ainsi que des graphiques ,(graphique permettant de visualiser les moyenne de vente - les quantites de produits vendus et leur frequences),</a:t>
          </a:r>
          <a:endParaRPr lang="fr-FR" sz="12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17</xdr:row>
      <xdr:rowOff>68192</xdr:rowOff>
    </xdr:from>
    <xdr:to>
      <xdr:col>14</xdr:col>
      <xdr:colOff>1928</xdr:colOff>
      <xdr:row>22</xdr:row>
      <xdr:rowOff>37609</xdr:rowOff>
    </xdr:to>
    <xdr:sp macro="" textlink="">
      <xdr:nvSpPr>
        <xdr:cNvPr id="2" name="Organigramme : Processus 1"/>
        <xdr:cNvSpPr/>
      </xdr:nvSpPr>
      <xdr:spPr>
        <a:xfrm>
          <a:off x="7737500" y="3599896"/>
          <a:ext cx="4535941" cy="89707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Ici ,</a:t>
          </a:r>
          <a:r>
            <a:rPr lang="fr-FR" sz="1200" b="1" baseline="0"/>
            <a:t> on va retrouver les informations dans les cellules jaunes ( S21 et L21 à Q21) dans la premiere feuille "Tableau",Pour la colonne H , je ferai une formule de calcul,</a:t>
          </a:r>
          <a:endParaRPr lang="fr-FR" sz="1200" b="1"/>
        </a:p>
      </xdr:txBody>
    </xdr:sp>
    <xdr:clientData/>
  </xdr:twoCellAnchor>
  <xdr:twoCellAnchor>
    <xdr:from>
      <xdr:col>10</xdr:col>
      <xdr:colOff>653461</xdr:colOff>
      <xdr:row>13</xdr:row>
      <xdr:rowOff>23407</xdr:rowOff>
    </xdr:from>
    <xdr:to>
      <xdr:col>13</xdr:col>
      <xdr:colOff>736432</xdr:colOff>
      <xdr:row>16</xdr:row>
      <xdr:rowOff>31042</xdr:rowOff>
    </xdr:to>
    <xdr:sp macro="" textlink="">
      <xdr:nvSpPr>
        <xdr:cNvPr id="5" name="Organigramme : Processus 4"/>
        <xdr:cNvSpPr/>
      </xdr:nvSpPr>
      <xdr:spPr>
        <a:xfrm>
          <a:off x="10460070" y="2799737"/>
          <a:ext cx="2673771" cy="564227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Ici</a:t>
          </a:r>
          <a:r>
            <a:rPr lang="fr-FR" sz="1200" b="1" baseline="0"/>
            <a:t> je mettrais 1 ou 2 graphique </a:t>
          </a:r>
          <a:endParaRPr lang="fr-FR" sz="12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761257</xdr:colOff>
      <xdr:row>11</xdr:row>
      <xdr:rowOff>0</xdr:rowOff>
    </xdr:from>
    <xdr:to>
      <xdr:col>27</xdr:col>
      <xdr:colOff>22412</xdr:colOff>
      <xdr:row>14</xdr:row>
      <xdr:rowOff>0</xdr:rowOff>
    </xdr:to>
    <xdr:sp macro="" textlink="">
      <xdr:nvSpPr>
        <xdr:cNvPr id="2" name="Organigramme : Processus 1"/>
        <xdr:cNvSpPr/>
      </xdr:nvSpPr>
      <xdr:spPr>
        <a:xfrm>
          <a:off x="15138404" y="2518023"/>
          <a:ext cx="5357155" cy="732994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Ici,</a:t>
          </a:r>
          <a:r>
            <a:rPr lang="fr-FR" sz="1200" b="1" baseline="0"/>
            <a:t> on va retrouver le contenus de TOUTES les cellules PLEINES se trouvant dessous la ligne 22 des colonnes de "A à Q "</a:t>
          </a:r>
          <a:r>
            <a:rPr lang="fr-FR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dans la premiere feuille "Tableau",Pour 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295192</xdr:colOff>
      <xdr:row>2</xdr:row>
      <xdr:rowOff>177911</xdr:rowOff>
    </xdr:from>
    <xdr:to>
      <xdr:col>15</xdr:col>
      <xdr:colOff>69242</xdr:colOff>
      <xdr:row>8</xdr:row>
      <xdr:rowOff>114301</xdr:rowOff>
    </xdr:to>
    <xdr:sp macro="" textlink="">
      <xdr:nvSpPr>
        <xdr:cNvPr id="2" name="Organigramme : Processus 1"/>
        <xdr:cNvSpPr/>
      </xdr:nvSpPr>
      <xdr:spPr>
        <a:xfrm>
          <a:off x="6962692" y="2006711"/>
          <a:ext cx="5024230" cy="1033670"/>
        </a:xfrm>
        <a:prstGeom prst="flowChartProcess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Ici</a:t>
          </a:r>
          <a:r>
            <a:rPr lang="fr-FR" sz="1200" b="1" baseline="0"/>
            <a:t> , on va retrouver les achats fait par les clients,Toutes les informations sont à prendre en dessosu de la ligne 22 pour les colonnes A - B - C - D- E- et K</a:t>
          </a:r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79512</xdr:colOff>
      <xdr:row>0</xdr:row>
      <xdr:rowOff>0</xdr:rowOff>
    </xdr:from>
    <xdr:to>
      <xdr:col>4</xdr:col>
      <xdr:colOff>1741336</xdr:colOff>
      <xdr:row>8</xdr:row>
      <xdr:rowOff>63610</xdr:rowOff>
    </xdr:to>
    <xdr:sp macro="" textlink="">
      <xdr:nvSpPr>
        <xdr:cNvPr id="2" name="Organigramme : Processus 1"/>
        <xdr:cNvSpPr/>
      </xdr:nvSpPr>
      <xdr:spPr>
        <a:xfrm>
          <a:off x="1781091" y="0"/>
          <a:ext cx="3196426" cy="1590260"/>
        </a:xfrm>
        <a:prstGeom prst="flowChartProcess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2400" b="1"/>
            <a:t>Ne pas modifier les</a:t>
          </a:r>
          <a:r>
            <a:rPr lang="fr-FR" sz="2400" b="1" baseline="0"/>
            <a:t> cellules de rouge</a:t>
          </a:r>
          <a:endParaRPr lang="fr-FR" sz="2400" b="1"/>
        </a:p>
      </xdr:txBody>
    </xdr:sp>
    <xdr:clientData/>
  </xdr:twoCellAnchor>
  <xdr:twoCellAnchor>
    <xdr:from>
      <xdr:col>11</xdr:col>
      <xdr:colOff>190831</xdr:colOff>
      <xdr:row>2</xdr:row>
      <xdr:rowOff>7951</xdr:rowOff>
    </xdr:from>
    <xdr:to>
      <xdr:col>13</xdr:col>
      <xdr:colOff>2433099</xdr:colOff>
      <xdr:row>7</xdr:row>
      <xdr:rowOff>87465</xdr:rowOff>
    </xdr:to>
    <xdr:sp macro="" textlink="">
      <xdr:nvSpPr>
        <xdr:cNvPr id="3" name="Rectangle 2"/>
        <xdr:cNvSpPr/>
      </xdr:nvSpPr>
      <xdr:spPr>
        <a:xfrm>
          <a:off x="9414344" y="389614"/>
          <a:ext cx="4882101" cy="1033670"/>
        </a:xfrm>
        <a:prstGeom prst="wedgeRectCallout">
          <a:avLst>
            <a:gd name="adj1" fmla="val -123014"/>
            <a:gd name="adj2" fmla="val 77116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400" b="1"/>
            <a:t>Une fois les information ajoutées</a:t>
          </a:r>
          <a:r>
            <a:rPr lang="fr-FR" sz="1400" b="1" baseline="0"/>
            <a:t> en Basde tableau - merci de reorganiser par ordre aphabetique cette colonne, Les tableaux "Aloes_vera - Parfums- make_up - Ckear_care et Accessoires sont aussi concernés,</a:t>
          </a:r>
          <a:endParaRPr lang="fr-FR" sz="1400" b="1"/>
        </a:p>
      </xdr:txBody>
    </xdr:sp>
    <xdr:clientData/>
  </xdr:twoCellAnchor>
  <xdr:twoCellAnchor>
    <xdr:from>
      <xdr:col>11</xdr:col>
      <xdr:colOff>1421880</xdr:colOff>
      <xdr:row>7</xdr:row>
      <xdr:rowOff>112253</xdr:rowOff>
    </xdr:from>
    <xdr:to>
      <xdr:col>11</xdr:col>
      <xdr:colOff>2141220</xdr:colOff>
      <xdr:row>28</xdr:row>
      <xdr:rowOff>7620</xdr:rowOff>
    </xdr:to>
    <xdr:cxnSp macro="">
      <xdr:nvCxnSpPr>
        <xdr:cNvPr id="5" name="Connecteur droit avec flèche 4"/>
        <xdr:cNvCxnSpPr/>
      </xdr:nvCxnSpPr>
      <xdr:spPr>
        <a:xfrm>
          <a:off x="10261080" y="1392413"/>
          <a:ext cx="719340" cy="3735847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1425118</xdr:colOff>
      <xdr:row>7</xdr:row>
      <xdr:rowOff>85629</xdr:rowOff>
    </xdr:from>
    <xdr:to>
      <xdr:col>11</xdr:col>
      <xdr:colOff>2104038</xdr:colOff>
      <xdr:row>8</xdr:row>
      <xdr:rowOff>183492</xdr:rowOff>
    </xdr:to>
    <xdr:cxnSp macro="">
      <xdr:nvCxnSpPr>
        <xdr:cNvPr id="6" name="Connecteur droit avec flèche 5"/>
        <xdr:cNvCxnSpPr/>
      </xdr:nvCxnSpPr>
      <xdr:spPr>
        <a:xfrm>
          <a:off x="10648631" y="1412885"/>
          <a:ext cx="678920" cy="287471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2323718</xdr:colOff>
      <xdr:row>7</xdr:row>
      <xdr:rowOff>115702</xdr:rowOff>
    </xdr:from>
    <xdr:to>
      <xdr:col>13</xdr:col>
      <xdr:colOff>2476500</xdr:colOff>
      <xdr:row>27</xdr:row>
      <xdr:rowOff>160020</xdr:rowOff>
    </xdr:to>
    <xdr:cxnSp macro="">
      <xdr:nvCxnSpPr>
        <xdr:cNvPr id="7" name="Connecteur droit avec flèche 6"/>
        <xdr:cNvCxnSpPr/>
      </xdr:nvCxnSpPr>
      <xdr:spPr>
        <a:xfrm>
          <a:off x="13692758" y="1395862"/>
          <a:ext cx="152782" cy="3701918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2342577</xdr:colOff>
      <xdr:row>7</xdr:row>
      <xdr:rowOff>122328</xdr:rowOff>
    </xdr:from>
    <xdr:to>
      <xdr:col>13</xdr:col>
      <xdr:colOff>2593349</xdr:colOff>
      <xdr:row>8</xdr:row>
      <xdr:rowOff>165143</xdr:rowOff>
    </xdr:to>
    <xdr:cxnSp macro="">
      <xdr:nvCxnSpPr>
        <xdr:cNvPr id="8" name="Connecteur droit avec flèche 7"/>
        <xdr:cNvCxnSpPr/>
      </xdr:nvCxnSpPr>
      <xdr:spPr>
        <a:xfrm>
          <a:off x="14208369" y="1449584"/>
          <a:ext cx="250772" cy="23242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3" name="Tableau13" displayName="Tableau13" ref="A1:H17" totalsRowShown="0" headerRowDxfId="157" dataDxfId="155" headerRowBorderDxfId="156" tableBorderDxfId="154" totalsRowBorderDxfId="153">
  <autoFilter ref="A1:H17"/>
  <sortState ref="A2:H10">
    <sortCondition ref="A1:A10"/>
  </sortState>
  <tableColumns count="8">
    <tableColumn id="1" name="Date" dataDxfId="152"/>
    <tableColumn id="2" name="Total_Client" dataDxfId="151"/>
    <tableColumn id="3" name="Total_VDIs" dataDxfId="150"/>
    <tableColumn id="4" name="Reductions" dataDxfId="149"/>
    <tableColumn id="5" name="Total Marges" dataDxfId="148"/>
    <tableColumn id="6" name="Total PVs" dataDxfId="147"/>
    <tableColumn id="7" name="Total_GVs" dataDxfId="146"/>
    <tableColumn id="8" name="Marge_VDIs_=_x000a_((Total_Client - 400€(Conso_perso))*25%)" dataDxfId="145">
      <calculatedColumnFormula>IF(B2&gt;0,(B2-400)*0.25,"")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6" name="Tableau16" displayName="Tableau16" ref="J1:Q5" totalsRowShown="0" headerRowDxfId="144" dataDxfId="142" headerRowBorderDxfId="143">
  <autoFilter ref="J1:Q5"/>
  <tableColumns count="8">
    <tableColumn id="1" name="Date" dataDxfId="141"/>
    <tableColumn id="2" name="Total_Client" dataDxfId="140"/>
    <tableColumn id="3" name="Total_VDI" dataDxfId="139">
      <calculatedColumnFormula>SUMPRODUCT((YEAR(Tableau13[Date])=2019)*(Total_VDIs_feuille2))</calculatedColumnFormula>
    </tableColumn>
    <tableColumn id="4" name="Reduction" dataDxfId="138"/>
    <tableColumn id="5" name="Total Marge" dataDxfId="137"/>
    <tableColumn id="6" name="Total PV" dataDxfId="136"/>
    <tableColumn id="7" name="Total_GV" dataDxfId="135"/>
    <tableColumn id="8" name="Marge_VDI_=_x000a_((Total_Client - 400€(Conso_perso))*25%)" dataDxfId="134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R574" totalsRowShown="0" headerRowDxfId="133" dataDxfId="131" headerRowBorderDxfId="132" tableBorderDxfId="130">
  <autoFilter ref="A1:R574">
    <filterColumn colId="1"/>
    <filterColumn colId="17"/>
  </autoFilter>
  <sortState ref="A2:R574">
    <sortCondition ref="B1:B574"/>
  </sortState>
  <tableColumns count="18">
    <tableColumn id="1" name="Date" dataDxfId="129"/>
    <tableColumn id="2" name="Nom_prenom " dataDxfId="128"/>
    <tableColumn id="3" name="Type_de_produits" dataDxfId="127"/>
    <tableColumn id="4" name="Colonne1" dataDxfId="126"/>
    <tableColumn id="5" name="Contenance" dataDxfId="125"/>
    <tableColumn id="6" name="Prix_client" dataDxfId="124"/>
    <tableColumn id="7" name="Prix VDI" dataDxfId="123"/>
    <tableColumn id="8" name="Marge" dataDxfId="122"/>
    <tableColumn id="9" name="PV" dataDxfId="121"/>
    <tableColumn id="10" name="GV" dataDxfId="120"/>
    <tableColumn id="11" name="Quantités" dataDxfId="119"/>
    <tableColumn id="12" name="Total_Client" dataDxfId="118"/>
    <tableColumn id="13" name="Total_VDI" dataDxfId="117"/>
    <tableColumn id="14" name="Reduction" dataDxfId="116"/>
    <tableColumn id="15" name="Total Marge" dataDxfId="115"/>
    <tableColumn id="16" name="Total PV" dataDxfId="114"/>
    <tableColumn id="17" name="Total_GV" dataDxfId="113"/>
    <tableColumn id="18" name="An," dataDxfId="112">
      <calculatedColumnFormula>YEAR(Tableau4[[#This Row],[Date]])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F576" totalsRowShown="0" headerRowDxfId="111" dataDxfId="109" headerRowBorderDxfId="110" tableBorderDxfId="108">
  <autoFilter ref="A1:F576">
    <filterColumn colId="0"/>
    <filterColumn colId="1"/>
    <filterColumn colId="5"/>
  </autoFilter>
  <sortState ref="A2:F576">
    <sortCondition ref="A1:A576"/>
  </sortState>
  <tableColumns count="6">
    <tableColumn id="1" name="Date" dataDxfId="107"/>
    <tableColumn id="2" name="Nom_prenom " dataDxfId="106"/>
    <tableColumn id="3" name="Type_de_produits" dataDxfId="105"/>
    <tableColumn id="4" name="Produits" dataDxfId="104"/>
    <tableColumn id="5" name="Contenance" dataDxfId="103"/>
    <tableColumn id="6" name="Quantité" dataDxfId="102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2" name="Tableau2" displayName="Tableau2" ref="A1:AK107" totalsRowShown="0" headerRowDxfId="101" dataDxfId="99" headerRowBorderDxfId="100" tableBorderDxfId="98" totalsRowBorderDxfId="97">
  <autoFilter ref="A1:AK107"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4"/>
    <filterColumn colId="35"/>
    <filterColumn colId="36"/>
  </autoFilter>
  <sortState ref="A2:I103">
    <sortCondition ref="B1:B103"/>
  </sortState>
  <tableColumns count="37">
    <tableColumn id="1" name="Ou" dataDxfId="96"/>
    <tableColumn id="2" name="Nom_prenom " dataDxfId="95"/>
    <tableColumn id="3" name="Adresse" dataDxfId="94"/>
    <tableColumn id="4" name="Code poste" dataDxfId="93"/>
    <tableColumn id="5" name="Ville" dataDxfId="92"/>
    <tableColumn id="6" name="Telephone" dataDxfId="91"/>
    <tableColumn id="7" name="@mail" dataDxfId="90"/>
    <tableColumn id="8" name="Quantité_achat_x000a__clients_annuelle" dataDxfId="89">
      <calculatedColumnFormula>SUMPRODUCT((Tableau4[Nom_prenom ]=B2)*(Tableau4[Quantités]))</calculatedColumnFormula>
    </tableColumn>
    <tableColumn id="9" name="Total_achat_x000a__clients_annuel" dataDxfId="88">
      <calculatedColumnFormula>SUMPRODUCT((Tableau4[Nom_prenom ]=$B2)*(Tableau4[Total_Client]))</calculatedColumnFormula>
    </tableColumn>
    <tableColumn id="19" name="Total PV client 2019" dataDxfId="87">
      <calculatedColumnFormula>SUMIFS(RECAP_VENTE_ANNUELLE!$P:$P,RECAP_VENTE_ANNUELLE!$R:$R,"2019",RECAP_VENTE_ANNUELLE!$B:$B,Tableau2[[#This Row],[Nom_prenom ]])</calculatedColumnFormula>
    </tableColumn>
    <tableColumn id="20" name="PV client _x000a_utilisés 2019" dataDxfId="86"/>
    <tableColumn id="21" name="PV client restant 2019" dataDxfId="85">
      <calculatedColumnFormula>Tableau2[[#This Row],[Total PV client 2019]]-Tableau2[[#This Row],[PV client 
utilisés 2019]]</calculatedColumnFormula>
    </tableColumn>
    <tableColumn id="22" name="-" dataDxfId="84"/>
    <tableColumn id="23" name="Total PV client 2020" dataDxfId="83">
      <calculatedColumnFormula>SUMIFS(RECAP_VENTE_ANNUELLE!$P:$P,RECAP_VENTE_ANNUELLE!$R:$R,"2020",RECAP_VENTE_ANNUELLE!$B:$B,Tableau2[[#This Row],[Nom_prenom ]])</calculatedColumnFormula>
    </tableColumn>
    <tableColumn id="24" name="PV client _x000a_utilisés 2020" dataDxfId="82"/>
    <tableColumn id="25" name="PV client restant 2020" dataDxfId="81">
      <calculatedColumnFormula>Tableau2[[#This Row],[Total PV client 2020]]-Tableau2[[#This Row],[PV client 
utilisés 2020]]</calculatedColumnFormula>
    </tableColumn>
    <tableColumn id="26" name="+" dataDxfId="80"/>
    <tableColumn id="27" name="Total PV client 2021" dataDxfId="79">
      <calculatedColumnFormula>SUMIFS(RECAP_VENTE_ANNUELLE!$P:$P,RECAP_VENTE_ANNUELLE!$R:$R,"2021",RECAP_VENTE_ANNUELLE!$B:$B,Tableau2[[#This Row],[Nom_prenom ]])</calculatedColumnFormula>
    </tableColumn>
    <tableColumn id="28" name="PV client _x000a_utilisés 2021" dataDxfId="78"/>
    <tableColumn id="29" name="PV client restant 2021" dataDxfId="77">
      <calculatedColumnFormula>Tableau2[[#This Row],[Total PV client 2021]]-Tableau2[[#This Row],[PV client 
utilisés 2021]]</calculatedColumnFormula>
    </tableColumn>
    <tableColumn id="30" name="*" dataDxfId="76"/>
    <tableColumn id="31" name="Total PV_x000a_ client 2022" dataDxfId="75">
      <calculatedColumnFormula>SUMIFS(RECAP_VENTE_ANNUELLE!$P:$P,RECAP_VENTE_ANNUELLE!$R:$R,"2022",RECAP_VENTE_ANNUELLE!$B:$B,Tableau2[[#This Row],[Nom_prenom ]])</calculatedColumnFormula>
    </tableColumn>
    <tableColumn id="32" name="PV client _x000a_utilisés 2022" dataDxfId="74"/>
    <tableColumn id="33" name="PV client _x000a_restant 2022" dataDxfId="73">
      <calculatedColumnFormula>Tableau2[[#This Row],[Total PV
 client 2022]]-Tableau2[[#This Row],[PV client 
utilisés 2022]]</calculatedColumnFormula>
    </tableColumn>
    <tableColumn id="34" name="," dataDxfId="72"/>
    <tableColumn id="35" name="Total PV_x000a_ client 2023" dataDxfId="71">
      <calculatedColumnFormula>SUMIFS(RECAP_VENTE_ANNUELLE!$P:$P,RECAP_VENTE_ANNUELLE!$R:$R,"2023",RECAP_VENTE_ANNUELLE!$B:$B,Tableau2[[#This Row],[Nom_prenom ]])</calculatedColumnFormula>
    </tableColumn>
    <tableColumn id="36" name="PV client _x000a_utilisés 2023" dataDxfId="70"/>
    <tableColumn id="37" name="PV client _x000a_restant 2023" dataDxfId="69">
      <calculatedColumnFormula>Tableau2[[#This Row],[Total PV
 client 2023]]-Tableau2[[#This Row],[PV client 
utilisés 2023]]</calculatedColumnFormula>
    </tableColumn>
    <tableColumn id="38" name=",," dataDxfId="68"/>
    <tableColumn id="39" name="Total PV_x000a_ client 2024" dataDxfId="67">
      <calculatedColumnFormula>SUMIFS(RECAP_VENTE_ANNUELLE!$P:$P,RECAP_VENTE_ANNUELLE!$R:$R,"2024",RECAP_VENTE_ANNUELLE!$B:$B,Tableau2[[#This Row],[Nom_prenom ]])</calculatedColumnFormula>
    </tableColumn>
    <tableColumn id="40" name="PV client _x000a_utilisés 2024" dataDxfId="66"/>
    <tableColumn id="41" name="PV client _x000a_restant 2024" dataDxfId="65">
      <calculatedColumnFormula>Tableau2[[#This Row],[Total PV
 client 2024]]-Tableau2[[#This Row],[PV client 
utilisés 2024]]</calculatedColumnFormula>
    </tableColumn>
    <tableColumn id="42" name=",2" dataDxfId="64"/>
    <tableColumn id="43" name="Total PV_x000a_ client 2025" dataDxfId="63">
      <calculatedColumnFormula>SUMIFS(RECAP_VENTE_ANNUELLE!$P:$P,RECAP_VENTE_ANNUELLE!$R:$R,"2025",RECAP_VENTE_ANNUELLE!$B:$B,Tableau2[[#This Row],[Nom_prenom ]])</calculatedColumnFormula>
    </tableColumn>
    <tableColumn id="44" name="PV client _x000a_utilisés 2025" dataDxfId="62"/>
    <tableColumn id="45" name="PV client _x000a_restant 2025" dataDxfId="61">
      <calculatedColumnFormula>Tableau2[[#This Row],[Total PV
 client 2025]]-Tableau2[[#This Row],[PV client 
utilisés 2025]]</calculatedColumnFormula>
    </tableColumn>
    <tableColumn id="46" name=",,6" dataDxfId="60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3" name="Tableau3" displayName="Tableau3" ref="L10:L29" totalsRowShown="0" headerRowDxfId="59" dataDxfId="57" headerRowBorderDxfId="58" tableBorderDxfId="56" totalsRowBorderDxfId="55">
  <autoFilter ref="L10:L29"/>
  <sortState ref="L11:L29">
    <sortCondition ref="L10:L29"/>
  </sortState>
  <tableColumns count="1">
    <tableColumn id="1" name="Aloe_vera" dataDxfId="54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N32:N36" totalsRowShown="0" headerRowDxfId="53" dataDxfId="51" headerRowBorderDxfId="52" tableBorderDxfId="50" totalsRowBorderDxfId="49">
  <autoFilter ref="N32:N36"/>
  <sortState ref="N33:N36">
    <sortCondition ref="N32:N36"/>
  </sortState>
  <tableColumns count="1">
    <tableColumn id="1" name="Accessoires" dataDxfId="48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B10:B61" totalsRowShown="0" headerRowDxfId="47" dataDxfId="45" headerRowBorderDxfId="46" tableBorderDxfId="44" totalsRowBorderDxfId="43">
  <autoFilter ref="B10:B61"/>
  <sortState ref="B11:B61">
    <sortCondition ref="B10:B61"/>
  </sortState>
  <tableColumns count="1">
    <tableColumn id="1" name="Parfums" dataDxfId="42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5" name="Tableau5" displayName="Tableau5" ref="N10:N18" totalsRowShown="0" headerRowDxfId="41" dataDxfId="39" headerRowBorderDxfId="40" tableBorderDxfId="38" totalsRowBorderDxfId="37">
  <autoFilter ref="N10:N18"/>
  <sortState ref="N11:N18">
    <sortCondition ref="N10:N18"/>
  </sortState>
  <tableColumns count="1">
    <tableColumn id="1" name="Make_Up" dataDxfId="36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9" name="Tableau9" displayName="Tableau9" ref="D10:J83" totalsRowShown="0" headerRowDxfId="35" dataDxfId="33" headerRowBorderDxfId="34" tableBorderDxfId="32" totalsRowBorderDxfId="31">
  <autoFilter ref="D10:J83"/>
  <sortState ref="D11:J83">
    <sortCondition ref="E10:E83"/>
  </sortState>
  <tableColumns count="7">
    <tableColumn id="1" name="produits_ cosmetique" dataDxfId="30"/>
    <tableColumn id="2" name="produits_" dataDxfId="29"/>
    <tableColumn id="3" name="Prix_client" dataDxfId="28"/>
    <tableColumn id="4" name="Prix VDI" dataDxfId="27"/>
    <tableColumn id="5" name="Marge" dataDxfId="26">
      <calculatedColumnFormula>IF(F11=0,0,(F11-G11))</calculatedColumnFormula>
    </tableColumn>
    <tableColumn id="6" name="PV" dataDxfId="25"/>
    <tableColumn id="7" name="GV" dataDxfId="24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N50:N63" totalsRowShown="0" headerRowDxfId="23" dataDxfId="22">
  <autoFilter ref="N50:N63"/>
  <sortState ref="N51:N63">
    <sortCondition ref="N50:N63"/>
  </sortState>
  <tableColumns count="1">
    <tableColumn id="1" name="Promotions" dataDxfId="21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B137:B143" totalsRowShown="0" headerRowDxfId="20" dataDxfId="18" headerRowBorderDxfId="19" tableBorderDxfId="17" totalsRowBorderDxfId="16">
  <autoFilter ref="B137:B143"/>
  <tableColumns count="1">
    <tableColumn id="1" name="Colonne1" dataDxfId="15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6" name="Tableau6" displayName="Tableau6" ref="L32:L46" totalsRowShown="0" headerRowDxfId="14" dataDxfId="13">
  <autoFilter ref="L32:L46"/>
  <sortState ref="L33:L46">
    <sortCondition ref="L32:L46"/>
  </sortState>
  <tableColumns count="1">
    <tableColumn id="1" name="Clean_care" dataDxfId="12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id="15" name="Tableau15" displayName="Tableau15" ref="B79:B115" totalsRowShown="0" headerRowDxfId="11" dataDxfId="10" tableBorderDxfId="9">
  <autoFilter ref="B79:B115"/>
  <tableColumns count="1">
    <tableColumn id="1" name="Mois" dataDxfId="8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7" name="Tableau17" displayName="Tableau17" ref="L69:L84" totalsRowShown="0" headerRowDxfId="7" dataDxfId="6">
  <autoFilter ref="L69:L84"/>
  <sortState ref="L70:L84">
    <sortCondition ref="L69:L84"/>
  </sortState>
  <tableColumns count="1">
    <tableColumn id="1" name="Parfum" dataDxfId="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13" Type="http://schemas.openxmlformats.org/officeDocument/2006/relationships/table" Target="../tables/table15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9.xml"/><Relationship Id="rId12" Type="http://schemas.openxmlformats.org/officeDocument/2006/relationships/table" Target="../tables/table1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.xml"/><Relationship Id="rId11" Type="http://schemas.openxmlformats.org/officeDocument/2006/relationships/table" Target="../tables/table13.xml"/><Relationship Id="rId5" Type="http://schemas.openxmlformats.org/officeDocument/2006/relationships/table" Target="../tables/table7.xml"/><Relationship Id="rId10" Type="http://schemas.openxmlformats.org/officeDocument/2006/relationships/table" Target="../tables/table12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106"/>
  <sheetViews>
    <sheetView topLeftCell="A4" zoomScaleNormal="100" workbookViewId="0">
      <selection activeCell="F17" sqref="F17"/>
    </sheetView>
  </sheetViews>
  <sheetFormatPr baseColWidth="10" defaultColWidth="13.6640625" defaultRowHeight="14.4"/>
  <cols>
    <col min="1" max="1" width="10.109375" style="43" bestFit="1" customWidth="1"/>
    <col min="2" max="2" width="27.33203125" style="53" bestFit="1" customWidth="1"/>
    <col min="3" max="3" width="16.88671875" style="53" bestFit="1" customWidth="1"/>
    <col min="4" max="4" width="32.44140625" style="47" bestFit="1" customWidth="1"/>
    <col min="5" max="5" width="11.6640625" style="12" bestFit="1" customWidth="1"/>
    <col min="6" max="6" width="10.88671875" style="12" bestFit="1" customWidth="1"/>
    <col min="7" max="7" width="8.21875" style="12" bestFit="1" customWidth="1"/>
    <col min="8" max="8" width="7.33203125" style="12" bestFit="1" customWidth="1"/>
    <col min="9" max="9" width="10.5546875" style="12" bestFit="1" customWidth="1"/>
    <col min="10" max="10" width="11.6640625" style="12" bestFit="1" customWidth="1"/>
    <col min="11" max="11" width="10" style="12" bestFit="1" customWidth="1"/>
    <col min="12" max="12" width="11.6640625" style="12" customWidth="1"/>
    <col min="13" max="13" width="12.109375" style="12" bestFit="1" customWidth="1"/>
    <col min="14" max="14" width="10.109375" style="12" bestFit="1" customWidth="1"/>
    <col min="15" max="15" width="12.109375" style="12" bestFit="1" customWidth="1"/>
    <col min="16" max="17" width="10.109375" style="12" bestFit="1" customWidth="1"/>
    <col min="18" max="18" width="2.44140625" style="12" bestFit="1" customWidth="1"/>
    <col min="19" max="19" width="11" style="12" bestFit="1" customWidth="1"/>
    <col min="20" max="21" width="3" style="12" bestFit="1" customWidth="1"/>
    <col min="22" max="22" width="3.109375" style="12" customWidth="1"/>
    <col min="23" max="23" width="5.6640625" style="12" bestFit="1" customWidth="1"/>
    <col min="24" max="24" width="13.6640625" style="12" bestFit="1" customWidth="1"/>
    <col min="25" max="25" width="16.88671875" style="12" bestFit="1" customWidth="1"/>
    <col min="26" max="26" width="8.6640625" style="12" bestFit="1" customWidth="1"/>
    <col min="27" max="27" width="11.6640625" style="12" bestFit="1" customWidth="1"/>
    <col min="28" max="28" width="9.109375" style="12" bestFit="1" customWidth="1"/>
    <col min="29" max="29" width="6" style="12" bestFit="1" customWidth="1"/>
    <col min="30" max="30" width="35.33203125" style="12" bestFit="1" customWidth="1"/>
    <col min="31" max="31" width="13.6640625" style="12"/>
    <col min="32" max="32" width="4" style="18" bestFit="1" customWidth="1"/>
    <col min="33" max="33" width="13.6640625" style="12"/>
    <col min="34" max="34" width="29.6640625" style="12" bestFit="1" customWidth="1"/>
    <col min="35" max="35" width="13.6640625" style="12"/>
    <col min="36" max="36" width="39.6640625" style="12" bestFit="1" customWidth="1"/>
    <col min="37" max="16384" width="13.6640625" style="12"/>
  </cols>
  <sheetData>
    <row r="1" spans="1:33" ht="16.8" hidden="1" thickTop="1" thickBot="1">
      <c r="A1" s="58" t="s">
        <v>38</v>
      </c>
      <c r="B1" s="55" t="s">
        <v>30</v>
      </c>
      <c r="C1" s="50" t="s">
        <v>26</v>
      </c>
      <c r="D1" s="51" t="s">
        <v>31</v>
      </c>
      <c r="E1" s="45" t="s">
        <v>29</v>
      </c>
      <c r="F1" s="36" t="s">
        <v>28</v>
      </c>
      <c r="G1" s="36" t="s">
        <v>27</v>
      </c>
      <c r="I1" s="49" t="s">
        <v>34</v>
      </c>
      <c r="J1" s="21" t="s">
        <v>21</v>
      </c>
      <c r="K1" s="21" t="s">
        <v>20</v>
      </c>
      <c r="L1" s="21" t="s">
        <v>42</v>
      </c>
      <c r="M1" s="21" t="s">
        <v>15</v>
      </c>
      <c r="N1" s="21" t="s">
        <v>16</v>
      </c>
      <c r="O1" s="21" t="s">
        <v>17</v>
      </c>
      <c r="W1" s="49" t="s">
        <v>34</v>
      </c>
      <c r="X1" s="49" t="s">
        <v>18</v>
      </c>
      <c r="Y1" s="49" t="s">
        <v>19</v>
      </c>
      <c r="Z1" s="49" t="s">
        <v>0</v>
      </c>
      <c r="AA1" s="20" t="s">
        <v>6</v>
      </c>
      <c r="AB1" s="19" t="s">
        <v>1</v>
      </c>
      <c r="AF1" s="12"/>
      <c r="AG1" s="18"/>
    </row>
    <row r="2" spans="1:33" ht="15" hidden="1" thickTop="1">
      <c r="A2" s="11">
        <f>A7</f>
        <v>0</v>
      </c>
      <c r="B2" s="57">
        <f>B7</f>
        <v>0</v>
      </c>
      <c r="C2" s="52">
        <f>C7</f>
        <v>0</v>
      </c>
      <c r="D2" s="52">
        <f>F7</f>
        <v>0</v>
      </c>
      <c r="E2" s="46">
        <f>H7</f>
        <v>0</v>
      </c>
      <c r="F2" s="37">
        <f>K7</f>
        <v>0</v>
      </c>
      <c r="G2" s="37">
        <f>M7</f>
        <v>0</v>
      </c>
      <c r="I2" s="70">
        <f>A23</f>
        <v>0</v>
      </c>
      <c r="J2" s="71">
        <f t="shared" ref="J2:O2" si="0">L21</f>
        <v>0</v>
      </c>
      <c r="K2" s="71">
        <f t="shared" si="0"/>
        <v>0</v>
      </c>
      <c r="L2" s="71">
        <f t="shared" si="0"/>
        <v>0</v>
      </c>
      <c r="M2" s="71">
        <f t="shared" si="0"/>
        <v>0</v>
      </c>
      <c r="N2" s="71">
        <f t="shared" si="0"/>
        <v>0</v>
      </c>
      <c r="O2" s="71">
        <f t="shared" si="0"/>
        <v>0</v>
      </c>
      <c r="AF2" s="12"/>
      <c r="AG2" s="18"/>
    </row>
    <row r="3" spans="1:33" ht="15" hidden="1" thickBot="1">
      <c r="A3" s="53" t="s">
        <v>44</v>
      </c>
      <c r="B3" s="47" t="s">
        <v>47</v>
      </c>
      <c r="D3" s="47" t="s">
        <v>46</v>
      </c>
      <c r="E3" s="12" t="s">
        <v>44</v>
      </c>
    </row>
    <row r="4" spans="1:33" ht="18.600000000000001" thickBot="1">
      <c r="A4" s="285" t="s">
        <v>32</v>
      </c>
      <c r="B4" s="286"/>
      <c r="C4" s="287"/>
      <c r="E4" s="12" t="s">
        <v>44</v>
      </c>
      <c r="G4" s="67"/>
      <c r="H4" s="62"/>
      <c r="I4" s="62"/>
      <c r="J4" s="62"/>
      <c r="K4" s="62"/>
      <c r="L4" s="62"/>
      <c r="M4" s="33"/>
      <c r="N4" s="33"/>
      <c r="O4" s="33"/>
      <c r="P4" s="33"/>
      <c r="Q4" s="33"/>
      <c r="R4" s="62"/>
      <c r="S4" s="62"/>
      <c r="T4" s="32" t="s">
        <v>22</v>
      </c>
      <c r="AE4" s="18"/>
      <c r="AF4" s="12"/>
    </row>
    <row r="5" spans="1:33" ht="15" thickBot="1">
      <c r="A5" s="64" t="s">
        <v>44</v>
      </c>
      <c r="B5" s="64"/>
      <c r="C5" s="64"/>
      <c r="D5" s="65"/>
      <c r="E5" s="62" t="s">
        <v>44</v>
      </c>
      <c r="F5" s="62"/>
      <c r="G5" s="62"/>
      <c r="H5" s="62"/>
      <c r="I5" s="62"/>
      <c r="J5" s="62"/>
      <c r="K5" s="62"/>
      <c r="L5" s="62"/>
      <c r="M5" s="62"/>
      <c r="N5" s="62"/>
      <c r="O5" s="62"/>
      <c r="P5" s="34"/>
      <c r="Q5" s="34"/>
      <c r="R5" s="34" t="s">
        <v>25</v>
      </c>
      <c r="S5" s="34" t="s">
        <v>25</v>
      </c>
      <c r="T5" s="32" t="s">
        <v>25</v>
      </c>
      <c r="AD5" s="18"/>
      <c r="AF5" s="12"/>
    </row>
    <row r="6" spans="1:33" s="22" customFormat="1" ht="16.8" thickTop="1" thickBot="1">
      <c r="A6" s="61" t="s">
        <v>38</v>
      </c>
      <c r="B6" s="61" t="s">
        <v>30</v>
      </c>
      <c r="C6" s="299" t="s">
        <v>26</v>
      </c>
      <c r="D6" s="299"/>
      <c r="E6" s="299"/>
      <c r="F6" s="297" t="s">
        <v>31</v>
      </c>
      <c r="G6" s="301"/>
      <c r="H6" s="294" t="s">
        <v>29</v>
      </c>
      <c r="I6" s="295"/>
      <c r="J6" s="296"/>
      <c r="K6" s="297" t="s">
        <v>28</v>
      </c>
      <c r="L6" s="298"/>
      <c r="M6" s="297" t="s">
        <v>27</v>
      </c>
      <c r="N6" s="298"/>
      <c r="O6" s="301"/>
      <c r="P6" s="34"/>
      <c r="Q6" s="34"/>
      <c r="R6" s="34"/>
      <c r="S6" s="34"/>
      <c r="T6" s="32"/>
      <c r="AE6" s="23"/>
    </row>
    <row r="7" spans="1:33" ht="15.6" thickTop="1" thickBot="1">
      <c r="A7" s="56"/>
      <c r="B7" s="135"/>
      <c r="C7" s="300"/>
      <c r="D7" s="300"/>
      <c r="E7" s="300"/>
      <c r="F7" s="288"/>
      <c r="G7" s="289"/>
      <c r="H7" s="290"/>
      <c r="I7" s="291"/>
      <c r="J7" s="292"/>
      <c r="K7" s="293"/>
      <c r="L7" s="289"/>
      <c r="M7" s="302"/>
      <c r="N7" s="303"/>
      <c r="O7" s="304"/>
      <c r="P7" s="34"/>
      <c r="Q7" s="34"/>
      <c r="R7" s="34"/>
      <c r="S7" s="34"/>
      <c r="T7" s="32"/>
      <c r="AE7" s="18"/>
      <c r="AF7" s="12"/>
    </row>
    <row r="8" spans="1:33" ht="15" thickBot="1">
      <c r="A8" s="62" t="s">
        <v>44</v>
      </c>
      <c r="B8" s="63"/>
      <c r="C8" s="64"/>
      <c r="D8" s="64"/>
      <c r="E8" s="65"/>
      <c r="F8" s="66"/>
      <c r="G8" s="66"/>
      <c r="H8" s="62"/>
      <c r="I8" s="62"/>
      <c r="J8" s="62"/>
      <c r="K8" s="62"/>
      <c r="L8" s="62"/>
      <c r="M8" s="62"/>
      <c r="N8" s="62"/>
      <c r="O8" s="62"/>
      <c r="P8" s="35"/>
      <c r="Q8" s="35"/>
      <c r="R8" s="35"/>
      <c r="S8" s="35"/>
      <c r="T8" s="32"/>
      <c r="AE8" s="18"/>
      <c r="AF8" s="12"/>
    </row>
    <row r="9" spans="1:33" ht="15.6" thickTop="1" thickBot="1">
      <c r="A9" s="44" t="s">
        <v>44</v>
      </c>
      <c r="B9" s="44"/>
      <c r="C9" s="44"/>
      <c r="D9" s="44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1"/>
      <c r="AE9" s="18"/>
      <c r="AF9" s="12"/>
    </row>
    <row r="10" spans="1:33" ht="15.6" thickTop="1" thickBot="1">
      <c r="A10" s="53" t="s">
        <v>44</v>
      </c>
    </row>
    <row r="11" spans="1:33" ht="15.6" thickTop="1" thickBot="1">
      <c r="A11" s="48" t="s">
        <v>44</v>
      </c>
      <c r="B11" s="48"/>
      <c r="C11" s="48"/>
      <c r="D11" s="48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8" t="s">
        <v>25</v>
      </c>
    </row>
    <row r="12" spans="1:33" ht="15.6" thickTop="1" thickBot="1">
      <c r="A12" s="64" t="s">
        <v>44</v>
      </c>
      <c r="B12" s="64"/>
      <c r="C12" s="64"/>
      <c r="D12" s="65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29"/>
      <c r="Q12" s="29"/>
      <c r="R12" s="62"/>
      <c r="S12" s="24"/>
    </row>
    <row r="13" spans="1:33" ht="19.2" thickTop="1" thickBot="1">
      <c r="A13" s="285" t="s">
        <v>33</v>
      </c>
      <c r="B13" s="286"/>
      <c r="C13" s="287"/>
      <c r="G13" s="62"/>
      <c r="H13" s="62"/>
      <c r="I13" s="62"/>
      <c r="M13" s="62"/>
      <c r="N13" s="62"/>
      <c r="O13" s="62"/>
      <c r="P13" s="29"/>
      <c r="Q13" s="27"/>
      <c r="R13" s="62"/>
      <c r="S13" s="24"/>
      <c r="AF13" s="12"/>
    </row>
    <row r="14" spans="1:33">
      <c r="A14" s="64" t="s">
        <v>44</v>
      </c>
      <c r="B14" s="64"/>
      <c r="C14" s="64"/>
      <c r="D14" s="65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27"/>
      <c r="Q14" s="28"/>
      <c r="R14" s="69"/>
      <c r="S14" s="24"/>
      <c r="AF14" s="12"/>
    </row>
    <row r="15" spans="1:33" ht="15" thickBot="1">
      <c r="A15" s="64" t="s">
        <v>44</v>
      </c>
      <c r="B15" s="64"/>
      <c r="C15" s="64"/>
      <c r="D15" s="53"/>
      <c r="E15" s="68"/>
      <c r="G15" s="62"/>
      <c r="H15" s="62"/>
      <c r="I15" s="62"/>
      <c r="J15" s="62"/>
      <c r="K15" s="62"/>
      <c r="L15" s="62"/>
      <c r="M15" s="62"/>
      <c r="N15" s="62"/>
      <c r="O15" s="62"/>
      <c r="P15" s="27"/>
      <c r="Q15" s="27"/>
      <c r="R15" s="62"/>
      <c r="S15" s="24"/>
      <c r="AF15" s="12"/>
    </row>
    <row r="16" spans="1:33" ht="15" thickBot="1">
      <c r="A16" s="262" t="s">
        <v>34</v>
      </c>
      <c r="B16" s="262" t="s">
        <v>18</v>
      </c>
      <c r="C16" s="262" t="s">
        <v>19</v>
      </c>
      <c r="D16" s="76" t="s">
        <v>0</v>
      </c>
      <c r="E16" s="263" t="s">
        <v>6</v>
      </c>
      <c r="F16" s="267" t="s">
        <v>14</v>
      </c>
      <c r="G16" s="267" t="s">
        <v>5</v>
      </c>
      <c r="H16" s="270" t="s">
        <v>2</v>
      </c>
      <c r="I16" s="269" t="s">
        <v>3</v>
      </c>
      <c r="J16" s="268" t="s">
        <v>4</v>
      </c>
      <c r="K16" s="267" t="s">
        <v>1</v>
      </c>
      <c r="L16" s="267" t="s">
        <v>21</v>
      </c>
      <c r="M16" s="267" t="s">
        <v>20</v>
      </c>
      <c r="N16" s="271" t="s">
        <v>42</v>
      </c>
      <c r="O16" s="267" t="s">
        <v>15</v>
      </c>
      <c r="P16" s="267" t="s">
        <v>16</v>
      </c>
      <c r="Q16" s="267" t="s">
        <v>17</v>
      </c>
      <c r="R16" s="62"/>
      <c r="S16" s="24"/>
      <c r="AF16" s="12"/>
    </row>
    <row r="17" spans="1:41">
      <c r="A17" s="162">
        <v>44013</v>
      </c>
      <c r="B17" s="100" t="s">
        <v>18</v>
      </c>
      <c r="C17" s="100" t="s">
        <v>7</v>
      </c>
      <c r="D17" s="101" t="s">
        <v>117</v>
      </c>
      <c r="E17" s="102" t="s">
        <v>76</v>
      </c>
      <c r="F17" s="125">
        <f>IF(OR($C$17="Aloe_vera",$C$17="Clean_care",$C$17="Make_Up",$C$17="Accessoires",$C$17="Promotions"),
VLOOKUP($D$17,BDD!$E$11:$J83,2),
IF($C$17="Parfums",
VLOOKUP($E$17,BDD!$E$11:$J83,2),""))</f>
        <v>32.9</v>
      </c>
      <c r="G17" s="125">
        <f>IF(OR($C$17="Aloe_vera",$C$17="Clean_care",$C$17="Make_Up",$C$17="Accessoires",$C$17="Promotions"),
VLOOKUP($D$17,BDD!$E$11:$J83,3),
IF($C$17="Parfums",
VLOOKUP($E$17,BDD!$E$11:$J83,3),""))</f>
        <v>21.9</v>
      </c>
      <c r="H17" s="125">
        <f>IF(OR($C$17="Aloe_vera",$C$17="Clean_care",$C$17="Make_Up",$C$17="Accessoires",$C$17="Promotions"),
VLOOKUP($D$17,BDD!$E$11:$J83,4),
IF($C$17="Parfums",
VLOOKUP($E$17,BDD!$E$11:$J83,4),""))</f>
        <v>11</v>
      </c>
      <c r="I17" s="126">
        <f>IF(OR($C$17="Aloe_vera",$C$17="Clean_care",$C$17="Make_Up",$C$17="Accessoires",$C$17="Promotions"),
VLOOKUP($D$17,BDD!$E$11:$J83,5),
IF($C$17="Parfums",
VLOOKUP($E$17,BDD!$E$11:$J83,5),""))</f>
        <v>18</v>
      </c>
      <c r="J17" s="126">
        <f>IF(OR($C$17="Aloe_vera",$C$17="Clean_care",$C$17="Make_Up",$C$17="Accessoires",$C$17="Promotions"),
VLOOKUP($D$17,BDD!$E$11:$J83,6),
IF($C$17="Parfums",
VLOOKUP($E$17,BDD!$E$11:$J83,6),""))</f>
        <v>16.55</v>
      </c>
      <c r="K17" s="127"/>
      <c r="L17" s="128">
        <f>((F17-N17)*K17)</f>
        <v>0</v>
      </c>
      <c r="M17" s="128">
        <f>G17*K17</f>
        <v>0</v>
      </c>
      <c r="N17" s="75"/>
      <c r="O17" s="128">
        <f>(L17-M17)</f>
        <v>0</v>
      </c>
      <c r="P17" s="210">
        <f>I17*K17</f>
        <v>0</v>
      </c>
      <c r="Q17" s="210">
        <f>J17*K17</f>
        <v>0</v>
      </c>
      <c r="R17" s="129"/>
      <c r="S17" s="25"/>
      <c r="AF17" s="12"/>
    </row>
    <row r="18" spans="1:41" ht="15" thickBot="1">
      <c r="A18" s="64" t="s">
        <v>44</v>
      </c>
      <c r="B18" s="64"/>
      <c r="C18" s="64"/>
      <c r="D18" s="65"/>
      <c r="E18" s="62"/>
      <c r="F18" s="62"/>
      <c r="G18" s="178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24"/>
      <c r="AF18" s="12"/>
      <c r="AL18" s="5"/>
    </row>
    <row r="19" spans="1:41" ht="15.6" thickTop="1" thickBot="1">
      <c r="A19" s="48" t="s">
        <v>44</v>
      </c>
      <c r="B19" s="48"/>
      <c r="C19" s="48"/>
      <c r="D19" s="48"/>
      <c r="E19" s="26"/>
      <c r="F19" s="26"/>
      <c r="G19" s="177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59"/>
      <c r="AF19" s="12"/>
      <c r="AL19" s="5"/>
    </row>
    <row r="20" spans="1:41" ht="15.6" thickTop="1" thickBot="1">
      <c r="A20" s="53" t="s">
        <v>44</v>
      </c>
      <c r="G20" s="176"/>
      <c r="S20" s="284" t="s">
        <v>37</v>
      </c>
      <c r="T20" s="284"/>
      <c r="U20" s="284"/>
      <c r="V20" s="284"/>
      <c r="AF20" s="12"/>
      <c r="AL20" s="5"/>
      <c r="AO20" s="5"/>
    </row>
    <row r="21" spans="1:41" ht="15" thickBot="1">
      <c r="A21" s="53" t="s">
        <v>44</v>
      </c>
      <c r="L21" s="130">
        <f t="shared" ref="L21:Q21" si="1">SUM(L23:L74)</f>
        <v>0</v>
      </c>
      <c r="M21" s="130">
        <f t="shared" si="1"/>
        <v>0</v>
      </c>
      <c r="N21" s="130">
        <f t="shared" si="1"/>
        <v>0</v>
      </c>
      <c r="O21" s="130">
        <f t="shared" si="1"/>
        <v>0</v>
      </c>
      <c r="P21" s="131">
        <f t="shared" si="1"/>
        <v>0</v>
      </c>
      <c r="Q21" s="131">
        <f t="shared" si="1"/>
        <v>0</v>
      </c>
      <c r="R21" s="60"/>
      <c r="S21" s="163">
        <f>A17</f>
        <v>44013</v>
      </c>
      <c r="T21" s="73"/>
      <c r="U21" s="74"/>
      <c r="AE21" s="18"/>
      <c r="AF21" s="12"/>
    </row>
    <row r="22" spans="1:41">
      <c r="A22" s="261" t="s">
        <v>34</v>
      </c>
      <c r="B22" s="261" t="s">
        <v>18</v>
      </c>
      <c r="C22" s="261" t="s">
        <v>19</v>
      </c>
      <c r="D22" s="49" t="s">
        <v>0</v>
      </c>
      <c r="E22" s="264" t="s">
        <v>6</v>
      </c>
      <c r="F22" s="265" t="s">
        <v>14</v>
      </c>
      <c r="G22" s="265" t="s">
        <v>5</v>
      </c>
      <c r="H22" s="265" t="s">
        <v>2</v>
      </c>
      <c r="I22" s="266" t="s">
        <v>3</v>
      </c>
      <c r="J22" s="266" t="s">
        <v>4</v>
      </c>
      <c r="K22" s="265" t="s">
        <v>1</v>
      </c>
      <c r="L22" s="265" t="s">
        <v>21</v>
      </c>
      <c r="M22" s="265" t="s">
        <v>20</v>
      </c>
      <c r="N22" s="265" t="s">
        <v>42</v>
      </c>
      <c r="O22" s="265" t="s">
        <v>15</v>
      </c>
      <c r="P22" s="265" t="s">
        <v>16</v>
      </c>
      <c r="Q22" s="265" t="s">
        <v>17</v>
      </c>
      <c r="R22" s="11"/>
      <c r="S22" s="72"/>
      <c r="T22" s="72"/>
      <c r="U22" s="72"/>
      <c r="V22" s="72"/>
      <c r="W22" s="72"/>
      <c r="AF22" s="12"/>
      <c r="AK22" s="5"/>
    </row>
    <row r="23" spans="1:41">
      <c r="A23" s="119"/>
      <c r="B23" s="136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1"/>
      <c r="R23" s="11"/>
      <c r="S23" s="72"/>
      <c r="T23" s="72"/>
      <c r="U23" s="72"/>
      <c r="V23" s="72"/>
      <c r="W23" s="72"/>
      <c r="AF23" s="12"/>
      <c r="AK23" s="5"/>
    </row>
    <row r="24" spans="1:41">
      <c r="A24" s="119"/>
      <c r="B24" s="136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1"/>
      <c r="R24" s="11"/>
      <c r="S24" s="72"/>
      <c r="T24" s="72"/>
      <c r="U24" s="72"/>
      <c r="V24" s="72"/>
      <c r="W24" s="72"/>
      <c r="AF24" s="12"/>
      <c r="AK24" s="5"/>
    </row>
    <row r="25" spans="1:41">
      <c r="A25" s="119"/>
      <c r="B25" s="136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1"/>
      <c r="R25" s="11"/>
      <c r="S25" s="72"/>
      <c r="T25" s="72"/>
      <c r="U25" s="72"/>
      <c r="V25" s="72"/>
      <c r="W25" s="72"/>
      <c r="AF25" s="12"/>
      <c r="AK25" s="5"/>
    </row>
    <row r="26" spans="1:41">
      <c r="A26" s="119"/>
      <c r="B26" s="136"/>
      <c r="C26" s="120"/>
      <c r="D26" s="120"/>
      <c r="E26" s="120"/>
      <c r="F26" s="120"/>
      <c r="G26" s="120"/>
      <c r="H26" s="120"/>
      <c r="I26" s="120"/>
      <c r="J26" s="122"/>
      <c r="K26" s="120"/>
      <c r="L26" s="120"/>
      <c r="M26" s="120"/>
      <c r="N26" s="120"/>
      <c r="O26" s="120"/>
      <c r="P26" s="120"/>
      <c r="Q26" s="121"/>
      <c r="R26" s="11"/>
      <c r="S26" s="72"/>
      <c r="T26" s="72"/>
      <c r="U26" s="72"/>
      <c r="V26" s="72"/>
      <c r="W26" s="72"/>
      <c r="AF26" s="12"/>
      <c r="AK26" s="5"/>
    </row>
    <row r="27" spans="1:41">
      <c r="A27" s="119"/>
      <c r="B27" s="136"/>
      <c r="C27" s="120"/>
      <c r="D27" s="120"/>
      <c r="E27" s="120"/>
      <c r="F27" s="120"/>
      <c r="G27" s="120"/>
      <c r="H27" s="120"/>
      <c r="I27" s="120"/>
      <c r="J27" s="120"/>
      <c r="K27" s="120"/>
      <c r="L27" s="120"/>
      <c r="M27" s="120"/>
      <c r="N27" s="120"/>
      <c r="O27" s="120"/>
      <c r="P27" s="120"/>
      <c r="Q27" s="121"/>
      <c r="R27" s="11"/>
      <c r="AF27" s="12"/>
      <c r="AK27" s="5"/>
    </row>
    <row r="28" spans="1:41">
      <c r="A28" s="119"/>
      <c r="B28" s="136"/>
      <c r="C28" s="120"/>
      <c r="D28" s="120"/>
      <c r="E28" s="120"/>
      <c r="F28" s="120"/>
      <c r="G28" s="120"/>
      <c r="H28" s="120"/>
      <c r="I28" s="122"/>
      <c r="J28" s="120"/>
      <c r="K28" s="120"/>
      <c r="L28" s="120"/>
      <c r="M28" s="120"/>
      <c r="N28" s="120"/>
      <c r="O28" s="120"/>
      <c r="P28" s="120"/>
      <c r="Q28" s="121"/>
      <c r="R28" s="11"/>
      <c r="AF28" s="12"/>
      <c r="AK28" s="5"/>
    </row>
    <row r="29" spans="1:41">
      <c r="A29" s="119"/>
      <c r="B29" s="136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1"/>
      <c r="R29" s="11"/>
      <c r="AF29" s="12"/>
    </row>
    <row r="30" spans="1:41">
      <c r="A30" s="119"/>
      <c r="B30" s="136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1"/>
      <c r="R30" s="11"/>
      <c r="AF30" s="12"/>
    </row>
    <row r="31" spans="1:41">
      <c r="A31" s="119"/>
      <c r="B31" s="136"/>
      <c r="C31" s="120"/>
      <c r="D31" s="120"/>
      <c r="E31" s="120"/>
      <c r="F31" s="120"/>
      <c r="G31" s="120"/>
      <c r="H31" s="120"/>
      <c r="I31" s="122"/>
      <c r="J31" s="122"/>
      <c r="K31" s="120"/>
      <c r="L31" s="120"/>
      <c r="M31" s="120"/>
      <c r="N31" s="120"/>
      <c r="O31" s="120"/>
      <c r="P31" s="120"/>
      <c r="Q31" s="121"/>
      <c r="R31" s="11"/>
      <c r="AF31" s="12"/>
    </row>
    <row r="32" spans="1:41">
      <c r="A32" s="119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120"/>
      <c r="O32" s="120"/>
      <c r="P32" s="120"/>
      <c r="Q32" s="121"/>
      <c r="R32" s="11"/>
      <c r="AF32" s="12"/>
    </row>
    <row r="33" spans="1:32">
      <c r="A33" s="119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120"/>
      <c r="O33" s="120"/>
      <c r="P33" s="120"/>
      <c r="Q33" s="121"/>
      <c r="R33" s="11"/>
      <c r="AE33" s="18"/>
      <c r="AF33" s="12"/>
    </row>
    <row r="34" spans="1:32">
      <c r="A34" s="119"/>
      <c r="B34" s="136"/>
      <c r="C34" s="120"/>
      <c r="D34" s="120"/>
      <c r="E34" s="120"/>
      <c r="F34" s="120"/>
      <c r="G34" s="120"/>
      <c r="H34" s="120"/>
      <c r="I34" s="120"/>
      <c r="J34" s="122"/>
      <c r="K34" s="120"/>
      <c r="L34" s="120"/>
      <c r="M34" s="120"/>
      <c r="N34" s="120"/>
      <c r="O34" s="120"/>
      <c r="P34" s="120"/>
      <c r="Q34" s="121"/>
      <c r="R34" s="11"/>
      <c r="AE34" s="18"/>
      <c r="AF34" s="12"/>
    </row>
    <row r="35" spans="1:32">
      <c r="A35" s="119"/>
      <c r="B35" s="136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120"/>
      <c r="O35" s="120"/>
      <c r="P35" s="120"/>
      <c r="Q35" s="121"/>
      <c r="R35" s="11"/>
      <c r="AF35" s="12"/>
    </row>
    <row r="36" spans="1:32">
      <c r="A36" s="119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1"/>
      <c r="R36" s="11"/>
      <c r="X36" s="5"/>
      <c r="AE36" s="18"/>
      <c r="AF36" s="12"/>
    </row>
    <row r="37" spans="1:32">
      <c r="A37" s="119"/>
      <c r="B37" s="120"/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  <c r="O37" s="120"/>
      <c r="P37" s="120"/>
      <c r="Q37" s="121"/>
      <c r="R37" s="11"/>
      <c r="X37" s="5"/>
      <c r="AE37" s="18"/>
      <c r="AF37" s="12"/>
    </row>
    <row r="38" spans="1:32">
      <c r="A38" s="119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1"/>
      <c r="R38" s="11"/>
      <c r="X38" s="5"/>
      <c r="AE38" s="18"/>
      <c r="AF38" s="12"/>
    </row>
    <row r="39" spans="1:32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1"/>
      <c r="R39" s="11"/>
      <c r="X39" s="5"/>
      <c r="AE39" s="18"/>
      <c r="AF39" s="12"/>
    </row>
    <row r="40" spans="1:32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1"/>
      <c r="R40" s="11"/>
      <c r="X40" s="5"/>
      <c r="AE40" s="18"/>
      <c r="AF40" s="12"/>
    </row>
    <row r="41" spans="1:32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1"/>
      <c r="R41" s="11"/>
      <c r="X41" s="5"/>
      <c r="AE41" s="18"/>
      <c r="AF41" s="12"/>
    </row>
    <row r="42" spans="1:32">
      <c r="A42" s="119"/>
      <c r="B42" s="136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1"/>
      <c r="R42" s="11"/>
      <c r="X42" s="5"/>
      <c r="AE42" s="18"/>
      <c r="AF42" s="12"/>
    </row>
    <row r="43" spans="1:32">
      <c r="A43" s="119"/>
      <c r="B43" s="136"/>
      <c r="C43" s="120"/>
      <c r="D43" s="120"/>
      <c r="E43" s="120"/>
      <c r="F43" s="120"/>
      <c r="G43" s="120"/>
      <c r="H43" s="120"/>
      <c r="I43" s="122"/>
      <c r="J43" s="122"/>
      <c r="K43" s="120"/>
      <c r="L43" s="120"/>
      <c r="M43" s="120"/>
      <c r="N43" s="120"/>
      <c r="O43" s="120"/>
      <c r="P43" s="120"/>
      <c r="Q43" s="121"/>
      <c r="R43" s="11"/>
      <c r="X43" s="5"/>
      <c r="AE43" s="18"/>
      <c r="AF43" s="12"/>
    </row>
    <row r="44" spans="1:32">
      <c r="A44" s="119"/>
      <c r="B44" s="120"/>
      <c r="C44" s="120"/>
      <c r="D44" s="120"/>
      <c r="E44" s="120"/>
      <c r="F44" s="120"/>
      <c r="G44" s="120"/>
      <c r="H44" s="120"/>
      <c r="I44" s="122"/>
      <c r="J44" s="122"/>
      <c r="K44" s="120"/>
      <c r="L44" s="120"/>
      <c r="M44" s="120"/>
      <c r="N44" s="120"/>
      <c r="O44" s="120"/>
      <c r="P44" s="120"/>
      <c r="Q44" s="121"/>
      <c r="R44" s="11"/>
      <c r="X44" s="5"/>
      <c r="AE44" s="18"/>
      <c r="AF44" s="12"/>
    </row>
    <row r="45" spans="1:32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1"/>
      <c r="R45" s="11"/>
      <c r="X45" s="5"/>
      <c r="AE45" s="18"/>
      <c r="AF45" s="12"/>
    </row>
    <row r="46" spans="1:32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1"/>
      <c r="R46" s="11"/>
      <c r="X46" s="5"/>
      <c r="AE46" s="18"/>
      <c r="AF46" s="12"/>
    </row>
    <row r="47" spans="1:32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1"/>
      <c r="R47" s="11"/>
      <c r="X47" s="5"/>
      <c r="AE47" s="18"/>
      <c r="AF47" s="12"/>
    </row>
    <row r="48" spans="1:32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1"/>
      <c r="R48" s="11"/>
      <c r="X48" s="5"/>
      <c r="AE48" s="18"/>
      <c r="AF48" s="12"/>
    </row>
    <row r="49" spans="1:32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1"/>
      <c r="R49" s="11"/>
      <c r="X49" s="5"/>
      <c r="AE49" s="18"/>
      <c r="AF49" s="12"/>
    </row>
    <row r="50" spans="1:32">
      <c r="A50" s="119"/>
      <c r="B50" s="120"/>
      <c r="C50" s="120"/>
      <c r="D50" s="120"/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1"/>
      <c r="R50" s="11"/>
      <c r="X50" s="5"/>
      <c r="AE50" s="18"/>
      <c r="AF50" s="12"/>
    </row>
    <row r="51" spans="1:32">
      <c r="A51" s="119"/>
      <c r="B51" s="120"/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1"/>
      <c r="R51" s="11"/>
      <c r="X51" s="5"/>
      <c r="AE51" s="18"/>
      <c r="AF51" s="12"/>
    </row>
    <row r="52" spans="1:32">
      <c r="A52" s="119"/>
      <c r="B52" s="120"/>
      <c r="C52" s="120"/>
      <c r="D52" s="120"/>
      <c r="E52" s="120"/>
      <c r="F52" s="122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1"/>
      <c r="R52" s="11"/>
      <c r="X52" s="5"/>
      <c r="AE52" s="18"/>
      <c r="AF52" s="12"/>
    </row>
    <row r="53" spans="1:32">
      <c r="A53" s="119"/>
      <c r="B53" s="120"/>
      <c r="C53" s="120"/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1"/>
      <c r="R53" s="11"/>
      <c r="X53" s="5"/>
      <c r="AE53" s="18"/>
      <c r="AF53" s="12"/>
    </row>
    <row r="54" spans="1:32">
      <c r="A54" s="119"/>
      <c r="B54" s="120"/>
      <c r="C54" s="120"/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1"/>
      <c r="R54" s="11"/>
      <c r="X54" s="5"/>
      <c r="AE54" s="18"/>
      <c r="AF54" s="12"/>
    </row>
    <row r="55" spans="1:32">
      <c r="A55" s="119"/>
      <c r="B55" s="120"/>
      <c r="C55" s="120"/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1"/>
      <c r="R55" s="11"/>
      <c r="X55" s="5"/>
      <c r="AE55" s="18"/>
      <c r="AF55" s="12"/>
    </row>
    <row r="56" spans="1:32">
      <c r="A56" s="119"/>
      <c r="B56" s="120"/>
      <c r="C56" s="120"/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1"/>
      <c r="R56" s="217"/>
      <c r="X56" s="5"/>
      <c r="AE56" s="18"/>
      <c r="AF56" s="12"/>
    </row>
    <row r="57" spans="1:32">
      <c r="A57" s="218"/>
      <c r="B57" s="219"/>
      <c r="C57" s="219"/>
      <c r="D57" s="219"/>
      <c r="E57" s="219"/>
      <c r="F57" s="219"/>
      <c r="G57" s="219"/>
      <c r="H57" s="219"/>
      <c r="I57" s="220"/>
      <c r="J57" s="220"/>
      <c r="K57" s="219"/>
      <c r="L57" s="219"/>
      <c r="M57" s="219"/>
      <c r="N57" s="219"/>
      <c r="O57" s="219"/>
      <c r="P57" s="219"/>
      <c r="Q57" s="219"/>
      <c r="R57" s="176"/>
      <c r="AE57" s="18"/>
      <c r="AF57" s="12"/>
    </row>
    <row r="58" spans="1:32">
      <c r="A58" s="221"/>
      <c r="B58" s="222"/>
      <c r="C58" s="222"/>
      <c r="D58" s="223"/>
      <c r="E58" s="224"/>
      <c r="F58" s="224"/>
      <c r="G58" s="224"/>
      <c r="H58" s="224"/>
      <c r="I58" s="224"/>
      <c r="J58" s="224"/>
      <c r="K58" s="224"/>
      <c r="L58" s="224"/>
      <c r="M58" s="224"/>
      <c r="N58" s="224"/>
      <c r="O58" s="224"/>
      <c r="P58" s="224"/>
      <c r="Q58" s="97"/>
      <c r="R58" s="176"/>
      <c r="AE58" s="18"/>
      <c r="AF58" s="12"/>
    </row>
    <row r="59" spans="1:32">
      <c r="A59" s="221"/>
      <c r="B59" s="222"/>
      <c r="C59" s="222"/>
      <c r="D59" s="223"/>
      <c r="E59" s="224"/>
      <c r="F59" s="224"/>
      <c r="G59" s="224"/>
      <c r="H59" s="224"/>
      <c r="I59" s="224"/>
      <c r="J59" s="224"/>
      <c r="K59" s="224"/>
      <c r="L59" s="224"/>
      <c r="M59" s="224"/>
      <c r="N59" s="224"/>
      <c r="O59" s="224"/>
      <c r="P59" s="224"/>
      <c r="Q59" s="97"/>
      <c r="R59" s="176"/>
      <c r="AE59" s="18"/>
      <c r="AF59" s="12"/>
    </row>
    <row r="60" spans="1:32">
      <c r="A60" s="221"/>
      <c r="B60" s="222"/>
      <c r="C60" s="222"/>
      <c r="D60" s="223"/>
      <c r="E60" s="224"/>
      <c r="F60" s="224"/>
      <c r="G60" s="224"/>
      <c r="H60" s="224"/>
      <c r="I60" s="224"/>
      <c r="J60" s="224"/>
      <c r="K60" s="224"/>
      <c r="L60" s="224"/>
      <c r="M60" s="224"/>
      <c r="N60" s="224"/>
      <c r="O60" s="224"/>
      <c r="P60" s="224"/>
      <c r="Q60" s="97"/>
      <c r="R60" s="176"/>
      <c r="AE60" s="18"/>
      <c r="AF60" s="12"/>
    </row>
    <row r="61" spans="1:32">
      <c r="A61" s="221"/>
      <c r="B61" s="222"/>
      <c r="C61" s="222"/>
      <c r="D61" s="223"/>
      <c r="E61" s="224"/>
      <c r="F61" s="224"/>
      <c r="G61" s="224"/>
      <c r="H61" s="224"/>
      <c r="I61" s="224"/>
      <c r="J61" s="224"/>
      <c r="K61" s="224"/>
      <c r="L61" s="224"/>
      <c r="M61" s="224"/>
      <c r="N61" s="224"/>
      <c r="O61" s="224"/>
      <c r="P61" s="224"/>
      <c r="Q61" s="97"/>
      <c r="R61" s="176"/>
      <c r="AE61" s="18"/>
      <c r="AF61" s="12"/>
    </row>
    <row r="62" spans="1:32">
      <c r="A62" s="221"/>
      <c r="B62" s="222"/>
      <c r="C62" s="222"/>
      <c r="D62" s="223"/>
      <c r="E62" s="224"/>
      <c r="F62" s="224"/>
      <c r="G62" s="224"/>
      <c r="H62" s="224"/>
      <c r="I62" s="224"/>
      <c r="J62" s="224"/>
      <c r="K62" s="224"/>
      <c r="L62" s="224"/>
      <c r="M62" s="224"/>
      <c r="N62" s="224"/>
      <c r="O62" s="224"/>
      <c r="P62" s="224"/>
      <c r="Q62" s="97"/>
      <c r="R62" s="176"/>
      <c r="AE62" s="18"/>
      <c r="AF62" s="12"/>
    </row>
    <row r="63" spans="1:32">
      <c r="A63" s="221"/>
      <c r="B63" s="222"/>
      <c r="C63" s="222"/>
      <c r="D63" s="223"/>
      <c r="E63" s="224"/>
      <c r="F63" s="224"/>
      <c r="G63" s="224"/>
      <c r="H63" s="224"/>
      <c r="I63" s="224"/>
      <c r="J63" s="224"/>
      <c r="K63" s="224"/>
      <c r="L63" s="224"/>
      <c r="M63" s="224"/>
      <c r="N63" s="224"/>
      <c r="O63" s="224"/>
      <c r="P63" s="224"/>
      <c r="Q63" s="97"/>
      <c r="R63" s="176"/>
      <c r="AE63" s="18"/>
      <c r="AF63" s="12"/>
    </row>
    <row r="64" spans="1:32">
      <c r="A64" s="221"/>
      <c r="B64" s="222"/>
      <c r="C64" s="222"/>
      <c r="D64" s="223"/>
      <c r="E64" s="224"/>
      <c r="F64" s="224"/>
      <c r="G64" s="224"/>
      <c r="H64" s="224"/>
      <c r="I64" s="224"/>
      <c r="J64" s="224"/>
      <c r="K64" s="224"/>
      <c r="L64" s="224"/>
      <c r="M64" s="224"/>
      <c r="N64" s="224"/>
      <c r="O64" s="224"/>
      <c r="P64" s="224"/>
      <c r="Q64" s="97"/>
      <c r="R64" s="176"/>
      <c r="AE64" s="18"/>
      <c r="AF64" s="12"/>
    </row>
    <row r="65" spans="1:32">
      <c r="A65" s="221"/>
      <c r="B65" s="222"/>
      <c r="C65" s="222"/>
      <c r="D65" s="223"/>
      <c r="E65" s="224"/>
      <c r="F65" s="224"/>
      <c r="G65" s="224"/>
      <c r="H65" s="224"/>
      <c r="I65" s="224"/>
      <c r="J65" s="224"/>
      <c r="K65" s="224"/>
      <c r="L65" s="224"/>
      <c r="M65" s="224"/>
      <c r="N65" s="224"/>
      <c r="O65" s="224"/>
      <c r="P65" s="224"/>
      <c r="Q65" s="97"/>
      <c r="R65" s="176"/>
      <c r="AE65" s="18"/>
      <c r="AF65" s="12"/>
    </row>
    <row r="66" spans="1:32">
      <c r="A66" s="221"/>
      <c r="B66" s="222"/>
      <c r="C66" s="222"/>
      <c r="D66" s="223"/>
      <c r="E66" s="224"/>
      <c r="F66" s="224"/>
      <c r="G66" s="224"/>
      <c r="H66" s="224"/>
      <c r="I66" s="224"/>
      <c r="J66" s="224"/>
      <c r="K66" s="224"/>
      <c r="L66" s="224"/>
      <c r="M66" s="224"/>
      <c r="N66" s="224"/>
      <c r="O66" s="224"/>
      <c r="P66" s="224"/>
      <c r="Q66" s="97"/>
      <c r="R66" s="176"/>
      <c r="AE66" s="18"/>
      <c r="AF66" s="12"/>
    </row>
    <row r="67" spans="1:32">
      <c r="A67" s="221"/>
      <c r="B67" s="222"/>
      <c r="C67" s="222"/>
      <c r="D67" s="223"/>
      <c r="E67" s="224"/>
      <c r="F67" s="224"/>
      <c r="G67" s="224"/>
      <c r="H67" s="224"/>
      <c r="I67" s="224"/>
      <c r="J67" s="224"/>
      <c r="K67" s="224"/>
      <c r="L67" s="224"/>
      <c r="M67" s="224"/>
      <c r="N67" s="224"/>
      <c r="O67" s="224"/>
      <c r="P67" s="224"/>
      <c r="Q67" s="97"/>
      <c r="R67" s="176"/>
      <c r="AE67" s="18"/>
      <c r="AF67" s="12"/>
    </row>
    <row r="68" spans="1:32">
      <c r="A68" s="221"/>
      <c r="B68" s="222"/>
      <c r="C68" s="222"/>
      <c r="D68" s="223"/>
      <c r="E68" s="224"/>
      <c r="F68" s="224"/>
      <c r="G68" s="224"/>
      <c r="H68" s="224"/>
      <c r="I68" s="224"/>
      <c r="J68" s="224"/>
      <c r="K68" s="224"/>
      <c r="L68" s="224"/>
      <c r="M68" s="224"/>
      <c r="N68" s="224"/>
      <c r="O68" s="224"/>
      <c r="P68" s="224"/>
      <c r="Q68" s="97"/>
      <c r="R68" s="176"/>
      <c r="AE68" s="18"/>
      <c r="AF68" s="12"/>
    </row>
    <row r="69" spans="1:32">
      <c r="A69" s="221"/>
      <c r="B69" s="222"/>
      <c r="C69" s="222"/>
      <c r="D69" s="223"/>
      <c r="E69" s="224"/>
      <c r="F69" s="224"/>
      <c r="G69" s="224"/>
      <c r="H69" s="224"/>
      <c r="I69" s="224"/>
      <c r="J69" s="224"/>
      <c r="K69" s="224"/>
      <c r="L69" s="224"/>
      <c r="M69" s="224"/>
      <c r="N69" s="224"/>
      <c r="O69" s="224"/>
      <c r="P69" s="224"/>
      <c r="Q69" s="97"/>
      <c r="R69" s="176"/>
      <c r="AE69" s="18"/>
      <c r="AF69" s="12"/>
    </row>
    <row r="70" spans="1:32">
      <c r="A70" s="221"/>
      <c r="B70" s="222"/>
      <c r="C70" s="222"/>
      <c r="D70" s="223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97"/>
      <c r="R70" s="176"/>
      <c r="AE70" s="18"/>
      <c r="AF70" s="12"/>
    </row>
    <row r="71" spans="1:32">
      <c r="A71" s="221"/>
      <c r="B71" s="222"/>
      <c r="C71" s="222"/>
      <c r="D71" s="223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97"/>
      <c r="R71" s="176"/>
      <c r="AE71" s="18"/>
      <c r="AF71" s="12"/>
    </row>
    <row r="72" spans="1:32">
      <c r="A72" s="221"/>
      <c r="B72" s="222"/>
      <c r="C72" s="222"/>
      <c r="D72" s="223"/>
      <c r="E72" s="224"/>
      <c r="F72" s="224"/>
      <c r="G72" s="224"/>
      <c r="H72" s="224"/>
      <c r="I72" s="224"/>
      <c r="J72" s="224"/>
      <c r="K72" s="224"/>
      <c r="L72" s="224"/>
      <c r="M72" s="224"/>
      <c r="N72" s="224"/>
      <c r="O72" s="224"/>
      <c r="P72" s="224"/>
      <c r="Q72" s="97"/>
      <c r="R72" s="176"/>
      <c r="AE72" s="18"/>
      <c r="AF72" s="12"/>
    </row>
    <row r="73" spans="1:32">
      <c r="A73" s="221"/>
      <c r="B73" s="222"/>
      <c r="C73" s="222"/>
      <c r="D73" s="223"/>
      <c r="E73" s="224"/>
      <c r="F73" s="224"/>
      <c r="G73" s="224"/>
      <c r="H73" s="224"/>
      <c r="I73" s="224"/>
      <c r="J73" s="224"/>
      <c r="K73" s="224"/>
      <c r="L73" s="224"/>
      <c r="M73" s="224"/>
      <c r="N73" s="224"/>
      <c r="O73" s="224"/>
      <c r="P73" s="224"/>
      <c r="Q73" s="97"/>
      <c r="R73" s="176"/>
      <c r="AE73" s="18"/>
      <c r="AF73" s="12"/>
    </row>
    <row r="74" spans="1:32">
      <c r="A74" s="221"/>
      <c r="B74" s="222"/>
      <c r="C74" s="222"/>
      <c r="D74" s="223"/>
      <c r="E74" s="224"/>
      <c r="F74" s="224"/>
      <c r="G74" s="224"/>
      <c r="H74" s="224"/>
      <c r="I74" s="224"/>
      <c r="J74" s="224"/>
      <c r="K74" s="224"/>
      <c r="L74" s="224"/>
      <c r="M74" s="224"/>
      <c r="N74" s="224"/>
      <c r="O74" s="224"/>
      <c r="P74" s="224"/>
      <c r="Q74" s="97"/>
      <c r="R74" s="176"/>
      <c r="AE74" s="18"/>
      <c r="AF74" s="12"/>
    </row>
    <row r="75" spans="1:32">
      <c r="A75" s="103"/>
      <c r="B75" s="104"/>
      <c r="C75" s="104"/>
      <c r="D75" s="105"/>
      <c r="E75" s="106"/>
      <c r="F75" s="106"/>
      <c r="G75" s="106"/>
      <c r="H75" s="106"/>
      <c r="I75" s="106"/>
      <c r="J75" s="106"/>
      <c r="K75" s="106"/>
      <c r="L75" s="106"/>
      <c r="M75" s="106"/>
      <c r="N75" s="106"/>
      <c r="O75" s="106"/>
      <c r="P75" s="106"/>
      <c r="AE75" s="18"/>
      <c r="AF75" s="12"/>
    </row>
    <row r="76" spans="1:32">
      <c r="A76" s="103"/>
      <c r="B76" s="104"/>
      <c r="C76" s="104"/>
      <c r="D76" s="105"/>
      <c r="E76" s="106"/>
      <c r="F76" s="106"/>
      <c r="G76" s="106"/>
      <c r="H76" s="106"/>
      <c r="I76" s="106"/>
      <c r="J76" s="106"/>
      <c r="K76" s="106"/>
      <c r="L76" s="106"/>
      <c r="M76" s="106"/>
      <c r="N76" s="106"/>
      <c r="O76" s="106"/>
      <c r="P76" s="106"/>
      <c r="AE76" s="18"/>
      <c r="AF76" s="12"/>
    </row>
    <row r="77" spans="1:32">
      <c r="A77" s="103"/>
      <c r="B77" s="104"/>
      <c r="C77" s="104"/>
      <c r="D77" s="105"/>
      <c r="E77" s="106"/>
      <c r="F77" s="106"/>
      <c r="G77" s="106"/>
      <c r="H77" s="106"/>
      <c r="I77" s="106"/>
      <c r="J77" s="106"/>
      <c r="K77" s="106"/>
      <c r="L77" s="106"/>
      <c r="M77" s="106"/>
      <c r="N77" s="106"/>
      <c r="O77" s="106"/>
      <c r="P77" s="106"/>
      <c r="AE77" s="18"/>
      <c r="AF77" s="12"/>
    </row>
    <row r="78" spans="1:32">
      <c r="A78" s="103"/>
      <c r="B78" s="104"/>
      <c r="C78" s="104"/>
      <c r="D78" s="105"/>
      <c r="E78" s="106"/>
      <c r="F78" s="106"/>
      <c r="G78" s="106"/>
      <c r="H78" s="106"/>
      <c r="I78" s="106"/>
      <c r="J78" s="106"/>
      <c r="K78" s="106"/>
      <c r="L78" s="106"/>
      <c r="M78" s="106"/>
      <c r="N78" s="106"/>
      <c r="O78" s="106"/>
      <c r="P78" s="106"/>
      <c r="AE78" s="18"/>
      <c r="AF78" s="12"/>
    </row>
    <row r="79" spans="1:32">
      <c r="A79" s="103"/>
      <c r="B79" s="104"/>
      <c r="C79" s="104"/>
      <c r="D79" s="105"/>
      <c r="E79" s="106"/>
      <c r="F79" s="106"/>
      <c r="G79" s="106"/>
      <c r="H79" s="106"/>
      <c r="I79" s="106"/>
      <c r="J79" s="106"/>
      <c r="K79" s="106"/>
      <c r="L79" s="106"/>
      <c r="M79" s="106"/>
      <c r="N79" s="106"/>
      <c r="O79" s="106"/>
      <c r="P79" s="106"/>
      <c r="AE79" s="18"/>
      <c r="AF79" s="12"/>
    </row>
    <row r="80" spans="1:32">
      <c r="A80" s="103"/>
      <c r="B80" s="104"/>
      <c r="C80" s="104"/>
      <c r="D80" s="105"/>
      <c r="E80" s="106"/>
      <c r="F80" s="106"/>
      <c r="G80" s="106"/>
      <c r="H80" s="106"/>
      <c r="I80" s="106"/>
      <c r="J80" s="106"/>
      <c r="K80" s="106"/>
      <c r="L80" s="106"/>
      <c r="M80" s="106"/>
      <c r="N80" s="106"/>
      <c r="O80" s="106"/>
      <c r="P80" s="106"/>
      <c r="AE80" s="18"/>
      <c r="AF80" s="12"/>
    </row>
    <row r="81" spans="1:32">
      <c r="A81" s="103"/>
      <c r="B81" s="104"/>
      <c r="C81" s="104"/>
      <c r="D81" s="105"/>
      <c r="E81" s="106"/>
      <c r="F81" s="106"/>
      <c r="G81" s="106"/>
      <c r="H81" s="106"/>
      <c r="I81" s="106"/>
      <c r="J81" s="106"/>
      <c r="K81" s="106"/>
      <c r="L81" s="106"/>
      <c r="M81" s="106"/>
      <c r="N81" s="106"/>
      <c r="O81" s="106"/>
      <c r="P81" s="106"/>
      <c r="AE81" s="18"/>
      <c r="AF81" s="12"/>
    </row>
    <row r="82" spans="1:32">
      <c r="AE82" s="18"/>
      <c r="AF82" s="12"/>
    </row>
    <row r="83" spans="1:32">
      <c r="AE83" s="18"/>
      <c r="AF83" s="12"/>
    </row>
    <row r="84" spans="1:32">
      <c r="AE84" s="18"/>
      <c r="AF84" s="12"/>
    </row>
    <row r="85" spans="1:32">
      <c r="AE85" s="18"/>
      <c r="AF85" s="12"/>
    </row>
    <row r="86" spans="1:32">
      <c r="AE86" s="18"/>
      <c r="AF86" s="12"/>
    </row>
    <row r="87" spans="1:32">
      <c r="AE87" s="18"/>
      <c r="AF87" s="12"/>
    </row>
    <row r="88" spans="1:32">
      <c r="AE88" s="18"/>
      <c r="AF88" s="12"/>
    </row>
    <row r="89" spans="1:32">
      <c r="AE89" s="18"/>
      <c r="AF89" s="12"/>
    </row>
    <row r="90" spans="1:32">
      <c r="AE90" s="18"/>
      <c r="AF90" s="12"/>
    </row>
    <row r="91" spans="1:32">
      <c r="AE91" s="18"/>
      <c r="AF91" s="12"/>
    </row>
    <row r="92" spans="1:32">
      <c r="AE92" s="18"/>
      <c r="AF92" s="12"/>
    </row>
    <row r="93" spans="1:32">
      <c r="AE93" s="18"/>
      <c r="AF93" s="12"/>
    </row>
    <row r="94" spans="1:32">
      <c r="AE94" s="18"/>
      <c r="AF94" s="12"/>
    </row>
    <row r="95" spans="1:32">
      <c r="AE95" s="18"/>
      <c r="AF95" s="12"/>
    </row>
    <row r="96" spans="1:32">
      <c r="AE96" s="18"/>
      <c r="AF96" s="12"/>
    </row>
    <row r="97" spans="31:32">
      <c r="AE97" s="18"/>
      <c r="AF97" s="12"/>
    </row>
    <row r="98" spans="31:32">
      <c r="AE98" s="18"/>
      <c r="AF98" s="12"/>
    </row>
    <row r="99" spans="31:32">
      <c r="AE99" s="18"/>
      <c r="AF99" s="12"/>
    </row>
    <row r="100" spans="31:32">
      <c r="AE100" s="18"/>
      <c r="AF100" s="12"/>
    </row>
    <row r="101" spans="31:32">
      <c r="AE101" s="18"/>
      <c r="AF101" s="12"/>
    </row>
    <row r="102" spans="31:32">
      <c r="AE102" s="18"/>
      <c r="AF102" s="12"/>
    </row>
    <row r="103" spans="31:32">
      <c r="AE103" s="18"/>
      <c r="AF103" s="12"/>
    </row>
    <row r="104" spans="31:32">
      <c r="AE104" s="18"/>
      <c r="AF104" s="12"/>
    </row>
    <row r="105" spans="31:32">
      <c r="AE105" s="18"/>
      <c r="AF105" s="12"/>
    </row>
    <row r="106" spans="31:32">
      <c r="AE106" s="18"/>
      <c r="AF106" s="12"/>
    </row>
  </sheetData>
  <sheetProtection selectLockedCells="1"/>
  <mergeCells count="13">
    <mergeCell ref="S20:V20"/>
    <mergeCell ref="A4:C4"/>
    <mergeCell ref="A13:C13"/>
    <mergeCell ref="F7:G7"/>
    <mergeCell ref="H7:J7"/>
    <mergeCell ref="K7:L7"/>
    <mergeCell ref="H6:J6"/>
    <mergeCell ref="K6:L6"/>
    <mergeCell ref="C6:E6"/>
    <mergeCell ref="C7:E7"/>
    <mergeCell ref="F6:G6"/>
    <mergeCell ref="M7:O7"/>
    <mergeCell ref="M6:O6"/>
  </mergeCells>
  <dataValidations count="7">
    <dataValidation type="list" allowBlank="1" showInputMessage="1" showErrorMessage="1" sqref="D17">
      <formula1>INDIRECT(C17)</formula1>
    </dataValidation>
    <dataValidation type="list" allowBlank="1" showInputMessage="1" showErrorMessage="1" sqref="C17">
      <formula1>Liste_type</formula1>
    </dataValidation>
    <dataValidation type="list" allowBlank="1" showInputMessage="1" showErrorMessage="1" sqref="E17">
      <formula1>Parfum</formula1>
    </dataValidation>
    <dataValidation type="list" allowBlank="1" showInputMessage="1" showErrorMessage="1" sqref="K17">
      <formula1>Quantité</formula1>
    </dataValidation>
    <dataValidation type="list" allowBlank="1" showInputMessage="1" showErrorMessage="1" sqref="B17">
      <formula1>Colonne_Nom_Prenom</formula1>
    </dataValidation>
    <dataValidation type="list" allowBlank="1" showInputMessage="1" showErrorMessage="1" sqref="A17">
      <formula1>Mois</formula1>
    </dataValidation>
    <dataValidation type="list" allowBlank="1" showInputMessage="1" showErrorMessage="1" sqref="A7">
      <formula1>lieu_commande</formula1>
    </dataValidation>
  </dataValidations>
  <pageMargins left="0.19685039370078741" right="0.19685039370078741" top="0.19685039370078741" bottom="0.19685039370078741" header="0.19685039370078741" footer="0.19685039370078741"/>
  <pageSetup paperSize="9" scale="6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Y152"/>
  <sheetViews>
    <sheetView zoomScale="115" zoomScaleNormal="115" workbookViewId="0">
      <pane ySplit="1" topLeftCell="A2" activePane="bottomLeft" state="frozen"/>
      <selection pane="bottomLeft" activeCell="B17" sqref="B17:G17"/>
    </sheetView>
  </sheetViews>
  <sheetFormatPr baseColWidth="10" defaultColWidth="11.5546875" defaultRowHeight="14.4"/>
  <cols>
    <col min="1" max="1" width="16" style="95" bestFit="1" customWidth="1"/>
    <col min="2" max="2" width="13.5546875" style="95" customWidth="1"/>
    <col min="3" max="4" width="11.88671875" style="95" customWidth="1"/>
    <col min="5" max="5" width="13.88671875" style="95" customWidth="1"/>
    <col min="6" max="6" width="10.44140625" style="95" customWidth="1"/>
    <col min="7" max="7" width="11.109375" style="95" customWidth="1"/>
    <col min="8" max="8" width="25" style="95" bestFit="1" customWidth="1"/>
    <col min="9" max="9" width="6" style="79" bestFit="1" customWidth="1"/>
    <col min="10" max="10" width="11.5546875" style="80"/>
    <col min="11" max="11" width="14.5546875" style="80" bestFit="1" customWidth="1"/>
    <col min="12" max="13" width="11.5546875" style="80"/>
    <col min="14" max="14" width="12.33203125" style="80" customWidth="1"/>
    <col min="15" max="16" width="11.5546875" style="80"/>
    <col min="17" max="17" width="24.5546875" style="80" customWidth="1"/>
    <col min="18" max="25" width="11.5546875" style="80"/>
    <col min="26" max="16384" width="11.5546875" style="81"/>
  </cols>
  <sheetData>
    <row r="1" spans="1:17" s="173" customFormat="1" ht="43.2">
      <c r="A1" s="155" t="s">
        <v>34</v>
      </c>
      <c r="B1" s="156" t="s">
        <v>21</v>
      </c>
      <c r="C1" s="156" t="s">
        <v>66</v>
      </c>
      <c r="D1" s="156" t="s">
        <v>67</v>
      </c>
      <c r="E1" s="156" t="s">
        <v>68</v>
      </c>
      <c r="F1" s="156" t="s">
        <v>69</v>
      </c>
      <c r="G1" s="157" t="s">
        <v>70</v>
      </c>
      <c r="H1" s="158" t="s">
        <v>71</v>
      </c>
      <c r="I1" s="172"/>
      <c r="J1" s="164" t="s">
        <v>34</v>
      </c>
      <c r="K1" s="165" t="s">
        <v>21</v>
      </c>
      <c r="L1" s="165" t="s">
        <v>20</v>
      </c>
      <c r="M1" s="165" t="s">
        <v>42</v>
      </c>
      <c r="N1" s="165" t="s">
        <v>15</v>
      </c>
      <c r="O1" s="165" t="s">
        <v>16</v>
      </c>
      <c r="P1" s="165" t="s">
        <v>17</v>
      </c>
      <c r="Q1" s="166" t="s">
        <v>43</v>
      </c>
    </row>
    <row r="2" spans="1:17">
      <c r="A2" s="169">
        <v>43556</v>
      </c>
      <c r="B2" s="91">
        <v>1465.7000000000012</v>
      </c>
      <c r="C2" s="91">
        <v>992.74999999999886</v>
      </c>
      <c r="D2" s="91">
        <v>0</v>
      </c>
      <c r="E2" s="91">
        <v>472.95000000000027</v>
      </c>
      <c r="F2" s="94">
        <v>783.10000000000025</v>
      </c>
      <c r="G2" s="174">
        <v>684.71999999999969</v>
      </c>
      <c r="H2" s="170">
        <f t="shared" ref="H2:H10" si="0">IF(B2&gt;0,(B2-400)*0.25,"")</f>
        <v>266.4250000000003</v>
      </c>
      <c r="J2" s="167">
        <v>2019</v>
      </c>
      <c r="K2" s="168">
        <f>SUMPRODUCT((YEAR(Tableau13[Date])=2019)*(Total_Client_feuille2))</f>
        <v>7120.93</v>
      </c>
      <c r="L2" s="168">
        <f>SUMPRODUCT((YEAR(Tableau13[Date])=2019)*(Total_VDIs_feuille2))</f>
        <v>5025.7699999999986</v>
      </c>
      <c r="M2" s="168">
        <f>SUMPRODUCT((YEAR(Tableau13[Date])=2019)*(Reduction_feuille2))</f>
        <v>235.70999999999998</v>
      </c>
      <c r="N2" s="168">
        <f>SUMPRODUCT((YEAR(Tableau13[Date])=2019)*(Total_Marges_feuille2))</f>
        <v>2125.65</v>
      </c>
      <c r="O2" s="80">
        <f>SUMPRODUCT((YEAR(Tableau13[Date])=2019)*(Total_PVs_feuille2))</f>
        <v>3915.7000000000003</v>
      </c>
      <c r="P2" s="80">
        <f>SUMPRODUCT((YEAR(Tableau13[Date])=2019)*(Total_GVs_feuille2))</f>
        <v>3397.99</v>
      </c>
      <c r="Q2" s="168">
        <f>SUMPRODUCT((YEAR(Tableau13[Date])=2019)*(Marges_VDI_feuille2))</f>
        <v>880.23249999999996</v>
      </c>
    </row>
    <row r="3" spans="1:17">
      <c r="A3" s="169">
        <v>43586</v>
      </c>
      <c r="B3" s="91">
        <v>425.49999999999989</v>
      </c>
      <c r="C3" s="91">
        <v>298.70000000000005</v>
      </c>
      <c r="D3" s="91">
        <v>0</v>
      </c>
      <c r="E3" s="91">
        <v>126.79999999999998</v>
      </c>
      <c r="F3" s="94">
        <v>231.99999999999997</v>
      </c>
      <c r="G3" s="94">
        <v>203.45000000000005</v>
      </c>
      <c r="H3" s="170">
        <f t="shared" si="0"/>
        <v>6.3749999999999716</v>
      </c>
      <c r="J3" s="167">
        <v>2020</v>
      </c>
      <c r="K3" s="168">
        <f>SUMPRODUCT((YEAR(Tableau13[Date])=2020)*(Total_Client_feuille2))</f>
        <v>3524.7899999999995</v>
      </c>
      <c r="L3" s="168">
        <f>SUMPRODUCT((YEAR(Tableau13[Date])=2020)*(Total_VDIs_feuille2))</f>
        <v>2448.1799999999998</v>
      </c>
      <c r="M3" s="168">
        <f>SUMPRODUCT((YEAR(Tableau13[Date])=2020)*(Reduction_feuille2))</f>
        <v>191.40999999999997</v>
      </c>
      <c r="N3" s="168">
        <f>SUMPRODUCT((YEAR(Tableau13[Date])=2020)*(Total_Marges_feuille2))</f>
        <v>1076.6100000000001</v>
      </c>
      <c r="O3" s="80">
        <f>SUMPRODUCT((YEAR(Tableau13[Date])=2020)*(Total_PVs_feuille2))</f>
        <v>1903.5</v>
      </c>
      <c r="P3" s="80">
        <f>SUMPRODUCT((YEAR(Tableau13[Date])=2020)*(Total_GVs_feuille2))</f>
        <v>1597.72</v>
      </c>
      <c r="Q3" s="168">
        <f>SUMPRODUCT((YEAR(Tableau13[Date])=2020)*(Marges_VDI_feuille2))</f>
        <v>181.19749999999979</v>
      </c>
    </row>
    <row r="4" spans="1:17">
      <c r="A4" s="169">
        <v>43617</v>
      </c>
      <c r="B4" s="91">
        <v>1076.1299999999999</v>
      </c>
      <c r="C4" s="91">
        <v>767.34999999999945</v>
      </c>
      <c r="D4" s="91">
        <v>32.01</v>
      </c>
      <c r="E4" s="91">
        <v>318.77000000000032</v>
      </c>
      <c r="F4" s="94">
        <v>596.4</v>
      </c>
      <c r="G4" s="94">
        <v>488.68999999999994</v>
      </c>
      <c r="H4" s="170">
        <f t="shared" si="0"/>
        <v>169.03249999999997</v>
      </c>
      <c r="J4" s="167">
        <v>2021</v>
      </c>
      <c r="K4" s="168">
        <f>SUMPRODUCT((YEAR(Tableau13[Date])=2021)*(Total_Client_feuille2))</f>
        <v>0</v>
      </c>
      <c r="L4" s="168">
        <f>SUMPRODUCT((YEAR(Tableau13[Date])=2019)*(Total_VDIs_feuille2))</f>
        <v>5025.7699999999986</v>
      </c>
      <c r="M4" s="168">
        <f>SUMPRODUCT((YEAR(Tableau13[Date])=2021)*(Reduction_feuille2))</f>
        <v>0</v>
      </c>
      <c r="N4" s="168">
        <f>SUMPRODUCT((YEAR(Tableau13[Date])=2021)*(Total_Marges_feuille2))</f>
        <v>0</v>
      </c>
      <c r="O4" s="80">
        <f>SUMPRODUCT((YEAR(Tableau13[Date])=2021)*(Total_PVs_feuille2))</f>
        <v>0</v>
      </c>
      <c r="P4" s="80">
        <f>SUMPRODUCT((YEAR(Tableau13[Date])=2021)*(Total_GVs_feuille2))</f>
        <v>0</v>
      </c>
      <c r="Q4" s="168">
        <f>SUMPRODUCT((YEAR(Tableau13[Date])=2021)*(Marges_VDI_feuille2))</f>
        <v>0</v>
      </c>
    </row>
    <row r="5" spans="1:17">
      <c r="A5" s="169">
        <v>43647</v>
      </c>
      <c r="B5" s="91">
        <v>806.99999999999955</v>
      </c>
      <c r="C5" s="91">
        <v>562.61999999999989</v>
      </c>
      <c r="D5" s="91">
        <v>10.9</v>
      </c>
      <c r="E5" s="91">
        <v>244.37999999999991</v>
      </c>
      <c r="F5" s="94">
        <v>439</v>
      </c>
      <c r="G5" s="94">
        <v>393.48999999999995</v>
      </c>
      <c r="H5" s="170">
        <f t="shared" si="0"/>
        <v>101.74999999999989</v>
      </c>
      <c r="J5" s="167">
        <v>2022</v>
      </c>
      <c r="K5" s="168">
        <f>SUMPRODUCT((YEAR(Tableau13[Date])=2022)*(Total_Client_feuille2))</f>
        <v>0</v>
      </c>
      <c r="L5" s="168">
        <f>SUMPRODUCT((YEAR(Tableau13[Date])=2019)*(Total_VDIs_feuille2))</f>
        <v>5025.7699999999986</v>
      </c>
      <c r="M5" s="168">
        <f>SUMPRODUCT((YEAR(Tableau13[Date])=2022)*(Reduction_feuille2))</f>
        <v>0</v>
      </c>
      <c r="N5" s="168">
        <f>SUMPRODUCT((YEAR(Tableau13[Date])=2022)*(Total_Marges_feuille2))</f>
        <v>0</v>
      </c>
      <c r="O5" s="80">
        <f>SUMPRODUCT((YEAR(Tableau13[Date])=2022)*(Total_PVs_feuille2))</f>
        <v>0</v>
      </c>
      <c r="P5" s="80">
        <f>SUMPRODUCT((YEAR(Tableau13[Date])=2022)*(Total_GVs_feuille2))</f>
        <v>0</v>
      </c>
      <c r="Q5" s="168">
        <f>SUMPRODUCT((YEAR(Tableau13[Date])=2022)*(Marges_VDI_feuille2))</f>
        <v>0</v>
      </c>
    </row>
    <row r="6" spans="1:17">
      <c r="A6" s="169">
        <v>43678</v>
      </c>
      <c r="B6" s="91">
        <v>499.39999999999981</v>
      </c>
      <c r="C6" s="91">
        <v>360.9500000000001</v>
      </c>
      <c r="D6" s="91">
        <v>33.199999999999996</v>
      </c>
      <c r="E6" s="91">
        <v>156.24999999999991</v>
      </c>
      <c r="F6" s="94">
        <v>292.8</v>
      </c>
      <c r="G6" s="94">
        <v>253.89000000000001</v>
      </c>
      <c r="H6" s="170">
        <f t="shared" si="0"/>
        <v>24.849999999999952</v>
      </c>
    </row>
    <row r="7" spans="1:17">
      <c r="A7" s="169">
        <v>43709</v>
      </c>
      <c r="B7" s="91">
        <v>720.6999999999997</v>
      </c>
      <c r="C7" s="91">
        <v>493.44999999999982</v>
      </c>
      <c r="D7" s="91">
        <v>6</v>
      </c>
      <c r="E7" s="91">
        <v>229.9499999999999</v>
      </c>
      <c r="F7" s="94">
        <v>381.8</v>
      </c>
      <c r="G7" s="94">
        <v>343.27999999999992</v>
      </c>
      <c r="H7" s="170">
        <f t="shared" si="0"/>
        <v>80.174999999999926</v>
      </c>
    </row>
    <row r="8" spans="1:17">
      <c r="A8" s="169">
        <v>43739</v>
      </c>
      <c r="B8" s="91">
        <v>752.69999999999982</v>
      </c>
      <c r="C8" s="91">
        <v>527.64999999999986</v>
      </c>
      <c r="D8" s="91">
        <v>48.4</v>
      </c>
      <c r="E8" s="91">
        <v>225.04999999999993</v>
      </c>
      <c r="F8" s="94">
        <v>397.5</v>
      </c>
      <c r="G8" s="94">
        <v>365.07000000000005</v>
      </c>
      <c r="H8" s="170">
        <f t="shared" si="0"/>
        <v>88.174999999999955</v>
      </c>
    </row>
    <row r="9" spans="1:17">
      <c r="A9" s="169">
        <v>43770</v>
      </c>
      <c r="B9" s="91">
        <v>862.79999999999973</v>
      </c>
      <c r="C9" s="91">
        <v>638.24999999999977</v>
      </c>
      <c r="D9" s="91">
        <v>38.799999999999997</v>
      </c>
      <c r="E9" s="91">
        <v>224.5499999999999</v>
      </c>
      <c r="F9" s="94">
        <v>482.59999999999997</v>
      </c>
      <c r="G9" s="94">
        <v>389.45</v>
      </c>
      <c r="H9" s="170">
        <f t="shared" si="0"/>
        <v>115.69999999999993</v>
      </c>
    </row>
    <row r="10" spans="1:17">
      <c r="A10" s="169">
        <v>43800</v>
      </c>
      <c r="B10" s="153">
        <v>510.99999999999989</v>
      </c>
      <c r="C10" s="153">
        <v>384.04999999999995</v>
      </c>
      <c r="D10" s="153">
        <v>66.399999999999991</v>
      </c>
      <c r="E10" s="153">
        <v>126.95000000000002</v>
      </c>
      <c r="F10" s="154">
        <v>310.5</v>
      </c>
      <c r="G10" s="154">
        <v>275.95000000000005</v>
      </c>
      <c r="H10" s="171">
        <f t="shared" si="0"/>
        <v>27.749999999999972</v>
      </c>
    </row>
    <row r="11" spans="1:17">
      <c r="A11" s="214">
        <v>43831</v>
      </c>
      <c r="B11" s="153">
        <v>267.5</v>
      </c>
      <c r="C11" s="153">
        <v>172.35000000000005</v>
      </c>
      <c r="D11" s="153">
        <v>0</v>
      </c>
      <c r="E11" s="153">
        <v>95.15</v>
      </c>
      <c r="F11" s="154">
        <v>120.7</v>
      </c>
      <c r="G11" s="154">
        <v>98.809999999999988</v>
      </c>
      <c r="H11" s="171">
        <f t="shared" ref="H11:H16" si="1">IF(B11&gt;0,(B11-400)*0.25,"")</f>
        <v>-33.125</v>
      </c>
    </row>
    <row r="12" spans="1:17">
      <c r="A12" s="214">
        <v>43862</v>
      </c>
      <c r="B12" s="153">
        <v>796.09999999999968</v>
      </c>
      <c r="C12" s="153">
        <v>535.79999999999984</v>
      </c>
      <c r="D12" s="153">
        <v>41.8</v>
      </c>
      <c r="E12" s="153">
        <v>260.3</v>
      </c>
      <c r="F12" s="154">
        <v>413.5</v>
      </c>
      <c r="G12" s="154">
        <v>358.91</v>
      </c>
      <c r="H12" s="171">
        <f t="shared" si="1"/>
        <v>99.02499999999992</v>
      </c>
    </row>
    <row r="13" spans="1:17">
      <c r="A13" s="214">
        <v>43891</v>
      </c>
      <c r="B13" s="153">
        <v>177.3</v>
      </c>
      <c r="C13" s="153">
        <v>127.94999999999999</v>
      </c>
      <c r="D13" s="153">
        <v>14.4</v>
      </c>
      <c r="E13" s="153">
        <v>49.349999999999994</v>
      </c>
      <c r="F13" s="154">
        <v>91</v>
      </c>
      <c r="G13" s="154">
        <v>81.42</v>
      </c>
      <c r="H13" s="171">
        <f t="shared" si="1"/>
        <v>-55.674999999999997</v>
      </c>
    </row>
    <row r="14" spans="1:17">
      <c r="A14" s="214">
        <v>43922</v>
      </c>
      <c r="B14" s="153">
        <v>220.91</v>
      </c>
      <c r="C14" s="153">
        <v>120.19999999999999</v>
      </c>
      <c r="D14" s="153">
        <v>1.69</v>
      </c>
      <c r="E14" s="153">
        <v>100.71000000000001</v>
      </c>
      <c r="F14" s="154">
        <v>106</v>
      </c>
      <c r="G14" s="154">
        <v>62.07</v>
      </c>
      <c r="H14" s="171">
        <f t="shared" si="1"/>
        <v>-44.772500000000001</v>
      </c>
    </row>
    <row r="15" spans="1:17">
      <c r="A15" s="214">
        <v>43952</v>
      </c>
      <c r="B15" s="153">
        <v>414.2999999999999</v>
      </c>
      <c r="C15" s="153">
        <v>295.55</v>
      </c>
      <c r="D15" s="153">
        <v>14.9</v>
      </c>
      <c r="E15" s="153">
        <v>118.75000000000003</v>
      </c>
      <c r="F15" s="154">
        <v>242.8</v>
      </c>
      <c r="G15" s="154">
        <v>203.12</v>
      </c>
      <c r="H15" s="171">
        <f t="shared" si="1"/>
        <v>3.5749999999999744</v>
      </c>
    </row>
    <row r="16" spans="1:17">
      <c r="A16" s="214">
        <v>43983</v>
      </c>
      <c r="B16" s="153">
        <v>888.49999999999977</v>
      </c>
      <c r="C16" s="153">
        <v>650.94999999999982</v>
      </c>
      <c r="D16" s="153">
        <v>41.899999999999991</v>
      </c>
      <c r="E16" s="153">
        <v>237.54999999999995</v>
      </c>
      <c r="F16" s="154">
        <v>501</v>
      </c>
      <c r="G16" s="154">
        <v>438.65000000000009</v>
      </c>
      <c r="H16" s="171">
        <f t="shared" si="1"/>
        <v>122.12499999999994</v>
      </c>
      <c r="M16" s="80">
        <f>SUMPRODUCT((YEAR(Tableau13[Date])=2019)*(Total_Client_feuille2))</f>
        <v>7120.93</v>
      </c>
    </row>
    <row r="17" spans="1:25">
      <c r="A17" s="214">
        <v>44013</v>
      </c>
      <c r="B17" s="153">
        <v>760.17999999999984</v>
      </c>
      <c r="C17" s="153">
        <v>545.38</v>
      </c>
      <c r="D17" s="153">
        <v>76.72</v>
      </c>
      <c r="E17" s="153">
        <v>214.79999999999995</v>
      </c>
      <c r="F17" s="154">
        <v>428.5</v>
      </c>
      <c r="G17" s="154">
        <v>354.74000000000007</v>
      </c>
      <c r="H17" s="171">
        <f>IF(B17&gt;0,(B17-400)*0.25,"")</f>
        <v>90.044999999999959</v>
      </c>
    </row>
    <row r="18" spans="1:25">
      <c r="A18" s="169"/>
      <c r="B18" s="153"/>
      <c r="C18" s="153"/>
      <c r="D18" s="153"/>
      <c r="E18" s="153"/>
      <c r="F18" s="154"/>
      <c r="G18" s="154"/>
      <c r="H18" s="171"/>
      <c r="J18" s="81"/>
      <c r="K18" s="81"/>
      <c r="L18" s="81"/>
      <c r="M18" s="81"/>
      <c r="N18" s="81"/>
      <c r="O18" s="81"/>
      <c r="P18" s="81"/>
      <c r="Q18" s="81"/>
      <c r="R18" s="81"/>
    </row>
    <row r="19" spans="1:25">
      <c r="A19" s="169"/>
      <c r="B19" s="153"/>
      <c r="C19" s="153"/>
      <c r="D19" s="153"/>
      <c r="E19" s="153"/>
      <c r="F19" s="154"/>
      <c r="G19" s="154"/>
      <c r="H19" s="171"/>
      <c r="J19" s="81"/>
      <c r="K19" s="81"/>
      <c r="L19" s="81"/>
      <c r="M19" s="81"/>
      <c r="N19" s="81"/>
      <c r="O19" s="81"/>
      <c r="P19" s="81"/>
      <c r="Q19" s="81"/>
      <c r="R19" s="81"/>
    </row>
    <row r="20" spans="1:25">
      <c r="A20" s="169"/>
      <c r="B20" s="153"/>
      <c r="C20" s="153"/>
      <c r="D20" s="153"/>
      <c r="E20" s="153"/>
      <c r="F20" s="154"/>
      <c r="G20" s="154"/>
      <c r="H20" s="171"/>
      <c r="J20" s="81"/>
      <c r="K20" s="81"/>
      <c r="L20" s="81"/>
      <c r="M20" s="81"/>
      <c r="N20" s="81"/>
      <c r="O20" s="81"/>
      <c r="P20" s="81"/>
      <c r="Q20" s="81"/>
      <c r="R20" s="81"/>
    </row>
    <row r="21" spans="1:25">
      <c r="A21" s="169"/>
      <c r="B21" s="153"/>
      <c r="C21" s="153"/>
      <c r="D21" s="153"/>
      <c r="E21" s="153"/>
      <c r="F21" s="154"/>
      <c r="G21" s="154"/>
      <c r="H21" s="171"/>
      <c r="J21" s="81"/>
      <c r="K21" s="81"/>
      <c r="L21" s="81"/>
      <c r="M21" s="81"/>
      <c r="N21" s="81"/>
      <c r="O21" s="81"/>
      <c r="P21" s="81"/>
      <c r="Q21" s="81"/>
      <c r="R21" s="81"/>
    </row>
    <row r="22" spans="1:25">
      <c r="A22" s="169"/>
      <c r="B22" s="153"/>
      <c r="C22" s="153"/>
      <c r="D22" s="153"/>
      <c r="E22" s="153"/>
      <c r="F22" s="154"/>
      <c r="G22" s="154"/>
      <c r="H22" s="171"/>
      <c r="J22" s="81"/>
      <c r="K22" s="81"/>
      <c r="L22" s="81"/>
      <c r="M22" s="81"/>
      <c r="N22" s="81"/>
      <c r="O22" s="81"/>
      <c r="P22" s="81"/>
      <c r="Q22" s="81"/>
      <c r="R22" s="81"/>
    </row>
    <row r="23" spans="1:25">
      <c r="A23" s="169"/>
      <c r="B23" s="153"/>
      <c r="C23" s="153"/>
      <c r="D23" s="153"/>
      <c r="E23" s="153"/>
      <c r="F23" s="154"/>
      <c r="G23" s="154"/>
      <c r="H23" s="171"/>
      <c r="J23" s="81"/>
      <c r="K23" s="81"/>
      <c r="L23" s="81"/>
      <c r="M23" s="81"/>
      <c r="N23" s="81"/>
      <c r="O23" s="81"/>
      <c r="P23" s="81"/>
      <c r="Q23" s="81"/>
      <c r="R23" s="81"/>
    </row>
    <row r="24" spans="1:25">
      <c r="A24" s="169"/>
      <c r="B24" s="153"/>
      <c r="C24" s="153"/>
      <c r="D24" s="153"/>
      <c r="E24" s="153"/>
      <c r="F24" s="154"/>
      <c r="G24" s="154"/>
      <c r="H24" s="17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</row>
    <row r="25" spans="1:25">
      <c r="A25" s="169"/>
      <c r="B25" s="153"/>
      <c r="C25" s="153"/>
      <c r="D25" s="153"/>
      <c r="E25" s="153"/>
      <c r="F25" s="154"/>
      <c r="G25" s="154"/>
      <c r="H25" s="17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</row>
    <row r="26" spans="1:25">
      <c r="A26" s="169"/>
      <c r="B26" s="153"/>
      <c r="C26" s="153"/>
      <c r="D26" s="153"/>
      <c r="E26" s="153"/>
      <c r="F26" s="154"/>
      <c r="G26" s="154"/>
      <c r="H26" s="17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</row>
    <row r="27" spans="1:25">
      <c r="A27" s="169"/>
      <c r="B27" s="153"/>
      <c r="C27" s="153"/>
      <c r="D27" s="153"/>
      <c r="E27" s="153"/>
      <c r="F27" s="154"/>
      <c r="G27" s="154"/>
      <c r="H27" s="17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</row>
    <row r="28" spans="1:25">
      <c r="A28" s="169"/>
      <c r="B28" s="153"/>
      <c r="C28" s="153"/>
      <c r="D28" s="153"/>
      <c r="E28" s="153"/>
      <c r="F28" s="154"/>
      <c r="G28" s="154"/>
      <c r="H28" s="17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</row>
    <row r="29" spans="1:25">
      <c r="A29" s="169"/>
      <c r="B29" s="153"/>
      <c r="C29" s="153"/>
      <c r="D29" s="153"/>
      <c r="E29" s="153"/>
      <c r="F29" s="154"/>
      <c r="G29" s="154"/>
      <c r="H29" s="17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</row>
    <row r="30" spans="1:25">
      <c r="A30" s="169"/>
      <c r="B30" s="153"/>
      <c r="C30" s="153"/>
      <c r="D30" s="153"/>
      <c r="E30" s="153"/>
      <c r="F30" s="154"/>
      <c r="G30" s="154"/>
      <c r="H30" s="17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</row>
    <row r="31" spans="1:25">
      <c r="A31" s="169"/>
      <c r="B31" s="153"/>
      <c r="C31" s="153"/>
      <c r="D31" s="153"/>
      <c r="E31" s="153"/>
      <c r="F31" s="154"/>
      <c r="G31" s="154"/>
      <c r="H31" s="17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</row>
    <row r="32" spans="1:25">
      <c r="A32" s="169"/>
      <c r="B32" s="153"/>
      <c r="C32" s="153"/>
      <c r="D32" s="153"/>
      <c r="E32" s="153"/>
      <c r="F32" s="154"/>
      <c r="G32" s="154"/>
      <c r="H32" s="17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</row>
    <row r="33" spans="1:25">
      <c r="A33" s="169"/>
      <c r="B33" s="153"/>
      <c r="C33" s="153"/>
      <c r="D33" s="153"/>
      <c r="E33" s="153"/>
      <c r="F33" s="154"/>
      <c r="G33" s="154"/>
      <c r="H33" s="17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</row>
    <row r="34" spans="1:25">
      <c r="A34" s="169"/>
      <c r="B34" s="153"/>
      <c r="C34" s="153"/>
      <c r="D34" s="153"/>
      <c r="E34" s="153"/>
      <c r="F34" s="154"/>
      <c r="G34" s="154"/>
      <c r="H34" s="17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</row>
    <row r="35" spans="1:25">
      <c r="A35" s="169"/>
      <c r="B35" s="153"/>
      <c r="C35" s="153"/>
      <c r="D35" s="153"/>
      <c r="E35" s="153"/>
      <c r="F35" s="154"/>
      <c r="G35" s="154"/>
      <c r="H35" s="17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</row>
    <row r="36" spans="1:25">
      <c r="A36" s="169"/>
      <c r="B36" s="153"/>
      <c r="C36" s="153"/>
      <c r="D36" s="153"/>
      <c r="E36" s="153"/>
      <c r="F36" s="154"/>
      <c r="G36" s="154"/>
      <c r="H36" s="17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</row>
    <row r="37" spans="1:25">
      <c r="A37" s="169"/>
      <c r="B37" s="153"/>
      <c r="C37" s="153"/>
      <c r="D37" s="153"/>
      <c r="E37" s="153"/>
      <c r="F37" s="154"/>
      <c r="G37" s="154"/>
      <c r="H37" s="17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</row>
    <row r="38" spans="1:25">
      <c r="A38" s="169"/>
      <c r="B38" s="153"/>
      <c r="C38" s="153"/>
      <c r="D38" s="153"/>
      <c r="E38" s="153"/>
      <c r="F38" s="154"/>
      <c r="G38" s="154"/>
      <c r="H38" s="17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</row>
    <row r="39" spans="1:25">
      <c r="A39" s="169"/>
      <c r="B39" s="153"/>
      <c r="C39" s="153"/>
      <c r="D39" s="153"/>
      <c r="E39" s="153"/>
      <c r="F39" s="154"/>
      <c r="G39" s="154"/>
      <c r="H39" s="17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</row>
    <row r="40" spans="1:25">
      <c r="A40" s="169"/>
      <c r="B40" s="153"/>
      <c r="C40" s="153"/>
      <c r="D40" s="153"/>
      <c r="E40" s="153"/>
      <c r="F40" s="154"/>
      <c r="G40" s="154"/>
      <c r="H40" s="17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</row>
    <row r="41" spans="1:25">
      <c r="A41" s="169"/>
      <c r="B41" s="153"/>
      <c r="C41" s="153"/>
      <c r="D41" s="153"/>
      <c r="E41" s="153"/>
      <c r="F41" s="154"/>
      <c r="G41" s="154"/>
      <c r="H41" s="17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</row>
    <row r="42" spans="1:25">
      <c r="A42" s="169"/>
      <c r="B42" s="153"/>
      <c r="C42" s="153"/>
      <c r="D42" s="153"/>
      <c r="E42" s="153"/>
      <c r="F42" s="154"/>
      <c r="G42" s="154"/>
      <c r="H42" s="17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</row>
    <row r="43" spans="1:25">
      <c r="A43" s="169"/>
      <c r="B43" s="153"/>
      <c r="C43" s="153"/>
      <c r="D43" s="153"/>
      <c r="E43" s="153"/>
      <c r="F43" s="154"/>
      <c r="G43" s="154"/>
      <c r="H43" s="17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</row>
    <row r="44" spans="1:25">
      <c r="A44" s="169"/>
      <c r="B44" s="153"/>
      <c r="C44" s="153"/>
      <c r="D44" s="153"/>
      <c r="E44" s="153"/>
      <c r="F44" s="154"/>
      <c r="G44" s="154"/>
      <c r="H44" s="17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</row>
    <row r="45" spans="1:25">
      <c r="A45" s="169"/>
      <c r="B45" s="153"/>
      <c r="C45" s="153"/>
      <c r="D45" s="153"/>
      <c r="E45" s="153"/>
      <c r="F45" s="154"/>
      <c r="G45" s="154"/>
      <c r="H45" s="17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</row>
    <row r="46" spans="1:25">
      <c r="A46" s="169"/>
      <c r="B46" s="153"/>
      <c r="C46" s="153"/>
      <c r="D46" s="153"/>
      <c r="E46" s="153"/>
      <c r="F46" s="154"/>
      <c r="G46" s="154"/>
      <c r="H46" s="171"/>
      <c r="S46" s="81"/>
      <c r="T46" s="81"/>
      <c r="U46" s="81"/>
      <c r="V46" s="81"/>
      <c r="W46" s="81"/>
      <c r="X46" s="81"/>
      <c r="Y46" s="81"/>
    </row>
    <row r="47" spans="1:25">
      <c r="A47" s="169"/>
      <c r="B47" s="153"/>
      <c r="C47" s="153"/>
      <c r="D47" s="153"/>
      <c r="E47" s="153"/>
      <c r="F47" s="154"/>
      <c r="G47" s="154"/>
      <c r="H47" s="171"/>
      <c r="S47" s="81"/>
      <c r="T47" s="81"/>
      <c r="U47" s="81"/>
      <c r="V47" s="81"/>
      <c r="W47" s="81"/>
      <c r="X47" s="81"/>
      <c r="Y47" s="81"/>
    </row>
    <row r="48" spans="1:25">
      <c r="A48" s="169"/>
      <c r="B48" s="153"/>
      <c r="C48" s="153"/>
      <c r="D48" s="153"/>
      <c r="E48" s="153"/>
      <c r="F48" s="154"/>
      <c r="G48" s="154"/>
      <c r="H48" s="171"/>
      <c r="S48" s="81"/>
      <c r="T48" s="81"/>
      <c r="U48" s="81"/>
      <c r="V48" s="81"/>
      <c r="W48" s="81"/>
      <c r="X48" s="81"/>
      <c r="Y48" s="81"/>
    </row>
    <row r="49" spans="1:25">
      <c r="A49" s="169"/>
      <c r="B49" s="153"/>
      <c r="C49" s="153"/>
      <c r="D49" s="153"/>
      <c r="E49" s="153"/>
      <c r="F49" s="154"/>
      <c r="G49" s="154"/>
      <c r="H49" s="171"/>
      <c r="S49" s="81"/>
      <c r="T49" s="81"/>
      <c r="U49" s="81"/>
      <c r="V49" s="81"/>
      <c r="W49" s="81"/>
      <c r="X49" s="81"/>
      <c r="Y49" s="81"/>
    </row>
    <row r="50" spans="1:25">
      <c r="A50" s="169"/>
      <c r="B50" s="153"/>
      <c r="C50" s="153"/>
      <c r="D50" s="153"/>
      <c r="E50" s="153"/>
      <c r="F50" s="154"/>
      <c r="G50" s="154"/>
      <c r="H50" s="171"/>
      <c r="S50" s="81"/>
      <c r="T50" s="81"/>
      <c r="U50" s="81"/>
      <c r="V50" s="81"/>
      <c r="W50" s="81"/>
      <c r="X50" s="81"/>
      <c r="Y50" s="81"/>
    </row>
    <row r="51" spans="1:25">
      <c r="A51" s="169"/>
      <c r="B51" s="153"/>
      <c r="C51" s="153"/>
      <c r="D51" s="153"/>
      <c r="E51" s="153"/>
      <c r="F51" s="154"/>
      <c r="G51" s="154"/>
      <c r="H51" s="171"/>
      <c r="S51" s="81"/>
      <c r="T51" s="81"/>
      <c r="U51" s="81"/>
      <c r="V51" s="81"/>
      <c r="W51" s="81"/>
      <c r="X51" s="81"/>
      <c r="Y51" s="81"/>
    </row>
    <row r="52" spans="1:25">
      <c r="A52" s="169"/>
      <c r="B52" s="153"/>
      <c r="C52" s="153"/>
      <c r="D52" s="153"/>
      <c r="E52" s="153"/>
      <c r="F52" s="154"/>
      <c r="G52" s="154"/>
      <c r="H52" s="171"/>
    </row>
    <row r="53" spans="1:25">
      <c r="A53" s="169"/>
      <c r="B53" s="153"/>
      <c r="C53" s="153"/>
      <c r="D53" s="153"/>
      <c r="E53" s="153"/>
      <c r="F53" s="154"/>
      <c r="G53" s="154"/>
      <c r="H53" s="171"/>
    </row>
    <row r="54" spans="1:25">
      <c r="A54" s="169"/>
      <c r="B54" s="153"/>
      <c r="C54" s="153"/>
      <c r="D54" s="153"/>
      <c r="E54" s="153"/>
      <c r="F54" s="154"/>
      <c r="G54" s="154"/>
      <c r="H54" s="171"/>
    </row>
    <row r="55" spans="1:25">
      <c r="A55" s="169"/>
      <c r="B55" s="153"/>
      <c r="C55" s="153"/>
      <c r="D55" s="153"/>
      <c r="E55" s="153"/>
      <c r="F55" s="154"/>
      <c r="G55" s="154"/>
      <c r="H55" s="171"/>
    </row>
    <row r="56" spans="1:25">
      <c r="A56" s="169"/>
      <c r="B56" s="153"/>
      <c r="C56" s="153"/>
      <c r="D56" s="153"/>
      <c r="E56" s="153"/>
      <c r="F56" s="154"/>
      <c r="G56" s="154"/>
      <c r="H56" s="171"/>
    </row>
    <row r="57" spans="1:25">
      <c r="A57" s="169"/>
      <c r="B57" s="153"/>
      <c r="C57" s="153"/>
      <c r="D57" s="153"/>
      <c r="E57" s="153"/>
      <c r="F57" s="154"/>
      <c r="G57" s="154"/>
      <c r="H57" s="171"/>
    </row>
    <row r="58" spans="1:25">
      <c r="A58" s="169"/>
      <c r="B58" s="153"/>
      <c r="C58" s="153"/>
      <c r="D58" s="153"/>
      <c r="E58" s="153"/>
      <c r="F58" s="154"/>
      <c r="G58" s="154"/>
      <c r="H58" s="171"/>
    </row>
    <row r="59" spans="1:25">
      <c r="A59" s="169"/>
      <c r="B59" s="153"/>
      <c r="C59" s="153"/>
      <c r="D59" s="153"/>
      <c r="E59" s="153"/>
      <c r="F59" s="154"/>
      <c r="G59" s="154"/>
      <c r="H59" s="171"/>
    </row>
    <row r="60" spans="1:25">
      <c r="A60" s="169"/>
      <c r="B60" s="153"/>
      <c r="C60" s="153"/>
      <c r="D60" s="153"/>
      <c r="E60" s="153"/>
      <c r="F60" s="154"/>
      <c r="G60" s="154"/>
      <c r="H60" s="171"/>
    </row>
    <row r="61" spans="1:25">
      <c r="A61" s="169"/>
      <c r="B61" s="153"/>
      <c r="C61" s="153"/>
      <c r="D61" s="153"/>
      <c r="E61" s="153"/>
      <c r="F61" s="154"/>
      <c r="G61" s="154"/>
      <c r="H61" s="171"/>
    </row>
    <row r="62" spans="1:25">
      <c r="A62" s="169"/>
      <c r="B62" s="153"/>
      <c r="C62" s="153"/>
      <c r="D62" s="153"/>
      <c r="E62" s="153"/>
      <c r="F62" s="154"/>
      <c r="G62" s="154"/>
      <c r="H62" s="171"/>
    </row>
    <row r="63" spans="1:25">
      <c r="A63" s="169"/>
      <c r="B63" s="153"/>
      <c r="C63" s="153"/>
      <c r="D63" s="153"/>
      <c r="E63" s="153"/>
      <c r="F63" s="154"/>
      <c r="G63" s="154"/>
      <c r="H63" s="171"/>
    </row>
    <row r="64" spans="1:25">
      <c r="A64" s="169"/>
      <c r="B64" s="153"/>
      <c r="C64" s="153"/>
      <c r="D64" s="153"/>
      <c r="E64" s="153"/>
      <c r="F64" s="154"/>
      <c r="G64" s="154"/>
      <c r="H64" s="171"/>
    </row>
    <row r="65" spans="1:8">
      <c r="A65" s="169"/>
      <c r="B65" s="153"/>
      <c r="C65" s="153"/>
      <c r="D65" s="153"/>
      <c r="E65" s="153"/>
      <c r="F65" s="154"/>
      <c r="G65" s="154"/>
      <c r="H65" s="171"/>
    </row>
    <row r="66" spans="1:8">
      <c r="A66" s="169"/>
      <c r="B66" s="153"/>
      <c r="C66" s="153"/>
      <c r="D66" s="153"/>
      <c r="E66" s="153"/>
      <c r="F66" s="154"/>
      <c r="G66" s="154"/>
      <c r="H66" s="171"/>
    </row>
    <row r="67" spans="1:8">
      <c r="A67" s="169"/>
      <c r="B67" s="153"/>
      <c r="C67" s="153"/>
      <c r="D67" s="153"/>
      <c r="E67" s="153"/>
      <c r="F67" s="154"/>
      <c r="G67" s="154"/>
      <c r="H67" s="171"/>
    </row>
    <row r="68" spans="1:8">
      <c r="A68" s="169"/>
      <c r="B68" s="153"/>
      <c r="C68" s="153"/>
      <c r="D68" s="153"/>
      <c r="E68" s="153"/>
      <c r="F68" s="154"/>
      <c r="G68" s="154"/>
      <c r="H68" s="171"/>
    </row>
    <row r="69" spans="1:8">
      <c r="A69" s="169"/>
      <c r="B69" s="153"/>
      <c r="C69" s="153"/>
      <c r="D69" s="153"/>
      <c r="E69" s="153"/>
      <c r="F69" s="154"/>
      <c r="G69" s="154"/>
      <c r="H69" s="171"/>
    </row>
    <row r="70" spans="1:8">
      <c r="A70" s="169"/>
      <c r="B70" s="153"/>
      <c r="C70" s="153"/>
      <c r="D70" s="153"/>
      <c r="E70" s="153"/>
      <c r="F70" s="154"/>
      <c r="G70" s="154"/>
      <c r="H70" s="171"/>
    </row>
    <row r="71" spans="1:8">
      <c r="A71" s="169"/>
      <c r="B71" s="153"/>
      <c r="C71" s="153"/>
      <c r="D71" s="153"/>
      <c r="E71" s="153"/>
      <c r="F71" s="154"/>
      <c r="G71" s="154"/>
      <c r="H71" s="171"/>
    </row>
    <row r="72" spans="1:8">
      <c r="A72" s="169"/>
      <c r="B72" s="153"/>
      <c r="C72" s="153"/>
      <c r="D72" s="153"/>
      <c r="E72" s="153"/>
      <c r="F72" s="154"/>
      <c r="G72" s="154"/>
      <c r="H72" s="171"/>
    </row>
    <row r="73" spans="1:8">
      <c r="A73" s="169"/>
      <c r="B73" s="153"/>
      <c r="C73" s="153"/>
      <c r="D73" s="153"/>
      <c r="E73" s="153"/>
      <c r="F73" s="154"/>
      <c r="G73" s="154"/>
      <c r="H73" s="171"/>
    </row>
    <row r="74" spans="1:8">
      <c r="A74" s="169"/>
      <c r="B74" s="153"/>
      <c r="C74" s="153"/>
      <c r="D74" s="153"/>
      <c r="E74" s="153"/>
      <c r="F74" s="154"/>
      <c r="G74" s="154"/>
      <c r="H74" s="171"/>
    </row>
    <row r="75" spans="1:8">
      <c r="A75" s="169"/>
      <c r="B75" s="153"/>
      <c r="C75" s="153"/>
      <c r="D75" s="153"/>
      <c r="E75" s="153"/>
      <c r="F75" s="154"/>
      <c r="G75" s="154"/>
      <c r="H75" s="171"/>
    </row>
    <row r="76" spans="1:8">
      <c r="A76" s="169"/>
      <c r="B76" s="153"/>
      <c r="C76" s="153"/>
      <c r="D76" s="153"/>
      <c r="E76" s="153"/>
      <c r="F76" s="154"/>
      <c r="G76" s="154"/>
      <c r="H76" s="171"/>
    </row>
    <row r="77" spans="1:8">
      <c r="A77" s="169"/>
      <c r="B77" s="153"/>
      <c r="C77" s="153"/>
      <c r="D77" s="153"/>
      <c r="E77" s="153"/>
      <c r="F77" s="154"/>
      <c r="G77" s="154"/>
      <c r="H77" s="171"/>
    </row>
    <row r="78" spans="1:8">
      <c r="A78" s="169"/>
      <c r="B78" s="153"/>
      <c r="C78" s="153"/>
      <c r="D78" s="153"/>
      <c r="E78" s="153"/>
      <c r="F78" s="154"/>
      <c r="G78" s="154"/>
      <c r="H78" s="171"/>
    </row>
    <row r="79" spans="1:8">
      <c r="A79" s="169"/>
      <c r="B79" s="153"/>
      <c r="C79" s="153"/>
      <c r="D79" s="153"/>
      <c r="E79" s="153"/>
      <c r="F79" s="154"/>
      <c r="G79" s="154"/>
      <c r="H79" s="171"/>
    </row>
    <row r="80" spans="1:8">
      <c r="A80" s="169"/>
      <c r="B80" s="153"/>
      <c r="C80" s="153"/>
      <c r="D80" s="153"/>
      <c r="E80" s="153"/>
      <c r="F80" s="154"/>
      <c r="G80" s="154"/>
      <c r="H80" s="171"/>
    </row>
    <row r="81" spans="1:8">
      <c r="A81" s="169"/>
      <c r="B81" s="153"/>
      <c r="C81" s="153"/>
      <c r="D81" s="153"/>
      <c r="E81" s="153"/>
      <c r="F81" s="154"/>
      <c r="G81" s="154"/>
      <c r="H81" s="171"/>
    </row>
    <row r="82" spans="1:8">
      <c r="A82" s="169"/>
      <c r="B82" s="153"/>
      <c r="C82" s="153"/>
      <c r="D82" s="153"/>
      <c r="E82" s="153"/>
      <c r="F82" s="154"/>
      <c r="G82" s="154"/>
      <c r="H82" s="171"/>
    </row>
    <row r="83" spans="1:8">
      <c r="A83" s="169"/>
      <c r="B83" s="153"/>
      <c r="C83" s="153"/>
      <c r="D83" s="153"/>
      <c r="E83" s="153"/>
      <c r="F83" s="154"/>
      <c r="G83" s="154"/>
      <c r="H83" s="171"/>
    </row>
    <row r="84" spans="1:8">
      <c r="A84" s="169"/>
      <c r="B84" s="153"/>
      <c r="C84" s="153"/>
      <c r="D84" s="153"/>
      <c r="E84" s="153"/>
      <c r="F84" s="154"/>
      <c r="G84" s="154"/>
      <c r="H84" s="171"/>
    </row>
    <row r="85" spans="1:8">
      <c r="A85" s="169"/>
      <c r="B85" s="153"/>
      <c r="C85" s="153"/>
      <c r="D85" s="153"/>
      <c r="E85" s="153"/>
      <c r="F85" s="154"/>
      <c r="G85" s="154"/>
      <c r="H85" s="171"/>
    </row>
    <row r="86" spans="1:8">
      <c r="A86" s="169"/>
      <c r="B86" s="153"/>
      <c r="C86" s="153"/>
      <c r="D86" s="153"/>
      <c r="E86" s="153"/>
      <c r="F86" s="154"/>
      <c r="G86" s="154"/>
      <c r="H86" s="171"/>
    </row>
    <row r="87" spans="1:8">
      <c r="A87" s="169"/>
      <c r="B87" s="153"/>
      <c r="C87" s="153"/>
      <c r="D87" s="153"/>
      <c r="E87" s="153"/>
      <c r="F87" s="154"/>
      <c r="G87" s="154"/>
      <c r="H87" s="171"/>
    </row>
    <row r="88" spans="1:8">
      <c r="A88" s="169"/>
      <c r="B88" s="153"/>
      <c r="C88" s="153"/>
      <c r="D88" s="153"/>
      <c r="E88" s="153"/>
      <c r="F88" s="154"/>
      <c r="G88" s="154"/>
      <c r="H88" s="171"/>
    </row>
    <row r="89" spans="1:8">
      <c r="A89" s="169"/>
      <c r="B89" s="153"/>
      <c r="C89" s="153"/>
      <c r="D89" s="153"/>
      <c r="E89" s="153"/>
      <c r="F89" s="154"/>
      <c r="G89" s="154"/>
      <c r="H89" s="171"/>
    </row>
    <row r="90" spans="1:8">
      <c r="A90" s="169"/>
      <c r="B90" s="153"/>
      <c r="C90" s="153"/>
      <c r="D90" s="153"/>
      <c r="E90" s="153"/>
      <c r="F90" s="154"/>
      <c r="G90" s="154"/>
      <c r="H90" s="171"/>
    </row>
    <row r="91" spans="1:8">
      <c r="A91" s="169"/>
      <c r="B91" s="153"/>
      <c r="C91" s="153"/>
      <c r="D91" s="153"/>
      <c r="E91" s="153"/>
      <c r="F91" s="154"/>
      <c r="G91" s="154"/>
      <c r="H91" s="171"/>
    </row>
    <row r="92" spans="1:8">
      <c r="A92" s="169"/>
      <c r="B92" s="153"/>
      <c r="C92" s="153"/>
      <c r="D92" s="153"/>
      <c r="E92" s="153"/>
      <c r="F92" s="154"/>
      <c r="G92" s="154"/>
      <c r="H92" s="171"/>
    </row>
    <row r="93" spans="1:8">
      <c r="A93" s="169"/>
      <c r="B93" s="153"/>
      <c r="C93" s="153"/>
      <c r="D93" s="153"/>
      <c r="E93" s="153"/>
      <c r="F93" s="154"/>
      <c r="G93" s="154"/>
      <c r="H93" s="171"/>
    </row>
    <row r="94" spans="1:8">
      <c r="A94" s="169"/>
      <c r="B94" s="153"/>
      <c r="C94" s="153"/>
      <c r="D94" s="153"/>
      <c r="E94" s="153"/>
      <c r="F94" s="154"/>
      <c r="G94" s="154"/>
      <c r="H94" s="171"/>
    </row>
    <row r="95" spans="1:8">
      <c r="A95" s="169"/>
      <c r="B95" s="153"/>
      <c r="C95" s="153"/>
      <c r="D95" s="153"/>
      <c r="E95" s="153"/>
      <c r="F95" s="154"/>
      <c r="G95" s="154"/>
      <c r="H95" s="171"/>
    </row>
    <row r="96" spans="1:8">
      <c r="A96" s="169"/>
      <c r="B96" s="153"/>
      <c r="C96" s="153"/>
      <c r="D96" s="153"/>
      <c r="E96" s="153"/>
      <c r="F96" s="154"/>
      <c r="G96" s="154"/>
      <c r="H96" s="171"/>
    </row>
    <row r="97" spans="1:8">
      <c r="A97" s="169"/>
      <c r="B97" s="153"/>
      <c r="C97" s="153"/>
      <c r="D97" s="153"/>
      <c r="E97" s="153"/>
      <c r="F97" s="154"/>
      <c r="G97" s="154"/>
      <c r="H97" s="171"/>
    </row>
    <row r="98" spans="1:8">
      <c r="A98" s="169"/>
      <c r="B98" s="153"/>
      <c r="C98" s="153"/>
      <c r="D98" s="153"/>
      <c r="E98" s="153"/>
      <c r="F98" s="154"/>
      <c r="G98" s="154"/>
      <c r="H98" s="171"/>
    </row>
    <row r="99" spans="1:8">
      <c r="A99" s="169"/>
      <c r="B99" s="153"/>
      <c r="C99" s="153"/>
      <c r="D99" s="153"/>
      <c r="E99" s="153"/>
      <c r="F99" s="154"/>
      <c r="G99" s="154"/>
      <c r="H99" s="171"/>
    </row>
    <row r="100" spans="1:8">
      <c r="A100" s="169"/>
      <c r="B100" s="153"/>
      <c r="C100" s="153"/>
      <c r="D100" s="153"/>
      <c r="E100" s="153"/>
      <c r="F100" s="154"/>
      <c r="G100" s="154"/>
      <c r="H100" s="171"/>
    </row>
    <row r="101" spans="1:8">
      <c r="A101" s="169"/>
      <c r="B101" s="153"/>
      <c r="C101" s="153"/>
      <c r="D101" s="153"/>
      <c r="E101" s="153"/>
      <c r="F101" s="154"/>
      <c r="G101" s="154"/>
      <c r="H101" s="171"/>
    </row>
    <row r="102" spans="1:8">
      <c r="A102" s="169"/>
      <c r="B102" s="153"/>
      <c r="C102" s="153"/>
      <c r="D102" s="153"/>
      <c r="E102" s="153"/>
      <c r="F102" s="154"/>
      <c r="G102" s="154"/>
      <c r="H102" s="171"/>
    </row>
    <row r="103" spans="1:8">
      <c r="A103" s="169"/>
      <c r="B103" s="153"/>
      <c r="C103" s="153"/>
      <c r="D103" s="153"/>
      <c r="E103" s="153"/>
      <c r="F103" s="154"/>
      <c r="G103" s="154"/>
      <c r="H103" s="171"/>
    </row>
    <row r="104" spans="1:8">
      <c r="A104" s="169"/>
      <c r="B104" s="153"/>
      <c r="C104" s="153"/>
      <c r="D104" s="153"/>
      <c r="E104" s="153"/>
      <c r="F104" s="154"/>
      <c r="G104" s="154"/>
      <c r="H104" s="171"/>
    </row>
    <row r="105" spans="1:8">
      <c r="A105" s="169"/>
      <c r="B105" s="153"/>
      <c r="C105" s="153"/>
      <c r="D105" s="153"/>
      <c r="E105" s="153"/>
      <c r="F105" s="154"/>
      <c r="G105" s="154"/>
      <c r="H105" s="171"/>
    </row>
    <row r="106" spans="1:8">
      <c r="A106" s="169"/>
      <c r="B106" s="153"/>
      <c r="C106" s="153"/>
      <c r="D106" s="153"/>
      <c r="E106" s="153"/>
      <c r="F106" s="154"/>
      <c r="G106" s="154"/>
      <c r="H106" s="171"/>
    </row>
    <row r="107" spans="1:8">
      <c r="A107" s="169"/>
      <c r="B107" s="153"/>
      <c r="C107" s="153"/>
      <c r="D107" s="153"/>
      <c r="E107" s="153"/>
      <c r="F107" s="154"/>
      <c r="G107" s="154"/>
      <c r="H107" s="171"/>
    </row>
    <row r="108" spans="1:8">
      <c r="A108" s="169"/>
      <c r="B108" s="153"/>
      <c r="C108" s="153"/>
      <c r="D108" s="153"/>
      <c r="E108" s="153"/>
      <c r="F108" s="154"/>
      <c r="G108" s="154"/>
      <c r="H108" s="171"/>
    </row>
    <row r="109" spans="1:8">
      <c r="A109" s="169"/>
      <c r="B109" s="153"/>
      <c r="C109" s="153"/>
      <c r="D109" s="153"/>
      <c r="E109" s="153"/>
      <c r="F109" s="154"/>
      <c r="G109" s="154"/>
      <c r="H109" s="171"/>
    </row>
    <row r="110" spans="1:8">
      <c r="A110" s="169"/>
      <c r="B110" s="153"/>
      <c r="C110" s="153"/>
      <c r="D110" s="153"/>
      <c r="E110" s="153"/>
      <c r="F110" s="154"/>
      <c r="G110" s="154"/>
      <c r="H110" s="171"/>
    </row>
    <row r="111" spans="1:8">
      <c r="A111" s="169"/>
      <c r="B111" s="153"/>
      <c r="C111" s="153"/>
      <c r="D111" s="153"/>
      <c r="E111" s="153"/>
      <c r="F111" s="154"/>
      <c r="G111" s="154"/>
      <c r="H111" s="171"/>
    </row>
    <row r="112" spans="1:8">
      <c r="A112" s="169"/>
      <c r="B112" s="153"/>
      <c r="C112" s="153"/>
      <c r="D112" s="153"/>
      <c r="E112" s="153"/>
      <c r="F112" s="154"/>
      <c r="G112" s="154"/>
      <c r="H112" s="171"/>
    </row>
    <row r="113" spans="1:8">
      <c r="A113" s="169"/>
      <c r="B113" s="153"/>
      <c r="C113" s="153"/>
      <c r="D113" s="153"/>
      <c r="E113" s="153"/>
      <c r="F113" s="154"/>
      <c r="G113" s="154"/>
      <c r="H113" s="171"/>
    </row>
    <row r="114" spans="1:8">
      <c r="A114" s="169"/>
      <c r="B114" s="153"/>
      <c r="C114" s="153"/>
      <c r="D114" s="153"/>
      <c r="E114" s="153"/>
      <c r="F114" s="154"/>
      <c r="G114" s="154"/>
      <c r="H114" s="171"/>
    </row>
    <row r="115" spans="1:8">
      <c r="A115" s="169"/>
      <c r="B115" s="153"/>
      <c r="C115" s="153"/>
      <c r="D115" s="153"/>
      <c r="E115" s="153"/>
      <c r="F115" s="154"/>
      <c r="G115" s="154"/>
      <c r="H115" s="171"/>
    </row>
    <row r="116" spans="1:8">
      <c r="A116" s="169"/>
      <c r="B116" s="153"/>
      <c r="C116" s="153"/>
      <c r="D116" s="153"/>
      <c r="E116" s="153"/>
      <c r="F116" s="154"/>
      <c r="G116" s="154"/>
      <c r="H116" s="171"/>
    </row>
    <row r="117" spans="1:8">
      <c r="A117" s="169"/>
      <c r="B117" s="153"/>
      <c r="C117" s="153"/>
      <c r="D117" s="153"/>
      <c r="E117" s="153"/>
      <c r="F117" s="154"/>
      <c r="G117" s="154"/>
      <c r="H117" s="171"/>
    </row>
    <row r="118" spans="1:8">
      <c r="A118" s="169"/>
      <c r="B118" s="153"/>
      <c r="C118" s="153"/>
      <c r="D118" s="153"/>
      <c r="E118" s="153"/>
      <c r="F118" s="154"/>
      <c r="G118" s="154"/>
      <c r="H118" s="171"/>
    </row>
    <row r="119" spans="1:8">
      <c r="A119" s="169"/>
      <c r="B119" s="153"/>
      <c r="C119" s="153"/>
      <c r="D119" s="153"/>
      <c r="E119" s="153"/>
      <c r="F119" s="154"/>
      <c r="G119" s="154"/>
      <c r="H119" s="171"/>
    </row>
    <row r="120" spans="1:8">
      <c r="A120" s="169"/>
      <c r="B120" s="153"/>
      <c r="C120" s="153"/>
      <c r="D120" s="153"/>
      <c r="E120" s="153"/>
      <c r="F120" s="154"/>
      <c r="G120" s="154"/>
      <c r="H120" s="171"/>
    </row>
    <row r="121" spans="1:8">
      <c r="A121" s="169"/>
      <c r="B121" s="153"/>
      <c r="C121" s="153"/>
      <c r="D121" s="153"/>
      <c r="E121" s="153"/>
      <c r="F121" s="154"/>
      <c r="G121" s="154"/>
      <c r="H121" s="171"/>
    </row>
    <row r="122" spans="1:8">
      <c r="A122" s="169"/>
      <c r="B122" s="153"/>
      <c r="C122" s="153"/>
      <c r="D122" s="153"/>
      <c r="E122" s="153"/>
      <c r="F122" s="154"/>
      <c r="G122" s="154"/>
      <c r="H122" s="171"/>
    </row>
    <row r="123" spans="1:8">
      <c r="A123" s="169"/>
      <c r="B123" s="153"/>
      <c r="C123" s="153"/>
      <c r="D123" s="153"/>
      <c r="E123" s="153"/>
      <c r="F123" s="154"/>
      <c r="G123" s="154"/>
      <c r="H123" s="171"/>
    </row>
    <row r="124" spans="1:8">
      <c r="A124" s="169"/>
      <c r="B124" s="153"/>
      <c r="C124" s="153"/>
      <c r="D124" s="153"/>
      <c r="E124" s="153"/>
      <c r="F124" s="154"/>
      <c r="G124" s="154"/>
      <c r="H124" s="171"/>
    </row>
    <row r="125" spans="1:8">
      <c r="A125" s="169"/>
      <c r="B125" s="153"/>
      <c r="C125" s="153"/>
      <c r="D125" s="153"/>
      <c r="E125" s="153"/>
      <c r="F125" s="154"/>
      <c r="G125" s="154"/>
      <c r="H125" s="171"/>
    </row>
    <row r="126" spans="1:8">
      <c r="A126" s="169"/>
      <c r="B126" s="153"/>
      <c r="C126" s="153"/>
      <c r="D126" s="153"/>
      <c r="E126" s="153"/>
      <c r="F126" s="154"/>
      <c r="G126" s="154"/>
      <c r="H126" s="171"/>
    </row>
    <row r="127" spans="1:8">
      <c r="A127" s="169"/>
      <c r="B127" s="153"/>
      <c r="C127" s="153"/>
      <c r="D127" s="153"/>
      <c r="E127" s="153"/>
      <c r="F127" s="154"/>
      <c r="G127" s="154"/>
      <c r="H127" s="171"/>
    </row>
    <row r="128" spans="1:8">
      <c r="A128" s="169"/>
      <c r="B128" s="153"/>
      <c r="C128" s="153"/>
      <c r="D128" s="153"/>
      <c r="E128" s="153"/>
      <c r="F128" s="154"/>
      <c r="G128" s="154"/>
      <c r="H128" s="171"/>
    </row>
    <row r="129" spans="1:8">
      <c r="A129" s="169"/>
      <c r="B129" s="153"/>
      <c r="C129" s="153"/>
      <c r="D129" s="153"/>
      <c r="E129" s="153"/>
      <c r="F129" s="154"/>
      <c r="G129" s="154"/>
      <c r="H129" s="171"/>
    </row>
    <row r="130" spans="1:8">
      <c r="A130" s="169"/>
      <c r="B130" s="153"/>
      <c r="C130" s="153"/>
      <c r="D130" s="153"/>
      <c r="E130" s="153"/>
      <c r="F130" s="154"/>
      <c r="G130" s="154"/>
      <c r="H130" s="171"/>
    </row>
    <row r="131" spans="1:8">
      <c r="A131" s="169"/>
      <c r="B131" s="153"/>
      <c r="C131" s="153"/>
      <c r="D131" s="153"/>
      <c r="E131" s="153"/>
      <c r="F131" s="154"/>
      <c r="G131" s="154"/>
      <c r="H131" s="171"/>
    </row>
    <row r="132" spans="1:8">
      <c r="A132" s="169"/>
      <c r="B132" s="153"/>
      <c r="C132" s="153"/>
      <c r="D132" s="153"/>
      <c r="E132" s="153"/>
      <c r="F132" s="154"/>
      <c r="G132" s="154"/>
      <c r="H132" s="171"/>
    </row>
    <row r="133" spans="1:8">
      <c r="A133" s="169"/>
      <c r="B133" s="153"/>
      <c r="C133" s="153"/>
      <c r="D133" s="153"/>
      <c r="E133" s="153"/>
      <c r="F133" s="154"/>
      <c r="G133" s="154"/>
      <c r="H133" s="171"/>
    </row>
    <row r="134" spans="1:8">
      <c r="A134" s="169"/>
      <c r="B134" s="153"/>
      <c r="C134" s="153"/>
      <c r="D134" s="153"/>
      <c r="E134" s="153"/>
      <c r="F134" s="154"/>
      <c r="G134" s="154"/>
      <c r="H134" s="171"/>
    </row>
    <row r="135" spans="1:8">
      <c r="A135" s="169"/>
      <c r="B135" s="153"/>
      <c r="C135" s="153"/>
      <c r="D135" s="153"/>
      <c r="E135" s="153"/>
      <c r="F135" s="154"/>
      <c r="G135" s="154"/>
      <c r="H135" s="171"/>
    </row>
    <row r="136" spans="1:8">
      <c r="A136" s="169"/>
      <c r="B136" s="153"/>
      <c r="C136" s="153"/>
      <c r="D136" s="153"/>
      <c r="E136" s="153"/>
      <c r="F136" s="154"/>
      <c r="G136" s="154"/>
      <c r="H136" s="171"/>
    </row>
    <row r="137" spans="1:8">
      <c r="A137" s="169"/>
      <c r="B137" s="153"/>
      <c r="C137" s="153"/>
      <c r="D137" s="153"/>
      <c r="E137" s="153"/>
      <c r="F137" s="154"/>
      <c r="G137" s="154"/>
      <c r="H137" s="171"/>
    </row>
    <row r="138" spans="1:8">
      <c r="A138" s="169"/>
      <c r="B138" s="153"/>
      <c r="C138" s="153"/>
      <c r="D138" s="153"/>
      <c r="E138" s="153"/>
      <c r="F138" s="154"/>
      <c r="G138" s="154"/>
      <c r="H138" s="171"/>
    </row>
    <row r="139" spans="1:8">
      <c r="A139" s="169"/>
      <c r="B139" s="153"/>
      <c r="C139" s="153"/>
      <c r="D139" s="153"/>
      <c r="E139" s="153"/>
      <c r="F139" s="154"/>
      <c r="G139" s="154"/>
      <c r="H139" s="171"/>
    </row>
    <row r="140" spans="1:8">
      <c r="A140" s="169"/>
      <c r="B140" s="153"/>
      <c r="C140" s="153"/>
      <c r="D140" s="153"/>
      <c r="E140" s="153"/>
      <c r="F140" s="154"/>
      <c r="G140" s="154"/>
      <c r="H140" s="171"/>
    </row>
    <row r="141" spans="1:8">
      <c r="A141" s="169"/>
      <c r="B141" s="153"/>
      <c r="C141" s="153"/>
      <c r="D141" s="153"/>
      <c r="E141" s="153"/>
      <c r="F141" s="154"/>
      <c r="G141" s="154"/>
      <c r="H141" s="171"/>
    </row>
    <row r="142" spans="1:8">
      <c r="A142" s="169"/>
      <c r="B142" s="153"/>
      <c r="C142" s="153"/>
      <c r="D142" s="153"/>
      <c r="E142" s="153"/>
      <c r="F142" s="154"/>
      <c r="G142" s="154"/>
      <c r="H142" s="171"/>
    </row>
    <row r="143" spans="1:8">
      <c r="A143" s="169"/>
      <c r="B143" s="153"/>
      <c r="C143" s="153"/>
      <c r="D143" s="153"/>
      <c r="E143" s="153"/>
      <c r="F143" s="154"/>
      <c r="G143" s="154"/>
      <c r="H143" s="171"/>
    </row>
    <row r="144" spans="1:8">
      <c r="A144" s="169"/>
      <c r="B144" s="153"/>
      <c r="C144" s="153"/>
      <c r="D144" s="153"/>
      <c r="E144" s="153"/>
      <c r="F144" s="154"/>
      <c r="G144" s="154"/>
      <c r="H144" s="171"/>
    </row>
    <row r="145" spans="1:8">
      <c r="A145" s="169"/>
      <c r="B145" s="153"/>
      <c r="C145" s="153"/>
      <c r="D145" s="153"/>
      <c r="E145" s="153"/>
      <c r="F145" s="154"/>
      <c r="G145" s="154"/>
      <c r="H145" s="171"/>
    </row>
    <row r="146" spans="1:8">
      <c r="A146" s="169"/>
      <c r="B146" s="153"/>
      <c r="C146" s="153"/>
      <c r="D146" s="153"/>
      <c r="E146" s="153"/>
      <c r="F146" s="154"/>
      <c r="G146" s="154"/>
      <c r="H146" s="171"/>
    </row>
    <row r="147" spans="1:8">
      <c r="A147" s="169"/>
      <c r="B147" s="153"/>
      <c r="C147" s="153"/>
      <c r="D147" s="153"/>
      <c r="E147" s="153"/>
      <c r="F147" s="154"/>
      <c r="G147" s="154"/>
      <c r="H147" s="171"/>
    </row>
    <row r="148" spans="1:8">
      <c r="A148" s="169"/>
      <c r="B148" s="153"/>
      <c r="C148" s="153"/>
      <c r="D148" s="153"/>
      <c r="E148" s="153"/>
      <c r="F148" s="154"/>
      <c r="G148" s="154"/>
      <c r="H148" s="171"/>
    </row>
    <row r="149" spans="1:8">
      <c r="A149" s="169"/>
      <c r="B149" s="153"/>
      <c r="C149" s="153"/>
      <c r="D149" s="153"/>
      <c r="E149" s="153"/>
      <c r="F149" s="154"/>
      <c r="G149" s="154"/>
      <c r="H149" s="171"/>
    </row>
    <row r="150" spans="1:8">
      <c r="A150" s="169"/>
      <c r="B150" s="153"/>
      <c r="C150" s="153"/>
      <c r="D150" s="153"/>
      <c r="E150" s="153"/>
      <c r="F150" s="154"/>
      <c r="G150" s="154"/>
      <c r="H150" s="171"/>
    </row>
    <row r="151" spans="1:8">
      <c r="A151" s="169"/>
      <c r="B151" s="153"/>
      <c r="C151" s="153"/>
      <c r="D151" s="153"/>
      <c r="E151" s="153"/>
      <c r="F151" s="154"/>
      <c r="G151" s="154"/>
      <c r="H151" s="171"/>
    </row>
    <row r="152" spans="1:8">
      <c r="A152" s="169"/>
      <c r="B152" s="153"/>
      <c r="C152" s="153"/>
      <c r="D152" s="153"/>
      <c r="E152" s="153"/>
      <c r="F152" s="154"/>
      <c r="G152" s="154"/>
      <c r="H152" s="171"/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S574"/>
  <sheetViews>
    <sheetView zoomScale="115" zoomScaleNormal="115" workbookViewId="0">
      <pane ySplit="1" topLeftCell="A2" activePane="bottomLeft" state="frozen"/>
      <selection pane="bottomLeft" activeCell="B11" sqref="B11"/>
    </sheetView>
  </sheetViews>
  <sheetFormatPr baseColWidth="10" defaultRowHeight="14.4"/>
  <cols>
    <col min="1" max="1" width="15.33203125" style="232" bestFit="1" customWidth="1"/>
    <col min="2" max="2" width="16.5546875" style="93" bestFit="1" customWidth="1"/>
    <col min="3" max="3" width="16.77734375" style="93" bestFit="1" customWidth="1"/>
    <col min="4" max="4" width="9.5546875" style="93" bestFit="1" customWidth="1"/>
    <col min="5" max="5" width="34.88671875" style="93" bestFit="1" customWidth="1"/>
    <col min="6" max="6" width="10.33203125" style="141" bestFit="1" customWidth="1"/>
    <col min="7" max="7" width="8.33203125" style="141" bestFit="1" customWidth="1"/>
    <col min="8" max="8" width="7.33203125" style="141" bestFit="1" customWidth="1"/>
    <col min="9" max="9" width="5.109375" style="143" bestFit="1" customWidth="1"/>
    <col min="10" max="10" width="6.21875" style="143" bestFit="1" customWidth="1"/>
    <col min="11" max="11" width="9.88671875" style="143" bestFit="1" customWidth="1"/>
    <col min="12" max="12" width="11.6640625" style="141" bestFit="1" customWidth="1"/>
    <col min="13" max="13" width="10" style="141" bestFit="1" customWidth="1"/>
    <col min="14" max="14" width="10.109375" style="93" bestFit="1" customWidth="1"/>
    <col min="15" max="15" width="12.109375" style="141" bestFit="1" customWidth="1"/>
    <col min="16" max="16" width="8.77734375" style="143" bestFit="1" customWidth="1"/>
    <col min="17" max="17" width="9.44140625" style="143" bestFit="1" customWidth="1"/>
    <col min="18" max="18" width="5.109375" style="143" bestFit="1" customWidth="1"/>
    <col min="19" max="19" width="3.6640625" style="77" bestFit="1" customWidth="1"/>
  </cols>
  <sheetData>
    <row r="1" spans="1:19">
      <c r="A1" s="230" t="s">
        <v>34</v>
      </c>
      <c r="B1" s="92" t="s">
        <v>18</v>
      </c>
      <c r="C1" s="92" t="s">
        <v>19</v>
      </c>
      <c r="D1" s="92" t="s">
        <v>49</v>
      </c>
      <c r="E1" s="92" t="s">
        <v>6</v>
      </c>
      <c r="F1" s="139" t="s">
        <v>14</v>
      </c>
      <c r="G1" s="139" t="s">
        <v>5</v>
      </c>
      <c r="H1" s="139" t="s">
        <v>2</v>
      </c>
      <c r="I1" s="142" t="s">
        <v>3</v>
      </c>
      <c r="J1" s="142" t="s">
        <v>4</v>
      </c>
      <c r="K1" s="142" t="s">
        <v>65</v>
      </c>
      <c r="L1" s="139" t="s">
        <v>21</v>
      </c>
      <c r="M1" s="139" t="s">
        <v>20</v>
      </c>
      <c r="N1" s="92" t="s">
        <v>42</v>
      </c>
      <c r="O1" s="139" t="s">
        <v>15</v>
      </c>
      <c r="P1" s="142" t="s">
        <v>16</v>
      </c>
      <c r="Q1" s="142" t="s">
        <v>17</v>
      </c>
      <c r="R1" s="142" t="s">
        <v>85</v>
      </c>
      <c r="S1" s="78" t="s">
        <v>22</v>
      </c>
    </row>
    <row r="2" spans="1:19">
      <c r="A2" s="247">
        <v>44013</v>
      </c>
      <c r="B2" s="275" t="s">
        <v>800</v>
      </c>
      <c r="C2" s="99" t="s">
        <v>58</v>
      </c>
      <c r="D2" s="99"/>
      <c r="E2" s="99"/>
      <c r="F2" s="140">
        <v>20</v>
      </c>
      <c r="G2" s="140">
        <v>14.3</v>
      </c>
      <c r="H2" s="140">
        <v>5.6999999999999993</v>
      </c>
      <c r="I2" s="123">
        <v>11</v>
      </c>
      <c r="J2" s="123" t="s">
        <v>57</v>
      </c>
      <c r="K2" s="145">
        <v>1</v>
      </c>
      <c r="L2" s="140">
        <v>12</v>
      </c>
      <c r="M2" s="140">
        <v>14.3</v>
      </c>
      <c r="N2" s="99">
        <v>8</v>
      </c>
      <c r="O2" s="140">
        <v>-2.3000000000000007</v>
      </c>
      <c r="P2" s="123">
        <v>11</v>
      </c>
      <c r="Q2" s="123">
        <v>12.02</v>
      </c>
      <c r="R2" s="233">
        <f>YEAR(Tableau4[[#This Row],[Date]])</f>
        <v>2020</v>
      </c>
    </row>
    <row r="3" spans="1:19">
      <c r="A3" s="229">
        <v>43556</v>
      </c>
      <c r="B3" s="244" t="s">
        <v>800</v>
      </c>
      <c r="C3" s="99" t="s">
        <v>7</v>
      </c>
      <c r="D3" s="99"/>
      <c r="E3" s="99">
        <v>100</v>
      </c>
      <c r="F3" s="140">
        <v>29.9</v>
      </c>
      <c r="G3" s="140">
        <v>19.899999999999999</v>
      </c>
      <c r="H3" s="140">
        <v>10</v>
      </c>
      <c r="I3" s="123">
        <v>16</v>
      </c>
      <c r="J3" s="123">
        <v>16.55</v>
      </c>
      <c r="K3" s="145">
        <v>2</v>
      </c>
      <c r="L3" s="140">
        <v>59.8</v>
      </c>
      <c r="M3" s="140">
        <v>39.799999999999997</v>
      </c>
      <c r="N3" s="99"/>
      <c r="O3" s="140">
        <v>20</v>
      </c>
      <c r="P3" s="123">
        <v>32</v>
      </c>
      <c r="Q3" s="123">
        <v>33.1</v>
      </c>
      <c r="R3" s="233">
        <f>YEAR(Tableau4[[#This Row],[Date]])</f>
        <v>2019</v>
      </c>
    </row>
    <row r="4" spans="1:19">
      <c r="A4" s="229">
        <v>43556</v>
      </c>
      <c r="B4" s="244" t="s">
        <v>800</v>
      </c>
      <c r="C4" s="99" t="s">
        <v>7</v>
      </c>
      <c r="D4" s="99"/>
      <c r="E4" s="99">
        <v>100</v>
      </c>
      <c r="F4" s="140">
        <v>29.9</v>
      </c>
      <c r="G4" s="140">
        <v>19.899999999999999</v>
      </c>
      <c r="H4" s="140">
        <v>10</v>
      </c>
      <c r="I4" s="123">
        <v>16</v>
      </c>
      <c r="J4" s="123">
        <v>16.55</v>
      </c>
      <c r="K4" s="145">
        <v>1</v>
      </c>
      <c r="L4" s="140">
        <v>29.9</v>
      </c>
      <c r="M4" s="140">
        <v>19.899999999999999</v>
      </c>
      <c r="N4" s="99"/>
      <c r="O4" s="140">
        <v>10</v>
      </c>
      <c r="P4" s="123">
        <v>16</v>
      </c>
      <c r="Q4" s="123">
        <v>16.55</v>
      </c>
      <c r="R4" s="233">
        <f>YEAR(Tableau4[[#This Row],[Date]])</f>
        <v>2019</v>
      </c>
    </row>
    <row r="5" spans="1:19">
      <c r="A5" s="229">
        <v>43556</v>
      </c>
      <c r="B5" s="244" t="s">
        <v>800</v>
      </c>
      <c r="C5" s="99" t="s">
        <v>7</v>
      </c>
      <c r="D5" s="99"/>
      <c r="E5" s="99">
        <v>100</v>
      </c>
      <c r="F5" s="140">
        <v>29.9</v>
      </c>
      <c r="G5" s="140">
        <v>19.899999999999999</v>
      </c>
      <c r="H5" s="140">
        <v>10</v>
      </c>
      <c r="I5" s="123">
        <v>16</v>
      </c>
      <c r="J5" s="123">
        <v>16.55</v>
      </c>
      <c r="K5" s="145">
        <v>1</v>
      </c>
      <c r="L5" s="140">
        <v>29.9</v>
      </c>
      <c r="M5" s="140">
        <v>19.899999999999999</v>
      </c>
      <c r="N5" s="99"/>
      <c r="O5" s="140">
        <v>10</v>
      </c>
      <c r="P5" s="123">
        <v>16</v>
      </c>
      <c r="Q5" s="123">
        <v>16.55</v>
      </c>
      <c r="R5" s="233">
        <f>YEAR(Tableau4[[#This Row],[Date]])</f>
        <v>2019</v>
      </c>
    </row>
    <row r="6" spans="1:19">
      <c r="A6" s="229">
        <v>43556</v>
      </c>
      <c r="B6" s="244" t="s">
        <v>800</v>
      </c>
      <c r="C6" s="99" t="s">
        <v>7</v>
      </c>
      <c r="D6" s="99"/>
      <c r="E6" s="99">
        <v>50</v>
      </c>
      <c r="F6" s="140">
        <v>19.899999999999999</v>
      </c>
      <c r="G6" s="140">
        <v>13.3</v>
      </c>
      <c r="H6" s="140">
        <v>6.5999999999999979</v>
      </c>
      <c r="I6" s="123">
        <v>11</v>
      </c>
      <c r="J6" s="123">
        <v>9</v>
      </c>
      <c r="K6" s="145">
        <v>1</v>
      </c>
      <c r="L6" s="140">
        <v>19.899999999999999</v>
      </c>
      <c r="M6" s="140">
        <v>13.3</v>
      </c>
      <c r="N6" s="99"/>
      <c r="O6" s="140">
        <v>6.5999999999999979</v>
      </c>
      <c r="P6" s="123">
        <v>11</v>
      </c>
      <c r="Q6" s="123">
        <v>9</v>
      </c>
      <c r="R6" s="233">
        <f>YEAR(Tableau4[[#This Row],[Date]])</f>
        <v>2019</v>
      </c>
    </row>
    <row r="7" spans="1:19">
      <c r="A7" s="229">
        <v>43556</v>
      </c>
      <c r="B7" s="244" t="s">
        <v>800</v>
      </c>
      <c r="C7" s="99" t="s">
        <v>7</v>
      </c>
      <c r="D7" s="99"/>
      <c r="E7" s="99">
        <v>50</v>
      </c>
      <c r="F7" s="140">
        <v>19.899999999999999</v>
      </c>
      <c r="G7" s="140">
        <v>13.3</v>
      </c>
      <c r="H7" s="140">
        <v>6.5999999999999979</v>
      </c>
      <c r="I7" s="123">
        <v>11</v>
      </c>
      <c r="J7" s="123">
        <v>9</v>
      </c>
      <c r="K7" s="145">
        <v>1</v>
      </c>
      <c r="L7" s="140">
        <v>19.899999999999999</v>
      </c>
      <c r="M7" s="140">
        <v>13.3</v>
      </c>
      <c r="N7" s="99"/>
      <c r="O7" s="140">
        <v>6.5999999999999979</v>
      </c>
      <c r="P7" s="123">
        <v>11</v>
      </c>
      <c r="Q7" s="123">
        <v>9</v>
      </c>
      <c r="R7" s="233">
        <f>YEAR(Tableau4[[#This Row],[Date]])</f>
        <v>2019</v>
      </c>
    </row>
    <row r="8" spans="1:19">
      <c r="A8" s="229">
        <v>43556</v>
      </c>
      <c r="B8" s="244" t="s">
        <v>800</v>
      </c>
      <c r="C8" s="99" t="s">
        <v>7</v>
      </c>
      <c r="D8" s="99"/>
      <c r="E8" s="99">
        <v>50</v>
      </c>
      <c r="F8" s="140">
        <v>19.899999999999999</v>
      </c>
      <c r="G8" s="140">
        <v>13.3</v>
      </c>
      <c r="H8" s="140">
        <v>6.5999999999999979</v>
      </c>
      <c r="I8" s="123">
        <v>11</v>
      </c>
      <c r="J8" s="123">
        <v>9</v>
      </c>
      <c r="K8" s="145">
        <v>1</v>
      </c>
      <c r="L8" s="140">
        <v>19.899999999999999</v>
      </c>
      <c r="M8" s="140">
        <v>13.3</v>
      </c>
      <c r="N8" s="99"/>
      <c r="O8" s="140">
        <v>6.5999999999999979</v>
      </c>
      <c r="P8" s="123">
        <v>11</v>
      </c>
      <c r="Q8" s="123">
        <v>9</v>
      </c>
      <c r="R8" s="233">
        <f>YEAR(Tableau4[[#This Row],[Date]])</f>
        <v>2019</v>
      </c>
    </row>
    <row r="9" spans="1:19">
      <c r="A9" s="229">
        <v>43556</v>
      </c>
      <c r="B9" s="244" t="s">
        <v>800</v>
      </c>
      <c r="C9" s="99" t="s">
        <v>7</v>
      </c>
      <c r="D9" s="99"/>
      <c r="E9" s="99">
        <v>50</v>
      </c>
      <c r="F9" s="140">
        <v>19.899999999999999</v>
      </c>
      <c r="G9" s="140">
        <v>13.3</v>
      </c>
      <c r="H9" s="140">
        <v>6.5999999999999979</v>
      </c>
      <c r="I9" s="123">
        <v>11</v>
      </c>
      <c r="J9" s="123">
        <v>9</v>
      </c>
      <c r="K9" s="145">
        <v>1</v>
      </c>
      <c r="L9" s="140">
        <v>19.899999999999999</v>
      </c>
      <c r="M9" s="140">
        <v>13.3</v>
      </c>
      <c r="N9" s="99"/>
      <c r="O9" s="140">
        <v>6.5999999999999979</v>
      </c>
      <c r="P9" s="123">
        <v>11</v>
      </c>
      <c r="Q9" s="123">
        <v>9</v>
      </c>
      <c r="R9" s="233">
        <f>YEAR(Tableau4[[#This Row],[Date]])</f>
        <v>2019</v>
      </c>
    </row>
    <row r="10" spans="1:19">
      <c r="A10" s="229">
        <v>43556</v>
      </c>
      <c r="B10" s="244" t="s">
        <v>800</v>
      </c>
      <c r="C10" s="99" t="s">
        <v>7</v>
      </c>
      <c r="D10" s="99"/>
      <c r="E10" s="99">
        <v>50</v>
      </c>
      <c r="F10" s="140">
        <v>19.899999999999999</v>
      </c>
      <c r="G10" s="140">
        <v>13.3</v>
      </c>
      <c r="H10" s="140">
        <v>6.5999999999999979</v>
      </c>
      <c r="I10" s="123">
        <v>11</v>
      </c>
      <c r="J10" s="123">
        <v>9</v>
      </c>
      <c r="K10" s="145">
        <v>1</v>
      </c>
      <c r="L10" s="140">
        <v>19.899999999999999</v>
      </c>
      <c r="M10" s="140">
        <v>13.3</v>
      </c>
      <c r="N10" s="99"/>
      <c r="O10" s="140">
        <v>6.5999999999999979</v>
      </c>
      <c r="P10" s="123">
        <v>11</v>
      </c>
      <c r="Q10" s="123">
        <v>9</v>
      </c>
      <c r="R10" s="233">
        <f>YEAR(Tableau4[[#This Row],[Date]])</f>
        <v>2019</v>
      </c>
    </row>
    <row r="11" spans="1:19">
      <c r="A11" s="229">
        <v>43556</v>
      </c>
      <c r="B11" s="245" t="s">
        <v>800</v>
      </c>
      <c r="C11" s="99" t="s">
        <v>7</v>
      </c>
      <c r="D11" s="244"/>
      <c r="E11" s="99">
        <v>50</v>
      </c>
      <c r="F11" s="140">
        <v>19.899999999999999</v>
      </c>
      <c r="G11" s="140">
        <v>13.3</v>
      </c>
      <c r="H11" s="140">
        <v>6.5999999999999979</v>
      </c>
      <c r="I11" s="123">
        <v>11</v>
      </c>
      <c r="J11" s="123">
        <v>9</v>
      </c>
      <c r="K11" s="145">
        <v>1</v>
      </c>
      <c r="L11" s="140">
        <v>19.899999999999999</v>
      </c>
      <c r="M11" s="140">
        <v>13.3</v>
      </c>
      <c r="N11" s="99"/>
      <c r="O11" s="140">
        <v>6.5999999999999979</v>
      </c>
      <c r="P11" s="123">
        <v>11</v>
      </c>
      <c r="Q11" s="123">
        <v>9</v>
      </c>
      <c r="R11" s="233">
        <f>YEAR(Tableau4[[#This Row],[Date]])</f>
        <v>2019</v>
      </c>
    </row>
    <row r="12" spans="1:19">
      <c r="A12" s="229">
        <v>43678</v>
      </c>
      <c r="B12" s="244" t="s">
        <v>801</v>
      </c>
      <c r="C12" s="99" t="s">
        <v>9</v>
      </c>
      <c r="D12" s="99"/>
      <c r="E12" s="99"/>
      <c r="F12" s="140">
        <v>14.9</v>
      </c>
      <c r="G12" s="140">
        <v>10.65</v>
      </c>
      <c r="H12" s="140">
        <v>4.25</v>
      </c>
      <c r="I12" s="123">
        <v>9</v>
      </c>
      <c r="J12" s="123">
        <v>5.5</v>
      </c>
      <c r="K12" s="145">
        <v>1</v>
      </c>
      <c r="L12" s="140">
        <v>14.9</v>
      </c>
      <c r="M12" s="140">
        <v>10.65</v>
      </c>
      <c r="N12" s="99"/>
      <c r="O12" s="140">
        <v>4.25</v>
      </c>
      <c r="P12" s="123">
        <v>10</v>
      </c>
      <c r="Q12" s="123">
        <v>5.5</v>
      </c>
      <c r="R12" s="233">
        <f>YEAR(Tableau4[[#This Row],[Date]])</f>
        <v>2019</v>
      </c>
    </row>
    <row r="13" spans="1:19">
      <c r="A13" s="229">
        <v>43556</v>
      </c>
      <c r="B13" s="246" t="s">
        <v>802</v>
      </c>
      <c r="C13" s="99" t="s">
        <v>7</v>
      </c>
      <c r="D13" s="99"/>
      <c r="E13" s="99">
        <v>50</v>
      </c>
      <c r="F13" s="140">
        <v>19.899999999999999</v>
      </c>
      <c r="G13" s="140">
        <v>13.3</v>
      </c>
      <c r="H13" s="140">
        <v>6.5999999999999979</v>
      </c>
      <c r="I13" s="123">
        <v>11</v>
      </c>
      <c r="J13" s="123">
        <v>9</v>
      </c>
      <c r="K13" s="145">
        <v>1</v>
      </c>
      <c r="L13" s="140">
        <v>19.899999999999999</v>
      </c>
      <c r="M13" s="140">
        <v>13.3</v>
      </c>
      <c r="N13" s="99"/>
      <c r="O13" s="140">
        <v>6.5999999999999979</v>
      </c>
      <c r="P13" s="123">
        <v>11</v>
      </c>
      <c r="Q13" s="123">
        <v>9</v>
      </c>
      <c r="R13" s="233">
        <f>YEAR(Tableau4[[#This Row],[Date]])</f>
        <v>2019</v>
      </c>
    </row>
    <row r="14" spans="1:19">
      <c r="A14" s="229">
        <v>43709</v>
      </c>
      <c r="B14" s="246" t="s">
        <v>802</v>
      </c>
      <c r="C14" s="99" t="s">
        <v>7</v>
      </c>
      <c r="D14" s="99"/>
      <c r="E14" s="99" t="s">
        <v>50</v>
      </c>
      <c r="F14" s="140">
        <v>9.9</v>
      </c>
      <c r="G14" s="140">
        <v>7.1</v>
      </c>
      <c r="H14" s="140">
        <v>2.8000000000000007</v>
      </c>
      <c r="I14" s="123">
        <v>6</v>
      </c>
      <c r="J14" s="123">
        <v>3</v>
      </c>
      <c r="K14" s="145">
        <v>1</v>
      </c>
      <c r="L14" s="140">
        <v>9.9</v>
      </c>
      <c r="M14" s="140">
        <v>7.1</v>
      </c>
      <c r="N14" s="99"/>
      <c r="O14" s="140">
        <v>2.8000000000000007</v>
      </c>
      <c r="P14" s="123">
        <v>6</v>
      </c>
      <c r="Q14" s="123">
        <v>3</v>
      </c>
      <c r="R14" s="233">
        <f>YEAR(Tableau4[[#This Row],[Date]])</f>
        <v>2019</v>
      </c>
    </row>
    <row r="15" spans="1:19">
      <c r="A15" s="229">
        <v>43709</v>
      </c>
      <c r="B15" s="246" t="s">
        <v>802</v>
      </c>
      <c r="C15" s="99" t="s">
        <v>9</v>
      </c>
      <c r="D15" s="99"/>
      <c r="E15" s="99"/>
      <c r="F15" s="140">
        <v>14.9</v>
      </c>
      <c r="G15" s="140">
        <v>10.65</v>
      </c>
      <c r="H15" s="140">
        <v>4.25</v>
      </c>
      <c r="I15" s="123">
        <v>9</v>
      </c>
      <c r="J15" s="123">
        <v>5.5</v>
      </c>
      <c r="K15" s="145">
        <v>1</v>
      </c>
      <c r="L15" s="140">
        <v>14.9</v>
      </c>
      <c r="M15" s="140">
        <v>10.65</v>
      </c>
      <c r="N15" s="99"/>
      <c r="O15" s="140">
        <v>4.25</v>
      </c>
      <c r="P15" s="123">
        <v>10</v>
      </c>
      <c r="Q15" s="123">
        <v>5.5</v>
      </c>
      <c r="R15" s="233">
        <f>YEAR(Tableau4[[#This Row],[Date]])</f>
        <v>2019</v>
      </c>
    </row>
    <row r="16" spans="1:19">
      <c r="A16" s="229">
        <v>43556</v>
      </c>
      <c r="B16" s="244" t="s">
        <v>803</v>
      </c>
      <c r="C16" s="99" t="s">
        <v>7</v>
      </c>
      <c r="D16" s="99"/>
      <c r="E16" s="99">
        <v>100</v>
      </c>
      <c r="F16" s="140">
        <v>29.9</v>
      </c>
      <c r="G16" s="140">
        <v>19.899999999999999</v>
      </c>
      <c r="H16" s="140">
        <v>10</v>
      </c>
      <c r="I16" s="123">
        <v>16</v>
      </c>
      <c r="J16" s="123">
        <v>16.55</v>
      </c>
      <c r="K16" s="145">
        <v>1</v>
      </c>
      <c r="L16" s="140">
        <v>29.9</v>
      </c>
      <c r="M16" s="140">
        <v>19.899999999999999</v>
      </c>
      <c r="N16" s="99"/>
      <c r="O16" s="140">
        <v>10</v>
      </c>
      <c r="P16" s="123">
        <v>16</v>
      </c>
      <c r="Q16" s="123">
        <v>16.55</v>
      </c>
      <c r="R16" s="233">
        <f>YEAR(Tableau4[[#This Row],[Date]])</f>
        <v>2019</v>
      </c>
    </row>
    <row r="17" spans="1:18">
      <c r="A17" s="229">
        <v>43617</v>
      </c>
      <c r="B17" s="244" t="s">
        <v>803</v>
      </c>
      <c r="C17" s="99" t="s">
        <v>51</v>
      </c>
      <c r="D17" s="99"/>
      <c r="E17" s="99"/>
      <c r="F17" s="140">
        <v>36.950000000000003</v>
      </c>
      <c r="G17" s="140">
        <v>26.95</v>
      </c>
      <c r="H17" s="140">
        <v>10.000000000000004</v>
      </c>
      <c r="I17" s="123">
        <v>21</v>
      </c>
      <c r="J17" s="123">
        <v>19</v>
      </c>
      <c r="K17" s="145">
        <v>1</v>
      </c>
      <c r="L17" s="140">
        <v>36.950000000000003</v>
      </c>
      <c r="M17" s="140">
        <v>26.95</v>
      </c>
      <c r="N17" s="99"/>
      <c r="O17" s="140">
        <v>10.000000000000004</v>
      </c>
      <c r="P17" s="123">
        <v>21</v>
      </c>
      <c r="Q17" s="123">
        <v>19</v>
      </c>
      <c r="R17" s="233">
        <f>YEAR(Tableau4[[#This Row],[Date]])</f>
        <v>2019</v>
      </c>
    </row>
    <row r="18" spans="1:18">
      <c r="A18" s="229">
        <v>43709</v>
      </c>
      <c r="B18" s="244" t="s">
        <v>803</v>
      </c>
      <c r="C18" s="99" t="s">
        <v>9</v>
      </c>
      <c r="D18" s="99"/>
      <c r="E18" s="99"/>
      <c r="F18" s="140">
        <v>20.5</v>
      </c>
      <c r="G18" s="140">
        <v>14.6</v>
      </c>
      <c r="H18" s="140">
        <v>5.9</v>
      </c>
      <c r="I18" s="123">
        <v>11.5</v>
      </c>
      <c r="J18" s="123">
        <v>12.27</v>
      </c>
      <c r="K18" s="145">
        <v>1</v>
      </c>
      <c r="L18" s="140">
        <v>20.5</v>
      </c>
      <c r="M18" s="140">
        <v>14.6</v>
      </c>
      <c r="N18" s="99"/>
      <c r="O18" s="140">
        <v>5.9</v>
      </c>
      <c r="P18" s="123">
        <v>12.5</v>
      </c>
      <c r="Q18" s="123">
        <v>12.27</v>
      </c>
      <c r="R18" s="233">
        <f>YEAR(Tableau4[[#This Row],[Date]])</f>
        <v>2019</v>
      </c>
    </row>
    <row r="19" spans="1:18">
      <c r="A19" s="229">
        <v>43709</v>
      </c>
      <c r="B19" s="244" t="s">
        <v>803</v>
      </c>
      <c r="C19" s="99" t="s">
        <v>9</v>
      </c>
      <c r="D19" s="99"/>
      <c r="E19" s="99"/>
      <c r="F19" s="140">
        <v>14.9</v>
      </c>
      <c r="G19" s="140">
        <v>10.65</v>
      </c>
      <c r="H19" s="140">
        <v>4.25</v>
      </c>
      <c r="I19" s="123">
        <v>9</v>
      </c>
      <c r="J19" s="123">
        <v>5.5</v>
      </c>
      <c r="K19" s="145">
        <v>1</v>
      </c>
      <c r="L19" s="140">
        <v>14.9</v>
      </c>
      <c r="M19" s="140">
        <v>10.65</v>
      </c>
      <c r="N19" s="99"/>
      <c r="O19" s="140">
        <v>4.25</v>
      </c>
      <c r="P19" s="123">
        <v>10</v>
      </c>
      <c r="Q19" s="123">
        <v>5.5</v>
      </c>
      <c r="R19" s="233">
        <f>YEAR(Tableau4[[#This Row],[Date]])</f>
        <v>2019</v>
      </c>
    </row>
    <row r="20" spans="1:18">
      <c r="A20" s="229">
        <v>43770</v>
      </c>
      <c r="B20" s="244" t="s">
        <v>803</v>
      </c>
      <c r="C20" s="99" t="s">
        <v>51</v>
      </c>
      <c r="D20" s="99"/>
      <c r="E20" s="99"/>
      <c r="F20" s="140">
        <v>38</v>
      </c>
      <c r="G20" s="140">
        <v>32.9</v>
      </c>
      <c r="H20" s="140">
        <v>5.1000000000000014</v>
      </c>
      <c r="I20" s="123" t="s">
        <v>61</v>
      </c>
      <c r="J20" s="123" t="s">
        <v>62</v>
      </c>
      <c r="K20" s="145">
        <v>1</v>
      </c>
      <c r="L20" s="140">
        <v>38</v>
      </c>
      <c r="M20" s="140">
        <v>32.9</v>
      </c>
      <c r="N20" s="99"/>
      <c r="O20" s="140">
        <v>5.1000000000000014</v>
      </c>
      <c r="P20" s="123">
        <v>25.5</v>
      </c>
      <c r="Q20" s="123">
        <v>18.489999999999998</v>
      </c>
      <c r="R20" s="233">
        <f>YEAR(Tableau4[[#This Row],[Date]])</f>
        <v>2019</v>
      </c>
    </row>
    <row r="21" spans="1:18">
      <c r="A21" s="229">
        <v>43617</v>
      </c>
      <c r="B21" s="244" t="s">
        <v>804</v>
      </c>
      <c r="C21" s="99" t="s">
        <v>7</v>
      </c>
      <c r="D21" s="99"/>
      <c r="E21" s="99">
        <v>100</v>
      </c>
      <c r="F21" s="140">
        <v>29.9</v>
      </c>
      <c r="G21" s="140">
        <v>19.899999999999999</v>
      </c>
      <c r="H21" s="140">
        <v>10</v>
      </c>
      <c r="I21" s="123">
        <v>16</v>
      </c>
      <c r="J21" s="123">
        <v>16.55</v>
      </c>
      <c r="K21" s="145">
        <v>1</v>
      </c>
      <c r="L21" s="140">
        <v>19.899999999999999</v>
      </c>
      <c r="M21" s="140">
        <v>19.899999999999999</v>
      </c>
      <c r="N21" s="99">
        <v>10</v>
      </c>
      <c r="O21" s="140">
        <v>0</v>
      </c>
      <c r="P21" s="123">
        <v>16</v>
      </c>
      <c r="Q21" s="123">
        <v>16.55</v>
      </c>
      <c r="R21" s="233">
        <f>YEAR(Tableau4[[#This Row],[Date]])</f>
        <v>2019</v>
      </c>
    </row>
    <row r="22" spans="1:18">
      <c r="A22" s="229">
        <v>43617</v>
      </c>
      <c r="B22" s="244" t="s">
        <v>804</v>
      </c>
      <c r="C22" s="99" t="s">
        <v>7</v>
      </c>
      <c r="D22" s="99"/>
      <c r="E22" s="99">
        <v>100</v>
      </c>
      <c r="F22" s="140">
        <v>29.9</v>
      </c>
      <c r="G22" s="140">
        <v>19.899999999999999</v>
      </c>
      <c r="H22" s="140">
        <v>10</v>
      </c>
      <c r="I22" s="123">
        <v>16</v>
      </c>
      <c r="J22" s="123">
        <v>16.55</v>
      </c>
      <c r="K22" s="145">
        <v>1</v>
      </c>
      <c r="L22" s="140">
        <v>19.899999999999999</v>
      </c>
      <c r="M22" s="140">
        <v>19.899999999999999</v>
      </c>
      <c r="N22" s="99">
        <v>10</v>
      </c>
      <c r="O22" s="140">
        <v>0</v>
      </c>
      <c r="P22" s="123">
        <v>16</v>
      </c>
      <c r="Q22" s="123">
        <v>16.55</v>
      </c>
      <c r="R22" s="233">
        <f>YEAR(Tableau4[[#This Row],[Date]])</f>
        <v>2019</v>
      </c>
    </row>
    <row r="23" spans="1:18">
      <c r="A23" s="229">
        <v>43617</v>
      </c>
      <c r="B23" s="244" t="s">
        <v>804</v>
      </c>
      <c r="C23" s="99" t="s">
        <v>7</v>
      </c>
      <c r="D23" s="99"/>
      <c r="E23" s="99">
        <v>100</v>
      </c>
      <c r="F23" s="140">
        <v>29.9</v>
      </c>
      <c r="G23" s="140">
        <v>19.899999999999999</v>
      </c>
      <c r="H23" s="140">
        <v>10</v>
      </c>
      <c r="I23" s="123">
        <v>16</v>
      </c>
      <c r="J23" s="123">
        <v>16.55</v>
      </c>
      <c r="K23" s="145">
        <v>1</v>
      </c>
      <c r="L23" s="140">
        <v>29.9</v>
      </c>
      <c r="M23" s="140">
        <v>19.899999999999999</v>
      </c>
      <c r="N23" s="99"/>
      <c r="O23" s="140">
        <v>10</v>
      </c>
      <c r="P23" s="123">
        <v>16</v>
      </c>
      <c r="Q23" s="123">
        <v>16.55</v>
      </c>
      <c r="R23" s="233">
        <f>YEAR(Tableau4[[#This Row],[Date]])</f>
        <v>2019</v>
      </c>
    </row>
    <row r="24" spans="1:18">
      <c r="A24" s="229">
        <v>43617</v>
      </c>
      <c r="B24" s="244" t="s">
        <v>804</v>
      </c>
      <c r="C24" s="99" t="s">
        <v>7</v>
      </c>
      <c r="D24" s="99"/>
      <c r="E24" s="99">
        <v>100</v>
      </c>
      <c r="F24" s="140">
        <v>29.9</v>
      </c>
      <c r="G24" s="140">
        <v>19.899999999999999</v>
      </c>
      <c r="H24" s="140">
        <v>10</v>
      </c>
      <c r="I24" s="123">
        <v>16</v>
      </c>
      <c r="J24" s="123">
        <v>16.55</v>
      </c>
      <c r="K24" s="145">
        <v>1</v>
      </c>
      <c r="L24" s="140">
        <v>19.899999999999999</v>
      </c>
      <c r="M24" s="140">
        <v>19.899999999999999</v>
      </c>
      <c r="N24" s="99">
        <v>10</v>
      </c>
      <c r="O24" s="140">
        <v>0</v>
      </c>
      <c r="P24" s="123">
        <v>16</v>
      </c>
      <c r="Q24" s="123">
        <v>16.55</v>
      </c>
      <c r="R24" s="233">
        <f>YEAR(Tableau4[[#This Row],[Date]])</f>
        <v>2019</v>
      </c>
    </row>
    <row r="25" spans="1:18">
      <c r="A25" s="229">
        <v>43617</v>
      </c>
      <c r="B25" s="244" t="s">
        <v>804</v>
      </c>
      <c r="C25" s="99" t="s">
        <v>7</v>
      </c>
      <c r="D25" s="99"/>
      <c r="E25" s="99">
        <v>50</v>
      </c>
      <c r="F25" s="140">
        <v>19.899999999999999</v>
      </c>
      <c r="G25" s="140">
        <v>13.3</v>
      </c>
      <c r="H25" s="140">
        <v>6.5999999999999979</v>
      </c>
      <c r="I25" s="123">
        <v>11</v>
      </c>
      <c r="J25" s="123">
        <v>9</v>
      </c>
      <c r="K25" s="145">
        <v>1</v>
      </c>
      <c r="L25" s="140">
        <v>19.899999999999999</v>
      </c>
      <c r="M25" s="140">
        <v>13.3</v>
      </c>
      <c r="N25" s="99"/>
      <c r="O25" s="140">
        <v>6.5999999999999979</v>
      </c>
      <c r="P25" s="123">
        <v>11</v>
      </c>
      <c r="Q25" s="123">
        <v>9</v>
      </c>
      <c r="R25" s="233">
        <f>YEAR(Tableau4[[#This Row],[Date]])</f>
        <v>2019</v>
      </c>
    </row>
    <row r="26" spans="1:18">
      <c r="A26" s="229">
        <v>43617</v>
      </c>
      <c r="B26" s="244" t="s">
        <v>804</v>
      </c>
      <c r="C26" s="99" t="s">
        <v>7</v>
      </c>
      <c r="D26" s="99"/>
      <c r="E26" s="99">
        <v>50</v>
      </c>
      <c r="F26" s="140">
        <v>19.899999999999999</v>
      </c>
      <c r="G26" s="140">
        <v>13.3</v>
      </c>
      <c r="H26" s="140">
        <v>6.5999999999999979</v>
      </c>
      <c r="I26" s="123">
        <v>11</v>
      </c>
      <c r="J26" s="123">
        <v>9</v>
      </c>
      <c r="K26" s="145">
        <v>1</v>
      </c>
      <c r="L26" s="140">
        <v>19.899999999999999</v>
      </c>
      <c r="M26" s="140">
        <v>13.3</v>
      </c>
      <c r="N26" s="99"/>
      <c r="O26" s="140">
        <v>6.5999999999999979</v>
      </c>
      <c r="P26" s="123">
        <v>11</v>
      </c>
      <c r="Q26" s="123">
        <v>9</v>
      </c>
      <c r="R26" s="233">
        <f>YEAR(Tableau4[[#This Row],[Date]])</f>
        <v>2019</v>
      </c>
    </row>
    <row r="27" spans="1:18">
      <c r="A27" s="229">
        <v>43617</v>
      </c>
      <c r="B27" s="244" t="s">
        <v>804</v>
      </c>
      <c r="C27" s="99" t="s">
        <v>7</v>
      </c>
      <c r="D27" s="99"/>
      <c r="E27" s="99" t="s">
        <v>53</v>
      </c>
      <c r="F27" s="140">
        <v>5</v>
      </c>
      <c r="G27" s="140">
        <v>2.99</v>
      </c>
      <c r="H27" s="140">
        <v>2.0099999999999998</v>
      </c>
      <c r="I27" s="123">
        <v>1.5</v>
      </c>
      <c r="J27" s="123">
        <v>1</v>
      </c>
      <c r="K27" s="145">
        <v>1</v>
      </c>
      <c r="L27" s="140">
        <v>2.9</v>
      </c>
      <c r="M27" s="140">
        <v>2.99</v>
      </c>
      <c r="N27" s="99">
        <v>2.0099999999999998</v>
      </c>
      <c r="O27" s="140">
        <v>0</v>
      </c>
      <c r="P27" s="123">
        <v>1.5</v>
      </c>
      <c r="Q27" s="123">
        <v>1</v>
      </c>
      <c r="R27" s="233">
        <f>YEAR(Tableau4[[#This Row],[Date]])</f>
        <v>2019</v>
      </c>
    </row>
    <row r="28" spans="1:18">
      <c r="A28" s="229">
        <v>43647</v>
      </c>
      <c r="B28" s="244" t="s">
        <v>804</v>
      </c>
      <c r="C28" s="99" t="s">
        <v>7</v>
      </c>
      <c r="D28" s="99"/>
      <c r="E28" s="99">
        <v>50</v>
      </c>
      <c r="F28" s="140">
        <v>19.899999999999999</v>
      </c>
      <c r="G28" s="140">
        <v>13.3</v>
      </c>
      <c r="H28" s="140">
        <v>6.5999999999999979</v>
      </c>
      <c r="I28" s="123">
        <v>11</v>
      </c>
      <c r="J28" s="123">
        <v>9</v>
      </c>
      <c r="K28" s="145">
        <v>1</v>
      </c>
      <c r="L28" s="140">
        <v>19.899999999999999</v>
      </c>
      <c r="M28" s="140">
        <v>13.3</v>
      </c>
      <c r="N28" s="99"/>
      <c r="O28" s="140">
        <v>6.5999999999999979</v>
      </c>
      <c r="P28" s="123">
        <v>11</v>
      </c>
      <c r="Q28" s="123">
        <v>9</v>
      </c>
      <c r="R28" s="233">
        <f>YEAR(Tableau4[[#This Row],[Date]])</f>
        <v>2019</v>
      </c>
    </row>
    <row r="29" spans="1:18">
      <c r="A29" s="229">
        <v>43647</v>
      </c>
      <c r="B29" s="244" t="s">
        <v>804</v>
      </c>
      <c r="C29" s="99" t="s">
        <v>7</v>
      </c>
      <c r="D29" s="99"/>
      <c r="E29" s="99">
        <v>50</v>
      </c>
      <c r="F29" s="140">
        <v>19.899999999999999</v>
      </c>
      <c r="G29" s="140">
        <v>13.3</v>
      </c>
      <c r="H29" s="140">
        <v>6.5999999999999979</v>
      </c>
      <c r="I29" s="123">
        <v>11</v>
      </c>
      <c r="J29" s="123">
        <v>9</v>
      </c>
      <c r="K29" s="145">
        <v>1</v>
      </c>
      <c r="L29" s="140">
        <v>19.899999999999999</v>
      </c>
      <c r="M29" s="140">
        <v>13.3</v>
      </c>
      <c r="N29" s="99"/>
      <c r="O29" s="140">
        <v>6.5999999999999979</v>
      </c>
      <c r="P29" s="123">
        <v>11</v>
      </c>
      <c r="Q29" s="123">
        <v>9</v>
      </c>
      <c r="R29" s="233">
        <f>YEAR(Tableau4[[#This Row],[Date]])</f>
        <v>2019</v>
      </c>
    </row>
    <row r="30" spans="1:18">
      <c r="A30" s="229">
        <v>43647</v>
      </c>
      <c r="B30" s="244" t="s">
        <v>804</v>
      </c>
      <c r="C30" s="99" t="s">
        <v>7</v>
      </c>
      <c r="D30" s="99"/>
      <c r="E30" s="99">
        <v>50</v>
      </c>
      <c r="F30" s="140">
        <v>19.899999999999999</v>
      </c>
      <c r="G30" s="140">
        <v>13.3</v>
      </c>
      <c r="H30" s="140">
        <v>6.5999999999999979</v>
      </c>
      <c r="I30" s="123">
        <v>11</v>
      </c>
      <c r="J30" s="123">
        <v>9</v>
      </c>
      <c r="K30" s="145">
        <v>1</v>
      </c>
      <c r="L30" s="140">
        <v>19.899999999999999</v>
      </c>
      <c r="M30" s="140">
        <v>13.3</v>
      </c>
      <c r="N30" s="99"/>
      <c r="O30" s="140">
        <v>6.5999999999999979</v>
      </c>
      <c r="P30" s="123">
        <v>11</v>
      </c>
      <c r="Q30" s="123">
        <v>9</v>
      </c>
      <c r="R30" s="233">
        <f>YEAR(Tableau4[[#This Row],[Date]])</f>
        <v>2019</v>
      </c>
    </row>
    <row r="31" spans="1:18">
      <c r="A31" s="229">
        <v>43739</v>
      </c>
      <c r="B31" s="244" t="s">
        <v>804</v>
      </c>
      <c r="C31" s="99" t="s">
        <v>7</v>
      </c>
      <c r="D31" s="99"/>
      <c r="E31" s="99">
        <v>100</v>
      </c>
      <c r="F31" s="140">
        <v>29.9</v>
      </c>
      <c r="G31" s="140">
        <v>19.899999999999999</v>
      </c>
      <c r="H31" s="140">
        <v>10</v>
      </c>
      <c r="I31" s="123">
        <v>16</v>
      </c>
      <c r="J31" s="123">
        <v>16.55</v>
      </c>
      <c r="K31" s="145">
        <v>1</v>
      </c>
      <c r="L31" s="140">
        <v>25</v>
      </c>
      <c r="M31" s="140">
        <v>19.899999999999999</v>
      </c>
      <c r="N31" s="99">
        <v>4.9000000000000004</v>
      </c>
      <c r="O31" s="140">
        <v>5.0999999999999996</v>
      </c>
      <c r="P31" s="123">
        <v>16</v>
      </c>
      <c r="Q31" s="123">
        <v>16.55</v>
      </c>
      <c r="R31" s="233">
        <f>YEAR(Tableau4[[#This Row],[Date]])</f>
        <v>2019</v>
      </c>
    </row>
    <row r="32" spans="1:18">
      <c r="A32" s="229">
        <v>43739</v>
      </c>
      <c r="B32" s="244" t="s">
        <v>804</v>
      </c>
      <c r="C32" s="99" t="s">
        <v>7</v>
      </c>
      <c r="D32" s="99"/>
      <c r="E32" s="99">
        <v>100</v>
      </c>
      <c r="F32" s="140">
        <v>29.9</v>
      </c>
      <c r="G32" s="140">
        <v>19.899999999999999</v>
      </c>
      <c r="H32" s="140">
        <v>10</v>
      </c>
      <c r="I32" s="123">
        <v>16</v>
      </c>
      <c r="J32" s="123">
        <v>16.55</v>
      </c>
      <c r="K32" s="145">
        <v>1</v>
      </c>
      <c r="L32" s="140">
        <v>25</v>
      </c>
      <c r="M32" s="140">
        <v>19.899999999999999</v>
      </c>
      <c r="N32" s="99">
        <v>4.9000000000000004</v>
      </c>
      <c r="O32" s="140">
        <v>5.0999999999999996</v>
      </c>
      <c r="P32" s="123">
        <v>16</v>
      </c>
      <c r="Q32" s="123">
        <v>16.55</v>
      </c>
      <c r="R32" s="233">
        <f>YEAR(Tableau4[[#This Row],[Date]])</f>
        <v>2019</v>
      </c>
    </row>
    <row r="33" spans="1:18">
      <c r="A33" s="229">
        <v>43739</v>
      </c>
      <c r="B33" s="244" t="s">
        <v>804</v>
      </c>
      <c r="C33" s="99" t="s">
        <v>7</v>
      </c>
      <c r="D33" s="99"/>
      <c r="E33" s="99">
        <v>50</v>
      </c>
      <c r="F33" s="140">
        <v>19.899999999999999</v>
      </c>
      <c r="G33" s="140">
        <v>13.3</v>
      </c>
      <c r="H33" s="140">
        <v>6.5999999999999979</v>
      </c>
      <c r="I33" s="123">
        <v>11</v>
      </c>
      <c r="J33" s="123">
        <v>9</v>
      </c>
      <c r="K33" s="145">
        <v>1</v>
      </c>
      <c r="L33" s="140">
        <v>15.999999999999998</v>
      </c>
      <c r="M33" s="140">
        <v>13.3</v>
      </c>
      <c r="N33" s="99">
        <v>3.9</v>
      </c>
      <c r="O33" s="140">
        <v>2.699999999999998</v>
      </c>
      <c r="P33" s="123">
        <v>11</v>
      </c>
      <c r="Q33" s="123">
        <v>9</v>
      </c>
      <c r="R33" s="233">
        <f>YEAR(Tableau4[[#This Row],[Date]])</f>
        <v>2019</v>
      </c>
    </row>
    <row r="34" spans="1:18">
      <c r="A34" s="247">
        <v>43983</v>
      </c>
      <c r="B34" s="244" t="s">
        <v>804</v>
      </c>
      <c r="C34" s="99" t="s">
        <v>7</v>
      </c>
      <c r="D34" s="99"/>
      <c r="E34" s="99" t="s">
        <v>76</v>
      </c>
      <c r="F34" s="140">
        <v>32.9</v>
      </c>
      <c r="G34" s="140">
        <v>21.9</v>
      </c>
      <c r="H34" s="140">
        <v>11</v>
      </c>
      <c r="I34" s="123">
        <v>18</v>
      </c>
      <c r="J34" s="123">
        <v>16.55</v>
      </c>
      <c r="K34" s="145">
        <v>1</v>
      </c>
      <c r="L34" s="140">
        <v>32.9</v>
      </c>
      <c r="M34" s="140">
        <v>21.9</v>
      </c>
      <c r="N34" s="99"/>
      <c r="O34" s="140">
        <v>11</v>
      </c>
      <c r="P34" s="123">
        <v>18</v>
      </c>
      <c r="Q34" s="123">
        <v>16.55</v>
      </c>
      <c r="R34" s="233">
        <f>YEAR(Tableau4[[#This Row],[Date]])</f>
        <v>2020</v>
      </c>
    </row>
    <row r="35" spans="1:18">
      <c r="A35" s="247">
        <v>43983</v>
      </c>
      <c r="B35" s="245" t="s">
        <v>804</v>
      </c>
      <c r="C35" s="99" t="s">
        <v>9</v>
      </c>
      <c r="D35" s="99"/>
      <c r="E35" s="99"/>
      <c r="F35" s="140">
        <v>11.9</v>
      </c>
      <c r="G35" s="140">
        <v>9</v>
      </c>
      <c r="H35" s="140">
        <v>2.9000000000000004</v>
      </c>
      <c r="I35" s="123">
        <v>6</v>
      </c>
      <c r="J35" s="123">
        <v>3.28</v>
      </c>
      <c r="K35" s="145">
        <v>2</v>
      </c>
      <c r="L35" s="140">
        <v>23.8</v>
      </c>
      <c r="M35" s="140">
        <v>18</v>
      </c>
      <c r="N35" s="99"/>
      <c r="O35" s="140">
        <v>5.8000000000000007</v>
      </c>
      <c r="P35" s="123">
        <v>16</v>
      </c>
      <c r="Q35" s="123">
        <v>6.56</v>
      </c>
      <c r="R35" s="233">
        <f>YEAR(Tableau4[[#This Row],[Date]])</f>
        <v>2020</v>
      </c>
    </row>
    <row r="36" spans="1:18">
      <c r="A36" s="229">
        <v>43586</v>
      </c>
      <c r="B36" s="245" t="s">
        <v>805</v>
      </c>
      <c r="C36" s="99" t="s">
        <v>51</v>
      </c>
      <c r="D36" s="99"/>
      <c r="E36" s="99"/>
      <c r="F36" s="140">
        <v>44.9</v>
      </c>
      <c r="G36" s="140">
        <v>34.049999999999997</v>
      </c>
      <c r="H36" s="140">
        <v>10.850000000000001</v>
      </c>
      <c r="I36" s="123">
        <v>27</v>
      </c>
      <c r="J36" s="123">
        <v>22.55</v>
      </c>
      <c r="K36" s="145">
        <v>1</v>
      </c>
      <c r="L36" s="140">
        <v>44.9</v>
      </c>
      <c r="M36" s="140">
        <v>34.049999999999997</v>
      </c>
      <c r="N36" s="99"/>
      <c r="O36" s="140">
        <v>10.850000000000001</v>
      </c>
      <c r="P36" s="123">
        <v>27</v>
      </c>
      <c r="Q36" s="123">
        <v>22.55</v>
      </c>
      <c r="R36" s="233">
        <f>YEAR(Tableau4[[#This Row],[Date]])</f>
        <v>2019</v>
      </c>
    </row>
    <row r="37" spans="1:18">
      <c r="A37" s="229">
        <v>43617</v>
      </c>
      <c r="B37" s="244" t="s">
        <v>805</v>
      </c>
      <c r="C37" s="99" t="s">
        <v>51</v>
      </c>
      <c r="D37" s="99"/>
      <c r="E37" s="99"/>
      <c r="F37" s="140">
        <v>36.950000000000003</v>
      </c>
      <c r="G37" s="140">
        <v>26.95</v>
      </c>
      <c r="H37" s="140">
        <v>10.000000000000004</v>
      </c>
      <c r="I37" s="123">
        <v>21</v>
      </c>
      <c r="J37" s="123">
        <v>19</v>
      </c>
      <c r="K37" s="145">
        <v>1</v>
      </c>
      <c r="L37" s="140">
        <v>36.950000000000003</v>
      </c>
      <c r="M37" s="140">
        <v>26.95</v>
      </c>
      <c r="N37" s="99"/>
      <c r="O37" s="140">
        <v>10.000000000000004</v>
      </c>
      <c r="P37" s="123">
        <v>21</v>
      </c>
      <c r="Q37" s="123">
        <v>19</v>
      </c>
      <c r="R37" s="233">
        <f>YEAR(Tableau4[[#This Row],[Date]])</f>
        <v>2019</v>
      </c>
    </row>
    <row r="38" spans="1:18">
      <c r="A38" s="247">
        <v>44013</v>
      </c>
      <c r="B38" s="244" t="s">
        <v>806</v>
      </c>
      <c r="C38" s="99" t="s">
        <v>51</v>
      </c>
      <c r="D38" s="99"/>
      <c r="E38" s="99"/>
      <c r="F38" s="140">
        <v>24.9</v>
      </c>
      <c r="G38" s="140">
        <v>10.63</v>
      </c>
      <c r="H38" s="140">
        <v>14.269999999999998</v>
      </c>
      <c r="I38" s="123" t="s">
        <v>77</v>
      </c>
      <c r="J38" s="123" t="s">
        <v>77</v>
      </c>
      <c r="K38" s="145">
        <v>1</v>
      </c>
      <c r="L38" s="140">
        <v>24.9</v>
      </c>
      <c r="M38" s="140">
        <v>10.63</v>
      </c>
      <c r="N38" s="99"/>
      <c r="O38" s="140">
        <v>14.269999999999998</v>
      </c>
      <c r="P38" s="123">
        <v>0</v>
      </c>
      <c r="Q38" s="123">
        <v>0</v>
      </c>
      <c r="R38" s="233">
        <f>YEAR(Tableau4[[#This Row],[Date]])</f>
        <v>2020</v>
      </c>
    </row>
    <row r="39" spans="1:18">
      <c r="A39" s="247">
        <v>44013</v>
      </c>
      <c r="B39" s="244" t="s">
        <v>806</v>
      </c>
      <c r="C39" s="99" t="s">
        <v>9</v>
      </c>
      <c r="D39" s="99"/>
      <c r="E39" s="99"/>
      <c r="F39" s="140">
        <v>8.9</v>
      </c>
      <c r="G39" s="140">
        <v>6.35</v>
      </c>
      <c r="H39" s="140">
        <v>2.5500000000000007</v>
      </c>
      <c r="I39" s="123">
        <v>5</v>
      </c>
      <c r="J39" s="123">
        <v>2.67</v>
      </c>
      <c r="K39" s="145">
        <v>1</v>
      </c>
      <c r="L39" s="140">
        <v>8.9</v>
      </c>
      <c r="M39" s="140">
        <v>6.35</v>
      </c>
      <c r="N39" s="99"/>
      <c r="O39" s="140">
        <v>2.5500000000000007</v>
      </c>
      <c r="P39" s="123">
        <v>5</v>
      </c>
      <c r="Q39" s="123">
        <v>2.67</v>
      </c>
      <c r="R39" s="233">
        <f>YEAR(Tableau4[[#This Row],[Date]])</f>
        <v>2020</v>
      </c>
    </row>
    <row r="40" spans="1:18">
      <c r="A40" s="247">
        <v>44013</v>
      </c>
      <c r="B40" s="245" t="s">
        <v>806</v>
      </c>
      <c r="C40" s="99" t="s">
        <v>9</v>
      </c>
      <c r="D40" s="99"/>
      <c r="E40" s="99"/>
      <c r="F40" s="140">
        <v>11.9</v>
      </c>
      <c r="G40" s="140">
        <v>9</v>
      </c>
      <c r="H40" s="140">
        <v>2.9000000000000004</v>
      </c>
      <c r="I40" s="123">
        <v>6</v>
      </c>
      <c r="J40" s="123">
        <v>3.28</v>
      </c>
      <c r="K40" s="145">
        <v>1</v>
      </c>
      <c r="L40" s="140">
        <v>11.9</v>
      </c>
      <c r="M40" s="140">
        <v>9</v>
      </c>
      <c r="N40" s="99"/>
      <c r="O40" s="140">
        <v>2.9000000000000004</v>
      </c>
      <c r="P40" s="123">
        <v>8</v>
      </c>
      <c r="Q40" s="123">
        <v>3.28</v>
      </c>
      <c r="R40" s="233">
        <f>YEAR(Tableau4[[#This Row],[Date]])</f>
        <v>2020</v>
      </c>
    </row>
    <row r="41" spans="1:18">
      <c r="A41" s="229">
        <v>43770</v>
      </c>
      <c r="B41" s="242" t="s">
        <v>807</v>
      </c>
      <c r="C41" s="99" t="s">
        <v>7</v>
      </c>
      <c r="D41" s="99"/>
      <c r="E41" s="99" t="s">
        <v>53</v>
      </c>
      <c r="F41" s="140">
        <v>5</v>
      </c>
      <c r="G41" s="140">
        <v>2.9</v>
      </c>
      <c r="H41" s="140">
        <v>2.1</v>
      </c>
      <c r="I41" s="123">
        <v>1.5</v>
      </c>
      <c r="J41" s="123">
        <v>1</v>
      </c>
      <c r="K41" s="145">
        <v>1</v>
      </c>
      <c r="L41" s="140">
        <v>5</v>
      </c>
      <c r="M41" s="140">
        <v>2.9</v>
      </c>
      <c r="N41" s="99"/>
      <c r="O41" s="140">
        <v>2.1</v>
      </c>
      <c r="P41" s="123">
        <v>1.5</v>
      </c>
      <c r="Q41" s="123">
        <v>1</v>
      </c>
      <c r="R41" s="233">
        <f>YEAR(Tableau4[[#This Row],[Date]])</f>
        <v>2019</v>
      </c>
    </row>
    <row r="42" spans="1:18">
      <c r="A42" s="229">
        <v>43770</v>
      </c>
      <c r="B42" s="242" t="s">
        <v>807</v>
      </c>
      <c r="C42" s="99" t="s">
        <v>9</v>
      </c>
      <c r="D42" s="99"/>
      <c r="E42" s="99"/>
      <c r="F42" s="140">
        <v>9.9</v>
      </c>
      <c r="G42" s="140">
        <v>7.05</v>
      </c>
      <c r="H42" s="140">
        <v>2.8500000000000005</v>
      </c>
      <c r="I42" s="123">
        <v>5</v>
      </c>
      <c r="J42" s="123">
        <v>3</v>
      </c>
      <c r="K42" s="145">
        <v>1</v>
      </c>
      <c r="L42" s="140">
        <v>9.9</v>
      </c>
      <c r="M42" s="140">
        <v>7.05</v>
      </c>
      <c r="N42" s="99"/>
      <c r="O42" s="140">
        <v>2.8500000000000005</v>
      </c>
      <c r="P42" s="123">
        <v>5</v>
      </c>
      <c r="Q42" s="123">
        <v>3</v>
      </c>
      <c r="R42" s="233">
        <f>YEAR(Tableau4[[#This Row],[Date]])</f>
        <v>2019</v>
      </c>
    </row>
    <row r="43" spans="1:18">
      <c r="A43" s="247">
        <v>43862</v>
      </c>
      <c r="B43" s="242" t="s">
        <v>807</v>
      </c>
      <c r="C43" s="99" t="s">
        <v>12</v>
      </c>
      <c r="D43" s="99"/>
      <c r="E43" s="99"/>
      <c r="F43" s="140">
        <v>6.9</v>
      </c>
      <c r="G43" s="140">
        <v>5.3</v>
      </c>
      <c r="H43" s="140">
        <v>1.6000000000000005</v>
      </c>
      <c r="I43" s="123">
        <v>3</v>
      </c>
      <c r="J43" s="123">
        <v>2.21</v>
      </c>
      <c r="K43" s="145">
        <v>1</v>
      </c>
      <c r="L43" s="140">
        <v>6.9</v>
      </c>
      <c r="M43" s="140">
        <v>5.3</v>
      </c>
      <c r="N43" s="99">
        <v>1</v>
      </c>
      <c r="O43" s="140">
        <v>1.6000000000000005</v>
      </c>
      <c r="P43" s="123">
        <v>3</v>
      </c>
      <c r="Q43" s="123">
        <v>2.21</v>
      </c>
      <c r="R43" s="233">
        <f>YEAR(Tableau4[[#This Row],[Date]])</f>
        <v>2020</v>
      </c>
    </row>
    <row r="44" spans="1:18">
      <c r="A44" s="247">
        <v>43862</v>
      </c>
      <c r="B44" s="242" t="s">
        <v>807</v>
      </c>
      <c r="C44" s="99" t="s">
        <v>12</v>
      </c>
      <c r="D44" s="99"/>
      <c r="E44" s="99"/>
      <c r="F44" s="140">
        <v>3.9</v>
      </c>
      <c r="G44" s="140">
        <v>2.7</v>
      </c>
      <c r="H44" s="140">
        <v>1.1999999999999997</v>
      </c>
      <c r="I44" s="123">
        <v>2.5</v>
      </c>
      <c r="J44" s="123">
        <v>0.56999999999999995</v>
      </c>
      <c r="K44" s="145">
        <v>1</v>
      </c>
      <c r="L44" s="140">
        <v>3.9</v>
      </c>
      <c r="M44" s="140">
        <v>2.7</v>
      </c>
      <c r="N44" s="99"/>
      <c r="O44" s="140">
        <v>1.1999999999999997</v>
      </c>
      <c r="P44" s="123">
        <v>2.5</v>
      </c>
      <c r="Q44" s="123">
        <v>0.56999999999999995</v>
      </c>
      <c r="R44" s="233">
        <f>YEAR(Tableau4[[#This Row],[Date]])</f>
        <v>2020</v>
      </c>
    </row>
    <row r="45" spans="1:18">
      <c r="A45" s="247">
        <v>43862</v>
      </c>
      <c r="B45" s="246" t="s">
        <v>807</v>
      </c>
      <c r="C45" s="99" t="s">
        <v>9</v>
      </c>
      <c r="D45" s="99"/>
      <c r="E45" s="99"/>
      <c r="F45" s="140">
        <v>16.899999999999999</v>
      </c>
      <c r="G45" s="140">
        <v>12.7</v>
      </c>
      <c r="H45" s="140">
        <v>4.1999999999999993</v>
      </c>
      <c r="I45" s="123">
        <v>9</v>
      </c>
      <c r="J45" s="123">
        <v>5.5</v>
      </c>
      <c r="K45" s="145">
        <v>1</v>
      </c>
      <c r="L45" s="140">
        <v>0</v>
      </c>
      <c r="M45" s="140">
        <v>12.7</v>
      </c>
      <c r="N45" s="99">
        <v>16.899999999999999</v>
      </c>
      <c r="O45" s="140">
        <v>-12.7</v>
      </c>
      <c r="P45" s="123">
        <v>10</v>
      </c>
      <c r="Q45" s="123">
        <v>5.5</v>
      </c>
      <c r="R45" s="233">
        <f>YEAR(Tableau4[[#This Row],[Date]])</f>
        <v>2020</v>
      </c>
    </row>
    <row r="46" spans="1:18">
      <c r="A46" s="247">
        <v>44013</v>
      </c>
      <c r="B46" s="244" t="s">
        <v>808</v>
      </c>
      <c r="C46" s="99" t="s">
        <v>58</v>
      </c>
      <c r="D46" s="99"/>
      <c r="E46" s="99"/>
      <c r="F46" s="140">
        <v>20</v>
      </c>
      <c r="G46" s="140">
        <v>14.3</v>
      </c>
      <c r="H46" s="140">
        <v>5.6999999999999993</v>
      </c>
      <c r="I46" s="123">
        <v>11</v>
      </c>
      <c r="J46" s="123" t="s">
        <v>57</v>
      </c>
      <c r="K46" s="145">
        <v>1</v>
      </c>
      <c r="L46" s="140">
        <v>12</v>
      </c>
      <c r="M46" s="140">
        <v>14.3</v>
      </c>
      <c r="N46" s="99">
        <v>8</v>
      </c>
      <c r="O46" s="140">
        <v>-2.3000000000000007</v>
      </c>
      <c r="P46" s="123">
        <v>11</v>
      </c>
      <c r="Q46" s="123">
        <v>12.02</v>
      </c>
      <c r="R46" s="233">
        <f>YEAR(Tableau4[[#This Row],[Date]])</f>
        <v>2020</v>
      </c>
    </row>
    <row r="47" spans="1:18">
      <c r="A47" s="247">
        <v>44013</v>
      </c>
      <c r="B47" s="245" t="s">
        <v>808</v>
      </c>
      <c r="C47" s="99" t="s">
        <v>58</v>
      </c>
      <c r="D47" s="99"/>
      <c r="E47" s="99"/>
      <c r="F47" s="140">
        <v>21</v>
      </c>
      <c r="G47" s="140">
        <v>15</v>
      </c>
      <c r="H47" s="140">
        <v>6</v>
      </c>
      <c r="I47" s="123">
        <v>11.5</v>
      </c>
      <c r="J47" s="123">
        <v>12.61</v>
      </c>
      <c r="K47" s="145">
        <v>1</v>
      </c>
      <c r="L47" s="140">
        <v>13</v>
      </c>
      <c r="M47" s="140">
        <v>15</v>
      </c>
      <c r="N47" s="99">
        <v>8</v>
      </c>
      <c r="O47" s="140">
        <v>-2</v>
      </c>
      <c r="P47" s="123">
        <v>11.5</v>
      </c>
      <c r="Q47" s="123">
        <v>12.61</v>
      </c>
      <c r="R47" s="233">
        <f>YEAR(Tableau4[[#This Row],[Date]])</f>
        <v>2020</v>
      </c>
    </row>
    <row r="48" spans="1:18">
      <c r="A48" s="247">
        <v>44013</v>
      </c>
      <c r="B48" s="245" t="s">
        <v>808</v>
      </c>
      <c r="C48" s="99" t="s">
        <v>58</v>
      </c>
      <c r="D48" s="99"/>
      <c r="E48" s="99"/>
      <c r="F48" s="140">
        <v>21</v>
      </c>
      <c r="G48" s="140">
        <v>15</v>
      </c>
      <c r="H48" s="140">
        <v>6</v>
      </c>
      <c r="I48" s="123">
        <v>11.5</v>
      </c>
      <c r="J48" s="123">
        <v>12.61</v>
      </c>
      <c r="K48" s="145">
        <v>1</v>
      </c>
      <c r="L48" s="140">
        <v>13</v>
      </c>
      <c r="M48" s="140">
        <v>15</v>
      </c>
      <c r="N48" s="99">
        <v>8</v>
      </c>
      <c r="O48" s="140">
        <v>-2</v>
      </c>
      <c r="P48" s="123">
        <v>11.5</v>
      </c>
      <c r="Q48" s="123">
        <v>12.61</v>
      </c>
      <c r="R48" s="233">
        <f>YEAR(Tableau4[[#This Row],[Date]])</f>
        <v>2020</v>
      </c>
    </row>
    <row r="49" spans="1:18">
      <c r="A49" s="229">
        <v>43556</v>
      </c>
      <c r="B49" s="244" t="s">
        <v>809</v>
      </c>
      <c r="C49" s="99" t="s">
        <v>7</v>
      </c>
      <c r="D49" s="99"/>
      <c r="E49" s="99">
        <v>100</v>
      </c>
      <c r="F49" s="140">
        <v>29.9</v>
      </c>
      <c r="G49" s="140">
        <v>19.899999999999999</v>
      </c>
      <c r="H49" s="140">
        <v>10</v>
      </c>
      <c r="I49" s="123">
        <v>16</v>
      </c>
      <c r="J49" s="123">
        <v>16.55</v>
      </c>
      <c r="K49" s="145">
        <v>1</v>
      </c>
      <c r="L49" s="140">
        <v>29.9</v>
      </c>
      <c r="M49" s="140">
        <v>19.899999999999999</v>
      </c>
      <c r="N49" s="99"/>
      <c r="O49" s="140">
        <v>10</v>
      </c>
      <c r="P49" s="123">
        <v>16</v>
      </c>
      <c r="Q49" s="123">
        <v>16.55</v>
      </c>
      <c r="R49" s="233">
        <f>YEAR(Tableau4[[#This Row],[Date]])</f>
        <v>2019</v>
      </c>
    </row>
    <row r="50" spans="1:18">
      <c r="A50" s="229">
        <v>43556</v>
      </c>
      <c r="B50" s="244" t="s">
        <v>809</v>
      </c>
      <c r="C50" s="99" t="s">
        <v>7</v>
      </c>
      <c r="D50" s="99"/>
      <c r="E50" s="99">
        <v>50</v>
      </c>
      <c r="F50" s="140">
        <v>19.899999999999999</v>
      </c>
      <c r="G50" s="140">
        <v>13.3</v>
      </c>
      <c r="H50" s="140">
        <v>6.5999999999999979</v>
      </c>
      <c r="I50" s="123">
        <v>11</v>
      </c>
      <c r="J50" s="123">
        <v>9</v>
      </c>
      <c r="K50" s="145">
        <v>1</v>
      </c>
      <c r="L50" s="140">
        <v>19.899999999999999</v>
      </c>
      <c r="M50" s="140">
        <v>13.3</v>
      </c>
      <c r="N50" s="99"/>
      <c r="O50" s="140">
        <v>6.5999999999999979</v>
      </c>
      <c r="P50" s="123">
        <v>11</v>
      </c>
      <c r="Q50" s="123">
        <v>9</v>
      </c>
      <c r="R50" s="233">
        <f>YEAR(Tableau4[[#This Row],[Date]])</f>
        <v>2019</v>
      </c>
    </row>
    <row r="51" spans="1:18">
      <c r="A51" s="229">
        <v>43647</v>
      </c>
      <c r="B51" s="244" t="s">
        <v>809</v>
      </c>
      <c r="C51" s="99" t="s">
        <v>7</v>
      </c>
      <c r="D51" s="99"/>
      <c r="E51" s="99" t="s">
        <v>53</v>
      </c>
      <c r="F51" s="140">
        <v>5</v>
      </c>
      <c r="G51" s="140">
        <v>2.99</v>
      </c>
      <c r="H51" s="140">
        <v>2.0099999999999998</v>
      </c>
      <c r="I51" s="123">
        <v>1.5</v>
      </c>
      <c r="J51" s="123">
        <v>1</v>
      </c>
      <c r="K51" s="145">
        <v>1</v>
      </c>
      <c r="L51" s="140">
        <v>5</v>
      </c>
      <c r="M51" s="140">
        <v>2.99</v>
      </c>
      <c r="N51" s="99"/>
      <c r="O51" s="140">
        <v>2.0099999999999998</v>
      </c>
      <c r="P51" s="123">
        <v>1.5</v>
      </c>
      <c r="Q51" s="123">
        <v>1</v>
      </c>
      <c r="R51" s="233">
        <f>YEAR(Tableau4[[#This Row],[Date]])</f>
        <v>2019</v>
      </c>
    </row>
    <row r="52" spans="1:18">
      <c r="A52" s="229">
        <v>43770</v>
      </c>
      <c r="B52" s="246" t="s">
        <v>810</v>
      </c>
      <c r="C52" s="99" t="s">
        <v>7</v>
      </c>
      <c r="D52" s="99"/>
      <c r="E52" s="99">
        <v>50</v>
      </c>
      <c r="F52" s="140">
        <v>19.899999999999999</v>
      </c>
      <c r="G52" s="140">
        <v>13.3</v>
      </c>
      <c r="H52" s="140">
        <v>6.5999999999999979</v>
      </c>
      <c r="I52" s="123">
        <v>11</v>
      </c>
      <c r="J52" s="123">
        <v>9</v>
      </c>
      <c r="K52" s="145">
        <v>1</v>
      </c>
      <c r="L52" s="140">
        <v>19.899999999999999</v>
      </c>
      <c r="M52" s="140">
        <v>13.3</v>
      </c>
      <c r="N52" s="99"/>
      <c r="O52" s="140">
        <v>6.5999999999999979</v>
      </c>
      <c r="P52" s="123">
        <v>11</v>
      </c>
      <c r="Q52" s="123">
        <v>9</v>
      </c>
      <c r="R52" s="233">
        <f>YEAR(Tableau4[[#This Row],[Date]])</f>
        <v>2019</v>
      </c>
    </row>
    <row r="53" spans="1:18">
      <c r="A53" s="229">
        <v>43770</v>
      </c>
      <c r="B53" s="246" t="s">
        <v>810</v>
      </c>
      <c r="C53" s="99" t="s">
        <v>7</v>
      </c>
      <c r="D53" s="99"/>
      <c r="E53" s="99">
        <v>50</v>
      </c>
      <c r="F53" s="140">
        <v>19.899999999999999</v>
      </c>
      <c r="G53" s="140">
        <v>13.3</v>
      </c>
      <c r="H53" s="140">
        <v>6.5999999999999979</v>
      </c>
      <c r="I53" s="123">
        <v>11</v>
      </c>
      <c r="J53" s="123">
        <v>9</v>
      </c>
      <c r="K53" s="145">
        <v>1</v>
      </c>
      <c r="L53" s="140">
        <v>19.899999999999999</v>
      </c>
      <c r="M53" s="140">
        <v>13.3</v>
      </c>
      <c r="N53" s="99"/>
      <c r="O53" s="140">
        <v>6.5999999999999979</v>
      </c>
      <c r="P53" s="123">
        <v>11</v>
      </c>
      <c r="Q53" s="123">
        <v>9</v>
      </c>
      <c r="R53" s="233">
        <f>YEAR(Tableau4[[#This Row],[Date]])</f>
        <v>2019</v>
      </c>
    </row>
    <row r="54" spans="1:18">
      <c r="A54" s="229">
        <v>43770</v>
      </c>
      <c r="B54" s="246" t="s">
        <v>810</v>
      </c>
      <c r="C54" s="99" t="s">
        <v>7</v>
      </c>
      <c r="D54" s="99"/>
      <c r="E54" s="99">
        <v>50</v>
      </c>
      <c r="F54" s="140">
        <v>19.899999999999999</v>
      </c>
      <c r="G54" s="140">
        <v>13.3</v>
      </c>
      <c r="H54" s="140">
        <v>6.5999999999999979</v>
      </c>
      <c r="I54" s="123">
        <v>11</v>
      </c>
      <c r="J54" s="123">
        <v>9</v>
      </c>
      <c r="K54" s="145">
        <v>1</v>
      </c>
      <c r="L54" s="140">
        <v>19.899999999999999</v>
      </c>
      <c r="M54" s="140">
        <v>13.3</v>
      </c>
      <c r="N54" s="99"/>
      <c r="O54" s="140">
        <v>6.5999999999999979</v>
      </c>
      <c r="P54" s="123">
        <v>11</v>
      </c>
      <c r="Q54" s="123">
        <v>9</v>
      </c>
      <c r="R54" s="233">
        <f>YEAR(Tableau4[[#This Row],[Date]])</f>
        <v>2019</v>
      </c>
    </row>
    <row r="55" spans="1:18">
      <c r="A55" s="229">
        <v>43770</v>
      </c>
      <c r="B55" s="246" t="s">
        <v>810</v>
      </c>
      <c r="C55" s="99" t="s">
        <v>7</v>
      </c>
      <c r="D55" s="99"/>
      <c r="E55" s="99">
        <v>50</v>
      </c>
      <c r="F55" s="140">
        <v>19.899999999999999</v>
      </c>
      <c r="G55" s="140">
        <v>13.3</v>
      </c>
      <c r="H55" s="140">
        <v>6.5999999999999979</v>
      </c>
      <c r="I55" s="123">
        <v>11</v>
      </c>
      <c r="J55" s="123">
        <v>9</v>
      </c>
      <c r="K55" s="145">
        <v>1</v>
      </c>
      <c r="L55" s="140">
        <v>19.899999999999999</v>
      </c>
      <c r="M55" s="140">
        <v>13.3</v>
      </c>
      <c r="N55" s="99"/>
      <c r="O55" s="140">
        <v>6.5999999999999979</v>
      </c>
      <c r="P55" s="123">
        <v>11</v>
      </c>
      <c r="Q55" s="123">
        <v>9</v>
      </c>
      <c r="R55" s="233">
        <f>YEAR(Tableau4[[#This Row],[Date]])</f>
        <v>2019</v>
      </c>
    </row>
    <row r="56" spans="1:18">
      <c r="A56" s="229">
        <v>43770</v>
      </c>
      <c r="B56" s="246" t="s">
        <v>811</v>
      </c>
      <c r="C56" s="99" t="s">
        <v>9</v>
      </c>
      <c r="D56" s="99"/>
      <c r="E56" s="99"/>
      <c r="F56" s="140">
        <v>31.5</v>
      </c>
      <c r="G56" s="140">
        <v>23</v>
      </c>
      <c r="H56" s="140">
        <v>8.5</v>
      </c>
      <c r="I56" s="123">
        <v>20</v>
      </c>
      <c r="J56" s="123">
        <v>17.649999999999999</v>
      </c>
      <c r="K56" s="145">
        <v>1</v>
      </c>
      <c r="L56" s="140">
        <v>31.5</v>
      </c>
      <c r="M56" s="140">
        <v>23</v>
      </c>
      <c r="N56" s="99"/>
      <c r="O56" s="140">
        <v>8.5</v>
      </c>
      <c r="P56" s="123">
        <v>20</v>
      </c>
      <c r="Q56" s="123">
        <v>17.649999999999999</v>
      </c>
      <c r="R56" s="233">
        <f>YEAR(Tableau4[[#This Row],[Date]])</f>
        <v>2019</v>
      </c>
    </row>
    <row r="57" spans="1:18">
      <c r="A57" s="229">
        <v>43617</v>
      </c>
      <c r="B57" s="244" t="s">
        <v>812</v>
      </c>
      <c r="C57" s="99" t="s">
        <v>7</v>
      </c>
      <c r="D57" s="99"/>
      <c r="E57" s="99" t="s">
        <v>50</v>
      </c>
      <c r="F57" s="140">
        <v>9.9</v>
      </c>
      <c r="G57" s="140">
        <v>9.9</v>
      </c>
      <c r="H57" s="140">
        <v>9.9</v>
      </c>
      <c r="I57" s="123">
        <v>9.9</v>
      </c>
      <c r="J57" s="123">
        <v>9.9</v>
      </c>
      <c r="K57" s="145">
        <v>1</v>
      </c>
      <c r="L57" s="140">
        <v>9.9</v>
      </c>
      <c r="M57" s="140">
        <v>9.9</v>
      </c>
      <c r="N57" s="99"/>
      <c r="O57" s="140">
        <v>9.9</v>
      </c>
      <c r="P57" s="123">
        <v>9.9</v>
      </c>
      <c r="Q57" s="123">
        <v>9.9</v>
      </c>
      <c r="R57" s="233">
        <f>YEAR(Tableau4[[#This Row],[Date]])</f>
        <v>2019</v>
      </c>
    </row>
    <row r="58" spans="1:18">
      <c r="A58" s="229">
        <v>43617</v>
      </c>
      <c r="B58" s="244" t="s">
        <v>812</v>
      </c>
      <c r="C58" s="99" t="s">
        <v>9</v>
      </c>
      <c r="D58" s="99"/>
      <c r="E58" s="99"/>
      <c r="F58" s="140">
        <v>14.9</v>
      </c>
      <c r="G58" s="140">
        <v>10.65</v>
      </c>
      <c r="H58" s="140">
        <v>4.25</v>
      </c>
      <c r="I58" s="123">
        <v>9</v>
      </c>
      <c r="J58" s="123">
        <v>5.5</v>
      </c>
      <c r="K58" s="145">
        <v>1</v>
      </c>
      <c r="L58" s="140">
        <v>14.9</v>
      </c>
      <c r="M58" s="140">
        <v>10.65</v>
      </c>
      <c r="N58" s="99"/>
      <c r="O58" s="140">
        <v>4.25</v>
      </c>
      <c r="P58" s="123">
        <v>10</v>
      </c>
      <c r="Q58" s="123">
        <v>5.5</v>
      </c>
      <c r="R58" s="233">
        <f>YEAR(Tableau4[[#This Row],[Date]])</f>
        <v>2019</v>
      </c>
    </row>
    <row r="59" spans="1:18">
      <c r="A59" s="229">
        <v>43739</v>
      </c>
      <c r="B59" s="246" t="s">
        <v>813</v>
      </c>
      <c r="C59" s="99" t="s">
        <v>7</v>
      </c>
      <c r="D59" s="99"/>
      <c r="E59" s="99" t="s">
        <v>53</v>
      </c>
      <c r="F59" s="140">
        <v>5</v>
      </c>
      <c r="G59" s="140">
        <v>2.9</v>
      </c>
      <c r="H59" s="140">
        <v>2.1</v>
      </c>
      <c r="I59" s="123">
        <v>1.5</v>
      </c>
      <c r="J59" s="123">
        <v>1</v>
      </c>
      <c r="K59" s="145">
        <v>1</v>
      </c>
      <c r="L59" s="140">
        <v>5</v>
      </c>
      <c r="M59" s="140">
        <v>2.9</v>
      </c>
      <c r="N59" s="99"/>
      <c r="O59" s="140">
        <v>2.1</v>
      </c>
      <c r="P59" s="123">
        <v>1.5</v>
      </c>
      <c r="Q59" s="123">
        <v>1</v>
      </c>
      <c r="R59" s="233">
        <f>YEAR(Tableau4[[#This Row],[Date]])</f>
        <v>2019</v>
      </c>
    </row>
    <row r="60" spans="1:18">
      <c r="A60" s="229">
        <v>43739</v>
      </c>
      <c r="B60" s="246" t="s">
        <v>813</v>
      </c>
      <c r="C60" s="99" t="s">
        <v>7</v>
      </c>
      <c r="D60" s="99"/>
      <c r="E60" s="99" t="s">
        <v>53</v>
      </c>
      <c r="F60" s="140">
        <v>5</v>
      </c>
      <c r="G60" s="140">
        <v>2.9</v>
      </c>
      <c r="H60" s="140">
        <v>2.1</v>
      </c>
      <c r="I60" s="123">
        <v>1.5</v>
      </c>
      <c r="J60" s="123">
        <v>1</v>
      </c>
      <c r="K60" s="145">
        <v>1</v>
      </c>
      <c r="L60" s="140">
        <v>5</v>
      </c>
      <c r="M60" s="140">
        <v>2.9</v>
      </c>
      <c r="N60" s="99"/>
      <c r="O60" s="140">
        <v>2.1</v>
      </c>
      <c r="P60" s="123">
        <v>1.5</v>
      </c>
      <c r="Q60" s="123">
        <v>1</v>
      </c>
      <c r="R60" s="233">
        <f>YEAR(Tableau4[[#This Row],[Date]])</f>
        <v>2019</v>
      </c>
    </row>
    <row r="61" spans="1:18">
      <c r="A61" s="229">
        <v>43678</v>
      </c>
      <c r="B61" s="244" t="s">
        <v>814</v>
      </c>
      <c r="C61" s="99" t="s">
        <v>7</v>
      </c>
      <c r="D61" s="99"/>
      <c r="E61" s="99">
        <v>50</v>
      </c>
      <c r="F61" s="140">
        <v>19.899999999999999</v>
      </c>
      <c r="G61" s="140">
        <v>13.3</v>
      </c>
      <c r="H61" s="140">
        <v>6.5999999999999979</v>
      </c>
      <c r="I61" s="123">
        <v>11</v>
      </c>
      <c r="J61" s="123">
        <v>9</v>
      </c>
      <c r="K61" s="145">
        <v>1</v>
      </c>
      <c r="L61" s="140">
        <v>19.899999999999999</v>
      </c>
      <c r="M61" s="140">
        <v>13.3</v>
      </c>
      <c r="N61" s="99"/>
      <c r="O61" s="140">
        <v>6.5999999999999979</v>
      </c>
      <c r="P61" s="123">
        <v>11</v>
      </c>
      <c r="Q61" s="123">
        <v>9</v>
      </c>
      <c r="R61" s="233">
        <f>YEAR(Tableau4[[#This Row],[Date]])</f>
        <v>2019</v>
      </c>
    </row>
    <row r="62" spans="1:18">
      <c r="A62" s="229">
        <v>43678</v>
      </c>
      <c r="B62" s="244" t="s">
        <v>814</v>
      </c>
      <c r="C62" s="99" t="s">
        <v>9</v>
      </c>
      <c r="D62" s="99"/>
      <c r="E62" s="99"/>
      <c r="F62" s="140">
        <v>14.9</v>
      </c>
      <c r="G62" s="140">
        <v>10.65</v>
      </c>
      <c r="H62" s="140">
        <v>4.25</v>
      </c>
      <c r="I62" s="123">
        <v>9</v>
      </c>
      <c r="J62" s="123">
        <v>5.5</v>
      </c>
      <c r="K62" s="145">
        <v>1</v>
      </c>
      <c r="L62" s="140">
        <v>14.9</v>
      </c>
      <c r="M62" s="140">
        <v>10.65</v>
      </c>
      <c r="N62" s="99"/>
      <c r="O62" s="140">
        <v>4.25</v>
      </c>
      <c r="P62" s="123">
        <v>10</v>
      </c>
      <c r="Q62" s="123">
        <v>5.5</v>
      </c>
      <c r="R62" s="233">
        <f>YEAR(Tableau4[[#This Row],[Date]])</f>
        <v>2019</v>
      </c>
    </row>
    <row r="63" spans="1:18">
      <c r="A63" s="229">
        <v>43556</v>
      </c>
      <c r="B63" s="245" t="s">
        <v>815</v>
      </c>
      <c r="C63" s="99" t="s">
        <v>7</v>
      </c>
      <c r="D63" s="99"/>
      <c r="E63" s="99">
        <v>10</v>
      </c>
      <c r="F63" s="140">
        <v>9.9</v>
      </c>
      <c r="G63" s="140">
        <v>6.9</v>
      </c>
      <c r="H63" s="140">
        <v>3</v>
      </c>
      <c r="I63" s="123">
        <v>4.5999999999999996</v>
      </c>
      <c r="J63" s="123">
        <v>2.9</v>
      </c>
      <c r="K63" s="145">
        <v>2</v>
      </c>
      <c r="L63" s="140">
        <v>19.8</v>
      </c>
      <c r="M63" s="140">
        <v>13.8</v>
      </c>
      <c r="N63" s="99"/>
      <c r="O63" s="140">
        <v>6</v>
      </c>
      <c r="P63" s="123">
        <v>9.1999999999999993</v>
      </c>
      <c r="Q63" s="123">
        <v>5.8</v>
      </c>
      <c r="R63" s="233">
        <f>YEAR(Tableau4[[#This Row],[Date]])</f>
        <v>2019</v>
      </c>
    </row>
    <row r="64" spans="1:18">
      <c r="A64" s="229">
        <v>43556</v>
      </c>
      <c r="B64" s="244" t="s">
        <v>815</v>
      </c>
      <c r="C64" s="99" t="s">
        <v>7</v>
      </c>
      <c r="D64" s="99"/>
      <c r="E64" s="99">
        <v>10</v>
      </c>
      <c r="F64" s="140">
        <v>9.9</v>
      </c>
      <c r="G64" s="140">
        <v>6.9</v>
      </c>
      <c r="H64" s="140">
        <v>3</v>
      </c>
      <c r="I64" s="123">
        <v>4.5999999999999996</v>
      </c>
      <c r="J64" s="123">
        <v>2.9</v>
      </c>
      <c r="K64" s="145">
        <v>1</v>
      </c>
      <c r="L64" s="140">
        <v>9.9</v>
      </c>
      <c r="M64" s="140">
        <v>6.9</v>
      </c>
      <c r="N64" s="99"/>
      <c r="O64" s="140">
        <v>3</v>
      </c>
      <c r="P64" s="123">
        <v>4.5999999999999996</v>
      </c>
      <c r="Q64" s="123">
        <v>2.9</v>
      </c>
      <c r="R64" s="233">
        <f>YEAR(Tableau4[[#This Row],[Date]])</f>
        <v>2019</v>
      </c>
    </row>
    <row r="65" spans="1:18">
      <c r="A65" s="229">
        <v>43556</v>
      </c>
      <c r="B65" s="244" t="s">
        <v>815</v>
      </c>
      <c r="C65" s="99" t="s">
        <v>9</v>
      </c>
      <c r="D65" s="99"/>
      <c r="E65" s="99"/>
      <c r="F65" s="140">
        <v>8.9</v>
      </c>
      <c r="G65" s="140">
        <v>6.35</v>
      </c>
      <c r="H65" s="140">
        <v>2.5500000000000007</v>
      </c>
      <c r="I65" s="123">
        <v>5</v>
      </c>
      <c r="J65" s="123">
        <v>2.67</v>
      </c>
      <c r="K65" s="145">
        <v>1</v>
      </c>
      <c r="L65" s="140">
        <v>8.9</v>
      </c>
      <c r="M65" s="140">
        <v>6.35</v>
      </c>
      <c r="N65" s="99"/>
      <c r="O65" s="140">
        <v>2.5500000000000007</v>
      </c>
      <c r="P65" s="123">
        <v>5</v>
      </c>
      <c r="Q65" s="123">
        <v>2.67</v>
      </c>
      <c r="R65" s="233">
        <f>YEAR(Tableau4[[#This Row],[Date]])</f>
        <v>2019</v>
      </c>
    </row>
    <row r="66" spans="1:18">
      <c r="A66" s="229">
        <v>43556</v>
      </c>
      <c r="B66" s="244" t="s">
        <v>815</v>
      </c>
      <c r="C66" s="99" t="s">
        <v>9</v>
      </c>
      <c r="D66" s="99"/>
      <c r="E66" s="99"/>
      <c r="F66" s="140">
        <v>14.9</v>
      </c>
      <c r="G66" s="140">
        <v>10.65</v>
      </c>
      <c r="H66" s="140">
        <v>4.25</v>
      </c>
      <c r="I66" s="123">
        <v>9</v>
      </c>
      <c r="J66" s="123">
        <v>5.5</v>
      </c>
      <c r="K66" s="145">
        <v>1</v>
      </c>
      <c r="L66" s="140">
        <v>14.9</v>
      </c>
      <c r="M66" s="140">
        <v>10.65</v>
      </c>
      <c r="N66" s="99"/>
      <c r="O66" s="140">
        <v>4.25</v>
      </c>
      <c r="P66" s="123">
        <v>9</v>
      </c>
      <c r="Q66" s="123">
        <v>5.5</v>
      </c>
      <c r="R66" s="233">
        <f>YEAR(Tableau4[[#This Row],[Date]])</f>
        <v>2019</v>
      </c>
    </row>
    <row r="67" spans="1:18">
      <c r="A67" s="229">
        <v>43647</v>
      </c>
      <c r="B67" s="244" t="s">
        <v>815</v>
      </c>
      <c r="C67" s="99" t="s">
        <v>58</v>
      </c>
      <c r="D67" s="99"/>
      <c r="E67" s="99"/>
      <c r="F67" s="140">
        <v>21</v>
      </c>
      <c r="G67" s="140">
        <v>15</v>
      </c>
      <c r="H67" s="140">
        <v>6</v>
      </c>
      <c r="I67" s="123">
        <v>11.5</v>
      </c>
      <c r="J67" s="123">
        <v>12.61</v>
      </c>
      <c r="K67" s="145">
        <v>1</v>
      </c>
      <c r="L67" s="140">
        <v>21</v>
      </c>
      <c r="M67" s="140">
        <v>15</v>
      </c>
      <c r="N67" s="99"/>
      <c r="O67" s="140">
        <v>6</v>
      </c>
      <c r="P67" s="123">
        <v>11.5</v>
      </c>
      <c r="Q67" s="123">
        <v>12.61</v>
      </c>
      <c r="R67" s="233">
        <f>YEAR(Tableau4[[#This Row],[Date]])</f>
        <v>2019</v>
      </c>
    </row>
    <row r="68" spans="1:18">
      <c r="A68" s="229">
        <v>43709</v>
      </c>
      <c r="B68" s="244" t="s">
        <v>815</v>
      </c>
      <c r="C68" s="99" t="s">
        <v>7</v>
      </c>
      <c r="D68" s="99"/>
      <c r="E68" s="99" t="s">
        <v>53</v>
      </c>
      <c r="F68" s="140">
        <v>5</v>
      </c>
      <c r="G68" s="140">
        <v>2.9</v>
      </c>
      <c r="H68" s="140">
        <v>2.1</v>
      </c>
      <c r="I68" s="123">
        <v>1.5</v>
      </c>
      <c r="J68" s="123">
        <v>1</v>
      </c>
      <c r="K68" s="145">
        <v>1</v>
      </c>
      <c r="L68" s="140">
        <v>5</v>
      </c>
      <c r="M68" s="140">
        <v>2.9</v>
      </c>
      <c r="N68" s="99"/>
      <c r="O68" s="140">
        <v>2.1</v>
      </c>
      <c r="P68" s="123">
        <v>1.5</v>
      </c>
      <c r="Q68" s="123">
        <v>1</v>
      </c>
      <c r="R68" s="233">
        <f>YEAR(Tableau4[[#This Row],[Date]])</f>
        <v>2019</v>
      </c>
    </row>
    <row r="69" spans="1:18">
      <c r="A69" s="229">
        <v>43709</v>
      </c>
      <c r="B69" s="244" t="s">
        <v>815</v>
      </c>
      <c r="C69" s="99" t="s">
        <v>7</v>
      </c>
      <c r="D69" s="99"/>
      <c r="E69" s="99" t="s">
        <v>53</v>
      </c>
      <c r="F69" s="140">
        <v>5</v>
      </c>
      <c r="G69" s="140">
        <v>2.9</v>
      </c>
      <c r="H69" s="140">
        <v>2.1</v>
      </c>
      <c r="I69" s="123">
        <v>1.5</v>
      </c>
      <c r="J69" s="123">
        <v>1</v>
      </c>
      <c r="K69" s="145">
        <v>1</v>
      </c>
      <c r="L69" s="140">
        <v>5</v>
      </c>
      <c r="M69" s="140">
        <v>2.9</v>
      </c>
      <c r="N69" s="99"/>
      <c r="O69" s="140">
        <v>2.1</v>
      </c>
      <c r="P69" s="123">
        <v>1.5</v>
      </c>
      <c r="Q69" s="123">
        <v>1</v>
      </c>
      <c r="R69" s="233">
        <f>YEAR(Tableau4[[#This Row],[Date]])</f>
        <v>2019</v>
      </c>
    </row>
    <row r="70" spans="1:18">
      <c r="A70" s="229">
        <v>43709</v>
      </c>
      <c r="B70" s="244" t="s">
        <v>815</v>
      </c>
      <c r="C70" s="99" t="s">
        <v>7</v>
      </c>
      <c r="D70" s="99"/>
      <c r="E70" s="99" t="s">
        <v>53</v>
      </c>
      <c r="F70" s="140">
        <v>5</v>
      </c>
      <c r="G70" s="140">
        <v>2.9</v>
      </c>
      <c r="H70" s="140">
        <v>2.1</v>
      </c>
      <c r="I70" s="123">
        <v>1.5</v>
      </c>
      <c r="J70" s="123">
        <v>1</v>
      </c>
      <c r="K70" s="145">
        <v>1</v>
      </c>
      <c r="L70" s="140">
        <v>5</v>
      </c>
      <c r="M70" s="140">
        <v>2.9</v>
      </c>
      <c r="N70" s="99"/>
      <c r="O70" s="140">
        <v>2.1</v>
      </c>
      <c r="P70" s="123">
        <v>1.5</v>
      </c>
      <c r="Q70" s="123">
        <v>1</v>
      </c>
      <c r="R70" s="233">
        <f>YEAR(Tableau4[[#This Row],[Date]])</f>
        <v>2019</v>
      </c>
    </row>
    <row r="71" spans="1:18">
      <c r="A71" s="229">
        <v>43709</v>
      </c>
      <c r="B71" s="244" t="s">
        <v>815</v>
      </c>
      <c r="C71" s="99" t="s">
        <v>7</v>
      </c>
      <c r="D71" s="99"/>
      <c r="E71" s="99" t="s">
        <v>53</v>
      </c>
      <c r="F71" s="140">
        <v>5</v>
      </c>
      <c r="G71" s="140">
        <v>2.9</v>
      </c>
      <c r="H71" s="140">
        <v>2.1</v>
      </c>
      <c r="I71" s="123">
        <v>1.5</v>
      </c>
      <c r="J71" s="123">
        <v>1</v>
      </c>
      <c r="K71" s="145">
        <v>1</v>
      </c>
      <c r="L71" s="140">
        <v>5</v>
      </c>
      <c r="M71" s="140">
        <v>2.9</v>
      </c>
      <c r="N71" s="99"/>
      <c r="O71" s="140">
        <v>2.1</v>
      </c>
      <c r="P71" s="123">
        <v>1.5</v>
      </c>
      <c r="Q71" s="123">
        <v>1</v>
      </c>
      <c r="R71" s="233">
        <f>YEAR(Tableau4[[#This Row],[Date]])</f>
        <v>2019</v>
      </c>
    </row>
    <row r="72" spans="1:18">
      <c r="A72" s="229">
        <v>43709</v>
      </c>
      <c r="B72" s="244" t="s">
        <v>815</v>
      </c>
      <c r="C72" s="99" t="s">
        <v>7</v>
      </c>
      <c r="D72" s="99"/>
      <c r="E72" s="99" t="s">
        <v>53</v>
      </c>
      <c r="F72" s="140">
        <v>5</v>
      </c>
      <c r="G72" s="140">
        <v>2.9</v>
      </c>
      <c r="H72" s="140">
        <v>2.1</v>
      </c>
      <c r="I72" s="123">
        <v>1.5</v>
      </c>
      <c r="J72" s="123">
        <v>1</v>
      </c>
      <c r="K72" s="145">
        <v>1</v>
      </c>
      <c r="L72" s="140">
        <v>5</v>
      </c>
      <c r="M72" s="140">
        <v>2.9</v>
      </c>
      <c r="N72" s="99"/>
      <c r="O72" s="140">
        <v>2.1</v>
      </c>
      <c r="P72" s="123">
        <v>1.5</v>
      </c>
      <c r="Q72" s="123">
        <v>1</v>
      </c>
      <c r="R72" s="233">
        <f>YEAR(Tableau4[[#This Row],[Date]])</f>
        <v>2019</v>
      </c>
    </row>
    <row r="73" spans="1:18">
      <c r="A73" s="229">
        <v>43709</v>
      </c>
      <c r="B73" s="244" t="s">
        <v>815</v>
      </c>
      <c r="C73" s="99" t="s">
        <v>9</v>
      </c>
      <c r="D73" s="99"/>
      <c r="E73" s="99"/>
      <c r="F73" s="140">
        <v>20.5</v>
      </c>
      <c r="G73" s="140">
        <v>14.6</v>
      </c>
      <c r="H73" s="140">
        <v>5.9</v>
      </c>
      <c r="I73" s="123">
        <v>11.5</v>
      </c>
      <c r="J73" s="123">
        <v>12.27</v>
      </c>
      <c r="K73" s="145">
        <v>1</v>
      </c>
      <c r="L73" s="140">
        <v>20.5</v>
      </c>
      <c r="M73" s="140">
        <v>14.6</v>
      </c>
      <c r="N73" s="99"/>
      <c r="O73" s="140">
        <v>5.9</v>
      </c>
      <c r="P73" s="123">
        <v>12.5</v>
      </c>
      <c r="Q73" s="123">
        <v>12.27</v>
      </c>
      <c r="R73" s="233">
        <f>YEAR(Tableau4[[#This Row],[Date]])</f>
        <v>2019</v>
      </c>
    </row>
    <row r="74" spans="1:18">
      <c r="A74" s="229">
        <v>43770</v>
      </c>
      <c r="B74" s="244" t="s">
        <v>815</v>
      </c>
      <c r="C74" s="99" t="s">
        <v>51</v>
      </c>
      <c r="D74" s="99"/>
      <c r="E74" s="99"/>
      <c r="F74" s="140">
        <v>35</v>
      </c>
      <c r="G74" s="140">
        <v>19.899999999999999</v>
      </c>
      <c r="H74" s="140">
        <v>15.100000000000001</v>
      </c>
      <c r="I74" s="123">
        <v>22.5</v>
      </c>
      <c r="J74" s="123">
        <v>14</v>
      </c>
      <c r="K74" s="145">
        <v>1</v>
      </c>
      <c r="L74" s="140">
        <v>35</v>
      </c>
      <c r="M74" s="140">
        <v>19.899999999999999</v>
      </c>
      <c r="N74" s="99"/>
      <c r="O74" s="140">
        <v>15.100000000000001</v>
      </c>
      <c r="P74" s="123">
        <v>22.5</v>
      </c>
      <c r="Q74" s="123">
        <v>14</v>
      </c>
      <c r="R74" s="233">
        <f>YEAR(Tableau4[[#This Row],[Date]])</f>
        <v>2019</v>
      </c>
    </row>
    <row r="75" spans="1:18">
      <c r="A75" s="229">
        <v>43800</v>
      </c>
      <c r="B75" s="244" t="s">
        <v>816</v>
      </c>
      <c r="C75" s="99" t="s">
        <v>51</v>
      </c>
      <c r="D75" s="99"/>
      <c r="E75" s="99"/>
      <c r="F75" s="140">
        <v>15</v>
      </c>
      <c r="G75" s="140">
        <v>5.8</v>
      </c>
      <c r="H75" s="140">
        <v>9.1999999999999993</v>
      </c>
      <c r="I75" s="123">
        <v>4</v>
      </c>
      <c r="J75" s="123">
        <v>3</v>
      </c>
      <c r="K75" s="145">
        <v>1</v>
      </c>
      <c r="L75" s="140">
        <v>15</v>
      </c>
      <c r="M75" s="140">
        <v>5.8</v>
      </c>
      <c r="N75" s="99"/>
      <c r="O75" s="140">
        <v>9.1999999999999993</v>
      </c>
      <c r="P75" s="123">
        <v>4</v>
      </c>
      <c r="Q75" s="123">
        <v>3</v>
      </c>
      <c r="R75" s="233">
        <f>YEAR(Tableau4[[#This Row],[Date]])</f>
        <v>2019</v>
      </c>
    </row>
    <row r="76" spans="1:18">
      <c r="A76" s="229">
        <v>43800</v>
      </c>
      <c r="B76" s="246" t="s">
        <v>817</v>
      </c>
      <c r="C76" s="99" t="s">
        <v>7</v>
      </c>
      <c r="D76" s="99"/>
      <c r="E76" s="99">
        <v>100</v>
      </c>
      <c r="F76" s="140">
        <v>32.9</v>
      </c>
      <c r="G76" s="140">
        <v>21.9</v>
      </c>
      <c r="H76" s="140">
        <v>11</v>
      </c>
      <c r="I76" s="123">
        <v>18</v>
      </c>
      <c r="J76" s="123">
        <v>16.55</v>
      </c>
      <c r="K76" s="145">
        <v>1</v>
      </c>
      <c r="L76" s="140">
        <v>30</v>
      </c>
      <c r="M76" s="140">
        <v>21.9</v>
      </c>
      <c r="N76" s="99">
        <v>2.9</v>
      </c>
      <c r="O76" s="140">
        <v>8.1000000000000014</v>
      </c>
      <c r="P76" s="123">
        <v>18</v>
      </c>
      <c r="Q76" s="123">
        <v>16.55</v>
      </c>
      <c r="R76" s="233">
        <f>YEAR(Tableau4[[#This Row],[Date]])</f>
        <v>2019</v>
      </c>
    </row>
    <row r="77" spans="1:18">
      <c r="A77" s="229">
        <v>43739</v>
      </c>
      <c r="B77" s="244" t="s">
        <v>818</v>
      </c>
      <c r="C77" s="99" t="s">
        <v>7</v>
      </c>
      <c r="D77" s="99"/>
      <c r="E77" s="99">
        <v>100</v>
      </c>
      <c r="F77" s="140">
        <v>29.9</v>
      </c>
      <c r="G77" s="140">
        <v>19.899999999999999</v>
      </c>
      <c r="H77" s="140">
        <v>10</v>
      </c>
      <c r="I77" s="123">
        <v>16</v>
      </c>
      <c r="J77" s="123">
        <v>16.55</v>
      </c>
      <c r="K77" s="145">
        <v>1</v>
      </c>
      <c r="L77" s="140">
        <v>29.9</v>
      </c>
      <c r="M77" s="140">
        <v>19.899999999999999</v>
      </c>
      <c r="N77" s="99"/>
      <c r="O77" s="140">
        <v>10</v>
      </c>
      <c r="P77" s="123">
        <v>16</v>
      </c>
      <c r="Q77" s="123">
        <v>16.55</v>
      </c>
      <c r="R77" s="233">
        <f>YEAR(Tableau4[[#This Row],[Date]])</f>
        <v>2019</v>
      </c>
    </row>
    <row r="78" spans="1:18">
      <c r="A78" s="229">
        <v>43739</v>
      </c>
      <c r="B78" s="244" t="s">
        <v>818</v>
      </c>
      <c r="C78" s="99" t="s">
        <v>7</v>
      </c>
      <c r="D78" s="99"/>
      <c r="E78" s="99">
        <v>100</v>
      </c>
      <c r="F78" s="140">
        <v>29.9</v>
      </c>
      <c r="G78" s="140">
        <v>19.899999999999999</v>
      </c>
      <c r="H78" s="140">
        <v>10</v>
      </c>
      <c r="I78" s="123">
        <v>16</v>
      </c>
      <c r="J78" s="123">
        <v>16.55</v>
      </c>
      <c r="K78" s="145">
        <v>1</v>
      </c>
      <c r="L78" s="140">
        <v>29.9</v>
      </c>
      <c r="M78" s="140">
        <v>19.899999999999999</v>
      </c>
      <c r="N78" s="99"/>
      <c r="O78" s="140">
        <v>10</v>
      </c>
      <c r="P78" s="123">
        <v>16</v>
      </c>
      <c r="Q78" s="123">
        <v>16.55</v>
      </c>
      <c r="R78" s="233">
        <f>YEAR(Tableau4[[#This Row],[Date]])</f>
        <v>2019</v>
      </c>
    </row>
    <row r="79" spans="1:18">
      <c r="A79" s="229">
        <v>43556</v>
      </c>
      <c r="B79" s="244" t="s">
        <v>819</v>
      </c>
      <c r="C79" s="99" t="s">
        <v>7</v>
      </c>
      <c r="D79" s="99"/>
      <c r="E79" s="99">
        <v>50</v>
      </c>
      <c r="F79" s="140">
        <v>19.899999999999999</v>
      </c>
      <c r="G79" s="140">
        <v>13.3</v>
      </c>
      <c r="H79" s="140">
        <v>6.5999999999999979</v>
      </c>
      <c r="I79" s="123">
        <v>11</v>
      </c>
      <c r="J79" s="123">
        <v>9</v>
      </c>
      <c r="K79" s="145">
        <v>1</v>
      </c>
      <c r="L79" s="140">
        <v>19.899999999999999</v>
      </c>
      <c r="M79" s="140">
        <v>13.3</v>
      </c>
      <c r="N79" s="99"/>
      <c r="O79" s="140">
        <v>6.5999999999999979</v>
      </c>
      <c r="P79" s="123">
        <v>11</v>
      </c>
      <c r="Q79" s="123">
        <v>9</v>
      </c>
      <c r="R79" s="233">
        <f>YEAR(Tableau4[[#This Row],[Date]])</f>
        <v>2019</v>
      </c>
    </row>
    <row r="80" spans="1:18">
      <c r="A80" s="229">
        <v>43709</v>
      </c>
      <c r="B80" s="245" t="s">
        <v>820</v>
      </c>
      <c r="C80" s="99" t="s">
        <v>7</v>
      </c>
      <c r="D80" s="244"/>
      <c r="E80" s="99" t="s">
        <v>53</v>
      </c>
      <c r="F80" s="140">
        <v>5</v>
      </c>
      <c r="G80" s="140">
        <v>2.9</v>
      </c>
      <c r="H80" s="140">
        <v>2.1</v>
      </c>
      <c r="I80" s="123">
        <v>1.5</v>
      </c>
      <c r="J80" s="123">
        <v>1</v>
      </c>
      <c r="K80" s="145">
        <v>1</v>
      </c>
      <c r="L80" s="140">
        <v>5</v>
      </c>
      <c r="M80" s="140">
        <v>2.9</v>
      </c>
      <c r="N80" s="99"/>
      <c r="O80" s="140">
        <v>2.1</v>
      </c>
      <c r="P80" s="123">
        <v>1.5</v>
      </c>
      <c r="Q80" s="123">
        <v>1</v>
      </c>
      <c r="R80" s="233">
        <f>YEAR(Tableau4[[#This Row],[Date]])</f>
        <v>2019</v>
      </c>
    </row>
    <row r="81" spans="1:18">
      <c r="A81" s="229">
        <v>43709</v>
      </c>
      <c r="B81" s="244" t="s">
        <v>820</v>
      </c>
      <c r="C81" s="99" t="s">
        <v>9</v>
      </c>
      <c r="D81" s="99"/>
      <c r="E81" s="99"/>
      <c r="F81" s="140">
        <v>22.9</v>
      </c>
      <c r="G81" s="140">
        <v>16.350000000000001</v>
      </c>
      <c r="H81" s="140">
        <v>6.5499999999999972</v>
      </c>
      <c r="I81" s="123">
        <v>13.5</v>
      </c>
      <c r="J81" s="123">
        <v>13.74</v>
      </c>
      <c r="K81" s="145">
        <v>1</v>
      </c>
      <c r="L81" s="140">
        <v>22.9</v>
      </c>
      <c r="M81" s="140">
        <v>16.350000000000001</v>
      </c>
      <c r="N81" s="99"/>
      <c r="O81" s="140">
        <v>6.5499999999999972</v>
      </c>
      <c r="P81" s="123">
        <v>13.5</v>
      </c>
      <c r="Q81" s="123">
        <v>13.74</v>
      </c>
      <c r="R81" s="233">
        <f>YEAR(Tableau4[[#This Row],[Date]])</f>
        <v>2019</v>
      </c>
    </row>
    <row r="82" spans="1:18">
      <c r="A82" s="229">
        <v>43709</v>
      </c>
      <c r="B82" s="244" t="s">
        <v>820</v>
      </c>
      <c r="C82" s="99" t="s">
        <v>9</v>
      </c>
      <c r="D82" s="99"/>
      <c r="E82" s="99"/>
      <c r="F82" s="140">
        <v>20.5</v>
      </c>
      <c r="G82" s="140">
        <v>14.6</v>
      </c>
      <c r="H82" s="140">
        <v>5.9</v>
      </c>
      <c r="I82" s="123">
        <v>11.5</v>
      </c>
      <c r="J82" s="123">
        <v>12.27</v>
      </c>
      <c r="K82" s="145">
        <v>1</v>
      </c>
      <c r="L82" s="140">
        <v>20.5</v>
      </c>
      <c r="M82" s="140">
        <v>14.6</v>
      </c>
      <c r="N82" s="99"/>
      <c r="O82" s="140">
        <v>5.9</v>
      </c>
      <c r="P82" s="123">
        <v>12.5</v>
      </c>
      <c r="Q82" s="123">
        <v>12.27</v>
      </c>
      <c r="R82" s="233">
        <f>YEAR(Tableau4[[#This Row],[Date]])</f>
        <v>2019</v>
      </c>
    </row>
    <row r="83" spans="1:18">
      <c r="A83" s="229">
        <v>43709</v>
      </c>
      <c r="B83" s="244" t="s">
        <v>820</v>
      </c>
      <c r="C83" s="99" t="s">
        <v>9</v>
      </c>
      <c r="D83" s="99"/>
      <c r="E83" s="99"/>
      <c r="F83" s="140">
        <v>14.9</v>
      </c>
      <c r="G83" s="140">
        <v>10.65</v>
      </c>
      <c r="H83" s="140">
        <v>4.25</v>
      </c>
      <c r="I83" s="123">
        <v>9</v>
      </c>
      <c r="J83" s="123">
        <v>5.5</v>
      </c>
      <c r="K83" s="145">
        <v>1</v>
      </c>
      <c r="L83" s="140">
        <v>14.9</v>
      </c>
      <c r="M83" s="140">
        <v>10.65</v>
      </c>
      <c r="N83" s="99"/>
      <c r="O83" s="140">
        <v>4.25</v>
      </c>
      <c r="P83" s="123">
        <v>10</v>
      </c>
      <c r="Q83" s="123">
        <v>5.5</v>
      </c>
      <c r="R83" s="233">
        <f>YEAR(Tableau4[[#This Row],[Date]])</f>
        <v>2019</v>
      </c>
    </row>
    <row r="84" spans="1:18">
      <c r="A84" s="229">
        <v>43739</v>
      </c>
      <c r="B84" s="244" t="s">
        <v>820</v>
      </c>
      <c r="C84" s="99" t="s">
        <v>7</v>
      </c>
      <c r="D84" s="99"/>
      <c r="E84" s="99" t="s">
        <v>53</v>
      </c>
      <c r="F84" s="140">
        <v>5</v>
      </c>
      <c r="G84" s="140">
        <v>2.9</v>
      </c>
      <c r="H84" s="140">
        <v>2.1</v>
      </c>
      <c r="I84" s="123">
        <v>1.5</v>
      </c>
      <c r="J84" s="123">
        <v>1</v>
      </c>
      <c r="K84" s="145">
        <v>1</v>
      </c>
      <c r="L84" s="140">
        <v>5</v>
      </c>
      <c r="M84" s="140">
        <v>2.9</v>
      </c>
      <c r="N84" s="99"/>
      <c r="O84" s="140">
        <v>2.1</v>
      </c>
      <c r="P84" s="123">
        <v>1.5</v>
      </c>
      <c r="Q84" s="123">
        <v>1</v>
      </c>
      <c r="R84" s="233">
        <f>YEAR(Tableau4[[#This Row],[Date]])</f>
        <v>2019</v>
      </c>
    </row>
    <row r="85" spans="1:18">
      <c r="A85" s="229">
        <v>43647</v>
      </c>
      <c r="B85" s="244" t="s">
        <v>821</v>
      </c>
      <c r="C85" s="99" t="s">
        <v>9</v>
      </c>
      <c r="D85" s="99"/>
      <c r="E85" s="99"/>
      <c r="F85" s="140">
        <v>14.9</v>
      </c>
      <c r="G85" s="140">
        <v>10.65</v>
      </c>
      <c r="H85" s="140">
        <v>4.25</v>
      </c>
      <c r="I85" s="123">
        <v>9</v>
      </c>
      <c r="J85" s="123">
        <v>5.5</v>
      </c>
      <c r="K85" s="145">
        <v>1</v>
      </c>
      <c r="L85" s="140">
        <v>14.9</v>
      </c>
      <c r="M85" s="140">
        <v>10.65</v>
      </c>
      <c r="N85" s="99"/>
      <c r="O85" s="140">
        <v>4.25</v>
      </c>
      <c r="P85" s="123">
        <v>10</v>
      </c>
      <c r="Q85" s="123">
        <v>5.5</v>
      </c>
      <c r="R85" s="233">
        <f>YEAR(Tableau4[[#This Row],[Date]])</f>
        <v>2019</v>
      </c>
    </row>
    <row r="86" spans="1:18">
      <c r="A86" s="229">
        <v>43739</v>
      </c>
      <c r="B86" s="244" t="s">
        <v>821</v>
      </c>
      <c r="C86" s="99" t="s">
        <v>7</v>
      </c>
      <c r="D86" s="99"/>
      <c r="E86" s="99">
        <v>100</v>
      </c>
      <c r="F86" s="140">
        <v>29.9</v>
      </c>
      <c r="G86" s="140">
        <v>19.899999999999999</v>
      </c>
      <c r="H86" s="140">
        <v>10</v>
      </c>
      <c r="I86" s="123">
        <v>16</v>
      </c>
      <c r="J86" s="123">
        <v>16.55</v>
      </c>
      <c r="K86" s="145">
        <v>1</v>
      </c>
      <c r="L86" s="140">
        <v>29.9</v>
      </c>
      <c r="M86" s="140">
        <v>19.899999999999999</v>
      </c>
      <c r="N86" s="99"/>
      <c r="O86" s="140">
        <v>10</v>
      </c>
      <c r="P86" s="123">
        <v>16</v>
      </c>
      <c r="Q86" s="123">
        <v>16.55</v>
      </c>
      <c r="R86" s="233">
        <f>YEAR(Tableau4[[#This Row],[Date]])</f>
        <v>2019</v>
      </c>
    </row>
    <row r="87" spans="1:18">
      <c r="A87" s="229">
        <v>43739</v>
      </c>
      <c r="B87" s="244" t="s">
        <v>821</v>
      </c>
      <c r="C87" s="99" t="s">
        <v>7</v>
      </c>
      <c r="D87" s="99"/>
      <c r="E87" s="99">
        <v>100</v>
      </c>
      <c r="F87" s="140">
        <v>29.9</v>
      </c>
      <c r="G87" s="140">
        <v>19.899999999999999</v>
      </c>
      <c r="H87" s="140">
        <v>10</v>
      </c>
      <c r="I87" s="123">
        <v>16</v>
      </c>
      <c r="J87" s="123">
        <v>16.55</v>
      </c>
      <c r="K87" s="145">
        <v>1</v>
      </c>
      <c r="L87" s="140">
        <v>29.9</v>
      </c>
      <c r="M87" s="140">
        <v>19.899999999999999</v>
      </c>
      <c r="N87" s="99"/>
      <c r="O87" s="140">
        <v>10</v>
      </c>
      <c r="P87" s="123">
        <v>16</v>
      </c>
      <c r="Q87" s="123">
        <v>16.55</v>
      </c>
      <c r="R87" s="233">
        <f>YEAR(Tableau4[[#This Row],[Date]])</f>
        <v>2019</v>
      </c>
    </row>
    <row r="88" spans="1:18">
      <c r="A88" s="229">
        <v>43556</v>
      </c>
      <c r="B88" s="244" t="s">
        <v>822</v>
      </c>
      <c r="C88" s="99" t="s">
        <v>7</v>
      </c>
      <c r="D88" s="99"/>
      <c r="E88" s="99">
        <v>100</v>
      </c>
      <c r="F88" s="140">
        <v>29.9</v>
      </c>
      <c r="G88" s="140">
        <v>19.899999999999999</v>
      </c>
      <c r="H88" s="140">
        <v>10</v>
      </c>
      <c r="I88" s="123">
        <v>16</v>
      </c>
      <c r="J88" s="123">
        <v>16.55</v>
      </c>
      <c r="K88" s="145">
        <v>1</v>
      </c>
      <c r="L88" s="140">
        <v>29.9</v>
      </c>
      <c r="M88" s="140">
        <v>19.899999999999999</v>
      </c>
      <c r="N88" s="99"/>
      <c r="O88" s="140">
        <v>10</v>
      </c>
      <c r="P88" s="123">
        <v>16</v>
      </c>
      <c r="Q88" s="123">
        <v>16.55</v>
      </c>
      <c r="R88" s="233">
        <f>YEAR(Tableau4[[#This Row],[Date]])</f>
        <v>2019</v>
      </c>
    </row>
    <row r="89" spans="1:18">
      <c r="A89" s="229">
        <v>43586</v>
      </c>
      <c r="B89" s="244" t="s">
        <v>822</v>
      </c>
      <c r="C89" s="99" t="s">
        <v>9</v>
      </c>
      <c r="D89" s="99"/>
      <c r="E89" s="99"/>
      <c r="F89" s="140">
        <v>10.9</v>
      </c>
      <c r="G89" s="140">
        <v>7.8</v>
      </c>
      <c r="H89" s="140">
        <v>3.1000000000000005</v>
      </c>
      <c r="I89" s="123">
        <v>6</v>
      </c>
      <c r="J89" s="123">
        <v>3.28</v>
      </c>
      <c r="K89" s="145">
        <v>1</v>
      </c>
      <c r="L89" s="140">
        <v>10.9</v>
      </c>
      <c r="M89" s="140">
        <v>7.8</v>
      </c>
      <c r="N89" s="99"/>
      <c r="O89" s="140">
        <v>3.1000000000000005</v>
      </c>
      <c r="P89" s="123">
        <v>8</v>
      </c>
      <c r="Q89" s="123">
        <v>3.28</v>
      </c>
      <c r="R89" s="233">
        <f>YEAR(Tableau4[[#This Row],[Date]])</f>
        <v>2019</v>
      </c>
    </row>
    <row r="90" spans="1:18">
      <c r="A90" s="247">
        <v>43831</v>
      </c>
      <c r="B90" s="244" t="s">
        <v>822</v>
      </c>
      <c r="C90" s="99" t="s">
        <v>58</v>
      </c>
      <c r="D90" s="99"/>
      <c r="E90" s="99"/>
      <c r="F90" s="140">
        <v>21</v>
      </c>
      <c r="G90" s="140">
        <v>15</v>
      </c>
      <c r="H90" s="140">
        <v>6</v>
      </c>
      <c r="I90" s="123">
        <v>11.5</v>
      </c>
      <c r="J90" s="123">
        <v>12.61</v>
      </c>
      <c r="K90" s="145">
        <v>1</v>
      </c>
      <c r="L90" s="140">
        <v>21</v>
      </c>
      <c r="M90" s="140">
        <v>15</v>
      </c>
      <c r="N90" s="99"/>
      <c r="O90" s="140">
        <v>6</v>
      </c>
      <c r="P90" s="123">
        <v>11.5</v>
      </c>
      <c r="Q90" s="123">
        <v>12.61</v>
      </c>
      <c r="R90" s="233">
        <f>YEAR(Tableau4[[#This Row],[Date]])</f>
        <v>2020</v>
      </c>
    </row>
    <row r="91" spans="1:18">
      <c r="A91" s="229">
        <v>43800</v>
      </c>
      <c r="B91" s="244" t="s">
        <v>823</v>
      </c>
      <c r="C91" s="99" t="s">
        <v>7</v>
      </c>
      <c r="D91" s="99"/>
      <c r="E91" s="99">
        <v>100</v>
      </c>
      <c r="F91" s="140">
        <v>32.9</v>
      </c>
      <c r="G91" s="140">
        <v>21.9</v>
      </c>
      <c r="H91" s="140">
        <v>11</v>
      </c>
      <c r="I91" s="123">
        <v>18</v>
      </c>
      <c r="J91" s="123">
        <v>16.55</v>
      </c>
      <c r="K91" s="145">
        <v>1</v>
      </c>
      <c r="L91" s="140">
        <v>23</v>
      </c>
      <c r="M91" s="140">
        <v>21.9</v>
      </c>
      <c r="N91" s="99">
        <v>9.9</v>
      </c>
      <c r="O91" s="140">
        <v>1.1000000000000014</v>
      </c>
      <c r="P91" s="123">
        <v>18</v>
      </c>
      <c r="Q91" s="123">
        <v>16.55</v>
      </c>
      <c r="R91" s="233">
        <f>YEAR(Tableau4[[#This Row],[Date]])</f>
        <v>2019</v>
      </c>
    </row>
    <row r="92" spans="1:18">
      <c r="A92" s="229">
        <v>43770</v>
      </c>
      <c r="B92" s="244" t="s">
        <v>824</v>
      </c>
      <c r="C92" s="99" t="s">
        <v>7</v>
      </c>
      <c r="D92" s="99"/>
      <c r="E92" s="99">
        <v>50</v>
      </c>
      <c r="F92" s="140">
        <v>19.899999999999999</v>
      </c>
      <c r="G92" s="140">
        <v>13.3</v>
      </c>
      <c r="H92" s="140">
        <v>6.5999999999999979</v>
      </c>
      <c r="I92" s="123">
        <v>11</v>
      </c>
      <c r="J92" s="123">
        <v>9</v>
      </c>
      <c r="K92" s="145">
        <v>1</v>
      </c>
      <c r="L92" s="140">
        <v>19.899999999999999</v>
      </c>
      <c r="M92" s="140">
        <v>13.3</v>
      </c>
      <c r="N92" s="99"/>
      <c r="O92" s="140">
        <v>6.5999999999999979</v>
      </c>
      <c r="P92" s="123">
        <v>11</v>
      </c>
      <c r="Q92" s="123">
        <v>9</v>
      </c>
      <c r="R92" s="233">
        <f>YEAR(Tableau4[[#This Row],[Date]])</f>
        <v>2019</v>
      </c>
    </row>
    <row r="93" spans="1:18">
      <c r="A93" s="229">
        <v>43770</v>
      </c>
      <c r="B93" s="246" t="s">
        <v>825</v>
      </c>
      <c r="C93" s="99" t="s">
        <v>9</v>
      </c>
      <c r="D93" s="99"/>
      <c r="E93" s="99"/>
      <c r="F93" s="140">
        <v>11.9</v>
      </c>
      <c r="G93" s="140">
        <v>9</v>
      </c>
      <c r="H93" s="140">
        <v>2.9000000000000004</v>
      </c>
      <c r="I93" s="123">
        <v>6</v>
      </c>
      <c r="J93" s="123">
        <v>3.28</v>
      </c>
      <c r="K93" s="145">
        <v>1</v>
      </c>
      <c r="L93" s="140">
        <v>10.9</v>
      </c>
      <c r="M93" s="140">
        <v>9</v>
      </c>
      <c r="N93" s="99">
        <v>1</v>
      </c>
      <c r="O93" s="140">
        <v>1.9000000000000004</v>
      </c>
      <c r="P93" s="123">
        <v>8</v>
      </c>
      <c r="Q93" s="123">
        <v>3.28</v>
      </c>
      <c r="R93" s="233">
        <f>YEAR(Tableau4[[#This Row],[Date]])</f>
        <v>2019</v>
      </c>
    </row>
    <row r="94" spans="1:18">
      <c r="A94" s="229">
        <v>43770</v>
      </c>
      <c r="B94" s="244" t="s">
        <v>826</v>
      </c>
      <c r="C94" s="99" t="s">
        <v>9</v>
      </c>
      <c r="D94" s="99"/>
      <c r="E94" s="99"/>
      <c r="F94" s="140">
        <v>16.899999999999999</v>
      </c>
      <c r="G94" s="140">
        <v>12.7</v>
      </c>
      <c r="H94" s="140">
        <v>4.1999999999999993</v>
      </c>
      <c r="I94" s="123">
        <v>9</v>
      </c>
      <c r="J94" s="123">
        <v>5.5</v>
      </c>
      <c r="K94" s="145">
        <v>1</v>
      </c>
      <c r="L94" s="140">
        <v>16.899999999999999</v>
      </c>
      <c r="M94" s="140">
        <v>12.7</v>
      </c>
      <c r="N94" s="99"/>
      <c r="O94" s="140">
        <v>4.1999999999999993</v>
      </c>
      <c r="P94" s="123">
        <v>10</v>
      </c>
      <c r="Q94" s="123">
        <v>5.5</v>
      </c>
      <c r="R94" s="233">
        <f>YEAR(Tableau4[[#This Row],[Date]])</f>
        <v>2019</v>
      </c>
    </row>
    <row r="95" spans="1:18">
      <c r="A95" s="229">
        <v>43678</v>
      </c>
      <c r="B95" s="244" t="s">
        <v>827</v>
      </c>
      <c r="C95" s="99" t="s">
        <v>7</v>
      </c>
      <c r="D95" s="99"/>
      <c r="E95" s="99">
        <v>100</v>
      </c>
      <c r="F95" s="140">
        <v>29.9</v>
      </c>
      <c r="G95" s="140">
        <v>19.899999999999999</v>
      </c>
      <c r="H95" s="140">
        <v>10</v>
      </c>
      <c r="I95" s="123">
        <v>16</v>
      </c>
      <c r="J95" s="123">
        <v>16.55</v>
      </c>
      <c r="K95" s="145">
        <v>1</v>
      </c>
      <c r="L95" s="140">
        <v>29.9</v>
      </c>
      <c r="M95" s="140">
        <v>19.899999999999999</v>
      </c>
      <c r="N95" s="99"/>
      <c r="O95" s="140">
        <v>10</v>
      </c>
      <c r="P95" s="123">
        <v>16</v>
      </c>
      <c r="Q95" s="123">
        <v>16.55</v>
      </c>
      <c r="R95" s="233">
        <f>YEAR(Tableau4[[#This Row],[Date]])</f>
        <v>2019</v>
      </c>
    </row>
    <row r="96" spans="1:18">
      <c r="A96" s="229">
        <v>43678</v>
      </c>
      <c r="B96" s="244" t="s">
        <v>827</v>
      </c>
      <c r="C96" s="99" t="s">
        <v>7</v>
      </c>
      <c r="D96" s="99"/>
      <c r="E96" s="99">
        <v>100</v>
      </c>
      <c r="F96" s="140">
        <v>29.9</v>
      </c>
      <c r="G96" s="140">
        <v>19.899999999999999</v>
      </c>
      <c r="H96" s="140">
        <v>10</v>
      </c>
      <c r="I96" s="123">
        <v>16</v>
      </c>
      <c r="J96" s="123">
        <v>16.55</v>
      </c>
      <c r="K96" s="145">
        <v>1</v>
      </c>
      <c r="L96" s="140">
        <v>29.9</v>
      </c>
      <c r="M96" s="140">
        <v>19.899999999999999</v>
      </c>
      <c r="N96" s="99"/>
      <c r="O96" s="140">
        <v>10</v>
      </c>
      <c r="P96" s="123">
        <v>16</v>
      </c>
      <c r="Q96" s="123">
        <v>16.55</v>
      </c>
      <c r="R96" s="233">
        <f>YEAR(Tableau4[[#This Row],[Date]])</f>
        <v>2019</v>
      </c>
    </row>
    <row r="97" spans="1:18">
      <c r="A97" s="229">
        <v>43678</v>
      </c>
      <c r="B97" s="244" t="s">
        <v>827</v>
      </c>
      <c r="C97" s="99" t="s">
        <v>9</v>
      </c>
      <c r="D97" s="99"/>
      <c r="E97" s="99"/>
      <c r="F97" s="140">
        <v>14.9</v>
      </c>
      <c r="G97" s="140">
        <v>10.65</v>
      </c>
      <c r="H97" s="140">
        <v>4.25</v>
      </c>
      <c r="I97" s="123">
        <v>9</v>
      </c>
      <c r="J97" s="123">
        <v>5.5</v>
      </c>
      <c r="K97" s="145">
        <v>1</v>
      </c>
      <c r="L97" s="140">
        <v>14.9</v>
      </c>
      <c r="M97" s="140">
        <v>10.65</v>
      </c>
      <c r="N97" s="99"/>
      <c r="O97" s="140">
        <v>4.25</v>
      </c>
      <c r="P97" s="123">
        <v>10</v>
      </c>
      <c r="Q97" s="123">
        <v>5.5</v>
      </c>
      <c r="R97" s="233">
        <f>YEAR(Tableau4[[#This Row],[Date]])</f>
        <v>2019</v>
      </c>
    </row>
    <row r="98" spans="1:18">
      <c r="A98" s="229">
        <v>43739</v>
      </c>
      <c r="B98" s="244" t="s">
        <v>827</v>
      </c>
      <c r="C98" s="99" t="s">
        <v>7</v>
      </c>
      <c r="D98" s="99"/>
      <c r="E98" s="99">
        <v>100</v>
      </c>
      <c r="F98" s="140">
        <v>29.9</v>
      </c>
      <c r="G98" s="140">
        <v>19.899999999999999</v>
      </c>
      <c r="H98" s="140">
        <v>10</v>
      </c>
      <c r="I98" s="123">
        <v>16</v>
      </c>
      <c r="J98" s="123">
        <v>16.55</v>
      </c>
      <c r="K98" s="145">
        <v>1</v>
      </c>
      <c r="L98" s="140">
        <v>25</v>
      </c>
      <c r="M98" s="140">
        <v>19.899999999999999</v>
      </c>
      <c r="N98" s="99">
        <v>4.9000000000000004</v>
      </c>
      <c r="O98" s="140">
        <v>5.0999999999999996</v>
      </c>
      <c r="P98" s="123">
        <v>16</v>
      </c>
      <c r="Q98" s="123">
        <v>16.55</v>
      </c>
      <c r="R98" s="233">
        <f>YEAR(Tableau4[[#This Row],[Date]])</f>
        <v>2019</v>
      </c>
    </row>
    <row r="99" spans="1:18">
      <c r="A99" s="229">
        <v>43770</v>
      </c>
      <c r="B99" s="244" t="s">
        <v>828</v>
      </c>
      <c r="C99" s="99" t="s">
        <v>7</v>
      </c>
      <c r="D99" s="99"/>
      <c r="E99" s="99">
        <v>100</v>
      </c>
      <c r="F99" s="140">
        <v>32.9</v>
      </c>
      <c r="G99" s="140">
        <v>21.9</v>
      </c>
      <c r="H99" s="140">
        <v>11</v>
      </c>
      <c r="I99" s="123">
        <v>18</v>
      </c>
      <c r="J99" s="123">
        <v>16.55</v>
      </c>
      <c r="K99" s="145">
        <v>1</v>
      </c>
      <c r="L99" s="140">
        <v>32.9</v>
      </c>
      <c r="M99" s="140">
        <v>21.9</v>
      </c>
      <c r="N99" s="99"/>
      <c r="O99" s="140">
        <v>11</v>
      </c>
      <c r="P99" s="123">
        <v>18</v>
      </c>
      <c r="Q99" s="123">
        <v>16.55</v>
      </c>
      <c r="R99" s="233">
        <f>YEAR(Tableau4[[#This Row],[Date]])</f>
        <v>2019</v>
      </c>
    </row>
    <row r="100" spans="1:18">
      <c r="A100" s="247">
        <v>43862</v>
      </c>
      <c r="B100" s="244" t="s">
        <v>828</v>
      </c>
      <c r="C100" s="99" t="s">
        <v>7</v>
      </c>
      <c r="D100" s="99"/>
      <c r="E100" s="99" t="s">
        <v>76</v>
      </c>
      <c r="F100" s="140">
        <v>32.9</v>
      </c>
      <c r="G100" s="140">
        <v>21.9</v>
      </c>
      <c r="H100" s="140">
        <v>11</v>
      </c>
      <c r="I100" s="123">
        <v>18</v>
      </c>
      <c r="J100" s="123">
        <v>16.55</v>
      </c>
      <c r="K100" s="145">
        <v>1</v>
      </c>
      <c r="L100" s="140">
        <v>32.9</v>
      </c>
      <c r="M100" s="140">
        <v>21.9</v>
      </c>
      <c r="N100" s="99"/>
      <c r="O100" s="140">
        <v>11</v>
      </c>
      <c r="P100" s="123">
        <v>18</v>
      </c>
      <c r="Q100" s="123">
        <v>16.55</v>
      </c>
      <c r="R100" s="233">
        <f>YEAR(Tableau4[[#This Row],[Date]])</f>
        <v>2020</v>
      </c>
    </row>
    <row r="101" spans="1:18">
      <c r="A101" s="247">
        <v>43862</v>
      </c>
      <c r="B101" s="244" t="s">
        <v>828</v>
      </c>
      <c r="C101" s="99" t="s">
        <v>7</v>
      </c>
      <c r="D101" s="99"/>
      <c r="E101" s="99" t="s">
        <v>76</v>
      </c>
      <c r="F101" s="140">
        <v>32.9</v>
      </c>
      <c r="G101" s="140">
        <v>21.9</v>
      </c>
      <c r="H101" s="140">
        <v>11</v>
      </c>
      <c r="I101" s="123">
        <v>18</v>
      </c>
      <c r="J101" s="123">
        <v>16.55</v>
      </c>
      <c r="K101" s="145">
        <v>1</v>
      </c>
      <c r="L101" s="140">
        <v>32.9</v>
      </c>
      <c r="M101" s="140">
        <v>21.9</v>
      </c>
      <c r="N101" s="99"/>
      <c r="O101" s="140">
        <v>11</v>
      </c>
      <c r="P101" s="123">
        <v>18</v>
      </c>
      <c r="Q101" s="123">
        <v>16.55</v>
      </c>
      <c r="R101" s="233">
        <f>YEAR(Tableau4[[#This Row],[Date]])</f>
        <v>2020</v>
      </c>
    </row>
    <row r="102" spans="1:18">
      <c r="A102" s="247">
        <v>43862</v>
      </c>
      <c r="B102" s="244" t="s">
        <v>828</v>
      </c>
      <c r="C102" s="99" t="s">
        <v>7</v>
      </c>
      <c r="D102" s="99"/>
      <c r="E102" s="99" t="s">
        <v>76</v>
      </c>
      <c r="F102" s="140">
        <v>32.9</v>
      </c>
      <c r="G102" s="140">
        <v>21.9</v>
      </c>
      <c r="H102" s="140">
        <v>11</v>
      </c>
      <c r="I102" s="123">
        <v>18</v>
      </c>
      <c r="J102" s="123">
        <v>16.55</v>
      </c>
      <c r="K102" s="145">
        <v>1</v>
      </c>
      <c r="L102" s="140">
        <v>32.9</v>
      </c>
      <c r="M102" s="140">
        <v>21.9</v>
      </c>
      <c r="N102" s="99"/>
      <c r="O102" s="140">
        <v>11</v>
      </c>
      <c r="P102" s="123">
        <v>18</v>
      </c>
      <c r="Q102" s="123">
        <v>16.55</v>
      </c>
      <c r="R102" s="233">
        <f>YEAR(Tableau4[[#This Row],[Date]])</f>
        <v>2020</v>
      </c>
    </row>
    <row r="103" spans="1:18">
      <c r="A103" s="247">
        <v>43983</v>
      </c>
      <c r="B103" s="244" t="s">
        <v>828</v>
      </c>
      <c r="C103" s="99" t="s">
        <v>7</v>
      </c>
      <c r="D103" s="99"/>
      <c r="E103" s="99" t="s">
        <v>76</v>
      </c>
      <c r="F103" s="140">
        <v>32.9</v>
      </c>
      <c r="G103" s="140">
        <v>21.9</v>
      </c>
      <c r="H103" s="140">
        <v>11</v>
      </c>
      <c r="I103" s="123">
        <v>18</v>
      </c>
      <c r="J103" s="123">
        <v>16.55</v>
      </c>
      <c r="K103" s="145">
        <v>1</v>
      </c>
      <c r="L103" s="140">
        <v>32.9</v>
      </c>
      <c r="M103" s="140">
        <v>21.9</v>
      </c>
      <c r="N103" s="99"/>
      <c r="O103" s="140">
        <v>11</v>
      </c>
      <c r="P103" s="123">
        <v>18</v>
      </c>
      <c r="Q103" s="123">
        <v>16.55</v>
      </c>
      <c r="R103" s="233">
        <f>YEAR(Tableau4[[#This Row],[Date]])</f>
        <v>2020</v>
      </c>
    </row>
    <row r="104" spans="1:18">
      <c r="A104" s="229">
        <v>43617</v>
      </c>
      <c r="B104" s="244" t="s">
        <v>829</v>
      </c>
      <c r="C104" s="99" t="s">
        <v>7</v>
      </c>
      <c r="D104" s="99"/>
      <c r="E104" s="99">
        <v>100</v>
      </c>
      <c r="F104" s="140">
        <v>29.9</v>
      </c>
      <c r="G104" s="140">
        <v>19.899999999999999</v>
      </c>
      <c r="H104" s="140">
        <v>10</v>
      </c>
      <c r="I104" s="123">
        <v>16</v>
      </c>
      <c r="J104" s="123">
        <v>16.55</v>
      </c>
      <c r="K104" s="145">
        <v>1</v>
      </c>
      <c r="L104" s="140">
        <v>29.9</v>
      </c>
      <c r="M104" s="140">
        <v>19.899999999999999</v>
      </c>
      <c r="N104" s="99"/>
      <c r="O104" s="140">
        <v>10</v>
      </c>
      <c r="P104" s="123">
        <v>16</v>
      </c>
      <c r="Q104" s="123">
        <v>16.55</v>
      </c>
      <c r="R104" s="233">
        <f>YEAR(Tableau4[[#This Row],[Date]])</f>
        <v>2019</v>
      </c>
    </row>
    <row r="105" spans="1:18">
      <c r="A105" s="229">
        <v>43617</v>
      </c>
      <c r="B105" s="244" t="s">
        <v>829</v>
      </c>
      <c r="C105" s="99" t="s">
        <v>7</v>
      </c>
      <c r="D105" s="99"/>
      <c r="E105" s="99">
        <v>50</v>
      </c>
      <c r="F105" s="140">
        <v>19.899999999999999</v>
      </c>
      <c r="G105" s="140">
        <v>13.3</v>
      </c>
      <c r="H105" s="140">
        <v>6.5999999999999979</v>
      </c>
      <c r="I105" s="123">
        <v>11</v>
      </c>
      <c r="J105" s="123">
        <v>9</v>
      </c>
      <c r="K105" s="145">
        <v>1</v>
      </c>
      <c r="L105" s="140">
        <v>19.899999999999999</v>
      </c>
      <c r="M105" s="140">
        <v>13.3</v>
      </c>
      <c r="N105" s="99"/>
      <c r="O105" s="140">
        <v>6.5999999999999979</v>
      </c>
      <c r="P105" s="123">
        <v>11</v>
      </c>
      <c r="Q105" s="123">
        <v>9</v>
      </c>
      <c r="R105" s="233">
        <f>YEAR(Tableau4[[#This Row],[Date]])</f>
        <v>2019</v>
      </c>
    </row>
    <row r="106" spans="1:18">
      <c r="A106" s="229">
        <v>43617</v>
      </c>
      <c r="B106" s="244" t="s">
        <v>830</v>
      </c>
      <c r="C106" s="99" t="s">
        <v>7</v>
      </c>
      <c r="D106" s="99"/>
      <c r="E106" s="99" t="s">
        <v>55</v>
      </c>
      <c r="F106" s="140">
        <v>16.649999999999999</v>
      </c>
      <c r="G106" s="140">
        <v>13.3</v>
      </c>
      <c r="H106" s="140">
        <v>3.3499999999999979</v>
      </c>
      <c r="I106" s="123">
        <v>11</v>
      </c>
      <c r="J106" s="123">
        <v>9</v>
      </c>
      <c r="K106" s="145">
        <v>3</v>
      </c>
      <c r="L106" s="140">
        <v>49.949999999999996</v>
      </c>
      <c r="M106" s="140">
        <v>39.900000000000006</v>
      </c>
      <c r="N106" s="99"/>
      <c r="O106" s="140">
        <v>10.049999999999994</v>
      </c>
      <c r="P106" s="123">
        <v>33</v>
      </c>
      <c r="Q106" s="123">
        <v>27</v>
      </c>
      <c r="R106" s="233">
        <f>YEAR(Tableau4[[#This Row],[Date]])</f>
        <v>2019</v>
      </c>
    </row>
    <row r="107" spans="1:18">
      <c r="A107" s="229">
        <v>43617</v>
      </c>
      <c r="B107" s="244" t="s">
        <v>830</v>
      </c>
      <c r="C107" s="99" t="s">
        <v>7</v>
      </c>
      <c r="D107" s="99"/>
      <c r="E107" s="99" t="s">
        <v>55</v>
      </c>
      <c r="F107" s="140">
        <v>16.649999999999999</v>
      </c>
      <c r="G107" s="140">
        <v>13.3</v>
      </c>
      <c r="H107" s="140">
        <v>3.3499999999999979</v>
      </c>
      <c r="I107" s="123">
        <v>11</v>
      </c>
      <c r="J107" s="123">
        <v>9</v>
      </c>
      <c r="K107" s="145">
        <v>3</v>
      </c>
      <c r="L107" s="140">
        <v>49.949999999999996</v>
      </c>
      <c r="M107" s="140">
        <v>39.900000000000006</v>
      </c>
      <c r="N107" s="99"/>
      <c r="O107" s="140">
        <v>10.049999999999994</v>
      </c>
      <c r="P107" s="123">
        <v>33</v>
      </c>
      <c r="Q107" s="123">
        <v>27</v>
      </c>
      <c r="R107" s="233">
        <f>YEAR(Tableau4[[#This Row],[Date]])</f>
        <v>2019</v>
      </c>
    </row>
    <row r="108" spans="1:18">
      <c r="A108" s="229">
        <v>43617</v>
      </c>
      <c r="B108" s="244" t="s">
        <v>830</v>
      </c>
      <c r="C108" s="99" t="s">
        <v>7</v>
      </c>
      <c r="D108" s="99"/>
      <c r="E108" s="99" t="s">
        <v>55</v>
      </c>
      <c r="F108" s="140">
        <v>16.649999999999999</v>
      </c>
      <c r="G108" s="140">
        <v>13.3</v>
      </c>
      <c r="H108" s="140">
        <v>3.3499999999999979</v>
      </c>
      <c r="I108" s="123">
        <v>11</v>
      </c>
      <c r="J108" s="123">
        <v>9</v>
      </c>
      <c r="K108" s="145">
        <v>1</v>
      </c>
      <c r="L108" s="140">
        <v>16.649999999999999</v>
      </c>
      <c r="M108" s="140">
        <v>13.3</v>
      </c>
      <c r="N108" s="99"/>
      <c r="O108" s="140">
        <v>3.3499999999999979</v>
      </c>
      <c r="P108" s="123">
        <v>11</v>
      </c>
      <c r="Q108" s="123">
        <v>9</v>
      </c>
      <c r="R108" s="233">
        <f>YEAR(Tableau4[[#This Row],[Date]])</f>
        <v>2019</v>
      </c>
    </row>
    <row r="109" spans="1:18">
      <c r="A109" s="229">
        <v>43617</v>
      </c>
      <c r="B109" s="244" t="s">
        <v>830</v>
      </c>
      <c r="C109" s="99" t="s">
        <v>7</v>
      </c>
      <c r="D109" s="99"/>
      <c r="E109" s="99" t="s">
        <v>55</v>
      </c>
      <c r="F109" s="140">
        <v>16.649999999999999</v>
      </c>
      <c r="G109" s="140">
        <v>13.3</v>
      </c>
      <c r="H109" s="140">
        <v>3.3499999999999979</v>
      </c>
      <c r="I109" s="123">
        <v>11</v>
      </c>
      <c r="J109" s="123">
        <v>9</v>
      </c>
      <c r="K109" s="145">
        <v>1</v>
      </c>
      <c r="L109" s="140">
        <v>16.649999999999999</v>
      </c>
      <c r="M109" s="140">
        <v>13.3</v>
      </c>
      <c r="N109" s="99"/>
      <c r="O109" s="140">
        <v>3.3499999999999979</v>
      </c>
      <c r="P109" s="123">
        <v>11</v>
      </c>
      <c r="Q109" s="123">
        <v>9</v>
      </c>
      <c r="R109" s="233">
        <f>YEAR(Tableau4[[#This Row],[Date]])</f>
        <v>2019</v>
      </c>
    </row>
    <row r="110" spans="1:18">
      <c r="A110" s="229">
        <v>43617</v>
      </c>
      <c r="B110" s="244" t="s">
        <v>830</v>
      </c>
      <c r="C110" s="99" t="s">
        <v>7</v>
      </c>
      <c r="D110" s="99"/>
      <c r="E110" s="99" t="s">
        <v>55</v>
      </c>
      <c r="F110" s="140">
        <v>16.649999999999999</v>
      </c>
      <c r="G110" s="140">
        <v>13.3</v>
      </c>
      <c r="H110" s="140">
        <v>3.3499999999999979</v>
      </c>
      <c r="I110" s="123">
        <v>11</v>
      </c>
      <c r="J110" s="123">
        <v>9</v>
      </c>
      <c r="K110" s="145">
        <v>1</v>
      </c>
      <c r="L110" s="140">
        <v>16.649999999999999</v>
      </c>
      <c r="M110" s="140">
        <v>13.3</v>
      </c>
      <c r="N110" s="99"/>
      <c r="O110" s="140">
        <v>3.3499999999999979</v>
      </c>
      <c r="P110" s="123">
        <v>11</v>
      </c>
      <c r="Q110" s="123">
        <v>9</v>
      </c>
      <c r="R110" s="233">
        <f>YEAR(Tableau4[[#This Row],[Date]])</f>
        <v>2019</v>
      </c>
    </row>
    <row r="111" spans="1:18">
      <c r="A111" s="229">
        <v>43617</v>
      </c>
      <c r="B111" s="244" t="s">
        <v>830</v>
      </c>
      <c r="C111" s="99" t="s">
        <v>7</v>
      </c>
      <c r="D111" s="99"/>
      <c r="E111" s="99" t="s">
        <v>55</v>
      </c>
      <c r="F111" s="140">
        <v>16.649999999999999</v>
      </c>
      <c r="G111" s="140">
        <v>13.3</v>
      </c>
      <c r="H111" s="140">
        <v>3.3499999999999979</v>
      </c>
      <c r="I111" s="123">
        <v>11</v>
      </c>
      <c r="J111" s="123">
        <v>9</v>
      </c>
      <c r="K111" s="145">
        <v>1</v>
      </c>
      <c r="L111" s="140">
        <v>16.649999999999999</v>
      </c>
      <c r="M111" s="140">
        <v>13.3</v>
      </c>
      <c r="N111" s="99"/>
      <c r="O111" s="140">
        <v>3.3499999999999979</v>
      </c>
      <c r="P111" s="123">
        <v>11</v>
      </c>
      <c r="Q111" s="123">
        <v>9</v>
      </c>
      <c r="R111" s="233">
        <f>YEAR(Tableau4[[#This Row],[Date]])</f>
        <v>2019</v>
      </c>
    </row>
    <row r="112" spans="1:18">
      <c r="A112" s="229">
        <v>43617</v>
      </c>
      <c r="B112" s="244" t="s">
        <v>830</v>
      </c>
      <c r="C112" s="99" t="s">
        <v>7</v>
      </c>
      <c r="D112" s="99"/>
      <c r="E112" s="99" t="s">
        <v>55</v>
      </c>
      <c r="F112" s="140">
        <v>16.649999999999999</v>
      </c>
      <c r="G112" s="140">
        <v>13.3</v>
      </c>
      <c r="H112" s="140">
        <v>3.3499999999999979</v>
      </c>
      <c r="I112" s="123">
        <v>11</v>
      </c>
      <c r="J112" s="123">
        <v>9</v>
      </c>
      <c r="K112" s="145">
        <v>1</v>
      </c>
      <c r="L112" s="140">
        <v>16.649999999999999</v>
      </c>
      <c r="M112" s="140">
        <v>13.3</v>
      </c>
      <c r="N112" s="99"/>
      <c r="O112" s="140">
        <v>3.3499999999999979</v>
      </c>
      <c r="P112" s="123">
        <v>11</v>
      </c>
      <c r="Q112" s="123">
        <v>9</v>
      </c>
      <c r="R112" s="233">
        <f>YEAR(Tableau4[[#This Row],[Date]])</f>
        <v>2019</v>
      </c>
    </row>
    <row r="113" spans="1:18">
      <c r="A113" s="229">
        <v>43617</v>
      </c>
      <c r="B113" s="244" t="s">
        <v>830</v>
      </c>
      <c r="C113" s="99" t="s">
        <v>7</v>
      </c>
      <c r="D113" s="99"/>
      <c r="E113" s="99" t="s">
        <v>55</v>
      </c>
      <c r="F113" s="140">
        <v>16.649999999999999</v>
      </c>
      <c r="G113" s="140">
        <v>13.3</v>
      </c>
      <c r="H113" s="140">
        <v>3.3499999999999979</v>
      </c>
      <c r="I113" s="123">
        <v>11</v>
      </c>
      <c r="J113" s="123">
        <v>9</v>
      </c>
      <c r="K113" s="145">
        <v>1</v>
      </c>
      <c r="L113" s="140">
        <v>16.649999999999999</v>
      </c>
      <c r="M113" s="140">
        <v>13.3</v>
      </c>
      <c r="N113" s="99"/>
      <c r="O113" s="140">
        <v>3.3499999999999979</v>
      </c>
      <c r="P113" s="123">
        <v>11</v>
      </c>
      <c r="Q113" s="123">
        <v>9</v>
      </c>
      <c r="R113" s="233">
        <f>YEAR(Tableau4[[#This Row],[Date]])</f>
        <v>2019</v>
      </c>
    </row>
    <row r="114" spans="1:18">
      <c r="A114" s="229">
        <v>43617</v>
      </c>
      <c r="B114" s="244" t="s">
        <v>830</v>
      </c>
      <c r="C114" s="99" t="s">
        <v>7</v>
      </c>
      <c r="D114" s="99"/>
      <c r="E114" s="99" t="s">
        <v>55</v>
      </c>
      <c r="F114" s="140">
        <v>16.649999999999999</v>
      </c>
      <c r="G114" s="140">
        <v>13.3</v>
      </c>
      <c r="H114" s="140">
        <v>3.3499999999999979</v>
      </c>
      <c r="I114" s="123">
        <v>11</v>
      </c>
      <c r="J114" s="123">
        <v>9</v>
      </c>
      <c r="K114" s="145">
        <v>1</v>
      </c>
      <c r="L114" s="140">
        <v>16.649999999999999</v>
      </c>
      <c r="M114" s="140">
        <v>13.3</v>
      </c>
      <c r="N114" s="99"/>
      <c r="O114" s="140">
        <v>3.3499999999999979</v>
      </c>
      <c r="P114" s="123">
        <v>11</v>
      </c>
      <c r="Q114" s="123">
        <v>9</v>
      </c>
      <c r="R114" s="233">
        <f>YEAR(Tableau4[[#This Row],[Date]])</f>
        <v>2019</v>
      </c>
    </row>
    <row r="115" spans="1:18">
      <c r="A115" s="229">
        <v>43617</v>
      </c>
      <c r="B115" s="244" t="s">
        <v>830</v>
      </c>
      <c r="C115" s="99" t="s">
        <v>7</v>
      </c>
      <c r="D115" s="99"/>
      <c r="E115" s="99" t="s">
        <v>55</v>
      </c>
      <c r="F115" s="140">
        <v>16.649999999999999</v>
      </c>
      <c r="G115" s="140">
        <v>13.3</v>
      </c>
      <c r="H115" s="140">
        <v>3.3499999999999979</v>
      </c>
      <c r="I115" s="123">
        <v>11</v>
      </c>
      <c r="J115" s="123">
        <v>9</v>
      </c>
      <c r="K115" s="145">
        <v>1</v>
      </c>
      <c r="L115" s="140">
        <v>16.649999999999999</v>
      </c>
      <c r="M115" s="140">
        <v>13.3</v>
      </c>
      <c r="N115" s="99"/>
      <c r="O115" s="140">
        <v>3.3499999999999979</v>
      </c>
      <c r="P115" s="123">
        <v>11</v>
      </c>
      <c r="Q115" s="123">
        <v>9</v>
      </c>
      <c r="R115" s="233">
        <f>YEAR(Tableau4[[#This Row],[Date]])</f>
        <v>2019</v>
      </c>
    </row>
    <row r="116" spans="1:18">
      <c r="A116" s="229">
        <v>43617</v>
      </c>
      <c r="B116" s="244" t="s">
        <v>830</v>
      </c>
      <c r="C116" s="99" t="s">
        <v>7</v>
      </c>
      <c r="D116" s="99"/>
      <c r="E116" s="99" t="s">
        <v>55</v>
      </c>
      <c r="F116" s="140">
        <v>16.649999999999999</v>
      </c>
      <c r="G116" s="140">
        <v>13.3</v>
      </c>
      <c r="H116" s="140">
        <v>3.3499999999999979</v>
      </c>
      <c r="I116" s="123">
        <v>11</v>
      </c>
      <c r="J116" s="123">
        <v>9</v>
      </c>
      <c r="K116" s="145">
        <v>1</v>
      </c>
      <c r="L116" s="140">
        <v>16.649999999999999</v>
      </c>
      <c r="M116" s="140">
        <v>13.3</v>
      </c>
      <c r="N116" s="99"/>
      <c r="O116" s="140">
        <v>3.3499999999999979</v>
      </c>
      <c r="P116" s="123">
        <v>11</v>
      </c>
      <c r="Q116" s="123">
        <v>9</v>
      </c>
      <c r="R116" s="233">
        <f>YEAR(Tableau4[[#This Row],[Date]])</f>
        <v>2019</v>
      </c>
    </row>
    <row r="117" spans="1:18">
      <c r="A117" s="229">
        <v>43617</v>
      </c>
      <c r="B117" s="244" t="s">
        <v>830</v>
      </c>
      <c r="C117" s="99" t="s">
        <v>7</v>
      </c>
      <c r="D117" s="99"/>
      <c r="E117" s="99" t="s">
        <v>54</v>
      </c>
      <c r="F117" s="140">
        <v>6.49</v>
      </c>
      <c r="G117" s="140">
        <v>2.99</v>
      </c>
      <c r="H117" s="140">
        <v>3.5</v>
      </c>
      <c r="I117" s="123">
        <v>1.5</v>
      </c>
      <c r="J117" s="123">
        <v>1</v>
      </c>
      <c r="K117" s="145">
        <v>2</v>
      </c>
      <c r="L117" s="140">
        <v>12.98</v>
      </c>
      <c r="M117" s="140">
        <v>5.98</v>
      </c>
      <c r="N117" s="99"/>
      <c r="O117" s="140">
        <v>7</v>
      </c>
      <c r="P117" s="123">
        <v>3</v>
      </c>
      <c r="Q117" s="123">
        <v>2</v>
      </c>
      <c r="R117" s="233">
        <f>YEAR(Tableau4[[#This Row],[Date]])</f>
        <v>2019</v>
      </c>
    </row>
    <row r="118" spans="1:18">
      <c r="A118" s="229">
        <v>43617</v>
      </c>
      <c r="B118" s="244" t="s">
        <v>830</v>
      </c>
      <c r="C118" s="99" t="s">
        <v>7</v>
      </c>
      <c r="D118" s="99"/>
      <c r="E118" s="99" t="s">
        <v>54</v>
      </c>
      <c r="F118" s="140">
        <v>6.49</v>
      </c>
      <c r="G118" s="140">
        <v>2.99</v>
      </c>
      <c r="H118" s="140">
        <v>3.5</v>
      </c>
      <c r="I118" s="123">
        <v>1.5</v>
      </c>
      <c r="J118" s="123">
        <v>1</v>
      </c>
      <c r="K118" s="145">
        <v>1</v>
      </c>
      <c r="L118" s="140">
        <v>6.49</v>
      </c>
      <c r="M118" s="140">
        <v>2.99</v>
      </c>
      <c r="N118" s="99"/>
      <c r="O118" s="140">
        <v>3.5</v>
      </c>
      <c r="P118" s="123">
        <v>1.5</v>
      </c>
      <c r="Q118" s="123">
        <v>1</v>
      </c>
      <c r="R118" s="233">
        <f>YEAR(Tableau4[[#This Row],[Date]])</f>
        <v>2019</v>
      </c>
    </row>
    <row r="119" spans="1:18">
      <c r="A119" s="229">
        <v>43617</v>
      </c>
      <c r="B119" s="244" t="s">
        <v>830</v>
      </c>
      <c r="C119" s="99" t="s">
        <v>7</v>
      </c>
      <c r="D119" s="99"/>
      <c r="E119" s="99" t="s">
        <v>54</v>
      </c>
      <c r="F119" s="140">
        <v>6.49</v>
      </c>
      <c r="G119" s="140">
        <v>2.99</v>
      </c>
      <c r="H119" s="140">
        <v>3.5</v>
      </c>
      <c r="I119" s="123">
        <v>1.5</v>
      </c>
      <c r="J119" s="123">
        <v>1</v>
      </c>
      <c r="K119" s="145">
        <v>1</v>
      </c>
      <c r="L119" s="140">
        <v>6.49</v>
      </c>
      <c r="M119" s="140">
        <v>2.99</v>
      </c>
      <c r="N119" s="99"/>
      <c r="O119" s="140">
        <v>3.5</v>
      </c>
      <c r="P119" s="123">
        <v>1.5</v>
      </c>
      <c r="Q119" s="123">
        <v>1</v>
      </c>
      <c r="R119" s="233">
        <f>YEAR(Tableau4[[#This Row],[Date]])</f>
        <v>2019</v>
      </c>
    </row>
    <row r="120" spans="1:18">
      <c r="A120" s="229">
        <v>43617</v>
      </c>
      <c r="B120" s="244" t="s">
        <v>830</v>
      </c>
      <c r="C120" s="99" t="s">
        <v>7</v>
      </c>
      <c r="D120" s="99"/>
      <c r="E120" s="99" t="s">
        <v>54</v>
      </c>
      <c r="F120" s="140">
        <v>6.49</v>
      </c>
      <c r="G120" s="140">
        <v>2.99</v>
      </c>
      <c r="H120" s="140">
        <v>3.5</v>
      </c>
      <c r="I120" s="123">
        <v>1.5</v>
      </c>
      <c r="J120" s="123">
        <v>1</v>
      </c>
      <c r="K120" s="145">
        <v>1</v>
      </c>
      <c r="L120" s="140">
        <v>6.49</v>
      </c>
      <c r="M120" s="140">
        <v>2.99</v>
      </c>
      <c r="N120" s="99"/>
      <c r="O120" s="140">
        <v>3.5</v>
      </c>
      <c r="P120" s="123">
        <v>1.5</v>
      </c>
      <c r="Q120" s="123">
        <v>1</v>
      </c>
      <c r="R120" s="233">
        <f>YEAR(Tableau4[[#This Row],[Date]])</f>
        <v>2019</v>
      </c>
    </row>
    <row r="121" spans="1:18">
      <c r="A121" s="229">
        <v>43617</v>
      </c>
      <c r="B121" s="244" t="s">
        <v>830</v>
      </c>
      <c r="C121" s="99" t="s">
        <v>7</v>
      </c>
      <c r="D121" s="99"/>
      <c r="E121" s="99" t="s">
        <v>54</v>
      </c>
      <c r="F121" s="140">
        <v>6.49</v>
      </c>
      <c r="G121" s="140">
        <v>2.99</v>
      </c>
      <c r="H121" s="140">
        <v>3.5</v>
      </c>
      <c r="I121" s="123">
        <v>1.5</v>
      </c>
      <c r="J121" s="123">
        <v>1</v>
      </c>
      <c r="K121" s="145">
        <v>1</v>
      </c>
      <c r="L121" s="140">
        <v>6.49</v>
      </c>
      <c r="M121" s="140">
        <v>2.99</v>
      </c>
      <c r="N121" s="99"/>
      <c r="O121" s="140">
        <v>3.5</v>
      </c>
      <c r="P121" s="123">
        <v>1.5</v>
      </c>
      <c r="Q121" s="123">
        <v>1</v>
      </c>
      <c r="R121" s="233">
        <f>YEAR(Tableau4[[#This Row],[Date]])</f>
        <v>2019</v>
      </c>
    </row>
    <row r="122" spans="1:18">
      <c r="A122" s="229">
        <v>43617</v>
      </c>
      <c r="B122" s="244" t="s">
        <v>830</v>
      </c>
      <c r="C122" s="99" t="s">
        <v>7</v>
      </c>
      <c r="D122" s="99"/>
      <c r="E122" s="99" t="s">
        <v>54</v>
      </c>
      <c r="F122" s="140">
        <v>6.49</v>
      </c>
      <c r="G122" s="140">
        <v>2.99</v>
      </c>
      <c r="H122" s="140">
        <v>3.5</v>
      </c>
      <c r="I122" s="123">
        <v>1.5</v>
      </c>
      <c r="J122" s="123">
        <v>1</v>
      </c>
      <c r="K122" s="145">
        <v>1</v>
      </c>
      <c r="L122" s="140">
        <v>6.49</v>
      </c>
      <c r="M122" s="140">
        <v>2.99</v>
      </c>
      <c r="N122" s="99"/>
      <c r="O122" s="140">
        <v>3.5</v>
      </c>
      <c r="P122" s="123">
        <v>1.5</v>
      </c>
      <c r="Q122" s="123">
        <v>1</v>
      </c>
      <c r="R122" s="233">
        <f>YEAR(Tableau4[[#This Row],[Date]])</f>
        <v>2019</v>
      </c>
    </row>
    <row r="123" spans="1:18">
      <c r="A123" s="229">
        <v>43617</v>
      </c>
      <c r="B123" s="244" t="s">
        <v>830</v>
      </c>
      <c r="C123" s="99" t="s">
        <v>7</v>
      </c>
      <c r="D123" s="99"/>
      <c r="E123" s="99" t="s">
        <v>54</v>
      </c>
      <c r="F123" s="140">
        <v>6.49</v>
      </c>
      <c r="G123" s="140">
        <v>2.99</v>
      </c>
      <c r="H123" s="140">
        <v>3.5</v>
      </c>
      <c r="I123" s="123">
        <v>1.5</v>
      </c>
      <c r="J123" s="123">
        <v>1</v>
      </c>
      <c r="K123" s="145">
        <v>1</v>
      </c>
      <c r="L123" s="140">
        <v>6.49</v>
      </c>
      <c r="M123" s="140">
        <v>2.99</v>
      </c>
      <c r="N123" s="99"/>
      <c r="O123" s="140">
        <v>3.5</v>
      </c>
      <c r="P123" s="123">
        <v>1.5</v>
      </c>
      <c r="Q123" s="123">
        <v>1</v>
      </c>
      <c r="R123" s="233">
        <f>YEAR(Tableau4[[#This Row],[Date]])</f>
        <v>2019</v>
      </c>
    </row>
    <row r="124" spans="1:18">
      <c r="A124" s="229">
        <v>43617</v>
      </c>
      <c r="B124" s="244" t="s">
        <v>830</v>
      </c>
      <c r="C124" s="99" t="s">
        <v>7</v>
      </c>
      <c r="D124" s="99"/>
      <c r="E124" s="99" t="s">
        <v>54</v>
      </c>
      <c r="F124" s="140">
        <v>6.49</v>
      </c>
      <c r="G124" s="140">
        <v>2.99</v>
      </c>
      <c r="H124" s="140">
        <v>3.5</v>
      </c>
      <c r="I124" s="123">
        <v>1.5</v>
      </c>
      <c r="J124" s="123">
        <v>1</v>
      </c>
      <c r="K124" s="145">
        <v>1</v>
      </c>
      <c r="L124" s="140">
        <v>6.49</v>
      </c>
      <c r="M124" s="140">
        <v>2.99</v>
      </c>
      <c r="N124" s="99"/>
      <c r="O124" s="140">
        <v>3.5</v>
      </c>
      <c r="P124" s="123">
        <v>1.5</v>
      </c>
      <c r="Q124" s="123">
        <v>1</v>
      </c>
      <c r="R124" s="233">
        <f>YEAR(Tableau4[[#This Row],[Date]])</f>
        <v>2019</v>
      </c>
    </row>
    <row r="125" spans="1:18">
      <c r="A125" s="229">
        <v>43617</v>
      </c>
      <c r="B125" s="244" t="s">
        <v>830</v>
      </c>
      <c r="C125" s="99" t="s">
        <v>7</v>
      </c>
      <c r="D125" s="99"/>
      <c r="E125" s="99" t="s">
        <v>54</v>
      </c>
      <c r="F125" s="140">
        <v>6.49</v>
      </c>
      <c r="G125" s="140">
        <v>2.99</v>
      </c>
      <c r="H125" s="140">
        <v>3.5</v>
      </c>
      <c r="I125" s="123">
        <v>1.5</v>
      </c>
      <c r="J125" s="123">
        <v>1</v>
      </c>
      <c r="K125" s="145">
        <v>1</v>
      </c>
      <c r="L125" s="140">
        <v>6.49</v>
      </c>
      <c r="M125" s="140">
        <v>2.99</v>
      </c>
      <c r="N125" s="99"/>
      <c r="O125" s="140">
        <v>3.5</v>
      </c>
      <c r="P125" s="123">
        <v>1.5</v>
      </c>
      <c r="Q125" s="123">
        <v>1</v>
      </c>
      <c r="R125" s="233">
        <f>YEAR(Tableau4[[#This Row],[Date]])</f>
        <v>2019</v>
      </c>
    </row>
    <row r="126" spans="1:18">
      <c r="A126" s="229">
        <v>43617</v>
      </c>
      <c r="B126" s="244" t="s">
        <v>830</v>
      </c>
      <c r="C126" s="99" t="s">
        <v>7</v>
      </c>
      <c r="D126" s="99"/>
      <c r="E126" s="99" t="s">
        <v>54</v>
      </c>
      <c r="F126" s="140">
        <v>6.49</v>
      </c>
      <c r="G126" s="140">
        <v>2.99</v>
      </c>
      <c r="H126" s="140">
        <v>3.5</v>
      </c>
      <c r="I126" s="123">
        <v>1.5</v>
      </c>
      <c r="J126" s="123">
        <v>1</v>
      </c>
      <c r="K126" s="145">
        <v>1</v>
      </c>
      <c r="L126" s="140">
        <v>6.49</v>
      </c>
      <c r="M126" s="140">
        <v>2.99</v>
      </c>
      <c r="N126" s="99"/>
      <c r="O126" s="140">
        <v>3.5</v>
      </c>
      <c r="P126" s="123">
        <v>1.5</v>
      </c>
      <c r="Q126" s="123">
        <v>1</v>
      </c>
      <c r="R126" s="233">
        <f>YEAR(Tableau4[[#This Row],[Date]])</f>
        <v>2019</v>
      </c>
    </row>
    <row r="127" spans="1:18">
      <c r="A127" s="229">
        <v>43617</v>
      </c>
      <c r="B127" s="244" t="s">
        <v>830</v>
      </c>
      <c r="C127" s="99" t="s">
        <v>7</v>
      </c>
      <c r="D127" s="99"/>
      <c r="E127" s="99" t="s">
        <v>54</v>
      </c>
      <c r="F127" s="140">
        <v>6.49</v>
      </c>
      <c r="G127" s="140">
        <v>2.99</v>
      </c>
      <c r="H127" s="140">
        <v>3.5</v>
      </c>
      <c r="I127" s="123">
        <v>1.5</v>
      </c>
      <c r="J127" s="123">
        <v>1</v>
      </c>
      <c r="K127" s="145">
        <v>1</v>
      </c>
      <c r="L127" s="140">
        <v>6.49</v>
      </c>
      <c r="M127" s="140">
        <v>2.99</v>
      </c>
      <c r="N127" s="99"/>
      <c r="O127" s="140">
        <v>3.5</v>
      </c>
      <c r="P127" s="123">
        <v>1.5</v>
      </c>
      <c r="Q127" s="123">
        <v>1</v>
      </c>
      <c r="R127" s="233">
        <f>YEAR(Tableau4[[#This Row],[Date]])</f>
        <v>2019</v>
      </c>
    </row>
    <row r="128" spans="1:18">
      <c r="A128" s="229">
        <v>43617</v>
      </c>
      <c r="B128" s="244" t="s">
        <v>831</v>
      </c>
      <c r="C128" s="99" t="s">
        <v>7</v>
      </c>
      <c r="D128" s="99"/>
      <c r="E128" s="99" t="s">
        <v>50</v>
      </c>
      <c r="F128" s="140">
        <v>9.9</v>
      </c>
      <c r="G128" s="140">
        <v>7.1</v>
      </c>
      <c r="H128" s="140">
        <v>2.8</v>
      </c>
      <c r="I128" s="123">
        <v>6</v>
      </c>
      <c r="J128" s="123">
        <v>3</v>
      </c>
      <c r="K128" s="145">
        <v>1</v>
      </c>
      <c r="L128" s="140">
        <v>9.9</v>
      </c>
      <c r="M128" s="140">
        <v>7.1</v>
      </c>
      <c r="N128" s="99"/>
      <c r="O128" s="140">
        <v>2.8</v>
      </c>
      <c r="P128" s="123">
        <v>6</v>
      </c>
      <c r="Q128" s="123">
        <v>3</v>
      </c>
      <c r="R128" s="233">
        <f>YEAR(Tableau4[[#This Row],[Date]])</f>
        <v>2019</v>
      </c>
    </row>
    <row r="129" spans="1:18">
      <c r="A129" s="229">
        <v>43617</v>
      </c>
      <c r="B129" s="244" t="s">
        <v>831</v>
      </c>
      <c r="C129" s="99" t="s">
        <v>9</v>
      </c>
      <c r="D129" s="99"/>
      <c r="E129" s="99"/>
      <c r="F129" s="140">
        <v>14.9</v>
      </c>
      <c r="G129" s="140">
        <v>10.65</v>
      </c>
      <c r="H129" s="140">
        <v>4.25</v>
      </c>
      <c r="I129" s="123">
        <v>9</v>
      </c>
      <c r="J129" s="123">
        <v>5.5</v>
      </c>
      <c r="K129" s="145">
        <v>1</v>
      </c>
      <c r="L129" s="140">
        <v>14.9</v>
      </c>
      <c r="M129" s="140">
        <v>10.65</v>
      </c>
      <c r="N129" s="99"/>
      <c r="O129" s="140">
        <v>4.25</v>
      </c>
      <c r="P129" s="123">
        <v>10</v>
      </c>
      <c r="Q129" s="123">
        <v>5.5</v>
      </c>
      <c r="R129" s="233">
        <f>YEAR(Tableau4[[#This Row],[Date]])</f>
        <v>2019</v>
      </c>
    </row>
    <row r="130" spans="1:18">
      <c r="A130" s="229">
        <v>43586</v>
      </c>
      <c r="B130" s="244" t="s">
        <v>832</v>
      </c>
      <c r="C130" s="99" t="s">
        <v>7</v>
      </c>
      <c r="D130" s="99"/>
      <c r="E130" s="99">
        <v>10</v>
      </c>
      <c r="F130" s="140">
        <v>9.9</v>
      </c>
      <c r="G130" s="140">
        <v>6.9</v>
      </c>
      <c r="H130" s="140">
        <v>3</v>
      </c>
      <c r="I130" s="123">
        <v>4.5999999999999996</v>
      </c>
      <c r="J130" s="123">
        <v>2.9</v>
      </c>
      <c r="K130" s="145">
        <v>1</v>
      </c>
      <c r="L130" s="140">
        <v>9.9</v>
      </c>
      <c r="M130" s="140">
        <v>6.9</v>
      </c>
      <c r="N130" s="99"/>
      <c r="O130" s="140">
        <v>3</v>
      </c>
      <c r="P130" s="123">
        <v>4.5999999999999996</v>
      </c>
      <c r="Q130" s="123">
        <v>2.9</v>
      </c>
      <c r="R130" s="233">
        <f>YEAR(Tableau4[[#This Row],[Date]])</f>
        <v>2019</v>
      </c>
    </row>
    <row r="131" spans="1:18">
      <c r="A131" s="229">
        <v>43586</v>
      </c>
      <c r="B131" s="244" t="s">
        <v>832</v>
      </c>
      <c r="C131" s="99" t="s">
        <v>9</v>
      </c>
      <c r="D131" s="99"/>
      <c r="E131" s="99"/>
      <c r="F131" s="140">
        <v>9.9</v>
      </c>
      <c r="G131" s="140">
        <v>7.05</v>
      </c>
      <c r="H131" s="140">
        <v>2.8500000000000005</v>
      </c>
      <c r="I131" s="123">
        <v>5</v>
      </c>
      <c r="J131" s="123">
        <v>3</v>
      </c>
      <c r="K131" s="145">
        <v>1</v>
      </c>
      <c r="L131" s="140">
        <v>9.9</v>
      </c>
      <c r="M131" s="140">
        <v>7.05</v>
      </c>
      <c r="N131" s="99"/>
      <c r="O131" s="140">
        <v>2.8500000000000005</v>
      </c>
      <c r="P131" s="123">
        <v>5</v>
      </c>
      <c r="Q131" s="123">
        <v>3</v>
      </c>
      <c r="R131" s="233">
        <f>YEAR(Tableau4[[#This Row],[Date]])</f>
        <v>2019</v>
      </c>
    </row>
    <row r="132" spans="1:18">
      <c r="A132" s="229">
        <v>43586</v>
      </c>
      <c r="B132" s="244" t="s">
        <v>832</v>
      </c>
      <c r="C132" s="99" t="s">
        <v>9</v>
      </c>
      <c r="D132" s="99"/>
      <c r="E132" s="99"/>
      <c r="F132" s="140">
        <v>10.9</v>
      </c>
      <c r="G132" s="140">
        <v>7.8</v>
      </c>
      <c r="H132" s="140">
        <v>3.1000000000000005</v>
      </c>
      <c r="I132" s="123">
        <v>6</v>
      </c>
      <c r="J132" s="123">
        <v>3.28</v>
      </c>
      <c r="K132" s="145">
        <v>1</v>
      </c>
      <c r="L132" s="140">
        <v>10.9</v>
      </c>
      <c r="M132" s="140">
        <v>7.8</v>
      </c>
      <c r="N132" s="99"/>
      <c r="O132" s="140">
        <v>3.1000000000000005</v>
      </c>
      <c r="P132" s="123">
        <v>8</v>
      </c>
      <c r="Q132" s="123">
        <v>3.28</v>
      </c>
      <c r="R132" s="233">
        <f>YEAR(Tableau4[[#This Row],[Date]])</f>
        <v>2019</v>
      </c>
    </row>
    <row r="133" spans="1:18">
      <c r="A133" s="229">
        <v>43556</v>
      </c>
      <c r="B133" s="244" t="s">
        <v>833</v>
      </c>
      <c r="C133" s="99" t="s">
        <v>7</v>
      </c>
      <c r="D133" s="99"/>
      <c r="E133" s="99">
        <v>50</v>
      </c>
      <c r="F133" s="140">
        <v>19.899999999999999</v>
      </c>
      <c r="G133" s="140">
        <v>13.3</v>
      </c>
      <c r="H133" s="140">
        <v>6.5999999999999979</v>
      </c>
      <c r="I133" s="123">
        <v>11</v>
      </c>
      <c r="J133" s="123">
        <v>9</v>
      </c>
      <c r="K133" s="145">
        <v>1</v>
      </c>
      <c r="L133" s="140">
        <v>19.899999999999999</v>
      </c>
      <c r="M133" s="140">
        <v>13.3</v>
      </c>
      <c r="N133" s="99"/>
      <c r="O133" s="140">
        <v>6.5999999999999979</v>
      </c>
      <c r="P133" s="123">
        <v>11</v>
      </c>
      <c r="Q133" s="123">
        <v>9</v>
      </c>
      <c r="R133" s="233">
        <f>YEAR(Tableau4[[#This Row],[Date]])</f>
        <v>2019</v>
      </c>
    </row>
    <row r="134" spans="1:18">
      <c r="A134" s="229">
        <v>43556</v>
      </c>
      <c r="B134" s="244" t="s">
        <v>833</v>
      </c>
      <c r="C134" s="99" t="s">
        <v>7</v>
      </c>
      <c r="D134" s="99"/>
      <c r="E134" s="99">
        <v>10</v>
      </c>
      <c r="F134" s="140">
        <v>9.9</v>
      </c>
      <c r="G134" s="140">
        <v>6.9</v>
      </c>
      <c r="H134" s="140">
        <v>3</v>
      </c>
      <c r="I134" s="123">
        <v>4.5999999999999996</v>
      </c>
      <c r="J134" s="123">
        <v>2.9</v>
      </c>
      <c r="K134" s="145">
        <v>1</v>
      </c>
      <c r="L134" s="140">
        <v>9.9</v>
      </c>
      <c r="M134" s="140">
        <v>6.9</v>
      </c>
      <c r="N134" s="99"/>
      <c r="O134" s="140">
        <v>3</v>
      </c>
      <c r="P134" s="123">
        <v>4.5999999999999996</v>
      </c>
      <c r="Q134" s="123">
        <v>2.9</v>
      </c>
      <c r="R134" s="233">
        <f>YEAR(Tableau4[[#This Row],[Date]])</f>
        <v>2019</v>
      </c>
    </row>
    <row r="135" spans="1:18">
      <c r="A135" s="229">
        <v>43556</v>
      </c>
      <c r="B135" s="244" t="s">
        <v>833</v>
      </c>
      <c r="C135" s="99" t="s">
        <v>7</v>
      </c>
      <c r="D135" s="99"/>
      <c r="E135" s="99">
        <v>10</v>
      </c>
      <c r="F135" s="140">
        <v>9.9</v>
      </c>
      <c r="G135" s="140">
        <v>6.9</v>
      </c>
      <c r="H135" s="140">
        <v>3</v>
      </c>
      <c r="I135" s="123">
        <v>4.5999999999999996</v>
      </c>
      <c r="J135" s="123">
        <v>2.9</v>
      </c>
      <c r="K135" s="145">
        <v>1</v>
      </c>
      <c r="L135" s="140">
        <v>9.9</v>
      </c>
      <c r="M135" s="140">
        <v>6.9</v>
      </c>
      <c r="N135" s="99"/>
      <c r="O135" s="140">
        <v>3</v>
      </c>
      <c r="P135" s="123">
        <v>4.5999999999999996</v>
      </c>
      <c r="Q135" s="123">
        <v>2.9</v>
      </c>
      <c r="R135" s="233">
        <f>YEAR(Tableau4[[#This Row],[Date]])</f>
        <v>2019</v>
      </c>
    </row>
    <row r="136" spans="1:18">
      <c r="A136" s="229">
        <v>43556</v>
      </c>
      <c r="B136" s="244" t="s">
        <v>833</v>
      </c>
      <c r="C136" s="99" t="s">
        <v>7</v>
      </c>
      <c r="D136" s="99"/>
      <c r="E136" s="99">
        <v>10</v>
      </c>
      <c r="F136" s="140">
        <v>9.9</v>
      </c>
      <c r="G136" s="140">
        <v>6.9</v>
      </c>
      <c r="H136" s="140">
        <v>3</v>
      </c>
      <c r="I136" s="123">
        <v>4.5999999999999996</v>
      </c>
      <c r="J136" s="123">
        <v>2.9</v>
      </c>
      <c r="K136" s="145">
        <v>1</v>
      </c>
      <c r="L136" s="140">
        <v>9.9</v>
      </c>
      <c r="M136" s="140">
        <v>6.9</v>
      </c>
      <c r="N136" s="99"/>
      <c r="O136" s="140">
        <v>3</v>
      </c>
      <c r="P136" s="123">
        <v>4.5999999999999996</v>
      </c>
      <c r="Q136" s="123">
        <v>2.9</v>
      </c>
      <c r="R136" s="233">
        <f>YEAR(Tableau4[[#This Row],[Date]])</f>
        <v>2019</v>
      </c>
    </row>
    <row r="137" spans="1:18">
      <c r="A137" s="229">
        <v>43556</v>
      </c>
      <c r="B137" s="244" t="s">
        <v>833</v>
      </c>
      <c r="C137" s="99" t="s">
        <v>7</v>
      </c>
      <c r="D137" s="99"/>
      <c r="E137" s="99">
        <v>10</v>
      </c>
      <c r="F137" s="140">
        <v>9.9</v>
      </c>
      <c r="G137" s="140">
        <v>6.9</v>
      </c>
      <c r="H137" s="140">
        <v>3</v>
      </c>
      <c r="I137" s="123">
        <v>4.5999999999999996</v>
      </c>
      <c r="J137" s="123">
        <v>2.9</v>
      </c>
      <c r="K137" s="145">
        <v>1</v>
      </c>
      <c r="L137" s="140">
        <v>9.9</v>
      </c>
      <c r="M137" s="140">
        <v>6.9</v>
      </c>
      <c r="N137" s="99"/>
      <c r="O137" s="140">
        <v>3</v>
      </c>
      <c r="P137" s="123">
        <v>4.5999999999999996</v>
      </c>
      <c r="Q137" s="123">
        <v>2.9</v>
      </c>
      <c r="R137" s="233">
        <f>YEAR(Tableau4[[#This Row],[Date]])</f>
        <v>2019</v>
      </c>
    </row>
    <row r="138" spans="1:18">
      <c r="A138" s="229">
        <v>43647</v>
      </c>
      <c r="B138" s="244" t="s">
        <v>833</v>
      </c>
      <c r="C138" s="99" t="s">
        <v>9</v>
      </c>
      <c r="D138" s="99"/>
      <c r="E138" s="99"/>
      <c r="F138" s="140">
        <v>14.9</v>
      </c>
      <c r="G138" s="140">
        <v>10.65</v>
      </c>
      <c r="H138" s="140">
        <v>4.25</v>
      </c>
      <c r="I138" s="123">
        <v>9</v>
      </c>
      <c r="J138" s="123">
        <v>5.5</v>
      </c>
      <c r="K138" s="145">
        <v>1</v>
      </c>
      <c r="L138" s="140">
        <v>14.9</v>
      </c>
      <c r="M138" s="140">
        <v>10.65</v>
      </c>
      <c r="N138" s="99"/>
      <c r="O138" s="140">
        <v>4.25</v>
      </c>
      <c r="P138" s="123">
        <v>10</v>
      </c>
      <c r="Q138" s="123">
        <v>5.5</v>
      </c>
      <c r="R138" s="233">
        <f>YEAR(Tableau4[[#This Row],[Date]])</f>
        <v>2019</v>
      </c>
    </row>
    <row r="139" spans="1:18">
      <c r="A139" s="229">
        <v>43800</v>
      </c>
      <c r="B139" s="244" t="s">
        <v>833</v>
      </c>
      <c r="C139" s="99" t="s">
        <v>9</v>
      </c>
      <c r="D139" s="99"/>
      <c r="E139" s="99"/>
      <c r="F139" s="140">
        <v>9.9</v>
      </c>
      <c r="G139" s="140">
        <v>7.05</v>
      </c>
      <c r="H139" s="140">
        <v>2.8500000000000005</v>
      </c>
      <c r="I139" s="123">
        <v>5</v>
      </c>
      <c r="J139" s="123">
        <v>3</v>
      </c>
      <c r="K139" s="145">
        <v>1</v>
      </c>
      <c r="L139" s="140">
        <v>9.6</v>
      </c>
      <c r="M139" s="140">
        <v>7.05</v>
      </c>
      <c r="N139" s="99">
        <v>0.3</v>
      </c>
      <c r="O139" s="140">
        <v>2.5499999999999998</v>
      </c>
      <c r="P139" s="123">
        <v>5</v>
      </c>
      <c r="Q139" s="123">
        <v>3</v>
      </c>
      <c r="R139" s="233">
        <f>YEAR(Tableau4[[#This Row],[Date]])</f>
        <v>2019</v>
      </c>
    </row>
    <row r="140" spans="1:18">
      <c r="A140" s="229">
        <v>43556</v>
      </c>
      <c r="B140" s="244" t="s">
        <v>834</v>
      </c>
      <c r="C140" s="99" t="s">
        <v>7</v>
      </c>
      <c r="D140" s="99"/>
      <c r="E140" s="99">
        <v>50</v>
      </c>
      <c r="F140" s="140">
        <v>19.899999999999999</v>
      </c>
      <c r="G140" s="140">
        <v>13.3</v>
      </c>
      <c r="H140" s="140">
        <v>6.5999999999999979</v>
      </c>
      <c r="I140" s="123">
        <v>11</v>
      </c>
      <c r="J140" s="123">
        <v>9</v>
      </c>
      <c r="K140" s="145">
        <v>1</v>
      </c>
      <c r="L140" s="140">
        <v>19.899999999999999</v>
      </c>
      <c r="M140" s="140">
        <v>13.3</v>
      </c>
      <c r="N140" s="99"/>
      <c r="O140" s="140">
        <v>6.5999999999999979</v>
      </c>
      <c r="P140" s="123">
        <v>11</v>
      </c>
      <c r="Q140" s="123">
        <v>9</v>
      </c>
      <c r="R140" s="233">
        <f>YEAR(Tableau4[[#This Row],[Date]])</f>
        <v>2019</v>
      </c>
    </row>
    <row r="141" spans="1:18">
      <c r="A141" s="229">
        <v>43556</v>
      </c>
      <c r="B141" s="244" t="s">
        <v>835</v>
      </c>
      <c r="C141" s="99" t="s">
        <v>58</v>
      </c>
      <c r="D141" s="99"/>
      <c r="E141" s="99"/>
      <c r="F141" s="140">
        <v>39</v>
      </c>
      <c r="G141" s="140">
        <v>27.85</v>
      </c>
      <c r="H141" s="140">
        <v>11.149999999999999</v>
      </c>
      <c r="I141" s="123">
        <v>21</v>
      </c>
      <c r="J141" s="123">
        <v>23.45</v>
      </c>
      <c r="K141" s="145">
        <v>1</v>
      </c>
      <c r="L141" s="140">
        <v>39</v>
      </c>
      <c r="M141" s="140">
        <v>27.85</v>
      </c>
      <c r="N141" s="99"/>
      <c r="O141" s="140">
        <v>11.149999999999999</v>
      </c>
      <c r="P141" s="123">
        <v>21</v>
      </c>
      <c r="Q141" s="123">
        <v>23.45</v>
      </c>
      <c r="R141" s="233">
        <f>YEAR(Tableau4[[#This Row],[Date]])</f>
        <v>2019</v>
      </c>
    </row>
    <row r="142" spans="1:18">
      <c r="A142" s="229">
        <v>43556</v>
      </c>
      <c r="B142" s="244" t="s">
        <v>835</v>
      </c>
      <c r="C142" s="99" t="s">
        <v>7</v>
      </c>
      <c r="D142" s="99"/>
      <c r="E142" s="99">
        <v>100</v>
      </c>
      <c r="F142" s="140">
        <v>29.9</v>
      </c>
      <c r="G142" s="140">
        <v>19.899999999999999</v>
      </c>
      <c r="H142" s="140">
        <v>10</v>
      </c>
      <c r="I142" s="123">
        <v>16</v>
      </c>
      <c r="J142" s="123">
        <v>16.55</v>
      </c>
      <c r="K142" s="145">
        <v>1</v>
      </c>
      <c r="L142" s="140">
        <v>29.9</v>
      </c>
      <c r="M142" s="140">
        <v>19.899999999999999</v>
      </c>
      <c r="N142" s="99"/>
      <c r="O142" s="140">
        <v>10</v>
      </c>
      <c r="P142" s="123">
        <v>16</v>
      </c>
      <c r="Q142" s="123">
        <v>16.55</v>
      </c>
      <c r="R142" s="233">
        <f>YEAR(Tableau4[[#This Row],[Date]])</f>
        <v>2019</v>
      </c>
    </row>
    <row r="143" spans="1:18">
      <c r="A143" s="229">
        <v>43556</v>
      </c>
      <c r="B143" s="244" t="s">
        <v>835</v>
      </c>
      <c r="C143" s="99" t="s">
        <v>7</v>
      </c>
      <c r="D143" s="99"/>
      <c r="E143" s="99">
        <v>100</v>
      </c>
      <c r="F143" s="140">
        <v>29.9</v>
      </c>
      <c r="G143" s="140">
        <v>19.899999999999999</v>
      </c>
      <c r="H143" s="140">
        <v>10</v>
      </c>
      <c r="I143" s="123">
        <v>16</v>
      </c>
      <c r="J143" s="123">
        <v>16.55</v>
      </c>
      <c r="K143" s="145">
        <v>1</v>
      </c>
      <c r="L143" s="140">
        <v>29.9</v>
      </c>
      <c r="M143" s="140">
        <v>19.899999999999999</v>
      </c>
      <c r="N143" s="99"/>
      <c r="O143" s="140">
        <v>10</v>
      </c>
      <c r="P143" s="123">
        <v>16</v>
      </c>
      <c r="Q143" s="123">
        <v>16.55</v>
      </c>
      <c r="R143" s="233">
        <f>YEAR(Tableau4[[#This Row],[Date]])</f>
        <v>2019</v>
      </c>
    </row>
    <row r="144" spans="1:18">
      <c r="A144" s="229">
        <v>43617</v>
      </c>
      <c r="B144" s="244" t="s">
        <v>835</v>
      </c>
      <c r="C144" s="99" t="s">
        <v>7</v>
      </c>
      <c r="D144" s="99"/>
      <c r="E144" s="99">
        <v>100</v>
      </c>
      <c r="F144" s="140">
        <v>29.9</v>
      </c>
      <c r="G144" s="140">
        <v>19.899999999999999</v>
      </c>
      <c r="H144" s="140">
        <v>10</v>
      </c>
      <c r="I144" s="123">
        <v>16</v>
      </c>
      <c r="J144" s="123">
        <v>16.55</v>
      </c>
      <c r="K144" s="145">
        <v>1</v>
      </c>
      <c r="L144" s="140">
        <v>29.9</v>
      </c>
      <c r="M144" s="140">
        <v>19.899999999999999</v>
      </c>
      <c r="N144" s="99"/>
      <c r="O144" s="140">
        <v>10</v>
      </c>
      <c r="P144" s="123">
        <v>16</v>
      </c>
      <c r="Q144" s="123">
        <v>16.55</v>
      </c>
      <c r="R144" s="233">
        <f>YEAR(Tableau4[[#This Row],[Date]])</f>
        <v>2019</v>
      </c>
    </row>
    <row r="145" spans="1:18">
      <c r="A145" s="229">
        <v>43770</v>
      </c>
      <c r="B145" s="244" t="s">
        <v>835</v>
      </c>
      <c r="C145" s="99" t="s">
        <v>7</v>
      </c>
      <c r="D145" s="99"/>
      <c r="E145" s="99">
        <v>100</v>
      </c>
      <c r="F145" s="140">
        <v>32.9</v>
      </c>
      <c r="G145" s="140">
        <v>21.9</v>
      </c>
      <c r="H145" s="140">
        <v>11</v>
      </c>
      <c r="I145" s="123">
        <v>18</v>
      </c>
      <c r="J145" s="123">
        <v>16.55</v>
      </c>
      <c r="K145" s="145">
        <v>1</v>
      </c>
      <c r="L145" s="140">
        <v>32.9</v>
      </c>
      <c r="M145" s="140">
        <v>21.9</v>
      </c>
      <c r="N145" s="99"/>
      <c r="O145" s="140">
        <v>11</v>
      </c>
      <c r="P145" s="123">
        <v>18</v>
      </c>
      <c r="Q145" s="123">
        <v>16.55</v>
      </c>
      <c r="R145" s="233">
        <f>YEAR(Tableau4[[#This Row],[Date]])</f>
        <v>2019</v>
      </c>
    </row>
    <row r="146" spans="1:18">
      <c r="A146" s="229">
        <v>43770</v>
      </c>
      <c r="B146" s="244" t="s">
        <v>835</v>
      </c>
      <c r="C146" s="99" t="s">
        <v>7</v>
      </c>
      <c r="D146" s="99"/>
      <c r="E146" s="99">
        <v>100</v>
      </c>
      <c r="F146" s="140">
        <v>32.9</v>
      </c>
      <c r="G146" s="140">
        <v>21.9</v>
      </c>
      <c r="H146" s="140">
        <v>11</v>
      </c>
      <c r="I146" s="123">
        <v>18</v>
      </c>
      <c r="J146" s="123">
        <v>16.55</v>
      </c>
      <c r="K146" s="145">
        <v>1</v>
      </c>
      <c r="L146" s="140">
        <v>32.9</v>
      </c>
      <c r="M146" s="140">
        <v>21.9</v>
      </c>
      <c r="N146" s="99"/>
      <c r="O146" s="140">
        <v>11</v>
      </c>
      <c r="P146" s="123">
        <v>18</v>
      </c>
      <c r="Q146" s="123">
        <v>16.55</v>
      </c>
      <c r="R146" s="233">
        <f>YEAR(Tableau4[[#This Row],[Date]])</f>
        <v>2019</v>
      </c>
    </row>
    <row r="147" spans="1:18">
      <c r="A147" s="229">
        <v>43770</v>
      </c>
      <c r="B147" s="244" t="s">
        <v>835</v>
      </c>
      <c r="C147" s="99" t="s">
        <v>7</v>
      </c>
      <c r="D147" s="99"/>
      <c r="E147" s="99">
        <v>100</v>
      </c>
      <c r="F147" s="140">
        <v>32.9</v>
      </c>
      <c r="G147" s="140">
        <v>21.9</v>
      </c>
      <c r="H147" s="140">
        <v>11</v>
      </c>
      <c r="I147" s="123">
        <v>18</v>
      </c>
      <c r="J147" s="123">
        <v>16.55</v>
      </c>
      <c r="K147" s="145">
        <v>1</v>
      </c>
      <c r="L147" s="140">
        <v>32.9</v>
      </c>
      <c r="M147" s="140">
        <v>21.9</v>
      </c>
      <c r="N147" s="99"/>
      <c r="O147" s="140">
        <v>11</v>
      </c>
      <c r="P147" s="123">
        <v>18</v>
      </c>
      <c r="Q147" s="123">
        <v>16.55</v>
      </c>
      <c r="R147" s="233">
        <f>YEAR(Tableau4[[#This Row],[Date]])</f>
        <v>2019</v>
      </c>
    </row>
    <row r="148" spans="1:18">
      <c r="A148" s="229">
        <v>43770</v>
      </c>
      <c r="B148" s="244" t="s">
        <v>835</v>
      </c>
      <c r="C148" s="99" t="s">
        <v>51</v>
      </c>
      <c r="D148" s="99"/>
      <c r="E148" s="99"/>
      <c r="F148" s="140">
        <v>25</v>
      </c>
      <c r="G148" s="140">
        <v>21</v>
      </c>
      <c r="H148" s="140">
        <v>4</v>
      </c>
      <c r="I148" s="123">
        <v>11.7</v>
      </c>
      <c r="J148" s="123">
        <v>8.82</v>
      </c>
      <c r="K148" s="145">
        <v>1</v>
      </c>
      <c r="L148" s="140">
        <v>25</v>
      </c>
      <c r="M148" s="140">
        <v>21</v>
      </c>
      <c r="N148" s="99"/>
      <c r="O148" s="140">
        <v>4</v>
      </c>
      <c r="P148" s="123">
        <v>11.7</v>
      </c>
      <c r="Q148" s="123">
        <v>8.82</v>
      </c>
      <c r="R148" s="233">
        <f>YEAR(Tableau4[[#This Row],[Date]])</f>
        <v>2019</v>
      </c>
    </row>
    <row r="149" spans="1:18">
      <c r="A149" s="229">
        <v>43770</v>
      </c>
      <c r="B149" s="244" t="s">
        <v>835</v>
      </c>
      <c r="C149" s="99" t="s">
        <v>7</v>
      </c>
      <c r="D149" s="99"/>
      <c r="E149" s="99" t="s">
        <v>53</v>
      </c>
      <c r="F149" s="140">
        <v>5</v>
      </c>
      <c r="G149" s="140">
        <v>2.9</v>
      </c>
      <c r="H149" s="140">
        <v>2.1</v>
      </c>
      <c r="I149" s="123">
        <v>1.5</v>
      </c>
      <c r="J149" s="123">
        <v>1</v>
      </c>
      <c r="K149" s="145">
        <v>1</v>
      </c>
      <c r="L149" s="140">
        <v>5</v>
      </c>
      <c r="M149" s="140">
        <v>2.9</v>
      </c>
      <c r="N149" s="99"/>
      <c r="O149" s="140">
        <v>2.1</v>
      </c>
      <c r="P149" s="123">
        <v>1.5</v>
      </c>
      <c r="Q149" s="123">
        <v>1</v>
      </c>
      <c r="R149" s="233">
        <f>YEAR(Tableau4[[#This Row],[Date]])</f>
        <v>2019</v>
      </c>
    </row>
    <row r="150" spans="1:18">
      <c r="A150" s="229">
        <v>43770</v>
      </c>
      <c r="B150" s="244" t="s">
        <v>835</v>
      </c>
      <c r="C150" s="99" t="s">
        <v>7</v>
      </c>
      <c r="D150" s="99"/>
      <c r="E150" s="99" t="s">
        <v>53</v>
      </c>
      <c r="F150" s="140">
        <v>5</v>
      </c>
      <c r="G150" s="140">
        <v>2.9</v>
      </c>
      <c r="H150" s="140">
        <v>2.1</v>
      </c>
      <c r="I150" s="123">
        <v>1.5</v>
      </c>
      <c r="J150" s="123">
        <v>1</v>
      </c>
      <c r="K150" s="145">
        <v>1</v>
      </c>
      <c r="L150" s="140">
        <v>5</v>
      </c>
      <c r="M150" s="140">
        <v>2.9</v>
      </c>
      <c r="N150" s="99"/>
      <c r="O150" s="140">
        <v>2.1</v>
      </c>
      <c r="P150" s="123">
        <v>1.5</v>
      </c>
      <c r="Q150" s="123">
        <v>1</v>
      </c>
      <c r="R150" s="233">
        <f>YEAR(Tableau4[[#This Row],[Date]])</f>
        <v>2019</v>
      </c>
    </row>
    <row r="151" spans="1:18">
      <c r="A151" s="247">
        <v>44013</v>
      </c>
      <c r="B151" s="244" t="s">
        <v>836</v>
      </c>
      <c r="C151" s="99" t="s">
        <v>9</v>
      </c>
      <c r="D151" s="99"/>
      <c r="E151" s="99"/>
      <c r="F151" s="140">
        <v>9.9</v>
      </c>
      <c r="G151" s="140">
        <v>7</v>
      </c>
      <c r="H151" s="140">
        <v>2.9000000000000004</v>
      </c>
      <c r="I151" s="123">
        <v>5</v>
      </c>
      <c r="J151" s="123">
        <v>2.94</v>
      </c>
      <c r="K151" s="145">
        <v>1</v>
      </c>
      <c r="L151" s="140">
        <v>9.9</v>
      </c>
      <c r="M151" s="140">
        <v>7</v>
      </c>
      <c r="N151" s="99"/>
      <c r="O151" s="140">
        <v>2.9000000000000004</v>
      </c>
      <c r="P151" s="123">
        <v>5</v>
      </c>
      <c r="Q151" s="123">
        <v>2.94</v>
      </c>
      <c r="R151" s="233">
        <f>YEAR(Tableau4[[#This Row],[Date]])</f>
        <v>2020</v>
      </c>
    </row>
    <row r="152" spans="1:18">
      <c r="A152" s="247">
        <v>44013</v>
      </c>
      <c r="B152" s="244" t="s">
        <v>836</v>
      </c>
      <c r="C152" s="99" t="s">
        <v>9</v>
      </c>
      <c r="D152" s="99"/>
      <c r="E152" s="99"/>
      <c r="F152" s="140">
        <v>19.899999999999999</v>
      </c>
      <c r="G152" s="140">
        <v>10.65</v>
      </c>
      <c r="H152" s="140">
        <v>9.2499999999999982</v>
      </c>
      <c r="I152" s="123">
        <v>8.5</v>
      </c>
      <c r="J152" s="123">
        <v>8.9499999999999993</v>
      </c>
      <c r="K152" s="145">
        <v>1</v>
      </c>
      <c r="L152" s="140">
        <v>18.2</v>
      </c>
      <c r="M152" s="140">
        <v>10.65</v>
      </c>
      <c r="N152" s="99">
        <v>1.7</v>
      </c>
      <c r="O152" s="140">
        <v>7.5499999999999989</v>
      </c>
      <c r="P152" s="123">
        <v>8.5</v>
      </c>
      <c r="Q152" s="123">
        <v>8.9499999999999993</v>
      </c>
      <c r="R152" s="233">
        <f>YEAR(Tableau4[[#This Row],[Date]])</f>
        <v>2020</v>
      </c>
    </row>
    <row r="153" spans="1:18">
      <c r="A153" s="247">
        <v>44013</v>
      </c>
      <c r="B153" s="244" t="s">
        <v>836</v>
      </c>
      <c r="C153" s="99" t="s">
        <v>9</v>
      </c>
      <c r="D153" s="99"/>
      <c r="E153" s="99"/>
      <c r="F153" s="140">
        <v>16.899999999999999</v>
      </c>
      <c r="G153" s="140">
        <v>12</v>
      </c>
      <c r="H153" s="140">
        <v>4.8999999999999986</v>
      </c>
      <c r="I153" s="123">
        <v>10</v>
      </c>
      <c r="J153" s="123">
        <v>10.08</v>
      </c>
      <c r="K153" s="145">
        <v>1</v>
      </c>
      <c r="L153" s="140">
        <v>16.899999999999999</v>
      </c>
      <c r="M153" s="140">
        <v>12</v>
      </c>
      <c r="N153" s="99"/>
      <c r="O153" s="140">
        <v>4.8999999999999986</v>
      </c>
      <c r="P153" s="123">
        <v>10</v>
      </c>
      <c r="Q153" s="123">
        <v>10.08</v>
      </c>
      <c r="R153" s="233">
        <f>YEAR(Tableau4[[#This Row],[Date]])</f>
        <v>2020</v>
      </c>
    </row>
    <row r="154" spans="1:18">
      <c r="A154" s="247">
        <v>44013</v>
      </c>
      <c r="B154" s="244" t="s">
        <v>836</v>
      </c>
      <c r="C154" s="99" t="s">
        <v>9</v>
      </c>
      <c r="D154" s="99"/>
      <c r="E154" s="99"/>
      <c r="F154" s="140">
        <v>11.9</v>
      </c>
      <c r="G154" s="140">
        <v>9</v>
      </c>
      <c r="H154" s="140">
        <v>2.9000000000000004</v>
      </c>
      <c r="I154" s="123">
        <v>6</v>
      </c>
      <c r="J154" s="123">
        <v>3.28</v>
      </c>
      <c r="K154" s="145">
        <v>1</v>
      </c>
      <c r="L154" s="140">
        <v>11.9</v>
      </c>
      <c r="M154" s="140">
        <v>9</v>
      </c>
      <c r="N154" s="99"/>
      <c r="O154" s="140">
        <v>2.9000000000000004</v>
      </c>
      <c r="P154" s="123">
        <v>8</v>
      </c>
      <c r="Q154" s="123">
        <v>3.28</v>
      </c>
      <c r="R154" s="233">
        <f>YEAR(Tableau4[[#This Row],[Date]])</f>
        <v>2020</v>
      </c>
    </row>
    <row r="155" spans="1:18">
      <c r="A155" s="229">
        <v>43678</v>
      </c>
      <c r="B155" s="244" t="s">
        <v>837</v>
      </c>
      <c r="C155" s="99" t="s">
        <v>9</v>
      </c>
      <c r="D155" s="99"/>
      <c r="E155" s="99"/>
      <c r="F155" s="140">
        <v>19.899999999999999</v>
      </c>
      <c r="G155" s="140">
        <v>13.9</v>
      </c>
      <c r="H155" s="140">
        <v>5.9999999999999982</v>
      </c>
      <c r="I155" s="123">
        <v>11.5</v>
      </c>
      <c r="J155" s="123">
        <v>11.68</v>
      </c>
      <c r="K155" s="145">
        <v>1</v>
      </c>
      <c r="L155" s="140">
        <v>19.5</v>
      </c>
      <c r="M155" s="140">
        <v>13.9</v>
      </c>
      <c r="N155" s="99">
        <v>0.4</v>
      </c>
      <c r="O155" s="140">
        <v>5.5999999999999979</v>
      </c>
      <c r="P155" s="123">
        <v>11.5</v>
      </c>
      <c r="Q155" s="123">
        <v>11.68</v>
      </c>
      <c r="R155" s="233">
        <f>YEAR(Tableau4[[#This Row],[Date]])</f>
        <v>2019</v>
      </c>
    </row>
    <row r="156" spans="1:18">
      <c r="A156" s="229">
        <v>43678</v>
      </c>
      <c r="B156" s="244" t="s">
        <v>837</v>
      </c>
      <c r="C156" s="99" t="s">
        <v>9</v>
      </c>
      <c r="D156" s="99"/>
      <c r="E156" s="99"/>
      <c r="F156" s="140">
        <v>10.9</v>
      </c>
      <c r="G156" s="140">
        <v>7.8</v>
      </c>
      <c r="H156" s="140">
        <v>3.1000000000000005</v>
      </c>
      <c r="I156" s="123">
        <v>6</v>
      </c>
      <c r="J156" s="123">
        <v>3.28</v>
      </c>
      <c r="K156" s="145">
        <v>1</v>
      </c>
      <c r="L156" s="140">
        <v>10.9</v>
      </c>
      <c r="M156" s="140">
        <v>7.8</v>
      </c>
      <c r="N156" s="99"/>
      <c r="O156" s="140">
        <v>3.1000000000000005</v>
      </c>
      <c r="P156" s="123">
        <v>8</v>
      </c>
      <c r="Q156" s="123">
        <v>3.28</v>
      </c>
      <c r="R156" s="233">
        <f>YEAR(Tableau4[[#This Row],[Date]])</f>
        <v>2019</v>
      </c>
    </row>
    <row r="157" spans="1:18">
      <c r="A157" s="229">
        <v>43647</v>
      </c>
      <c r="B157" s="244" t="s">
        <v>838</v>
      </c>
      <c r="C157" s="99" t="s">
        <v>7</v>
      </c>
      <c r="D157" s="99"/>
      <c r="E157" s="99">
        <v>100</v>
      </c>
      <c r="F157" s="140">
        <v>29.9</v>
      </c>
      <c r="G157" s="140">
        <v>19.899999999999999</v>
      </c>
      <c r="H157" s="140">
        <v>10</v>
      </c>
      <c r="I157" s="123">
        <v>16</v>
      </c>
      <c r="J157" s="123">
        <v>16.55</v>
      </c>
      <c r="K157" s="145">
        <v>1</v>
      </c>
      <c r="L157" s="140">
        <v>29.5</v>
      </c>
      <c r="M157" s="140">
        <v>19.899999999999999</v>
      </c>
      <c r="N157" s="99">
        <v>0.4</v>
      </c>
      <c r="O157" s="140">
        <v>9.6</v>
      </c>
      <c r="P157" s="123">
        <v>16</v>
      </c>
      <c r="Q157" s="123">
        <v>16.55</v>
      </c>
      <c r="R157" s="233">
        <f>YEAR(Tableau4[[#This Row],[Date]])</f>
        <v>2019</v>
      </c>
    </row>
    <row r="158" spans="1:18">
      <c r="A158" s="229">
        <v>43800</v>
      </c>
      <c r="B158" s="244" t="s">
        <v>838</v>
      </c>
      <c r="C158" s="99" t="s">
        <v>7</v>
      </c>
      <c r="D158" s="99"/>
      <c r="E158" s="99">
        <v>100</v>
      </c>
      <c r="F158" s="140">
        <v>32.9</v>
      </c>
      <c r="G158" s="140">
        <v>21.9</v>
      </c>
      <c r="H158" s="140">
        <v>11</v>
      </c>
      <c r="I158" s="123">
        <v>18</v>
      </c>
      <c r="J158" s="123">
        <v>16.55</v>
      </c>
      <c r="K158" s="145">
        <v>1</v>
      </c>
      <c r="L158" s="140">
        <v>23</v>
      </c>
      <c r="M158" s="140">
        <v>21.9</v>
      </c>
      <c r="N158" s="99">
        <v>9.9</v>
      </c>
      <c r="O158" s="140">
        <v>1.1000000000000014</v>
      </c>
      <c r="P158" s="123">
        <v>18</v>
      </c>
      <c r="Q158" s="123">
        <v>16.55</v>
      </c>
      <c r="R158" s="233">
        <f>YEAR(Tableau4[[#This Row],[Date]])</f>
        <v>2019</v>
      </c>
    </row>
    <row r="159" spans="1:18">
      <c r="A159" s="229">
        <v>43800</v>
      </c>
      <c r="B159" s="244" t="s">
        <v>838</v>
      </c>
      <c r="C159" s="99" t="s">
        <v>7</v>
      </c>
      <c r="D159" s="99"/>
      <c r="E159" s="99">
        <v>100</v>
      </c>
      <c r="F159" s="140">
        <v>32.9</v>
      </c>
      <c r="G159" s="140">
        <v>21.9</v>
      </c>
      <c r="H159" s="140">
        <v>11</v>
      </c>
      <c r="I159" s="123">
        <v>18</v>
      </c>
      <c r="J159" s="123">
        <v>16.55</v>
      </c>
      <c r="K159" s="145">
        <v>1</v>
      </c>
      <c r="L159" s="140">
        <v>23</v>
      </c>
      <c r="M159" s="140">
        <v>21.9</v>
      </c>
      <c r="N159" s="99">
        <v>9.9</v>
      </c>
      <c r="O159" s="140">
        <v>1.1000000000000014</v>
      </c>
      <c r="P159" s="123">
        <v>18</v>
      </c>
      <c r="Q159" s="123">
        <v>16.55</v>
      </c>
      <c r="R159" s="233">
        <f>YEAR(Tableau4[[#This Row],[Date]])</f>
        <v>2019</v>
      </c>
    </row>
    <row r="160" spans="1:18">
      <c r="A160" s="229">
        <v>43709</v>
      </c>
      <c r="B160" s="244" t="s">
        <v>839</v>
      </c>
      <c r="C160" s="99" t="s">
        <v>9</v>
      </c>
      <c r="D160" s="99"/>
      <c r="E160" s="99"/>
      <c r="F160" s="140">
        <v>8.9</v>
      </c>
      <c r="G160" s="140">
        <v>6.35</v>
      </c>
      <c r="H160" s="140">
        <v>2.5500000000000007</v>
      </c>
      <c r="I160" s="123">
        <v>5</v>
      </c>
      <c r="J160" s="123">
        <v>2.67</v>
      </c>
      <c r="K160" s="145">
        <v>1</v>
      </c>
      <c r="L160" s="140">
        <v>8.9</v>
      </c>
      <c r="M160" s="140">
        <v>6.35</v>
      </c>
      <c r="N160" s="99"/>
      <c r="O160" s="140">
        <v>2.5500000000000007</v>
      </c>
      <c r="P160" s="123">
        <v>5</v>
      </c>
      <c r="Q160" s="123">
        <v>2.67</v>
      </c>
      <c r="R160" s="233">
        <f>YEAR(Tableau4[[#This Row],[Date]])</f>
        <v>2019</v>
      </c>
    </row>
    <row r="161" spans="1:18">
      <c r="A161" s="229">
        <v>43709</v>
      </c>
      <c r="B161" s="244" t="s">
        <v>839</v>
      </c>
      <c r="C161" s="99" t="s">
        <v>7</v>
      </c>
      <c r="D161" s="99"/>
      <c r="E161" s="99">
        <v>100</v>
      </c>
      <c r="F161" s="140">
        <v>29.9</v>
      </c>
      <c r="G161" s="140">
        <v>19.899999999999999</v>
      </c>
      <c r="H161" s="140">
        <v>10</v>
      </c>
      <c r="I161" s="123">
        <v>16</v>
      </c>
      <c r="J161" s="123">
        <v>16.55</v>
      </c>
      <c r="K161" s="145">
        <v>1</v>
      </c>
      <c r="L161" s="140">
        <v>29.9</v>
      </c>
      <c r="M161" s="140">
        <v>19.899999999999999</v>
      </c>
      <c r="N161" s="99"/>
      <c r="O161" s="140">
        <v>10</v>
      </c>
      <c r="P161" s="123">
        <v>16</v>
      </c>
      <c r="Q161" s="123">
        <v>16.55</v>
      </c>
      <c r="R161" s="233">
        <f>YEAR(Tableau4[[#This Row],[Date]])</f>
        <v>2019</v>
      </c>
    </row>
    <row r="162" spans="1:18">
      <c r="A162" s="229">
        <v>43709</v>
      </c>
      <c r="B162" s="244" t="s">
        <v>839</v>
      </c>
      <c r="C162" s="99" t="s">
        <v>9</v>
      </c>
      <c r="D162" s="99"/>
      <c r="E162" s="99"/>
      <c r="F162" s="140">
        <v>20.5</v>
      </c>
      <c r="G162" s="140">
        <v>14.6</v>
      </c>
      <c r="H162" s="140">
        <v>5.9</v>
      </c>
      <c r="I162" s="123">
        <v>11.5</v>
      </c>
      <c r="J162" s="123">
        <v>12.27</v>
      </c>
      <c r="K162" s="145">
        <v>1</v>
      </c>
      <c r="L162" s="140">
        <v>20.5</v>
      </c>
      <c r="M162" s="140">
        <v>14.6</v>
      </c>
      <c r="N162" s="99"/>
      <c r="O162" s="140">
        <v>5.9</v>
      </c>
      <c r="P162" s="123">
        <v>12.5</v>
      </c>
      <c r="Q162" s="123">
        <v>12.27</v>
      </c>
      <c r="R162" s="233">
        <f>YEAR(Tableau4[[#This Row],[Date]])</f>
        <v>2019</v>
      </c>
    </row>
    <row r="163" spans="1:18">
      <c r="A163" s="229">
        <v>43770</v>
      </c>
      <c r="B163" s="244" t="s">
        <v>839</v>
      </c>
      <c r="C163" s="99" t="s">
        <v>58</v>
      </c>
      <c r="D163" s="99"/>
      <c r="E163" s="99"/>
      <c r="F163" s="140">
        <v>21</v>
      </c>
      <c r="G163" s="140">
        <v>14.3</v>
      </c>
      <c r="H163" s="140">
        <v>5.6999999999999993</v>
      </c>
      <c r="I163" s="123">
        <v>11</v>
      </c>
      <c r="J163" s="123">
        <v>12.02</v>
      </c>
      <c r="K163" s="145">
        <v>1</v>
      </c>
      <c r="L163" s="140">
        <v>21</v>
      </c>
      <c r="M163" s="140">
        <v>14.3</v>
      </c>
      <c r="N163" s="99"/>
      <c r="O163" s="140">
        <v>6.7</v>
      </c>
      <c r="P163" s="123">
        <v>11</v>
      </c>
      <c r="Q163" s="123">
        <v>12.02</v>
      </c>
      <c r="R163" s="233">
        <f>YEAR(Tableau4[[#This Row],[Date]])</f>
        <v>2019</v>
      </c>
    </row>
    <row r="164" spans="1:18">
      <c r="A164" s="229">
        <v>43770</v>
      </c>
      <c r="B164" s="244" t="s">
        <v>839</v>
      </c>
      <c r="C164" s="99" t="s">
        <v>7</v>
      </c>
      <c r="D164" s="99"/>
      <c r="E164" s="99">
        <v>50</v>
      </c>
      <c r="F164" s="140">
        <v>19.899999999999999</v>
      </c>
      <c r="G164" s="140">
        <v>13.3</v>
      </c>
      <c r="H164" s="140">
        <v>6.5999999999999979</v>
      </c>
      <c r="I164" s="123">
        <v>11</v>
      </c>
      <c r="J164" s="123">
        <v>9</v>
      </c>
      <c r="K164" s="145">
        <v>1</v>
      </c>
      <c r="L164" s="140">
        <v>19.899999999999999</v>
      </c>
      <c r="M164" s="140">
        <v>13.3</v>
      </c>
      <c r="N164" s="99"/>
      <c r="O164" s="140">
        <v>6.5999999999999979</v>
      </c>
      <c r="P164" s="123">
        <v>11</v>
      </c>
      <c r="Q164" s="123">
        <v>9</v>
      </c>
      <c r="R164" s="233">
        <f>YEAR(Tableau4[[#This Row],[Date]])</f>
        <v>2019</v>
      </c>
    </row>
    <row r="165" spans="1:18">
      <c r="A165" s="247">
        <v>43891</v>
      </c>
      <c r="B165" s="244" t="s">
        <v>839</v>
      </c>
      <c r="C165" s="99" t="s">
        <v>7</v>
      </c>
      <c r="D165" s="99"/>
      <c r="E165" s="99" t="s">
        <v>76</v>
      </c>
      <c r="F165" s="140">
        <v>32.9</v>
      </c>
      <c r="G165" s="140">
        <v>21.9</v>
      </c>
      <c r="H165" s="140">
        <v>11</v>
      </c>
      <c r="I165" s="123">
        <v>18</v>
      </c>
      <c r="J165" s="123">
        <v>16.55</v>
      </c>
      <c r="K165" s="145">
        <v>1</v>
      </c>
      <c r="L165" s="140">
        <v>32.9</v>
      </c>
      <c r="M165" s="140">
        <v>21.9</v>
      </c>
      <c r="N165" s="99"/>
      <c r="O165" s="140">
        <v>11</v>
      </c>
      <c r="P165" s="123">
        <v>18</v>
      </c>
      <c r="Q165" s="123">
        <v>16.55</v>
      </c>
      <c r="R165" s="233">
        <f>YEAR(Tableau4[[#This Row],[Date]])</f>
        <v>2020</v>
      </c>
    </row>
    <row r="166" spans="1:18">
      <c r="A166" s="247">
        <v>43922</v>
      </c>
      <c r="B166" s="244" t="s">
        <v>839</v>
      </c>
      <c r="C166" s="99" t="s">
        <v>51</v>
      </c>
      <c r="D166" s="99"/>
      <c r="E166" s="99"/>
      <c r="F166" s="140">
        <v>40</v>
      </c>
      <c r="G166" s="140">
        <v>19.899999999999999</v>
      </c>
      <c r="H166" s="140">
        <v>20.100000000000001</v>
      </c>
      <c r="I166" s="123">
        <v>20</v>
      </c>
      <c r="J166" s="123">
        <v>8</v>
      </c>
      <c r="K166" s="145">
        <v>1</v>
      </c>
      <c r="L166" s="140">
        <v>40</v>
      </c>
      <c r="M166" s="140">
        <v>19.899999999999999</v>
      </c>
      <c r="N166" s="99"/>
      <c r="O166" s="140">
        <v>20.100000000000001</v>
      </c>
      <c r="P166" s="123">
        <v>20</v>
      </c>
      <c r="Q166" s="123">
        <v>8</v>
      </c>
      <c r="R166" s="233">
        <f>YEAR(Tableau4[[#This Row],[Date]])</f>
        <v>2020</v>
      </c>
    </row>
    <row r="167" spans="1:18">
      <c r="A167" s="247">
        <v>43983</v>
      </c>
      <c r="B167" s="244" t="s">
        <v>839</v>
      </c>
      <c r="C167" s="99" t="s">
        <v>9</v>
      </c>
      <c r="D167" s="99"/>
      <c r="E167" s="99"/>
      <c r="F167" s="140">
        <v>19.899999999999999</v>
      </c>
      <c r="G167" s="140">
        <v>13.9</v>
      </c>
      <c r="H167" s="140">
        <v>5.9999999999999982</v>
      </c>
      <c r="I167" s="123">
        <v>11.5</v>
      </c>
      <c r="J167" s="123">
        <v>11.68</v>
      </c>
      <c r="K167" s="145">
        <v>1</v>
      </c>
      <c r="L167" s="140">
        <v>19.899999999999999</v>
      </c>
      <c r="M167" s="140">
        <v>13.9</v>
      </c>
      <c r="N167" s="99"/>
      <c r="O167" s="140">
        <v>5.9999999999999982</v>
      </c>
      <c r="P167" s="123">
        <v>11.5</v>
      </c>
      <c r="Q167" s="123">
        <v>11.68</v>
      </c>
      <c r="R167" s="233">
        <f>YEAR(Tableau4[[#This Row],[Date]])</f>
        <v>2020</v>
      </c>
    </row>
    <row r="168" spans="1:18">
      <c r="A168" s="247">
        <v>43983</v>
      </c>
      <c r="B168" s="244" t="s">
        <v>839</v>
      </c>
      <c r="C168" s="99" t="s">
        <v>9</v>
      </c>
      <c r="D168" s="99"/>
      <c r="E168" s="99"/>
      <c r="F168" s="140">
        <v>16.899999999999999</v>
      </c>
      <c r="G168" s="140">
        <v>12.7</v>
      </c>
      <c r="H168" s="140">
        <v>4.1999999999999993</v>
      </c>
      <c r="I168" s="123">
        <v>9</v>
      </c>
      <c r="J168" s="123">
        <v>5.5</v>
      </c>
      <c r="K168" s="145">
        <v>1</v>
      </c>
      <c r="L168" s="140">
        <v>16.899999999999999</v>
      </c>
      <c r="M168" s="140">
        <v>12.7</v>
      </c>
      <c r="N168" s="99"/>
      <c r="O168" s="140">
        <v>4.1999999999999993</v>
      </c>
      <c r="P168" s="123">
        <v>10</v>
      </c>
      <c r="Q168" s="123">
        <v>5.5</v>
      </c>
      <c r="R168" s="233">
        <f>YEAR(Tableau4[[#This Row],[Date]])</f>
        <v>2020</v>
      </c>
    </row>
    <row r="169" spans="1:18">
      <c r="A169" s="229">
        <v>43617</v>
      </c>
      <c r="B169" s="244" t="s">
        <v>840</v>
      </c>
      <c r="C169" s="99" t="s">
        <v>9</v>
      </c>
      <c r="D169" s="99"/>
      <c r="E169" s="99"/>
      <c r="F169" s="140">
        <v>14.9</v>
      </c>
      <c r="G169" s="140">
        <v>10.65</v>
      </c>
      <c r="H169" s="140">
        <v>4.25</v>
      </c>
      <c r="I169" s="123">
        <v>9</v>
      </c>
      <c r="J169" s="123">
        <v>5.5</v>
      </c>
      <c r="K169" s="145">
        <v>1</v>
      </c>
      <c r="L169" s="140">
        <v>14.9</v>
      </c>
      <c r="M169" s="140">
        <v>10.65</v>
      </c>
      <c r="N169" s="99"/>
      <c r="O169" s="140">
        <v>4.25</v>
      </c>
      <c r="P169" s="123">
        <v>10</v>
      </c>
      <c r="Q169" s="123">
        <v>5.5</v>
      </c>
      <c r="R169" s="233">
        <f>YEAR(Tableau4[[#This Row],[Date]])</f>
        <v>2019</v>
      </c>
    </row>
    <row r="170" spans="1:18">
      <c r="A170" s="229">
        <v>43800</v>
      </c>
      <c r="B170" s="244" t="s">
        <v>841</v>
      </c>
      <c r="C170" s="99" t="s">
        <v>7</v>
      </c>
      <c r="D170" s="99"/>
      <c r="E170" s="99">
        <v>100</v>
      </c>
      <c r="F170" s="140">
        <v>32.9</v>
      </c>
      <c r="G170" s="140">
        <v>21.9</v>
      </c>
      <c r="H170" s="140">
        <v>11</v>
      </c>
      <c r="I170" s="123">
        <v>18</v>
      </c>
      <c r="J170" s="123">
        <v>16.55</v>
      </c>
      <c r="K170" s="145">
        <v>1</v>
      </c>
      <c r="L170" s="140">
        <v>32.9</v>
      </c>
      <c r="M170" s="140">
        <v>21.9</v>
      </c>
      <c r="N170" s="99"/>
      <c r="O170" s="140">
        <v>11</v>
      </c>
      <c r="P170" s="123">
        <v>18</v>
      </c>
      <c r="Q170" s="123">
        <v>16.55</v>
      </c>
      <c r="R170" s="233">
        <f>YEAR(Tableau4[[#This Row],[Date]])</f>
        <v>2019</v>
      </c>
    </row>
    <row r="171" spans="1:18">
      <c r="A171" s="229">
        <v>43739</v>
      </c>
      <c r="B171" s="244" t="s">
        <v>842</v>
      </c>
      <c r="C171" s="99" t="s">
        <v>7</v>
      </c>
      <c r="D171" s="99"/>
      <c r="E171" s="99" t="s">
        <v>53</v>
      </c>
      <c r="F171" s="140">
        <v>5</v>
      </c>
      <c r="G171" s="140">
        <v>2.9</v>
      </c>
      <c r="H171" s="140">
        <v>2.1</v>
      </c>
      <c r="I171" s="123">
        <v>1.5</v>
      </c>
      <c r="J171" s="123">
        <v>1</v>
      </c>
      <c r="K171" s="145">
        <v>1</v>
      </c>
      <c r="L171" s="140">
        <v>5</v>
      </c>
      <c r="M171" s="140">
        <v>2.9</v>
      </c>
      <c r="N171" s="99"/>
      <c r="O171" s="140">
        <v>2.1</v>
      </c>
      <c r="P171" s="123">
        <v>1.5</v>
      </c>
      <c r="Q171" s="123">
        <v>1</v>
      </c>
      <c r="R171" s="233">
        <f>YEAR(Tableau4[[#This Row],[Date]])</f>
        <v>2019</v>
      </c>
    </row>
    <row r="172" spans="1:18">
      <c r="A172" s="229">
        <v>43739</v>
      </c>
      <c r="B172" s="245" t="s">
        <v>842</v>
      </c>
      <c r="C172" s="99" t="s">
        <v>7</v>
      </c>
      <c r="D172" s="99"/>
      <c r="E172" s="99" t="s">
        <v>53</v>
      </c>
      <c r="F172" s="140">
        <v>5</v>
      </c>
      <c r="G172" s="140">
        <v>2.9</v>
      </c>
      <c r="H172" s="140">
        <v>2.1</v>
      </c>
      <c r="I172" s="123">
        <v>1.5</v>
      </c>
      <c r="J172" s="123">
        <v>1</v>
      </c>
      <c r="K172" s="145">
        <v>1</v>
      </c>
      <c r="L172" s="140">
        <v>5</v>
      </c>
      <c r="M172" s="140">
        <v>2.9</v>
      </c>
      <c r="N172" s="99"/>
      <c r="O172" s="140">
        <v>2.1</v>
      </c>
      <c r="P172" s="123">
        <v>1.5</v>
      </c>
      <c r="Q172" s="123">
        <v>1</v>
      </c>
      <c r="R172" s="233">
        <f>YEAR(Tableau4[[#This Row],[Date]])</f>
        <v>2019</v>
      </c>
    </row>
    <row r="173" spans="1:18">
      <c r="A173" s="229">
        <v>43556</v>
      </c>
      <c r="B173" s="245" t="s">
        <v>843</v>
      </c>
      <c r="C173" s="99" t="s">
        <v>7</v>
      </c>
      <c r="D173" s="99"/>
      <c r="E173" s="99">
        <v>50</v>
      </c>
      <c r="F173" s="140">
        <v>19.899999999999999</v>
      </c>
      <c r="G173" s="140">
        <v>13.3</v>
      </c>
      <c r="H173" s="140">
        <v>6.5999999999999979</v>
      </c>
      <c r="I173" s="123">
        <v>11</v>
      </c>
      <c r="J173" s="123">
        <v>9</v>
      </c>
      <c r="K173" s="145">
        <v>1</v>
      </c>
      <c r="L173" s="140">
        <v>19.899999999999999</v>
      </c>
      <c r="M173" s="140">
        <v>13.3</v>
      </c>
      <c r="N173" s="99"/>
      <c r="O173" s="140">
        <v>6.5999999999999979</v>
      </c>
      <c r="P173" s="123">
        <v>11</v>
      </c>
      <c r="Q173" s="123">
        <v>9</v>
      </c>
      <c r="R173" s="233">
        <f>YEAR(Tableau4[[#This Row],[Date]])</f>
        <v>2019</v>
      </c>
    </row>
    <row r="174" spans="1:18">
      <c r="A174" s="229">
        <v>43556</v>
      </c>
      <c r="B174" s="245" t="s">
        <v>843</v>
      </c>
      <c r="C174" s="99" t="s">
        <v>7</v>
      </c>
      <c r="D174" s="99"/>
      <c r="E174" s="99">
        <v>50</v>
      </c>
      <c r="F174" s="140">
        <v>19.899999999999999</v>
      </c>
      <c r="G174" s="140">
        <v>13.3</v>
      </c>
      <c r="H174" s="140">
        <v>6.5999999999999979</v>
      </c>
      <c r="I174" s="123">
        <v>11</v>
      </c>
      <c r="J174" s="123">
        <v>9</v>
      </c>
      <c r="K174" s="145">
        <v>1</v>
      </c>
      <c r="L174" s="140">
        <v>19.899999999999999</v>
      </c>
      <c r="M174" s="140">
        <v>13.3</v>
      </c>
      <c r="N174" s="99"/>
      <c r="O174" s="140">
        <v>6.5999999999999979</v>
      </c>
      <c r="P174" s="123">
        <v>11</v>
      </c>
      <c r="Q174" s="123">
        <v>9</v>
      </c>
      <c r="R174" s="233">
        <f>YEAR(Tableau4[[#This Row],[Date]])</f>
        <v>2019</v>
      </c>
    </row>
    <row r="175" spans="1:18">
      <c r="A175" s="229">
        <v>43556</v>
      </c>
      <c r="B175" s="245" t="s">
        <v>843</v>
      </c>
      <c r="C175" s="99" t="s">
        <v>7</v>
      </c>
      <c r="D175" s="99"/>
      <c r="E175" s="99">
        <v>50</v>
      </c>
      <c r="F175" s="140">
        <v>19.899999999999999</v>
      </c>
      <c r="G175" s="140">
        <v>13.3</v>
      </c>
      <c r="H175" s="140">
        <v>6.5999999999999979</v>
      </c>
      <c r="I175" s="123">
        <v>11</v>
      </c>
      <c r="J175" s="123">
        <v>9</v>
      </c>
      <c r="K175" s="145">
        <v>1</v>
      </c>
      <c r="L175" s="140">
        <v>19.899999999999999</v>
      </c>
      <c r="M175" s="140">
        <v>13.3</v>
      </c>
      <c r="N175" s="99"/>
      <c r="O175" s="140">
        <v>6.5999999999999979</v>
      </c>
      <c r="P175" s="123">
        <v>11</v>
      </c>
      <c r="Q175" s="123">
        <v>9</v>
      </c>
      <c r="R175" s="233">
        <f>YEAR(Tableau4[[#This Row],[Date]])</f>
        <v>2019</v>
      </c>
    </row>
    <row r="176" spans="1:18">
      <c r="A176" s="229">
        <v>43617</v>
      </c>
      <c r="B176" s="245" t="s">
        <v>843</v>
      </c>
      <c r="C176" s="99" t="s">
        <v>9</v>
      </c>
      <c r="D176" s="99"/>
      <c r="E176" s="99"/>
      <c r="F176" s="140">
        <v>14.9</v>
      </c>
      <c r="G176" s="140">
        <v>10.65</v>
      </c>
      <c r="H176" s="140">
        <v>4.25</v>
      </c>
      <c r="I176" s="123">
        <v>9</v>
      </c>
      <c r="J176" s="123">
        <v>5.5</v>
      </c>
      <c r="K176" s="145">
        <v>1</v>
      </c>
      <c r="L176" s="140">
        <v>14.9</v>
      </c>
      <c r="M176" s="140">
        <v>10.65</v>
      </c>
      <c r="N176" s="99"/>
      <c r="O176" s="140">
        <v>4.25</v>
      </c>
      <c r="P176" s="123">
        <v>10</v>
      </c>
      <c r="Q176" s="123">
        <v>5.5</v>
      </c>
      <c r="R176" s="233">
        <f>YEAR(Tableau4[[#This Row],[Date]])</f>
        <v>2019</v>
      </c>
    </row>
    <row r="177" spans="1:18">
      <c r="A177" s="229">
        <v>43739</v>
      </c>
      <c r="B177" s="245" t="s">
        <v>843</v>
      </c>
      <c r="C177" s="99" t="s">
        <v>9</v>
      </c>
      <c r="D177" s="99"/>
      <c r="E177" s="99"/>
      <c r="F177" s="140">
        <v>20.5</v>
      </c>
      <c r="G177" s="140">
        <v>14.6</v>
      </c>
      <c r="H177" s="140">
        <v>5.9</v>
      </c>
      <c r="I177" s="123">
        <v>11.5</v>
      </c>
      <c r="J177" s="123">
        <v>12.27</v>
      </c>
      <c r="K177" s="145">
        <v>1</v>
      </c>
      <c r="L177" s="140">
        <v>20.5</v>
      </c>
      <c r="M177" s="140">
        <v>14.6</v>
      </c>
      <c r="N177" s="99"/>
      <c r="O177" s="140">
        <v>5.9</v>
      </c>
      <c r="P177" s="123">
        <v>12.5</v>
      </c>
      <c r="Q177" s="123">
        <v>12.27</v>
      </c>
      <c r="R177" s="233">
        <f>YEAR(Tableau4[[#This Row],[Date]])</f>
        <v>2019</v>
      </c>
    </row>
    <row r="178" spans="1:18">
      <c r="A178" s="229">
        <v>43739</v>
      </c>
      <c r="B178" s="245" t="s">
        <v>843</v>
      </c>
      <c r="C178" s="99" t="s">
        <v>9</v>
      </c>
      <c r="D178" s="99"/>
      <c r="E178" s="99"/>
      <c r="F178" s="140">
        <v>10.9</v>
      </c>
      <c r="G178" s="140">
        <v>7.8</v>
      </c>
      <c r="H178" s="140">
        <v>3.1000000000000005</v>
      </c>
      <c r="I178" s="123">
        <v>6</v>
      </c>
      <c r="J178" s="123">
        <v>3.28</v>
      </c>
      <c r="K178" s="145">
        <v>1</v>
      </c>
      <c r="L178" s="140">
        <v>10.9</v>
      </c>
      <c r="M178" s="140">
        <v>7.8</v>
      </c>
      <c r="N178" s="99"/>
      <c r="O178" s="140">
        <v>3.1000000000000005</v>
      </c>
      <c r="P178" s="123">
        <v>8</v>
      </c>
      <c r="Q178" s="123">
        <v>3.28</v>
      </c>
      <c r="R178" s="233">
        <f>YEAR(Tableau4[[#This Row],[Date]])</f>
        <v>2019</v>
      </c>
    </row>
    <row r="179" spans="1:18">
      <c r="A179" s="247">
        <v>43862</v>
      </c>
      <c r="B179" s="245" t="s">
        <v>843</v>
      </c>
      <c r="C179" s="99" t="s">
        <v>9</v>
      </c>
      <c r="D179" s="99"/>
      <c r="E179" s="99"/>
      <c r="F179" s="140">
        <v>9.9</v>
      </c>
      <c r="G179" s="140">
        <v>7.05</v>
      </c>
      <c r="H179" s="140">
        <v>2.8500000000000005</v>
      </c>
      <c r="I179" s="123">
        <v>5</v>
      </c>
      <c r="J179" s="123">
        <v>3</v>
      </c>
      <c r="K179" s="145">
        <v>1</v>
      </c>
      <c r="L179" s="140">
        <v>9.9</v>
      </c>
      <c r="M179" s="140">
        <v>7.05</v>
      </c>
      <c r="N179" s="99"/>
      <c r="O179" s="140">
        <v>2.8500000000000005</v>
      </c>
      <c r="P179" s="123">
        <v>5</v>
      </c>
      <c r="Q179" s="123">
        <v>3</v>
      </c>
      <c r="R179" s="233">
        <f>YEAR(Tableau4[[#This Row],[Date]])</f>
        <v>2020</v>
      </c>
    </row>
    <row r="180" spans="1:18">
      <c r="A180" s="247">
        <v>43862</v>
      </c>
      <c r="B180" s="245" t="s">
        <v>843</v>
      </c>
      <c r="C180" s="99" t="s">
        <v>9</v>
      </c>
      <c r="D180" s="99"/>
      <c r="E180" s="99"/>
      <c r="F180" s="140">
        <v>17.899999999999999</v>
      </c>
      <c r="G180" s="140">
        <v>12.9</v>
      </c>
      <c r="H180" s="140">
        <v>4.9999999999999982</v>
      </c>
      <c r="I180" s="123">
        <v>10</v>
      </c>
      <c r="J180" s="123">
        <v>9.25</v>
      </c>
      <c r="K180" s="145">
        <v>1</v>
      </c>
      <c r="L180" s="140">
        <v>17.899999999999999</v>
      </c>
      <c r="M180" s="140">
        <v>12.9</v>
      </c>
      <c r="N180" s="99"/>
      <c r="O180" s="140">
        <v>4.9999999999999982</v>
      </c>
      <c r="P180" s="123">
        <v>10</v>
      </c>
      <c r="Q180" s="123">
        <v>9.25</v>
      </c>
      <c r="R180" s="233">
        <f>YEAR(Tableau4[[#This Row],[Date]])</f>
        <v>2020</v>
      </c>
    </row>
    <row r="181" spans="1:18">
      <c r="A181" s="229">
        <v>43678</v>
      </c>
      <c r="B181" s="245" t="s">
        <v>844</v>
      </c>
      <c r="C181" s="99" t="s">
        <v>58</v>
      </c>
      <c r="D181" s="99"/>
      <c r="E181" s="99"/>
      <c r="F181" s="140">
        <v>26.2</v>
      </c>
      <c r="G181" s="140">
        <v>18.600000000000001</v>
      </c>
      <c r="H181" s="140">
        <v>7.5999999999999979</v>
      </c>
      <c r="I181" s="123">
        <v>14.5</v>
      </c>
      <c r="J181" s="123">
        <v>15.63</v>
      </c>
      <c r="K181" s="145">
        <v>1</v>
      </c>
      <c r="L181" s="140">
        <v>26.2</v>
      </c>
      <c r="M181" s="140">
        <v>18.600000000000001</v>
      </c>
      <c r="N181" s="99"/>
      <c r="O181" s="140">
        <v>7.5999999999999979</v>
      </c>
      <c r="P181" s="123">
        <v>14.5</v>
      </c>
      <c r="Q181" s="123">
        <v>15.63</v>
      </c>
      <c r="R181" s="233">
        <f>YEAR(Tableau4[[#This Row],[Date]])</f>
        <v>2019</v>
      </c>
    </row>
    <row r="182" spans="1:18">
      <c r="A182" s="229">
        <v>43678</v>
      </c>
      <c r="B182" s="245" t="s">
        <v>844</v>
      </c>
      <c r="C182" s="99" t="s">
        <v>9</v>
      </c>
      <c r="D182" s="99"/>
      <c r="E182" s="99"/>
      <c r="F182" s="140">
        <v>9.9</v>
      </c>
      <c r="G182" s="140">
        <v>7.05</v>
      </c>
      <c r="H182" s="140">
        <v>2.8500000000000005</v>
      </c>
      <c r="I182" s="123">
        <v>5</v>
      </c>
      <c r="J182" s="123">
        <v>3</v>
      </c>
      <c r="K182" s="145">
        <v>1</v>
      </c>
      <c r="L182" s="140">
        <v>9.9</v>
      </c>
      <c r="M182" s="140">
        <v>7.05</v>
      </c>
      <c r="N182" s="99"/>
      <c r="O182" s="140">
        <v>2.8500000000000005</v>
      </c>
      <c r="P182" s="123">
        <v>5</v>
      </c>
      <c r="Q182" s="123">
        <v>3</v>
      </c>
      <c r="R182" s="233">
        <f>YEAR(Tableau4[[#This Row],[Date]])</f>
        <v>2019</v>
      </c>
    </row>
    <row r="183" spans="1:18">
      <c r="A183" s="229">
        <v>43709</v>
      </c>
      <c r="B183" s="244" t="s">
        <v>844</v>
      </c>
      <c r="C183" s="99" t="s">
        <v>7</v>
      </c>
      <c r="D183" s="99"/>
      <c r="E183" s="99" t="s">
        <v>53</v>
      </c>
      <c r="F183" s="140">
        <v>5</v>
      </c>
      <c r="G183" s="140">
        <v>2.9</v>
      </c>
      <c r="H183" s="140">
        <v>2.1</v>
      </c>
      <c r="I183" s="123">
        <v>1.5</v>
      </c>
      <c r="J183" s="123">
        <v>1</v>
      </c>
      <c r="K183" s="145">
        <v>1</v>
      </c>
      <c r="L183" s="140">
        <v>5</v>
      </c>
      <c r="M183" s="140">
        <v>2.9</v>
      </c>
      <c r="N183" s="99"/>
      <c r="O183" s="140">
        <v>2.1</v>
      </c>
      <c r="P183" s="123">
        <v>1.5</v>
      </c>
      <c r="Q183" s="123">
        <v>1</v>
      </c>
      <c r="R183" s="233">
        <f>YEAR(Tableau4[[#This Row],[Date]])</f>
        <v>2019</v>
      </c>
    </row>
    <row r="184" spans="1:18">
      <c r="A184" s="229">
        <v>43709</v>
      </c>
      <c r="B184" s="244" t="s">
        <v>844</v>
      </c>
      <c r="C184" s="99" t="s">
        <v>7</v>
      </c>
      <c r="D184" s="99"/>
      <c r="E184" s="99" t="s">
        <v>53</v>
      </c>
      <c r="F184" s="140">
        <v>5</v>
      </c>
      <c r="G184" s="140">
        <v>2.9</v>
      </c>
      <c r="H184" s="140">
        <v>2.1</v>
      </c>
      <c r="I184" s="123">
        <v>1.5</v>
      </c>
      <c r="J184" s="123">
        <v>1</v>
      </c>
      <c r="K184" s="145">
        <v>1</v>
      </c>
      <c r="L184" s="140">
        <v>5</v>
      </c>
      <c r="M184" s="140">
        <v>2.9</v>
      </c>
      <c r="N184" s="99"/>
      <c r="O184" s="140">
        <v>2.1</v>
      </c>
      <c r="P184" s="123">
        <v>1.5</v>
      </c>
      <c r="Q184" s="123">
        <v>1</v>
      </c>
      <c r="R184" s="233">
        <f>YEAR(Tableau4[[#This Row],[Date]])</f>
        <v>2019</v>
      </c>
    </row>
    <row r="185" spans="1:18">
      <c r="A185" s="229">
        <v>43709</v>
      </c>
      <c r="B185" s="244" t="s">
        <v>844</v>
      </c>
      <c r="C185" s="99" t="s">
        <v>9</v>
      </c>
      <c r="D185" s="99"/>
      <c r="E185" s="99"/>
      <c r="F185" s="140">
        <v>20.5</v>
      </c>
      <c r="G185" s="140">
        <v>14.6</v>
      </c>
      <c r="H185" s="140">
        <v>5.9</v>
      </c>
      <c r="I185" s="123">
        <v>11.5</v>
      </c>
      <c r="J185" s="123">
        <v>12.27</v>
      </c>
      <c r="K185" s="145">
        <v>1</v>
      </c>
      <c r="L185" s="140">
        <v>20.5</v>
      </c>
      <c r="M185" s="140">
        <v>14.6</v>
      </c>
      <c r="N185" s="99"/>
      <c r="O185" s="140">
        <v>5.9</v>
      </c>
      <c r="P185" s="123">
        <v>12.5</v>
      </c>
      <c r="Q185" s="123">
        <v>12.27</v>
      </c>
      <c r="R185" s="233">
        <f>YEAR(Tableau4[[#This Row],[Date]])</f>
        <v>2019</v>
      </c>
    </row>
    <row r="186" spans="1:18">
      <c r="A186" s="229">
        <v>43709</v>
      </c>
      <c r="B186" s="244" t="s">
        <v>844</v>
      </c>
      <c r="C186" s="99" t="s">
        <v>9</v>
      </c>
      <c r="D186" s="99"/>
      <c r="E186" s="99"/>
      <c r="F186" s="140">
        <v>14.9</v>
      </c>
      <c r="G186" s="140">
        <v>10.65</v>
      </c>
      <c r="H186" s="140">
        <v>4.25</v>
      </c>
      <c r="I186" s="123">
        <v>9</v>
      </c>
      <c r="J186" s="123">
        <v>5.5</v>
      </c>
      <c r="K186" s="145">
        <v>1</v>
      </c>
      <c r="L186" s="140">
        <v>14.9</v>
      </c>
      <c r="M186" s="140">
        <v>10.65</v>
      </c>
      <c r="N186" s="99"/>
      <c r="O186" s="140">
        <v>4.25</v>
      </c>
      <c r="P186" s="123">
        <v>10</v>
      </c>
      <c r="Q186" s="123">
        <v>5.5</v>
      </c>
      <c r="R186" s="233">
        <f>YEAR(Tableau4[[#This Row],[Date]])</f>
        <v>2019</v>
      </c>
    </row>
    <row r="187" spans="1:18">
      <c r="A187" s="247">
        <v>43922</v>
      </c>
      <c r="B187" s="244" t="s">
        <v>844</v>
      </c>
      <c r="C187" s="99" t="s">
        <v>51</v>
      </c>
      <c r="D187" s="99"/>
      <c r="E187" s="99"/>
      <c r="F187" s="140">
        <v>40</v>
      </c>
      <c r="G187" s="140">
        <v>19.899999999999999</v>
      </c>
      <c r="H187" s="140">
        <v>20.100000000000001</v>
      </c>
      <c r="I187" s="123">
        <v>20</v>
      </c>
      <c r="J187" s="123">
        <v>8</v>
      </c>
      <c r="K187" s="145">
        <v>1</v>
      </c>
      <c r="L187" s="140">
        <v>40</v>
      </c>
      <c r="M187" s="140">
        <v>19.899999999999999</v>
      </c>
      <c r="N187" s="99"/>
      <c r="O187" s="140">
        <v>20.100000000000001</v>
      </c>
      <c r="P187" s="123">
        <v>20</v>
      </c>
      <c r="Q187" s="123">
        <v>8</v>
      </c>
      <c r="R187" s="233">
        <f>YEAR(Tableau4[[#This Row],[Date]])</f>
        <v>2020</v>
      </c>
    </row>
    <row r="188" spans="1:18">
      <c r="A188" s="247">
        <v>43922</v>
      </c>
      <c r="B188" s="244" t="s">
        <v>844</v>
      </c>
      <c r="C188" s="99" t="s">
        <v>9</v>
      </c>
      <c r="D188" s="99"/>
      <c r="E188" s="99"/>
      <c r="F188" s="140">
        <v>16.899999999999999</v>
      </c>
      <c r="G188" s="140">
        <v>12.7</v>
      </c>
      <c r="H188" s="140">
        <v>4.1999999999999993</v>
      </c>
      <c r="I188" s="123">
        <v>9</v>
      </c>
      <c r="J188" s="123">
        <v>5.5</v>
      </c>
      <c r="K188" s="145">
        <v>1</v>
      </c>
      <c r="L188" s="140">
        <v>15.209999999999999</v>
      </c>
      <c r="M188" s="140">
        <v>12.7</v>
      </c>
      <c r="N188" s="99">
        <v>1.69</v>
      </c>
      <c r="O188" s="140">
        <v>2.5099999999999998</v>
      </c>
      <c r="P188" s="123">
        <v>10</v>
      </c>
      <c r="Q188" s="123">
        <v>5.5</v>
      </c>
      <c r="R188" s="233">
        <f>YEAR(Tableau4[[#This Row],[Date]])</f>
        <v>2020</v>
      </c>
    </row>
    <row r="189" spans="1:18">
      <c r="A189" s="247">
        <v>43952</v>
      </c>
      <c r="B189" s="244" t="s">
        <v>844</v>
      </c>
      <c r="C189" s="99" t="s">
        <v>9</v>
      </c>
      <c r="D189" s="99"/>
      <c r="E189" s="99"/>
      <c r="F189" s="140">
        <v>21.9</v>
      </c>
      <c r="G189" s="140">
        <v>16.899999999999999</v>
      </c>
      <c r="H189" s="140">
        <v>5</v>
      </c>
      <c r="I189" s="123">
        <v>11.5</v>
      </c>
      <c r="J189" s="123">
        <v>12.27</v>
      </c>
      <c r="K189" s="145">
        <v>1</v>
      </c>
      <c r="L189" s="140">
        <v>21.9</v>
      </c>
      <c r="M189" s="140">
        <v>16.899999999999999</v>
      </c>
      <c r="N189" s="99"/>
      <c r="O189" s="140">
        <v>5</v>
      </c>
      <c r="P189" s="123">
        <v>12.5</v>
      </c>
      <c r="Q189" s="123">
        <v>12.27</v>
      </c>
      <c r="R189" s="233">
        <f>YEAR(Tableau4[[#This Row],[Date]])</f>
        <v>2020</v>
      </c>
    </row>
    <row r="190" spans="1:18">
      <c r="A190" s="247">
        <v>43983</v>
      </c>
      <c r="B190" s="244" t="s">
        <v>844</v>
      </c>
      <c r="C190" s="99" t="s">
        <v>9</v>
      </c>
      <c r="D190" s="99"/>
      <c r="E190" s="99"/>
      <c r="F190" s="140">
        <v>29.9</v>
      </c>
      <c r="G190" s="140">
        <v>21</v>
      </c>
      <c r="H190" s="140">
        <v>8.8999999999999986</v>
      </c>
      <c r="I190" s="123">
        <v>15</v>
      </c>
      <c r="J190" s="123">
        <v>11.96</v>
      </c>
      <c r="K190" s="145">
        <v>1</v>
      </c>
      <c r="L190" s="140">
        <v>29.9</v>
      </c>
      <c r="M190" s="140">
        <v>21</v>
      </c>
      <c r="N190" s="99"/>
      <c r="O190" s="140">
        <v>8.8999999999999986</v>
      </c>
      <c r="P190" s="123">
        <v>15</v>
      </c>
      <c r="Q190" s="123">
        <v>11.96</v>
      </c>
      <c r="R190" s="233">
        <f>YEAR(Tableau4[[#This Row],[Date]])</f>
        <v>2020</v>
      </c>
    </row>
    <row r="191" spans="1:18">
      <c r="A191" s="247">
        <v>43983</v>
      </c>
      <c r="B191" s="244" t="s">
        <v>844</v>
      </c>
      <c r="C191" s="99" t="s">
        <v>58</v>
      </c>
      <c r="D191" s="99"/>
      <c r="E191" s="99"/>
      <c r="F191" s="140">
        <v>21</v>
      </c>
      <c r="G191" s="140">
        <v>15</v>
      </c>
      <c r="H191" s="140">
        <v>6</v>
      </c>
      <c r="I191" s="123">
        <v>11.5</v>
      </c>
      <c r="J191" s="123">
        <v>12.61</v>
      </c>
      <c r="K191" s="145">
        <v>1</v>
      </c>
      <c r="L191" s="140">
        <v>21</v>
      </c>
      <c r="M191" s="140">
        <v>15</v>
      </c>
      <c r="N191" s="99"/>
      <c r="O191" s="140">
        <v>6</v>
      </c>
      <c r="P191" s="123">
        <v>11.5</v>
      </c>
      <c r="Q191" s="123">
        <v>12.61</v>
      </c>
      <c r="R191" s="233">
        <f>YEAR(Tableau4[[#This Row],[Date]])</f>
        <v>2020</v>
      </c>
    </row>
    <row r="192" spans="1:18">
      <c r="A192" s="247">
        <v>43983</v>
      </c>
      <c r="B192" s="244" t="s">
        <v>844</v>
      </c>
      <c r="C192" s="99" t="s">
        <v>9</v>
      </c>
      <c r="D192" s="99"/>
      <c r="E192" s="99"/>
      <c r="F192" s="140">
        <v>16.899999999999999</v>
      </c>
      <c r="G192" s="140">
        <v>12.7</v>
      </c>
      <c r="H192" s="140">
        <v>4.1999999999999993</v>
      </c>
      <c r="I192" s="123">
        <v>9</v>
      </c>
      <c r="J192" s="123">
        <v>5.5</v>
      </c>
      <c r="K192" s="145">
        <v>2</v>
      </c>
      <c r="L192" s="140">
        <v>33.799999999999997</v>
      </c>
      <c r="M192" s="140">
        <v>25.4</v>
      </c>
      <c r="N192" s="99"/>
      <c r="O192" s="140">
        <v>8.3999999999999986</v>
      </c>
      <c r="P192" s="123">
        <v>20</v>
      </c>
      <c r="Q192" s="123">
        <v>11</v>
      </c>
      <c r="R192" s="233">
        <f>YEAR(Tableau4[[#This Row],[Date]])</f>
        <v>2020</v>
      </c>
    </row>
    <row r="193" spans="1:18">
      <c r="A193" s="247">
        <v>44013</v>
      </c>
      <c r="B193" s="244" t="s">
        <v>844</v>
      </c>
      <c r="C193" s="99" t="s">
        <v>9</v>
      </c>
      <c r="D193" s="99"/>
      <c r="E193" s="99"/>
      <c r="F193" s="140">
        <v>49.9</v>
      </c>
      <c r="G193" s="140">
        <v>39.9</v>
      </c>
      <c r="H193" s="140">
        <v>10</v>
      </c>
      <c r="I193" s="123">
        <v>40</v>
      </c>
      <c r="J193" s="123">
        <v>29</v>
      </c>
      <c r="K193" s="145">
        <v>1</v>
      </c>
      <c r="L193" s="140">
        <v>45</v>
      </c>
      <c r="M193" s="140">
        <v>39.9</v>
      </c>
      <c r="N193" s="99">
        <v>4.9000000000000004</v>
      </c>
      <c r="O193" s="140">
        <v>5.1000000000000014</v>
      </c>
      <c r="P193" s="123">
        <v>40</v>
      </c>
      <c r="Q193" s="123">
        <v>29</v>
      </c>
      <c r="R193" s="233">
        <f>YEAR(Tableau4[[#This Row],[Date]])</f>
        <v>2020</v>
      </c>
    </row>
    <row r="194" spans="1:18">
      <c r="A194" s="247">
        <v>44013</v>
      </c>
      <c r="B194" s="244" t="s">
        <v>844</v>
      </c>
      <c r="C194" s="99" t="s">
        <v>9</v>
      </c>
      <c r="D194" s="99"/>
      <c r="E194" s="99"/>
      <c r="F194" s="140">
        <v>8.9</v>
      </c>
      <c r="G194" s="140">
        <v>6.35</v>
      </c>
      <c r="H194" s="140">
        <v>2.5500000000000007</v>
      </c>
      <c r="I194" s="123">
        <v>5</v>
      </c>
      <c r="J194" s="123">
        <v>2.67</v>
      </c>
      <c r="K194" s="145">
        <v>1</v>
      </c>
      <c r="L194" s="140">
        <v>5.34</v>
      </c>
      <c r="M194" s="140">
        <v>6.35</v>
      </c>
      <c r="N194" s="99">
        <v>3.56</v>
      </c>
      <c r="O194" s="140">
        <v>-1.0099999999999998</v>
      </c>
      <c r="P194" s="123">
        <v>5</v>
      </c>
      <c r="Q194" s="123">
        <v>2.67</v>
      </c>
      <c r="R194" s="233">
        <f>YEAR(Tableau4[[#This Row],[Date]])</f>
        <v>2020</v>
      </c>
    </row>
    <row r="195" spans="1:18">
      <c r="A195" s="247">
        <v>44013</v>
      </c>
      <c r="B195" s="244" t="s">
        <v>844</v>
      </c>
      <c r="C195" s="99" t="s">
        <v>58</v>
      </c>
      <c r="D195" s="99"/>
      <c r="E195" s="99"/>
      <c r="F195" s="140">
        <v>49.5</v>
      </c>
      <c r="G195" s="140">
        <v>35.35</v>
      </c>
      <c r="H195" s="140">
        <v>14.149999999999999</v>
      </c>
      <c r="I195" s="123">
        <v>27</v>
      </c>
      <c r="J195" s="123">
        <v>29.71</v>
      </c>
      <c r="K195" s="145">
        <v>1</v>
      </c>
      <c r="L195" s="140">
        <v>29.7</v>
      </c>
      <c r="M195" s="140">
        <v>35.35</v>
      </c>
      <c r="N195" s="99">
        <v>19.8</v>
      </c>
      <c r="O195" s="140">
        <v>-5.6500000000000021</v>
      </c>
      <c r="P195" s="123">
        <v>27</v>
      </c>
      <c r="Q195" s="123">
        <v>29.71</v>
      </c>
      <c r="R195" s="233">
        <f>YEAR(Tableau4[[#This Row],[Date]])</f>
        <v>2020</v>
      </c>
    </row>
    <row r="196" spans="1:18">
      <c r="A196" s="247">
        <v>44013</v>
      </c>
      <c r="B196" s="244" t="s">
        <v>844</v>
      </c>
      <c r="C196" s="99" t="s">
        <v>58</v>
      </c>
      <c r="D196" s="99"/>
      <c r="E196" s="99"/>
      <c r="F196" s="140">
        <v>20</v>
      </c>
      <c r="G196" s="140">
        <v>14.3</v>
      </c>
      <c r="H196" s="140">
        <v>5.6999999999999993</v>
      </c>
      <c r="I196" s="123">
        <v>11</v>
      </c>
      <c r="J196" s="123" t="s">
        <v>57</v>
      </c>
      <c r="K196" s="145">
        <v>1</v>
      </c>
      <c r="L196" s="140">
        <v>12</v>
      </c>
      <c r="M196" s="140">
        <v>14.3</v>
      </c>
      <c r="N196" s="99">
        <v>8</v>
      </c>
      <c r="O196" s="140">
        <v>-2.3000000000000007</v>
      </c>
      <c r="P196" s="123">
        <v>11</v>
      </c>
      <c r="Q196" s="123">
        <v>12.02</v>
      </c>
      <c r="R196" s="233">
        <f>YEAR(Tableau4[[#This Row],[Date]])</f>
        <v>2020</v>
      </c>
    </row>
    <row r="197" spans="1:18">
      <c r="A197" s="247">
        <v>44013</v>
      </c>
      <c r="B197" s="244" t="s">
        <v>844</v>
      </c>
      <c r="C197" s="99" t="s">
        <v>51</v>
      </c>
      <c r="D197" s="99"/>
      <c r="E197" s="99"/>
      <c r="F197" s="140">
        <v>40</v>
      </c>
      <c r="G197" s="140">
        <v>19.899999999999999</v>
      </c>
      <c r="H197" s="140">
        <v>20.100000000000001</v>
      </c>
      <c r="I197" s="123">
        <v>20</v>
      </c>
      <c r="J197" s="123">
        <v>8</v>
      </c>
      <c r="K197" s="145">
        <v>1</v>
      </c>
      <c r="L197" s="140">
        <v>40</v>
      </c>
      <c r="M197" s="140">
        <v>19.899999999999999</v>
      </c>
      <c r="N197" s="99"/>
      <c r="O197" s="140">
        <v>20.100000000000001</v>
      </c>
      <c r="P197" s="123">
        <v>20</v>
      </c>
      <c r="Q197" s="123">
        <v>8</v>
      </c>
      <c r="R197" s="233">
        <f>YEAR(Tableau4[[#This Row],[Date]])</f>
        <v>2020</v>
      </c>
    </row>
    <row r="198" spans="1:18">
      <c r="A198" s="247">
        <v>44013</v>
      </c>
      <c r="B198" s="244" t="s">
        <v>844</v>
      </c>
      <c r="C198" s="99" t="s">
        <v>9</v>
      </c>
      <c r="D198" s="99"/>
      <c r="E198" s="99"/>
      <c r="F198" s="140">
        <v>16.899999999999999</v>
      </c>
      <c r="G198" s="140">
        <v>12.7</v>
      </c>
      <c r="H198" s="140">
        <v>4.1999999999999993</v>
      </c>
      <c r="I198" s="123">
        <v>9</v>
      </c>
      <c r="J198" s="123">
        <v>5.5</v>
      </c>
      <c r="K198" s="145">
        <v>1</v>
      </c>
      <c r="L198" s="140">
        <v>10.139999999999999</v>
      </c>
      <c r="M198" s="140">
        <v>12.7</v>
      </c>
      <c r="N198" s="99">
        <v>6.76</v>
      </c>
      <c r="O198" s="140">
        <v>-2.5600000000000005</v>
      </c>
      <c r="P198" s="123">
        <v>10</v>
      </c>
      <c r="Q198" s="123">
        <v>5.5</v>
      </c>
      <c r="R198" s="233">
        <f>YEAR(Tableau4[[#This Row],[Date]])</f>
        <v>2020</v>
      </c>
    </row>
    <row r="199" spans="1:18">
      <c r="A199" s="229">
        <v>43647</v>
      </c>
      <c r="B199" s="244" t="s">
        <v>845</v>
      </c>
      <c r="C199" s="99" t="s">
        <v>7</v>
      </c>
      <c r="D199" s="244"/>
      <c r="E199" s="99">
        <v>50</v>
      </c>
      <c r="F199" s="140">
        <v>19.899999999999999</v>
      </c>
      <c r="G199" s="140">
        <v>13.3</v>
      </c>
      <c r="H199" s="140">
        <v>6.5999999999999979</v>
      </c>
      <c r="I199" s="123">
        <v>11</v>
      </c>
      <c r="J199" s="123">
        <v>9</v>
      </c>
      <c r="K199" s="145">
        <v>1</v>
      </c>
      <c r="L199" s="140">
        <v>19.899999999999999</v>
      </c>
      <c r="M199" s="140">
        <v>13.3</v>
      </c>
      <c r="N199" s="99"/>
      <c r="O199" s="140">
        <v>6.5999999999999979</v>
      </c>
      <c r="P199" s="123">
        <v>11</v>
      </c>
      <c r="Q199" s="123">
        <v>9</v>
      </c>
      <c r="R199" s="233">
        <f>YEAR(Tableau4[[#This Row],[Date]])</f>
        <v>2019</v>
      </c>
    </row>
    <row r="200" spans="1:18">
      <c r="A200" s="229">
        <v>43647</v>
      </c>
      <c r="B200" s="244" t="s">
        <v>845</v>
      </c>
      <c r="C200" s="99" t="s">
        <v>7</v>
      </c>
      <c r="D200" s="99"/>
      <c r="E200" s="99">
        <v>50</v>
      </c>
      <c r="F200" s="140">
        <v>19.899999999999999</v>
      </c>
      <c r="G200" s="140">
        <v>13.3</v>
      </c>
      <c r="H200" s="140">
        <v>6.5999999999999979</v>
      </c>
      <c r="I200" s="123">
        <v>11</v>
      </c>
      <c r="J200" s="123">
        <v>9</v>
      </c>
      <c r="K200" s="145">
        <v>1</v>
      </c>
      <c r="L200" s="140">
        <v>19.899999999999999</v>
      </c>
      <c r="M200" s="140">
        <v>13.3</v>
      </c>
      <c r="N200" s="99"/>
      <c r="O200" s="140">
        <v>6.5999999999999979</v>
      </c>
      <c r="P200" s="123">
        <v>11</v>
      </c>
      <c r="Q200" s="123">
        <v>9</v>
      </c>
      <c r="R200" s="233">
        <f>YEAR(Tableau4[[#This Row],[Date]])</f>
        <v>2019</v>
      </c>
    </row>
    <row r="201" spans="1:18">
      <c r="A201" s="229">
        <v>43647</v>
      </c>
      <c r="B201" s="244" t="s">
        <v>845</v>
      </c>
      <c r="C201" s="99" t="s">
        <v>7</v>
      </c>
      <c r="D201" s="99"/>
      <c r="E201" s="99">
        <v>50</v>
      </c>
      <c r="F201" s="140">
        <v>19.899999999999999</v>
      </c>
      <c r="G201" s="140">
        <v>13.3</v>
      </c>
      <c r="H201" s="140">
        <v>6.5999999999999979</v>
      </c>
      <c r="I201" s="123">
        <v>11</v>
      </c>
      <c r="J201" s="123">
        <v>9</v>
      </c>
      <c r="K201" s="145">
        <v>1</v>
      </c>
      <c r="L201" s="140">
        <v>19.899999999999999</v>
      </c>
      <c r="M201" s="140">
        <v>13.3</v>
      </c>
      <c r="N201" s="99"/>
      <c r="O201" s="140">
        <v>6.5999999999999979</v>
      </c>
      <c r="P201" s="123">
        <v>11</v>
      </c>
      <c r="Q201" s="123">
        <v>9</v>
      </c>
      <c r="R201" s="233">
        <f>YEAR(Tableau4[[#This Row],[Date]])</f>
        <v>2019</v>
      </c>
    </row>
    <row r="202" spans="1:18">
      <c r="A202" s="247">
        <v>43862</v>
      </c>
      <c r="B202" s="244" t="s">
        <v>845</v>
      </c>
      <c r="C202" s="99" t="s">
        <v>7</v>
      </c>
      <c r="D202" s="99"/>
      <c r="E202" s="99" t="s">
        <v>80</v>
      </c>
      <c r="F202" s="140">
        <v>15</v>
      </c>
      <c r="G202" s="140">
        <v>5.8</v>
      </c>
      <c r="H202" s="140">
        <v>9.1999999999999993</v>
      </c>
      <c r="I202" s="123">
        <v>4</v>
      </c>
      <c r="J202" s="123">
        <v>3</v>
      </c>
      <c r="K202" s="145">
        <v>1</v>
      </c>
      <c r="L202" s="140">
        <v>15</v>
      </c>
      <c r="M202" s="140">
        <v>5.8</v>
      </c>
      <c r="N202" s="99"/>
      <c r="O202" s="140">
        <v>9.1999999999999993</v>
      </c>
      <c r="P202" s="123">
        <v>4</v>
      </c>
      <c r="Q202" s="123">
        <v>3</v>
      </c>
      <c r="R202" s="233">
        <f>YEAR(Tableau4[[#This Row],[Date]])</f>
        <v>2020</v>
      </c>
    </row>
    <row r="203" spans="1:18">
      <c r="A203" s="247">
        <v>43862</v>
      </c>
      <c r="B203" s="244" t="s">
        <v>845</v>
      </c>
      <c r="C203" s="99" t="s">
        <v>7</v>
      </c>
      <c r="D203" s="99"/>
      <c r="E203" s="99" t="s">
        <v>81</v>
      </c>
      <c r="F203" s="140">
        <v>15</v>
      </c>
      <c r="G203" s="140">
        <v>6.9</v>
      </c>
      <c r="H203" s="140">
        <v>8.1</v>
      </c>
      <c r="I203" s="123">
        <v>4</v>
      </c>
      <c r="J203" s="123">
        <v>3</v>
      </c>
      <c r="K203" s="145">
        <v>1</v>
      </c>
      <c r="L203" s="140">
        <v>15</v>
      </c>
      <c r="M203" s="140">
        <v>6.9</v>
      </c>
      <c r="N203" s="99"/>
      <c r="O203" s="140">
        <v>8.1</v>
      </c>
      <c r="P203" s="123">
        <v>4</v>
      </c>
      <c r="Q203" s="123">
        <v>3</v>
      </c>
      <c r="R203" s="233">
        <f>YEAR(Tableau4[[#This Row],[Date]])</f>
        <v>2020</v>
      </c>
    </row>
    <row r="204" spans="1:18">
      <c r="A204" s="247">
        <v>43862</v>
      </c>
      <c r="B204" s="244" t="s">
        <v>845</v>
      </c>
      <c r="C204" s="99" t="s">
        <v>7</v>
      </c>
      <c r="D204" s="99"/>
      <c r="E204" s="99" t="s">
        <v>83</v>
      </c>
      <c r="F204" s="140">
        <v>25</v>
      </c>
      <c r="G204" s="140">
        <v>9.9</v>
      </c>
      <c r="H204" s="140">
        <v>15.1</v>
      </c>
      <c r="I204" s="123">
        <v>8</v>
      </c>
      <c r="J204" s="123">
        <v>5</v>
      </c>
      <c r="K204" s="145">
        <v>1</v>
      </c>
      <c r="L204" s="140">
        <v>25</v>
      </c>
      <c r="M204" s="140">
        <v>9.9</v>
      </c>
      <c r="N204" s="99"/>
      <c r="O204" s="140">
        <v>15.1</v>
      </c>
      <c r="P204" s="123">
        <v>8</v>
      </c>
      <c r="Q204" s="123">
        <v>5</v>
      </c>
      <c r="R204" s="233">
        <f>YEAR(Tableau4[[#This Row],[Date]])</f>
        <v>2020</v>
      </c>
    </row>
    <row r="205" spans="1:18">
      <c r="A205" s="247">
        <v>44013</v>
      </c>
      <c r="B205" s="244" t="s">
        <v>845</v>
      </c>
      <c r="C205" s="99" t="s">
        <v>7</v>
      </c>
      <c r="D205" s="99"/>
      <c r="E205" s="99" t="s">
        <v>76</v>
      </c>
      <c r="F205" s="140">
        <v>32.9</v>
      </c>
      <c r="G205" s="140">
        <v>21.9</v>
      </c>
      <c r="H205" s="140">
        <v>11</v>
      </c>
      <c r="I205" s="123">
        <v>18</v>
      </c>
      <c r="J205" s="123">
        <v>16.55</v>
      </c>
      <c r="K205" s="145">
        <v>1</v>
      </c>
      <c r="L205" s="140">
        <v>32.9</v>
      </c>
      <c r="M205" s="140">
        <v>21.9</v>
      </c>
      <c r="N205" s="99"/>
      <c r="O205" s="140">
        <v>11</v>
      </c>
      <c r="P205" s="123">
        <v>18</v>
      </c>
      <c r="Q205" s="123">
        <v>16.55</v>
      </c>
      <c r="R205" s="233">
        <f>YEAR(Tableau4[[#This Row],[Date]])</f>
        <v>2020</v>
      </c>
    </row>
    <row r="206" spans="1:18">
      <c r="A206" s="247">
        <v>44013</v>
      </c>
      <c r="B206" s="244" t="s">
        <v>845</v>
      </c>
      <c r="C206" s="99" t="s">
        <v>7</v>
      </c>
      <c r="D206" s="244"/>
      <c r="E206" s="99" t="s">
        <v>76</v>
      </c>
      <c r="F206" s="140">
        <v>32.9</v>
      </c>
      <c r="G206" s="140">
        <v>21.9</v>
      </c>
      <c r="H206" s="140">
        <v>11</v>
      </c>
      <c r="I206" s="123">
        <v>18</v>
      </c>
      <c r="J206" s="123">
        <v>16.55</v>
      </c>
      <c r="K206" s="145">
        <v>1</v>
      </c>
      <c r="L206" s="140">
        <v>32.9</v>
      </c>
      <c r="M206" s="140">
        <v>21.9</v>
      </c>
      <c r="N206" s="99"/>
      <c r="O206" s="140">
        <v>11</v>
      </c>
      <c r="P206" s="123">
        <v>18</v>
      </c>
      <c r="Q206" s="123">
        <v>16.55</v>
      </c>
      <c r="R206" s="233">
        <f>YEAR(Tableau4[[#This Row],[Date]])</f>
        <v>2020</v>
      </c>
    </row>
    <row r="207" spans="1:18">
      <c r="A207" s="229">
        <v>43556</v>
      </c>
      <c r="B207" s="244" t="s">
        <v>846</v>
      </c>
      <c r="C207" s="99" t="s">
        <v>9</v>
      </c>
      <c r="D207" s="99"/>
      <c r="E207" s="99"/>
      <c r="F207" s="140">
        <v>19.3</v>
      </c>
      <c r="G207" s="140">
        <v>13.8</v>
      </c>
      <c r="H207" s="140">
        <v>5.5</v>
      </c>
      <c r="I207" s="123">
        <v>11</v>
      </c>
      <c r="J207" s="123">
        <v>11.6</v>
      </c>
      <c r="K207" s="145">
        <v>1</v>
      </c>
      <c r="L207" s="140">
        <v>19.3</v>
      </c>
      <c r="M207" s="140">
        <v>13.8</v>
      </c>
      <c r="N207" s="99"/>
      <c r="O207" s="140">
        <v>5.5</v>
      </c>
      <c r="P207" s="123">
        <v>11</v>
      </c>
      <c r="Q207" s="123">
        <v>11.6</v>
      </c>
      <c r="R207" s="233">
        <f>YEAR(Tableau4[[#This Row],[Date]])</f>
        <v>2019</v>
      </c>
    </row>
    <row r="208" spans="1:18">
      <c r="A208" s="229">
        <v>43556</v>
      </c>
      <c r="B208" s="246" t="s">
        <v>847</v>
      </c>
      <c r="C208" s="99" t="s">
        <v>7</v>
      </c>
      <c r="D208" s="99"/>
      <c r="E208" s="99">
        <v>100</v>
      </c>
      <c r="F208" s="140">
        <v>29.9</v>
      </c>
      <c r="G208" s="140">
        <v>19.899999999999999</v>
      </c>
      <c r="H208" s="140">
        <v>10</v>
      </c>
      <c r="I208" s="123">
        <v>16</v>
      </c>
      <c r="J208" s="123">
        <v>16.55</v>
      </c>
      <c r="K208" s="145">
        <v>1</v>
      </c>
      <c r="L208" s="140">
        <v>29.9</v>
      </c>
      <c r="M208" s="140">
        <v>19.899999999999999</v>
      </c>
      <c r="N208" s="99"/>
      <c r="O208" s="140">
        <v>10</v>
      </c>
      <c r="P208" s="123">
        <v>16</v>
      </c>
      <c r="Q208" s="123">
        <v>16.55</v>
      </c>
      <c r="R208" s="233">
        <f>YEAR(Tableau4[[#This Row],[Date]])</f>
        <v>2019</v>
      </c>
    </row>
    <row r="209" spans="1:18">
      <c r="A209" s="229">
        <v>43556</v>
      </c>
      <c r="B209" s="246" t="s">
        <v>847</v>
      </c>
      <c r="C209" s="99" t="s">
        <v>9</v>
      </c>
      <c r="D209" s="99"/>
      <c r="E209" s="99"/>
      <c r="F209" s="140">
        <v>14.9</v>
      </c>
      <c r="G209" s="140">
        <v>10.65</v>
      </c>
      <c r="H209" s="140">
        <v>4.25</v>
      </c>
      <c r="I209" s="123">
        <v>9</v>
      </c>
      <c r="J209" s="123">
        <v>5.5</v>
      </c>
      <c r="K209" s="145">
        <v>1</v>
      </c>
      <c r="L209" s="140">
        <v>14.9</v>
      </c>
      <c r="M209" s="140">
        <v>10.65</v>
      </c>
      <c r="N209" s="99"/>
      <c r="O209" s="140">
        <v>4.25</v>
      </c>
      <c r="P209" s="123">
        <v>9</v>
      </c>
      <c r="Q209" s="123">
        <v>5.5</v>
      </c>
      <c r="R209" s="233">
        <f>YEAR(Tableau4[[#This Row],[Date]])</f>
        <v>2019</v>
      </c>
    </row>
    <row r="210" spans="1:18">
      <c r="A210" s="229">
        <v>43586</v>
      </c>
      <c r="B210" s="246" t="s">
        <v>847</v>
      </c>
      <c r="C210" s="99" t="s">
        <v>9</v>
      </c>
      <c r="D210" s="99"/>
      <c r="E210" s="99"/>
      <c r="F210" s="140">
        <v>8.9</v>
      </c>
      <c r="G210" s="140">
        <v>6.35</v>
      </c>
      <c r="H210" s="140">
        <v>2.5500000000000007</v>
      </c>
      <c r="I210" s="123">
        <v>5</v>
      </c>
      <c r="J210" s="123">
        <v>2.67</v>
      </c>
      <c r="K210" s="145">
        <v>1</v>
      </c>
      <c r="L210" s="140">
        <v>8.9</v>
      </c>
      <c r="M210" s="140">
        <v>6.35</v>
      </c>
      <c r="N210" s="99"/>
      <c r="O210" s="140">
        <v>2.5500000000000007</v>
      </c>
      <c r="P210" s="123">
        <v>5</v>
      </c>
      <c r="Q210" s="123">
        <v>2.67</v>
      </c>
      <c r="R210" s="233">
        <f>YEAR(Tableau4[[#This Row],[Date]])</f>
        <v>2019</v>
      </c>
    </row>
    <row r="211" spans="1:18">
      <c r="A211" s="229">
        <v>43586</v>
      </c>
      <c r="B211" s="246" t="s">
        <v>847</v>
      </c>
      <c r="C211" s="99" t="s">
        <v>8</v>
      </c>
      <c r="D211" s="190"/>
      <c r="E211" s="99"/>
      <c r="F211" s="140">
        <v>43.5</v>
      </c>
      <c r="G211" s="140">
        <v>31</v>
      </c>
      <c r="H211" s="140">
        <v>12.5</v>
      </c>
      <c r="I211" s="123">
        <v>23.5</v>
      </c>
      <c r="J211" s="123">
        <v>26.05</v>
      </c>
      <c r="K211" s="145">
        <v>1</v>
      </c>
      <c r="L211" s="140">
        <v>43.5</v>
      </c>
      <c r="M211" s="140">
        <v>31</v>
      </c>
      <c r="N211" s="99"/>
      <c r="O211" s="140">
        <v>12.5</v>
      </c>
      <c r="P211" s="123">
        <v>23.5</v>
      </c>
      <c r="Q211" s="123">
        <v>26.05</v>
      </c>
      <c r="R211" s="233">
        <f>YEAR(Tableau4[[#This Row],[Date]])</f>
        <v>2019</v>
      </c>
    </row>
    <row r="212" spans="1:18">
      <c r="A212" s="229">
        <v>43586</v>
      </c>
      <c r="B212" s="246" t="s">
        <v>847</v>
      </c>
      <c r="C212" s="99" t="s">
        <v>9</v>
      </c>
      <c r="D212" s="99"/>
      <c r="E212" s="99"/>
      <c r="F212" s="140">
        <v>20.5</v>
      </c>
      <c r="G212" s="140">
        <v>14.6</v>
      </c>
      <c r="H212" s="140">
        <v>5.9</v>
      </c>
      <c r="I212" s="123">
        <v>11.5</v>
      </c>
      <c r="J212" s="123">
        <v>12.27</v>
      </c>
      <c r="K212" s="145">
        <v>1</v>
      </c>
      <c r="L212" s="140">
        <v>20.5</v>
      </c>
      <c r="M212" s="140">
        <v>14.6</v>
      </c>
      <c r="N212" s="99"/>
      <c r="O212" s="140">
        <v>5.9</v>
      </c>
      <c r="P212" s="123">
        <v>12.5</v>
      </c>
      <c r="Q212" s="123">
        <v>12.27</v>
      </c>
      <c r="R212" s="233">
        <f>YEAR(Tableau4[[#This Row],[Date]])</f>
        <v>2019</v>
      </c>
    </row>
    <row r="213" spans="1:18">
      <c r="A213" s="229">
        <v>43709</v>
      </c>
      <c r="B213" s="244" t="s">
        <v>847</v>
      </c>
      <c r="C213" s="99" t="s">
        <v>9</v>
      </c>
      <c r="D213" s="99"/>
      <c r="E213" s="99"/>
      <c r="F213" s="140">
        <v>29.5</v>
      </c>
      <c r="G213" s="140">
        <v>21</v>
      </c>
      <c r="H213" s="140">
        <v>8.5</v>
      </c>
      <c r="I213" s="123">
        <v>19</v>
      </c>
      <c r="J213" s="123">
        <v>17.649999999999999</v>
      </c>
      <c r="K213" s="145">
        <v>1</v>
      </c>
      <c r="L213" s="140">
        <v>29.5</v>
      </c>
      <c r="M213" s="140">
        <v>21</v>
      </c>
      <c r="N213" s="99"/>
      <c r="O213" s="140">
        <v>8.5</v>
      </c>
      <c r="P213" s="123">
        <v>19</v>
      </c>
      <c r="Q213" s="123">
        <v>17.649999999999999</v>
      </c>
      <c r="R213" s="233">
        <f>YEAR(Tableau4[[#This Row],[Date]])</f>
        <v>2019</v>
      </c>
    </row>
    <row r="214" spans="1:18">
      <c r="A214" s="229">
        <v>43709</v>
      </c>
      <c r="B214" s="244" t="s">
        <v>847</v>
      </c>
      <c r="C214" s="99" t="s">
        <v>12</v>
      </c>
      <c r="D214" s="99"/>
      <c r="E214" s="99"/>
      <c r="F214" s="140">
        <v>7.9</v>
      </c>
      <c r="G214" s="140">
        <v>4.5</v>
      </c>
      <c r="H214" s="140">
        <v>3.4000000000000004</v>
      </c>
      <c r="I214" s="123">
        <v>3.8</v>
      </c>
      <c r="J214" s="123">
        <v>3</v>
      </c>
      <c r="K214" s="145">
        <v>1</v>
      </c>
      <c r="L214" s="140">
        <v>7.9</v>
      </c>
      <c r="M214" s="140">
        <v>4.5</v>
      </c>
      <c r="N214" s="99"/>
      <c r="O214" s="140">
        <v>3.4000000000000004</v>
      </c>
      <c r="P214" s="123">
        <v>3.8</v>
      </c>
      <c r="Q214" s="123">
        <v>3</v>
      </c>
      <c r="R214" s="233">
        <f>YEAR(Tableau4[[#This Row],[Date]])</f>
        <v>2019</v>
      </c>
    </row>
    <row r="215" spans="1:18">
      <c r="A215" s="229">
        <v>43709</v>
      </c>
      <c r="B215" s="244" t="s">
        <v>847</v>
      </c>
      <c r="C215" s="99" t="s">
        <v>9</v>
      </c>
      <c r="D215" s="99"/>
      <c r="E215" s="99"/>
      <c r="F215" s="140">
        <v>19.899999999999999</v>
      </c>
      <c r="G215" s="140">
        <v>13.9</v>
      </c>
      <c r="H215" s="140">
        <v>5.9999999999999982</v>
      </c>
      <c r="I215" s="123">
        <v>11.5</v>
      </c>
      <c r="J215" s="123">
        <v>11.68</v>
      </c>
      <c r="K215" s="145">
        <v>1</v>
      </c>
      <c r="L215" s="140">
        <v>19.899999999999999</v>
      </c>
      <c r="M215" s="140">
        <v>13.9</v>
      </c>
      <c r="N215" s="99"/>
      <c r="O215" s="140">
        <v>5.9999999999999982</v>
      </c>
      <c r="P215" s="123">
        <v>11.5</v>
      </c>
      <c r="Q215" s="123">
        <v>11.68</v>
      </c>
      <c r="R215" s="233">
        <f>YEAR(Tableau4[[#This Row],[Date]])</f>
        <v>2019</v>
      </c>
    </row>
    <row r="216" spans="1:18">
      <c r="A216" s="229">
        <v>43709</v>
      </c>
      <c r="B216" s="246" t="s">
        <v>847</v>
      </c>
      <c r="C216" s="99" t="s">
        <v>9</v>
      </c>
      <c r="D216" s="99"/>
      <c r="E216" s="99"/>
      <c r="F216" s="140">
        <v>22.9</v>
      </c>
      <c r="G216" s="140">
        <v>16.350000000000001</v>
      </c>
      <c r="H216" s="140">
        <v>6.5499999999999972</v>
      </c>
      <c r="I216" s="123">
        <v>13.5</v>
      </c>
      <c r="J216" s="123">
        <v>13.74</v>
      </c>
      <c r="K216" s="145">
        <v>1</v>
      </c>
      <c r="L216" s="140">
        <v>22.9</v>
      </c>
      <c r="M216" s="140">
        <v>16.350000000000001</v>
      </c>
      <c r="N216" s="99"/>
      <c r="O216" s="140">
        <v>6.5499999999999972</v>
      </c>
      <c r="P216" s="123">
        <v>13.5</v>
      </c>
      <c r="Q216" s="123">
        <v>13.74</v>
      </c>
      <c r="R216" s="233">
        <f>YEAR(Tableau4[[#This Row],[Date]])</f>
        <v>2019</v>
      </c>
    </row>
    <row r="217" spans="1:18">
      <c r="A217" s="229">
        <v>43709</v>
      </c>
      <c r="B217" s="246" t="s">
        <v>847</v>
      </c>
      <c r="C217" s="99" t="s">
        <v>7</v>
      </c>
      <c r="D217" s="99"/>
      <c r="E217" s="99" t="s">
        <v>53</v>
      </c>
      <c r="F217" s="140">
        <v>5</v>
      </c>
      <c r="G217" s="140">
        <v>2.9</v>
      </c>
      <c r="H217" s="140">
        <v>2.1</v>
      </c>
      <c r="I217" s="123">
        <v>1.5</v>
      </c>
      <c r="J217" s="123">
        <v>1</v>
      </c>
      <c r="K217" s="145">
        <v>1</v>
      </c>
      <c r="L217" s="140">
        <v>5</v>
      </c>
      <c r="M217" s="140">
        <v>2.9</v>
      </c>
      <c r="N217" s="99"/>
      <c r="O217" s="140">
        <v>2.1</v>
      </c>
      <c r="P217" s="123">
        <v>1.5</v>
      </c>
      <c r="Q217" s="123">
        <v>1</v>
      </c>
      <c r="R217" s="233">
        <f>YEAR(Tableau4[[#This Row],[Date]])</f>
        <v>2019</v>
      </c>
    </row>
    <row r="218" spans="1:18">
      <c r="A218" s="229">
        <v>43709</v>
      </c>
      <c r="B218" s="246" t="s">
        <v>847</v>
      </c>
      <c r="C218" s="99" t="s">
        <v>7</v>
      </c>
      <c r="D218" s="99"/>
      <c r="E218" s="99" t="s">
        <v>53</v>
      </c>
      <c r="F218" s="140">
        <v>5</v>
      </c>
      <c r="G218" s="140">
        <v>2.9</v>
      </c>
      <c r="H218" s="140">
        <v>2.0099999999999998</v>
      </c>
      <c r="I218" s="123">
        <v>1.5</v>
      </c>
      <c r="J218" s="123">
        <v>1</v>
      </c>
      <c r="K218" s="145">
        <v>1</v>
      </c>
      <c r="L218" s="140">
        <v>5</v>
      </c>
      <c r="M218" s="140">
        <v>2.9</v>
      </c>
      <c r="N218" s="99"/>
      <c r="O218" s="140">
        <v>2.1</v>
      </c>
      <c r="P218" s="123">
        <v>1.5</v>
      </c>
      <c r="Q218" s="123">
        <v>1</v>
      </c>
      <c r="R218" s="233">
        <f>YEAR(Tableau4[[#This Row],[Date]])</f>
        <v>2019</v>
      </c>
    </row>
    <row r="219" spans="1:18">
      <c r="A219" s="229">
        <v>43709</v>
      </c>
      <c r="B219" s="246" t="s">
        <v>847</v>
      </c>
      <c r="C219" s="99" t="s">
        <v>7</v>
      </c>
      <c r="D219" s="99"/>
      <c r="E219" s="99" t="s">
        <v>53</v>
      </c>
      <c r="F219" s="140">
        <v>5</v>
      </c>
      <c r="G219" s="140">
        <v>2.9</v>
      </c>
      <c r="H219" s="140">
        <v>2.1</v>
      </c>
      <c r="I219" s="123">
        <v>1.5</v>
      </c>
      <c r="J219" s="123">
        <v>1</v>
      </c>
      <c r="K219" s="145">
        <v>1</v>
      </c>
      <c r="L219" s="140">
        <v>5</v>
      </c>
      <c r="M219" s="140">
        <v>2.9</v>
      </c>
      <c r="N219" s="99"/>
      <c r="O219" s="140">
        <v>2.1</v>
      </c>
      <c r="P219" s="123">
        <v>1.5</v>
      </c>
      <c r="Q219" s="123">
        <v>1</v>
      </c>
      <c r="R219" s="233">
        <f>YEAR(Tableau4[[#This Row],[Date]])</f>
        <v>2019</v>
      </c>
    </row>
    <row r="220" spans="1:18">
      <c r="A220" s="229">
        <v>43739</v>
      </c>
      <c r="B220" s="246" t="s">
        <v>847</v>
      </c>
      <c r="C220" s="99" t="s">
        <v>7</v>
      </c>
      <c r="D220" s="245"/>
      <c r="E220" s="99">
        <v>100</v>
      </c>
      <c r="F220" s="140">
        <v>29.9</v>
      </c>
      <c r="G220" s="140">
        <v>19.899999999999999</v>
      </c>
      <c r="H220" s="140">
        <v>10</v>
      </c>
      <c r="I220" s="123">
        <v>16</v>
      </c>
      <c r="J220" s="123">
        <v>16.55</v>
      </c>
      <c r="K220" s="145">
        <v>1</v>
      </c>
      <c r="L220" s="140">
        <v>25</v>
      </c>
      <c r="M220" s="140">
        <v>19.899999999999999</v>
      </c>
      <c r="N220" s="99">
        <v>4.9000000000000004</v>
      </c>
      <c r="O220" s="140">
        <v>5.0999999999999996</v>
      </c>
      <c r="P220" s="123">
        <v>16</v>
      </c>
      <c r="Q220" s="123">
        <v>16.55</v>
      </c>
      <c r="R220" s="233">
        <f>YEAR(Tableau4[[#This Row],[Date]])</f>
        <v>2019</v>
      </c>
    </row>
    <row r="221" spans="1:18">
      <c r="A221" s="229">
        <v>43770</v>
      </c>
      <c r="B221" s="244" t="s">
        <v>847</v>
      </c>
      <c r="C221" s="99" t="s">
        <v>51</v>
      </c>
      <c r="D221" s="99"/>
      <c r="E221" s="99"/>
      <c r="F221" s="140">
        <v>25</v>
      </c>
      <c r="G221" s="140">
        <v>21</v>
      </c>
      <c r="H221" s="140">
        <v>4</v>
      </c>
      <c r="I221" s="123">
        <v>11.7</v>
      </c>
      <c r="J221" s="123">
        <v>8.82</v>
      </c>
      <c r="K221" s="145">
        <v>1</v>
      </c>
      <c r="L221" s="140">
        <v>25</v>
      </c>
      <c r="M221" s="140">
        <v>21</v>
      </c>
      <c r="N221" s="99"/>
      <c r="O221" s="140">
        <v>4</v>
      </c>
      <c r="P221" s="123">
        <v>11.7</v>
      </c>
      <c r="Q221" s="123">
        <v>8.82</v>
      </c>
      <c r="R221" s="233">
        <f>YEAR(Tableau4[[#This Row],[Date]])</f>
        <v>2019</v>
      </c>
    </row>
    <row r="222" spans="1:18">
      <c r="A222" s="229">
        <v>43770</v>
      </c>
      <c r="B222" s="244" t="s">
        <v>847</v>
      </c>
      <c r="C222" s="99" t="s">
        <v>12</v>
      </c>
      <c r="D222" s="99"/>
      <c r="E222" s="99"/>
      <c r="F222" s="140">
        <v>7.9</v>
      </c>
      <c r="G222" s="140">
        <v>4.5</v>
      </c>
      <c r="H222" s="140">
        <v>3.4000000000000004</v>
      </c>
      <c r="I222" s="123">
        <v>3.8</v>
      </c>
      <c r="J222" s="123">
        <v>3</v>
      </c>
      <c r="K222" s="145">
        <v>1</v>
      </c>
      <c r="L222" s="140">
        <v>7.9</v>
      </c>
      <c r="M222" s="140">
        <v>4.5</v>
      </c>
      <c r="N222" s="99"/>
      <c r="O222" s="140">
        <v>3.4000000000000004</v>
      </c>
      <c r="P222" s="123">
        <v>3.8</v>
      </c>
      <c r="Q222" s="123">
        <v>3</v>
      </c>
      <c r="R222" s="233">
        <f>YEAR(Tableau4[[#This Row],[Date]])</f>
        <v>2019</v>
      </c>
    </row>
    <row r="223" spans="1:18">
      <c r="A223" s="229">
        <v>43770</v>
      </c>
      <c r="B223" s="244" t="s">
        <v>847</v>
      </c>
      <c r="C223" s="99" t="s">
        <v>9</v>
      </c>
      <c r="D223" s="99"/>
      <c r="E223" s="99"/>
      <c r="F223" s="140">
        <v>19.899999999999999</v>
      </c>
      <c r="G223" s="140">
        <v>13.9</v>
      </c>
      <c r="H223" s="140">
        <v>5.9999999999999982</v>
      </c>
      <c r="I223" s="123">
        <v>11.5</v>
      </c>
      <c r="J223" s="123">
        <v>11.68</v>
      </c>
      <c r="K223" s="145">
        <v>1</v>
      </c>
      <c r="L223" s="140">
        <v>19.899999999999999</v>
      </c>
      <c r="M223" s="140">
        <v>13.9</v>
      </c>
      <c r="N223" s="99"/>
      <c r="O223" s="140">
        <v>5.9999999999999982</v>
      </c>
      <c r="P223" s="123">
        <v>11.5</v>
      </c>
      <c r="Q223" s="123">
        <v>11.68</v>
      </c>
      <c r="R223" s="233">
        <f>YEAR(Tableau4[[#This Row],[Date]])</f>
        <v>2019</v>
      </c>
    </row>
    <row r="224" spans="1:18">
      <c r="A224" s="229">
        <v>43770</v>
      </c>
      <c r="B224" s="244" t="s">
        <v>847</v>
      </c>
      <c r="C224" s="99" t="s">
        <v>9</v>
      </c>
      <c r="D224" s="99"/>
      <c r="E224" s="99"/>
      <c r="F224" s="140">
        <v>16.899999999999999</v>
      </c>
      <c r="G224" s="140">
        <v>12</v>
      </c>
      <c r="H224" s="140">
        <v>4.8999999999999986</v>
      </c>
      <c r="I224" s="123">
        <v>10</v>
      </c>
      <c r="J224" s="123">
        <v>10.08</v>
      </c>
      <c r="K224" s="145">
        <v>1</v>
      </c>
      <c r="L224" s="140">
        <v>16.899999999999999</v>
      </c>
      <c r="M224" s="140">
        <v>12</v>
      </c>
      <c r="N224" s="99"/>
      <c r="O224" s="140">
        <v>4.8999999999999986</v>
      </c>
      <c r="P224" s="123">
        <v>10</v>
      </c>
      <c r="Q224" s="123">
        <v>10.08</v>
      </c>
      <c r="R224" s="233">
        <f>YEAR(Tableau4[[#This Row],[Date]])</f>
        <v>2019</v>
      </c>
    </row>
    <row r="225" spans="1:18">
      <c r="A225" s="229">
        <v>43770</v>
      </c>
      <c r="B225" s="246" t="s">
        <v>847</v>
      </c>
      <c r="C225" s="99" t="s">
        <v>51</v>
      </c>
      <c r="D225" s="99"/>
      <c r="E225" s="99"/>
      <c r="F225" s="140">
        <v>25</v>
      </c>
      <c r="G225" s="140">
        <v>21</v>
      </c>
      <c r="H225" s="140">
        <v>4</v>
      </c>
      <c r="I225" s="123">
        <v>11.7</v>
      </c>
      <c r="J225" s="123">
        <v>8.82</v>
      </c>
      <c r="K225" s="145">
        <v>1</v>
      </c>
      <c r="L225" s="140">
        <v>25</v>
      </c>
      <c r="M225" s="140">
        <v>21</v>
      </c>
      <c r="N225" s="99"/>
      <c r="O225" s="140">
        <v>4</v>
      </c>
      <c r="P225" s="123">
        <v>11.7</v>
      </c>
      <c r="Q225" s="123">
        <v>8.82</v>
      </c>
      <c r="R225" s="233">
        <f>YEAR(Tableau4[[#This Row],[Date]])</f>
        <v>2019</v>
      </c>
    </row>
    <row r="226" spans="1:18">
      <c r="A226" s="229">
        <v>43800</v>
      </c>
      <c r="B226" s="244" t="s">
        <v>847</v>
      </c>
      <c r="C226" s="99" t="s">
        <v>9</v>
      </c>
      <c r="D226" s="99"/>
      <c r="E226" s="99"/>
      <c r="F226" s="140">
        <v>31.5</v>
      </c>
      <c r="G226" s="140">
        <v>23</v>
      </c>
      <c r="H226" s="140">
        <v>8.5</v>
      </c>
      <c r="I226" s="123">
        <v>20</v>
      </c>
      <c r="J226" s="123">
        <v>17.649999999999999</v>
      </c>
      <c r="K226" s="145">
        <v>1</v>
      </c>
      <c r="L226" s="140">
        <v>31.5</v>
      </c>
      <c r="M226" s="140">
        <v>23</v>
      </c>
      <c r="N226" s="99"/>
      <c r="O226" s="140">
        <v>8.5</v>
      </c>
      <c r="P226" s="123">
        <v>20</v>
      </c>
      <c r="Q226" s="123">
        <v>17.649999999999999</v>
      </c>
      <c r="R226" s="233">
        <f>YEAR(Tableau4[[#This Row],[Date]])</f>
        <v>2019</v>
      </c>
    </row>
    <row r="227" spans="1:18">
      <c r="A227" s="229">
        <v>43800</v>
      </c>
      <c r="B227" s="244" t="s">
        <v>847</v>
      </c>
      <c r="C227" s="99" t="s">
        <v>9</v>
      </c>
      <c r="D227" s="99"/>
      <c r="E227" s="99"/>
      <c r="F227" s="140">
        <v>16.899999999999999</v>
      </c>
      <c r="G227" s="140">
        <v>12.7</v>
      </c>
      <c r="H227" s="140">
        <v>4.1999999999999993</v>
      </c>
      <c r="I227" s="123">
        <v>9</v>
      </c>
      <c r="J227" s="123">
        <v>5.5</v>
      </c>
      <c r="K227" s="145">
        <v>1</v>
      </c>
      <c r="L227" s="140">
        <v>16.899999999999999</v>
      </c>
      <c r="M227" s="140">
        <v>12.7</v>
      </c>
      <c r="N227" s="99"/>
      <c r="O227" s="140">
        <v>4.1999999999999993</v>
      </c>
      <c r="P227" s="123">
        <v>10</v>
      </c>
      <c r="Q227" s="123">
        <v>5.5</v>
      </c>
      <c r="R227" s="233">
        <f>YEAR(Tableau4[[#This Row],[Date]])</f>
        <v>2019</v>
      </c>
    </row>
    <row r="228" spans="1:18">
      <c r="A228" s="247">
        <v>43862</v>
      </c>
      <c r="B228" s="244" t="s">
        <v>847</v>
      </c>
      <c r="C228" s="99" t="s">
        <v>7</v>
      </c>
      <c r="D228" s="99"/>
      <c r="E228" s="99" t="s">
        <v>76</v>
      </c>
      <c r="F228" s="140">
        <v>32.9</v>
      </c>
      <c r="G228" s="140">
        <v>21.9</v>
      </c>
      <c r="H228" s="140">
        <v>11</v>
      </c>
      <c r="I228" s="123">
        <v>18</v>
      </c>
      <c r="J228" s="123">
        <v>16.55</v>
      </c>
      <c r="K228" s="145">
        <v>1</v>
      </c>
      <c r="L228" s="140">
        <v>32.9</v>
      </c>
      <c r="M228" s="140">
        <v>21.9</v>
      </c>
      <c r="N228" s="99"/>
      <c r="O228" s="140">
        <v>11</v>
      </c>
      <c r="P228" s="123">
        <v>18</v>
      </c>
      <c r="Q228" s="123">
        <v>16.55</v>
      </c>
      <c r="R228" s="233">
        <f>YEAR(Tableau4[[#This Row],[Date]])</f>
        <v>2020</v>
      </c>
    </row>
    <row r="229" spans="1:18">
      <c r="A229" s="247">
        <v>43862</v>
      </c>
      <c r="B229" s="244" t="s">
        <v>847</v>
      </c>
      <c r="C229" s="99" t="s">
        <v>7</v>
      </c>
      <c r="D229" s="99"/>
      <c r="E229" s="99" t="s">
        <v>76</v>
      </c>
      <c r="F229" s="140">
        <v>32.9</v>
      </c>
      <c r="G229" s="140">
        <v>21.9</v>
      </c>
      <c r="H229" s="140">
        <v>11</v>
      </c>
      <c r="I229" s="123">
        <v>18</v>
      </c>
      <c r="J229" s="123">
        <v>16.55</v>
      </c>
      <c r="K229" s="145">
        <v>1</v>
      </c>
      <c r="L229" s="140">
        <v>32.9</v>
      </c>
      <c r="M229" s="140">
        <v>21.9</v>
      </c>
      <c r="N229" s="99"/>
      <c r="O229" s="140">
        <v>11</v>
      </c>
      <c r="P229" s="123">
        <v>18</v>
      </c>
      <c r="Q229" s="123">
        <v>16.55</v>
      </c>
      <c r="R229" s="233">
        <f>YEAR(Tableau4[[#This Row],[Date]])</f>
        <v>2020</v>
      </c>
    </row>
    <row r="230" spans="1:18">
      <c r="A230" s="247">
        <v>43862</v>
      </c>
      <c r="B230" s="244" t="s">
        <v>847</v>
      </c>
      <c r="C230" s="99" t="s">
        <v>7</v>
      </c>
      <c r="D230" s="99"/>
      <c r="E230" s="99" t="s">
        <v>83</v>
      </c>
      <c r="F230" s="140">
        <v>25</v>
      </c>
      <c r="G230" s="140">
        <v>9.9</v>
      </c>
      <c r="H230" s="140">
        <v>15.1</v>
      </c>
      <c r="I230" s="123">
        <v>8</v>
      </c>
      <c r="J230" s="123">
        <v>5</v>
      </c>
      <c r="K230" s="145">
        <v>2</v>
      </c>
      <c r="L230" s="140">
        <v>49.8</v>
      </c>
      <c r="M230" s="140">
        <v>19.8</v>
      </c>
      <c r="N230" s="99">
        <v>0.1</v>
      </c>
      <c r="O230" s="140">
        <v>29.999999999999996</v>
      </c>
      <c r="P230" s="123">
        <v>16</v>
      </c>
      <c r="Q230" s="123">
        <v>10</v>
      </c>
      <c r="R230" s="233">
        <f>YEAR(Tableau4[[#This Row],[Date]])</f>
        <v>2020</v>
      </c>
    </row>
    <row r="231" spans="1:18">
      <c r="A231" s="247">
        <v>43952</v>
      </c>
      <c r="B231" s="244" t="s">
        <v>847</v>
      </c>
      <c r="C231" s="99" t="s">
        <v>9</v>
      </c>
      <c r="D231" s="99"/>
      <c r="E231" s="99"/>
      <c r="F231" s="140">
        <v>49.9</v>
      </c>
      <c r="G231" s="140">
        <v>39.9</v>
      </c>
      <c r="H231" s="140">
        <v>10</v>
      </c>
      <c r="I231" s="123">
        <v>40</v>
      </c>
      <c r="J231" s="123">
        <v>29</v>
      </c>
      <c r="K231" s="145">
        <v>1</v>
      </c>
      <c r="L231" s="140">
        <v>45</v>
      </c>
      <c r="M231" s="140">
        <v>39.9</v>
      </c>
      <c r="N231" s="99">
        <v>4.9000000000000004</v>
      </c>
      <c r="O231" s="140">
        <v>5.1000000000000014</v>
      </c>
      <c r="P231" s="123">
        <v>40</v>
      </c>
      <c r="Q231" s="123">
        <v>29</v>
      </c>
      <c r="R231" s="233">
        <f>YEAR(Tableau4[[#This Row],[Date]])</f>
        <v>2020</v>
      </c>
    </row>
    <row r="232" spans="1:18">
      <c r="A232" s="247">
        <v>43952</v>
      </c>
      <c r="B232" s="244" t="s">
        <v>847</v>
      </c>
      <c r="C232" s="99" t="s">
        <v>12</v>
      </c>
      <c r="D232" s="99"/>
      <c r="E232" s="99"/>
      <c r="F232" s="140">
        <v>7.9</v>
      </c>
      <c r="G232" s="140">
        <v>4.5</v>
      </c>
      <c r="H232" s="140">
        <v>3.4000000000000004</v>
      </c>
      <c r="I232" s="123">
        <v>3.8</v>
      </c>
      <c r="J232" s="123">
        <v>3</v>
      </c>
      <c r="K232" s="145">
        <v>1</v>
      </c>
      <c r="L232" s="140">
        <v>7.9</v>
      </c>
      <c r="M232" s="140">
        <v>4.5</v>
      </c>
      <c r="N232" s="99"/>
      <c r="O232" s="140">
        <v>3.4000000000000004</v>
      </c>
      <c r="P232" s="123">
        <v>3.8</v>
      </c>
      <c r="Q232" s="123">
        <v>3</v>
      </c>
      <c r="R232" s="233">
        <f>YEAR(Tableau4[[#This Row],[Date]])</f>
        <v>2020</v>
      </c>
    </row>
    <row r="233" spans="1:18">
      <c r="A233" s="247">
        <v>43983</v>
      </c>
      <c r="B233" s="244" t="s">
        <v>847</v>
      </c>
      <c r="C233" s="99" t="s">
        <v>7</v>
      </c>
      <c r="D233" s="99"/>
      <c r="E233" s="99" t="s">
        <v>76</v>
      </c>
      <c r="F233" s="140">
        <v>32.9</v>
      </c>
      <c r="G233" s="140">
        <v>21.9</v>
      </c>
      <c r="H233" s="140">
        <v>11</v>
      </c>
      <c r="I233" s="123">
        <v>18</v>
      </c>
      <c r="J233" s="123">
        <v>16.55</v>
      </c>
      <c r="K233" s="145">
        <v>1</v>
      </c>
      <c r="L233" s="140">
        <v>32.9</v>
      </c>
      <c r="M233" s="140">
        <v>21.9</v>
      </c>
      <c r="N233" s="99"/>
      <c r="O233" s="140">
        <v>11</v>
      </c>
      <c r="P233" s="123">
        <v>18</v>
      </c>
      <c r="Q233" s="123">
        <v>16.55</v>
      </c>
      <c r="R233" s="233">
        <f>YEAR(Tableau4[[#This Row],[Date]])</f>
        <v>2020</v>
      </c>
    </row>
    <row r="234" spans="1:18">
      <c r="A234" s="247">
        <v>44013</v>
      </c>
      <c r="B234" s="244" t="s">
        <v>847</v>
      </c>
      <c r="C234" s="99" t="s">
        <v>51</v>
      </c>
      <c r="D234" s="99"/>
      <c r="E234" s="99"/>
      <c r="F234" s="140">
        <v>40</v>
      </c>
      <c r="G234" s="140">
        <v>19.899999999999999</v>
      </c>
      <c r="H234" s="140">
        <v>20.100000000000001</v>
      </c>
      <c r="I234" s="123">
        <v>20</v>
      </c>
      <c r="J234" s="123">
        <v>8</v>
      </c>
      <c r="K234" s="145">
        <v>1</v>
      </c>
      <c r="L234" s="140">
        <v>40</v>
      </c>
      <c r="M234" s="140">
        <v>19.899999999999999</v>
      </c>
      <c r="N234" s="99"/>
      <c r="O234" s="140">
        <v>20.100000000000001</v>
      </c>
      <c r="P234" s="123">
        <v>20</v>
      </c>
      <c r="Q234" s="123">
        <v>8</v>
      </c>
      <c r="R234" s="233">
        <f>YEAR(Tableau4[[#This Row],[Date]])</f>
        <v>2020</v>
      </c>
    </row>
    <row r="235" spans="1:18">
      <c r="A235" s="229">
        <v>43617</v>
      </c>
      <c r="B235" s="244" t="s">
        <v>848</v>
      </c>
      <c r="C235" s="99" t="s">
        <v>9</v>
      </c>
      <c r="D235" s="99"/>
      <c r="E235" s="99"/>
      <c r="F235" s="140">
        <v>9.9</v>
      </c>
      <c r="G235" s="140">
        <v>7</v>
      </c>
      <c r="H235" s="140">
        <v>2.9000000000000004</v>
      </c>
      <c r="I235" s="123">
        <v>5</v>
      </c>
      <c r="J235" s="123">
        <v>2.94</v>
      </c>
      <c r="K235" s="145">
        <v>1</v>
      </c>
      <c r="L235" s="140">
        <v>9.9</v>
      </c>
      <c r="M235" s="140">
        <v>7</v>
      </c>
      <c r="N235" s="99"/>
      <c r="O235" s="140">
        <v>2.9000000000000004</v>
      </c>
      <c r="P235" s="123">
        <v>5</v>
      </c>
      <c r="Q235" s="123">
        <v>2.94</v>
      </c>
      <c r="R235" s="233">
        <f>YEAR(Tableau4[[#This Row],[Date]])</f>
        <v>2019</v>
      </c>
    </row>
    <row r="236" spans="1:18">
      <c r="A236" s="229">
        <v>43617</v>
      </c>
      <c r="B236" s="244" t="s">
        <v>848</v>
      </c>
      <c r="C236" s="99" t="s">
        <v>9</v>
      </c>
      <c r="D236" s="99"/>
      <c r="E236" s="99"/>
      <c r="F236" s="140">
        <v>16.899999999999999</v>
      </c>
      <c r="G236" s="140">
        <v>12</v>
      </c>
      <c r="H236" s="140">
        <v>4.8999999999999986</v>
      </c>
      <c r="I236" s="123">
        <v>10</v>
      </c>
      <c r="J236" s="123">
        <v>10.08</v>
      </c>
      <c r="K236" s="145">
        <v>1</v>
      </c>
      <c r="L236" s="140">
        <v>16.899999999999999</v>
      </c>
      <c r="M236" s="140">
        <v>12</v>
      </c>
      <c r="N236" s="99"/>
      <c r="O236" s="140">
        <v>4.8999999999999986</v>
      </c>
      <c r="P236" s="123">
        <v>10</v>
      </c>
      <c r="Q236" s="123">
        <v>10.08</v>
      </c>
      <c r="R236" s="233">
        <f>YEAR(Tableau4[[#This Row],[Date]])</f>
        <v>2019</v>
      </c>
    </row>
    <row r="237" spans="1:18">
      <c r="A237" s="229">
        <v>43617</v>
      </c>
      <c r="B237" s="244" t="s">
        <v>848</v>
      </c>
      <c r="C237" s="99" t="s">
        <v>9</v>
      </c>
      <c r="D237" s="99"/>
      <c r="E237" s="99"/>
      <c r="F237" s="140">
        <v>14.9</v>
      </c>
      <c r="G237" s="140">
        <v>10.65</v>
      </c>
      <c r="H237" s="140">
        <v>4.25</v>
      </c>
      <c r="I237" s="123">
        <v>9</v>
      </c>
      <c r="J237" s="123">
        <v>5.5</v>
      </c>
      <c r="K237" s="145">
        <v>1</v>
      </c>
      <c r="L237" s="140">
        <v>14.9</v>
      </c>
      <c r="M237" s="140">
        <v>10.65</v>
      </c>
      <c r="N237" s="99"/>
      <c r="O237" s="140">
        <v>4.25</v>
      </c>
      <c r="P237" s="123">
        <v>10</v>
      </c>
      <c r="Q237" s="123">
        <v>5.5</v>
      </c>
      <c r="R237" s="233">
        <f>YEAR(Tableau4[[#This Row],[Date]])</f>
        <v>2019</v>
      </c>
    </row>
    <row r="238" spans="1:18">
      <c r="A238" s="229">
        <v>43647</v>
      </c>
      <c r="B238" s="244" t="s">
        <v>848</v>
      </c>
      <c r="C238" s="99" t="s">
        <v>58</v>
      </c>
      <c r="D238" s="99"/>
      <c r="E238" s="99"/>
      <c r="F238" s="140">
        <v>21</v>
      </c>
      <c r="G238" s="140">
        <v>15</v>
      </c>
      <c r="H238" s="140">
        <v>6</v>
      </c>
      <c r="I238" s="123">
        <v>11.5</v>
      </c>
      <c r="J238" s="123">
        <v>12.61</v>
      </c>
      <c r="K238" s="145">
        <v>1</v>
      </c>
      <c r="L238" s="140">
        <v>21</v>
      </c>
      <c r="M238" s="140">
        <v>15</v>
      </c>
      <c r="N238" s="99"/>
      <c r="O238" s="140">
        <v>6</v>
      </c>
      <c r="P238" s="123">
        <v>11.5</v>
      </c>
      <c r="Q238" s="123">
        <v>12.61</v>
      </c>
      <c r="R238" s="233">
        <f>YEAR(Tableau4[[#This Row],[Date]])</f>
        <v>2019</v>
      </c>
    </row>
    <row r="239" spans="1:18">
      <c r="A239" s="229">
        <v>43739</v>
      </c>
      <c r="B239" s="244" t="s">
        <v>848</v>
      </c>
      <c r="C239" s="99" t="s">
        <v>7</v>
      </c>
      <c r="D239" s="99"/>
      <c r="E239" s="99">
        <v>50</v>
      </c>
      <c r="F239" s="140">
        <v>19.899999999999999</v>
      </c>
      <c r="G239" s="140">
        <v>13.3</v>
      </c>
      <c r="H239" s="140">
        <v>6.5999999999999979</v>
      </c>
      <c r="I239" s="123">
        <v>11</v>
      </c>
      <c r="J239" s="123">
        <v>9</v>
      </c>
      <c r="K239" s="145">
        <v>1</v>
      </c>
      <c r="L239" s="140">
        <v>19.899999999999999</v>
      </c>
      <c r="M239" s="140">
        <v>13.3</v>
      </c>
      <c r="N239" s="99"/>
      <c r="O239" s="140">
        <v>6.5999999999999979</v>
      </c>
      <c r="P239" s="123">
        <v>11</v>
      </c>
      <c r="Q239" s="123">
        <v>9</v>
      </c>
      <c r="R239" s="233">
        <f>YEAR(Tableau4[[#This Row],[Date]])</f>
        <v>2019</v>
      </c>
    </row>
    <row r="240" spans="1:18">
      <c r="A240" s="229">
        <v>43800</v>
      </c>
      <c r="B240" s="244" t="s">
        <v>848</v>
      </c>
      <c r="C240" s="99" t="s">
        <v>7</v>
      </c>
      <c r="D240" s="99"/>
      <c r="E240" s="99">
        <v>100</v>
      </c>
      <c r="F240" s="140">
        <v>32.9</v>
      </c>
      <c r="G240" s="140">
        <v>21.9</v>
      </c>
      <c r="H240" s="140">
        <v>11</v>
      </c>
      <c r="I240" s="123">
        <v>18</v>
      </c>
      <c r="J240" s="123">
        <v>16.55</v>
      </c>
      <c r="K240" s="145">
        <v>1</v>
      </c>
      <c r="L240" s="140">
        <v>32.9</v>
      </c>
      <c r="M240" s="140">
        <v>21.9</v>
      </c>
      <c r="N240" s="99"/>
      <c r="O240" s="140">
        <v>11</v>
      </c>
      <c r="P240" s="123">
        <v>18</v>
      </c>
      <c r="Q240" s="123">
        <v>16.55</v>
      </c>
      <c r="R240" s="233">
        <f>YEAR(Tableau4[[#This Row],[Date]])</f>
        <v>2019</v>
      </c>
    </row>
    <row r="241" spans="1:18">
      <c r="A241" s="229">
        <v>43800</v>
      </c>
      <c r="B241" s="244" t="s">
        <v>848</v>
      </c>
      <c r="C241" s="99" t="s">
        <v>7</v>
      </c>
      <c r="D241" s="99"/>
      <c r="E241" s="99">
        <v>100</v>
      </c>
      <c r="F241" s="140">
        <v>32.9</v>
      </c>
      <c r="G241" s="140">
        <v>21.9</v>
      </c>
      <c r="H241" s="140">
        <v>11</v>
      </c>
      <c r="I241" s="123">
        <v>18</v>
      </c>
      <c r="J241" s="123">
        <v>16.55</v>
      </c>
      <c r="K241" s="145">
        <v>1</v>
      </c>
      <c r="L241" s="140">
        <v>32.9</v>
      </c>
      <c r="M241" s="140">
        <v>21.9</v>
      </c>
      <c r="N241" s="99"/>
      <c r="O241" s="140">
        <v>11</v>
      </c>
      <c r="P241" s="123">
        <v>18</v>
      </c>
      <c r="Q241" s="123">
        <v>16.55</v>
      </c>
      <c r="R241" s="233">
        <f>YEAR(Tableau4[[#This Row],[Date]])</f>
        <v>2019</v>
      </c>
    </row>
    <row r="242" spans="1:18">
      <c r="A242" s="229">
        <v>43800</v>
      </c>
      <c r="B242" s="244" t="s">
        <v>848</v>
      </c>
      <c r="C242" s="99" t="s">
        <v>7</v>
      </c>
      <c r="D242" s="244"/>
      <c r="E242" s="99">
        <v>100</v>
      </c>
      <c r="F242" s="140">
        <v>32.9</v>
      </c>
      <c r="G242" s="140">
        <v>21.9</v>
      </c>
      <c r="H242" s="140">
        <v>11</v>
      </c>
      <c r="I242" s="123">
        <v>18</v>
      </c>
      <c r="J242" s="123">
        <v>16.55</v>
      </c>
      <c r="K242" s="145">
        <v>1</v>
      </c>
      <c r="L242" s="140">
        <v>32.9</v>
      </c>
      <c r="M242" s="140">
        <v>21.9</v>
      </c>
      <c r="N242" s="99"/>
      <c r="O242" s="140">
        <v>11</v>
      </c>
      <c r="P242" s="123">
        <v>18</v>
      </c>
      <c r="Q242" s="123">
        <v>16.55</v>
      </c>
      <c r="R242" s="233">
        <f>YEAR(Tableau4[[#This Row],[Date]])</f>
        <v>2019</v>
      </c>
    </row>
    <row r="243" spans="1:18">
      <c r="A243" s="247">
        <v>44013</v>
      </c>
      <c r="B243" s="244" t="s">
        <v>849</v>
      </c>
      <c r="C243" s="99" t="s">
        <v>9</v>
      </c>
      <c r="D243" s="99"/>
      <c r="E243" s="99"/>
      <c r="F243" s="140">
        <v>19.899999999999999</v>
      </c>
      <c r="G243" s="140">
        <v>10.65</v>
      </c>
      <c r="H243" s="140">
        <v>9.2499999999999982</v>
      </c>
      <c r="I243" s="123">
        <v>8.5</v>
      </c>
      <c r="J243" s="123">
        <v>8.9499999999999993</v>
      </c>
      <c r="K243" s="145">
        <v>1</v>
      </c>
      <c r="L243" s="140">
        <v>19.899999999999999</v>
      </c>
      <c r="M243" s="140">
        <v>10.65</v>
      </c>
      <c r="N243" s="99"/>
      <c r="O243" s="140">
        <v>9.2499999999999982</v>
      </c>
      <c r="P243" s="123">
        <v>8.5</v>
      </c>
      <c r="Q243" s="123">
        <v>8.9499999999999993</v>
      </c>
      <c r="R243" s="233">
        <f>YEAR(Tableau4[[#This Row],[Date]])</f>
        <v>2020</v>
      </c>
    </row>
    <row r="244" spans="1:18">
      <c r="A244" s="247">
        <v>44013</v>
      </c>
      <c r="B244" s="244" t="s">
        <v>849</v>
      </c>
      <c r="C244" s="99" t="s">
        <v>12</v>
      </c>
      <c r="D244" s="99"/>
      <c r="E244" s="99"/>
      <c r="F244" s="140">
        <v>37.799999999999997</v>
      </c>
      <c r="G244" s="140">
        <v>27</v>
      </c>
      <c r="H244" s="140">
        <v>10.799999999999997</v>
      </c>
      <c r="I244" s="123">
        <v>13.5</v>
      </c>
      <c r="J244" s="123">
        <v>18.510000000000002</v>
      </c>
      <c r="K244" s="145">
        <v>1</v>
      </c>
      <c r="L244" s="140">
        <v>37.799999999999997</v>
      </c>
      <c r="M244" s="140">
        <v>27</v>
      </c>
      <c r="N244" s="99"/>
      <c r="O244" s="140">
        <v>10.799999999999997</v>
      </c>
      <c r="P244" s="123">
        <v>13.5</v>
      </c>
      <c r="Q244" s="123">
        <v>18.510000000000002</v>
      </c>
      <c r="R244" s="233">
        <f>YEAR(Tableau4[[#This Row],[Date]])</f>
        <v>2020</v>
      </c>
    </row>
    <row r="245" spans="1:18">
      <c r="A245" s="247">
        <v>44013</v>
      </c>
      <c r="B245" s="244" t="s">
        <v>849</v>
      </c>
      <c r="C245" s="99" t="s">
        <v>7</v>
      </c>
      <c r="D245" s="99"/>
      <c r="E245" s="99" t="s">
        <v>76</v>
      </c>
      <c r="F245" s="140">
        <v>32.9</v>
      </c>
      <c r="G245" s="140">
        <v>21.9</v>
      </c>
      <c r="H245" s="140">
        <v>11</v>
      </c>
      <c r="I245" s="123">
        <v>18</v>
      </c>
      <c r="J245" s="123">
        <v>16.55</v>
      </c>
      <c r="K245" s="145">
        <v>1</v>
      </c>
      <c r="L245" s="140">
        <v>32.9</v>
      </c>
      <c r="M245" s="140">
        <v>21.9</v>
      </c>
      <c r="N245" s="99"/>
      <c r="O245" s="140">
        <v>11</v>
      </c>
      <c r="P245" s="123">
        <v>18</v>
      </c>
      <c r="Q245" s="123">
        <v>16.55</v>
      </c>
      <c r="R245" s="233">
        <f>YEAR(Tableau4[[#This Row],[Date]])</f>
        <v>2020</v>
      </c>
    </row>
    <row r="246" spans="1:18">
      <c r="A246" s="247">
        <v>44013</v>
      </c>
      <c r="B246" s="244" t="s">
        <v>849</v>
      </c>
      <c r="C246" s="99" t="s">
        <v>9</v>
      </c>
      <c r="D246" s="99"/>
      <c r="E246" s="99"/>
      <c r="F246" s="140">
        <v>16.899999999999999</v>
      </c>
      <c r="G246" s="140">
        <v>12.7</v>
      </c>
      <c r="H246" s="140">
        <v>4.1999999999999993</v>
      </c>
      <c r="I246" s="123">
        <v>9</v>
      </c>
      <c r="J246" s="123">
        <v>5.5</v>
      </c>
      <c r="K246" s="145">
        <v>1</v>
      </c>
      <c r="L246" s="140">
        <v>16.899999999999999</v>
      </c>
      <c r="M246" s="140">
        <v>12.7</v>
      </c>
      <c r="N246" s="99"/>
      <c r="O246" s="140">
        <v>4.1999999999999993</v>
      </c>
      <c r="P246" s="123">
        <v>10</v>
      </c>
      <c r="Q246" s="123">
        <v>5.5</v>
      </c>
      <c r="R246" s="233">
        <f>YEAR(Tableau4[[#This Row],[Date]])</f>
        <v>2020</v>
      </c>
    </row>
    <row r="247" spans="1:18">
      <c r="A247" s="229">
        <v>43770</v>
      </c>
      <c r="B247" s="245" t="s">
        <v>850</v>
      </c>
      <c r="C247" s="99" t="s">
        <v>7</v>
      </c>
      <c r="D247" s="99"/>
      <c r="E247" s="99">
        <v>50</v>
      </c>
      <c r="F247" s="140">
        <v>19.899999999999999</v>
      </c>
      <c r="G247" s="140">
        <v>13.3</v>
      </c>
      <c r="H247" s="140">
        <v>6.5999999999999979</v>
      </c>
      <c r="I247" s="123">
        <v>11</v>
      </c>
      <c r="J247" s="123">
        <v>9</v>
      </c>
      <c r="K247" s="145">
        <v>1</v>
      </c>
      <c r="L247" s="140">
        <v>19.899999999999999</v>
      </c>
      <c r="M247" s="140">
        <v>13.3</v>
      </c>
      <c r="N247" s="99"/>
      <c r="O247" s="140">
        <v>6.5999999999999979</v>
      </c>
      <c r="P247" s="123">
        <v>11</v>
      </c>
      <c r="Q247" s="123">
        <v>9</v>
      </c>
      <c r="R247" s="233">
        <f>YEAR(Tableau4[[#This Row],[Date]])</f>
        <v>2019</v>
      </c>
    </row>
    <row r="248" spans="1:18">
      <c r="A248" s="247">
        <v>43952</v>
      </c>
      <c r="B248" s="245" t="s">
        <v>850</v>
      </c>
      <c r="C248" s="99" t="s">
        <v>7</v>
      </c>
      <c r="D248" s="99"/>
      <c r="E248" s="99" t="s">
        <v>76</v>
      </c>
      <c r="F248" s="140">
        <v>32.9</v>
      </c>
      <c r="G248" s="140">
        <v>21.9</v>
      </c>
      <c r="H248" s="140">
        <v>11</v>
      </c>
      <c r="I248" s="123">
        <v>18</v>
      </c>
      <c r="J248" s="123">
        <v>16.55</v>
      </c>
      <c r="K248" s="145">
        <v>1</v>
      </c>
      <c r="L248" s="140">
        <v>32.9</v>
      </c>
      <c r="M248" s="140">
        <v>21.9</v>
      </c>
      <c r="N248" s="99"/>
      <c r="O248" s="140">
        <v>11</v>
      </c>
      <c r="P248" s="123">
        <v>18</v>
      </c>
      <c r="Q248" s="123">
        <v>16.55</v>
      </c>
      <c r="R248" s="233">
        <f>YEAR(Tableau4[[#This Row],[Date]])</f>
        <v>2020</v>
      </c>
    </row>
    <row r="249" spans="1:18">
      <c r="A249" s="247">
        <v>43983</v>
      </c>
      <c r="B249" s="245" t="s">
        <v>850</v>
      </c>
      <c r="C249" s="99" t="s">
        <v>58</v>
      </c>
      <c r="D249" s="99"/>
      <c r="E249" s="99"/>
      <c r="F249" s="140">
        <v>21</v>
      </c>
      <c r="G249" s="140">
        <v>15</v>
      </c>
      <c r="H249" s="140">
        <v>6</v>
      </c>
      <c r="I249" s="123">
        <v>11.5</v>
      </c>
      <c r="J249" s="123">
        <v>12.61</v>
      </c>
      <c r="K249" s="145">
        <v>1</v>
      </c>
      <c r="L249" s="140">
        <v>21</v>
      </c>
      <c r="M249" s="140">
        <v>15</v>
      </c>
      <c r="N249" s="99"/>
      <c r="O249" s="140">
        <v>6</v>
      </c>
      <c r="P249" s="123">
        <v>11.5</v>
      </c>
      <c r="Q249" s="123">
        <v>12.61</v>
      </c>
      <c r="R249" s="233">
        <f>YEAR(Tableau4[[#This Row],[Date]])</f>
        <v>2020</v>
      </c>
    </row>
    <row r="250" spans="1:18">
      <c r="A250" s="247">
        <v>43983</v>
      </c>
      <c r="B250" s="245" t="s">
        <v>850</v>
      </c>
      <c r="C250" s="99" t="s">
        <v>58</v>
      </c>
      <c r="D250" s="99"/>
      <c r="E250" s="99"/>
      <c r="F250" s="140">
        <v>21</v>
      </c>
      <c r="G250" s="140">
        <v>15</v>
      </c>
      <c r="H250" s="140">
        <v>6</v>
      </c>
      <c r="I250" s="123">
        <v>11.5</v>
      </c>
      <c r="J250" s="123">
        <v>12.61</v>
      </c>
      <c r="K250" s="145">
        <v>1</v>
      </c>
      <c r="L250" s="140">
        <v>21</v>
      </c>
      <c r="M250" s="140">
        <v>15</v>
      </c>
      <c r="N250" s="99"/>
      <c r="O250" s="140">
        <v>6</v>
      </c>
      <c r="P250" s="123">
        <v>11.5</v>
      </c>
      <c r="Q250" s="123">
        <v>12.61</v>
      </c>
      <c r="R250" s="233">
        <f>YEAR(Tableau4[[#This Row],[Date]])</f>
        <v>2020</v>
      </c>
    </row>
    <row r="251" spans="1:18">
      <c r="A251" s="247">
        <v>43983</v>
      </c>
      <c r="B251" s="244" t="s">
        <v>850</v>
      </c>
      <c r="C251" s="99" t="s">
        <v>9</v>
      </c>
      <c r="D251" s="99"/>
      <c r="E251" s="99"/>
      <c r="F251" s="140">
        <v>16.899999999999999</v>
      </c>
      <c r="G251" s="140">
        <v>12.7</v>
      </c>
      <c r="H251" s="140">
        <v>4.1999999999999993</v>
      </c>
      <c r="I251" s="123">
        <v>9</v>
      </c>
      <c r="J251" s="123">
        <v>5.5</v>
      </c>
      <c r="K251" s="145">
        <v>1</v>
      </c>
      <c r="L251" s="140">
        <v>16.899999999999999</v>
      </c>
      <c r="M251" s="140">
        <v>12.7</v>
      </c>
      <c r="N251" s="99"/>
      <c r="O251" s="140">
        <v>4.1999999999999993</v>
      </c>
      <c r="P251" s="123">
        <v>10</v>
      </c>
      <c r="Q251" s="123">
        <v>5.5</v>
      </c>
      <c r="R251" s="233">
        <f>YEAR(Tableau4[[#This Row],[Date]])</f>
        <v>2020</v>
      </c>
    </row>
    <row r="252" spans="1:18">
      <c r="A252" s="247">
        <v>43983</v>
      </c>
      <c r="B252" s="244" t="s">
        <v>850</v>
      </c>
      <c r="C252" s="99" t="s">
        <v>9</v>
      </c>
      <c r="D252" s="99"/>
      <c r="E252" s="99"/>
      <c r="F252" s="140">
        <v>16.899999999999999</v>
      </c>
      <c r="G252" s="140">
        <v>12.7</v>
      </c>
      <c r="H252" s="140">
        <v>4.1999999999999993</v>
      </c>
      <c r="I252" s="123">
        <v>9</v>
      </c>
      <c r="J252" s="123">
        <v>5.5</v>
      </c>
      <c r="K252" s="145">
        <v>1</v>
      </c>
      <c r="L252" s="140">
        <v>16.899999999999999</v>
      </c>
      <c r="M252" s="140">
        <v>12.7</v>
      </c>
      <c r="N252" s="99"/>
      <c r="O252" s="140">
        <v>4.1999999999999993</v>
      </c>
      <c r="P252" s="123">
        <v>10</v>
      </c>
      <c r="Q252" s="123">
        <v>5.5</v>
      </c>
      <c r="R252" s="233">
        <f>YEAR(Tableau4[[#This Row],[Date]])</f>
        <v>2020</v>
      </c>
    </row>
    <row r="253" spans="1:18">
      <c r="A253" s="229">
        <v>43586</v>
      </c>
      <c r="B253" s="244" t="s">
        <v>851</v>
      </c>
      <c r="C253" s="99" t="s">
        <v>9</v>
      </c>
      <c r="D253" s="244"/>
      <c r="E253" s="99"/>
      <c r="F253" s="140">
        <v>20.5</v>
      </c>
      <c r="G253" s="140">
        <v>14.6</v>
      </c>
      <c r="H253" s="140">
        <v>5.9</v>
      </c>
      <c r="I253" s="123">
        <v>11.5</v>
      </c>
      <c r="J253" s="123">
        <v>12.27</v>
      </c>
      <c r="K253" s="145">
        <v>1</v>
      </c>
      <c r="L253" s="140">
        <v>20.5</v>
      </c>
      <c r="M253" s="140">
        <v>14.6</v>
      </c>
      <c r="N253" s="99"/>
      <c r="O253" s="140">
        <v>5.9</v>
      </c>
      <c r="P253" s="123">
        <v>12.5</v>
      </c>
      <c r="Q253" s="123">
        <v>12.27</v>
      </c>
      <c r="R253" s="233">
        <f>YEAR(Tableau4[[#This Row],[Date]])</f>
        <v>2019</v>
      </c>
    </row>
    <row r="254" spans="1:18">
      <c r="A254" s="247">
        <v>43983</v>
      </c>
      <c r="B254" s="244" t="s">
        <v>851</v>
      </c>
      <c r="C254" s="99" t="s">
        <v>9</v>
      </c>
      <c r="D254" s="99"/>
      <c r="E254" s="99"/>
      <c r="F254" s="140">
        <v>16.899999999999999</v>
      </c>
      <c r="G254" s="140">
        <v>12.7</v>
      </c>
      <c r="H254" s="140">
        <v>4.1999999999999993</v>
      </c>
      <c r="I254" s="123">
        <v>9</v>
      </c>
      <c r="J254" s="123">
        <v>5.5</v>
      </c>
      <c r="K254" s="145">
        <v>1</v>
      </c>
      <c r="L254" s="140">
        <v>16.899999999999999</v>
      </c>
      <c r="M254" s="140">
        <v>12.7</v>
      </c>
      <c r="N254" s="99"/>
      <c r="O254" s="140">
        <v>4.1999999999999993</v>
      </c>
      <c r="P254" s="123">
        <v>10</v>
      </c>
      <c r="Q254" s="123">
        <v>5.5</v>
      </c>
      <c r="R254" s="233">
        <f>YEAR(Tableau4[[#This Row],[Date]])</f>
        <v>2020</v>
      </c>
    </row>
    <row r="255" spans="1:18">
      <c r="A255" s="229">
        <v>43556</v>
      </c>
      <c r="B255" s="244" t="s">
        <v>852</v>
      </c>
      <c r="C255" s="99" t="s">
        <v>7</v>
      </c>
      <c r="D255" s="99"/>
      <c r="E255" s="99">
        <v>50</v>
      </c>
      <c r="F255" s="140">
        <v>19.899999999999999</v>
      </c>
      <c r="G255" s="140">
        <v>13.3</v>
      </c>
      <c r="H255" s="140">
        <v>6.5999999999999979</v>
      </c>
      <c r="I255" s="123">
        <v>11</v>
      </c>
      <c r="J255" s="123">
        <v>9</v>
      </c>
      <c r="K255" s="145">
        <v>1</v>
      </c>
      <c r="L255" s="140">
        <v>19.899999999999999</v>
      </c>
      <c r="M255" s="140">
        <v>13.3</v>
      </c>
      <c r="N255" s="99"/>
      <c r="O255" s="140">
        <v>6.5999999999999979</v>
      </c>
      <c r="P255" s="123">
        <v>11</v>
      </c>
      <c r="Q255" s="123">
        <v>9</v>
      </c>
      <c r="R255" s="233">
        <f>YEAR(Tableau4[[#This Row],[Date]])</f>
        <v>2019</v>
      </c>
    </row>
    <row r="256" spans="1:18">
      <c r="A256" s="229">
        <v>43647</v>
      </c>
      <c r="B256" s="246" t="s">
        <v>853</v>
      </c>
      <c r="C256" s="99" t="s">
        <v>9</v>
      </c>
      <c r="D256" s="99"/>
      <c r="E256" s="99"/>
      <c r="F256" s="140">
        <v>9.9</v>
      </c>
      <c r="G256" s="140">
        <v>7</v>
      </c>
      <c r="H256" s="140">
        <v>2.9000000000000004</v>
      </c>
      <c r="I256" s="123">
        <v>5</v>
      </c>
      <c r="J256" s="123">
        <v>2.94</v>
      </c>
      <c r="K256" s="145">
        <v>1</v>
      </c>
      <c r="L256" s="140">
        <v>9.9</v>
      </c>
      <c r="M256" s="140">
        <v>7</v>
      </c>
      <c r="N256" s="99"/>
      <c r="O256" s="140">
        <v>2.9000000000000004</v>
      </c>
      <c r="P256" s="123">
        <v>5</v>
      </c>
      <c r="Q256" s="123">
        <v>2.94</v>
      </c>
      <c r="R256" s="233">
        <f>YEAR(Tableau4[[#This Row],[Date]])</f>
        <v>2019</v>
      </c>
    </row>
    <row r="257" spans="1:18">
      <c r="A257" s="229">
        <v>43647</v>
      </c>
      <c r="B257" s="246" t="s">
        <v>853</v>
      </c>
      <c r="C257" s="99" t="s">
        <v>9</v>
      </c>
      <c r="D257" s="99"/>
      <c r="E257" s="99"/>
      <c r="F257" s="140">
        <v>16.2</v>
      </c>
      <c r="G257" s="140">
        <v>11.8</v>
      </c>
      <c r="H257" s="140">
        <v>4.3999999999999986</v>
      </c>
      <c r="I257" s="123">
        <v>9</v>
      </c>
      <c r="J257" s="123">
        <v>9.25</v>
      </c>
      <c r="K257" s="145">
        <v>1</v>
      </c>
      <c r="L257" s="140">
        <v>16.2</v>
      </c>
      <c r="M257" s="140">
        <v>11.8</v>
      </c>
      <c r="N257" s="99"/>
      <c r="O257" s="140">
        <v>4.3999999999999986</v>
      </c>
      <c r="P257" s="123">
        <v>9</v>
      </c>
      <c r="Q257" s="123">
        <v>9.25</v>
      </c>
      <c r="R257" s="233">
        <f>YEAR(Tableau4[[#This Row],[Date]])</f>
        <v>2019</v>
      </c>
    </row>
    <row r="258" spans="1:18">
      <c r="A258" s="247">
        <v>43862</v>
      </c>
      <c r="B258" s="244" t="s">
        <v>855</v>
      </c>
      <c r="C258" s="99" t="s">
        <v>9</v>
      </c>
      <c r="D258" s="99"/>
      <c r="E258" s="99"/>
      <c r="F258" s="140">
        <v>29.9</v>
      </c>
      <c r="G258" s="140">
        <v>21</v>
      </c>
      <c r="H258" s="140">
        <v>8.8999999999999986</v>
      </c>
      <c r="I258" s="123">
        <v>15</v>
      </c>
      <c r="J258" s="123">
        <v>11.96</v>
      </c>
      <c r="K258" s="145">
        <v>1</v>
      </c>
      <c r="L258" s="140">
        <v>29.9</v>
      </c>
      <c r="M258" s="140">
        <v>21</v>
      </c>
      <c r="N258" s="99"/>
      <c r="O258" s="140">
        <v>8.8999999999999986</v>
      </c>
      <c r="P258" s="123">
        <v>15</v>
      </c>
      <c r="Q258" s="123">
        <v>11.96</v>
      </c>
      <c r="R258" s="233">
        <f>YEAR(Tableau4[[#This Row],[Date]])</f>
        <v>2020</v>
      </c>
    </row>
    <row r="259" spans="1:18">
      <c r="A259" s="247">
        <v>43862</v>
      </c>
      <c r="B259" s="244" t="s">
        <v>855</v>
      </c>
      <c r="C259" s="99" t="s">
        <v>9</v>
      </c>
      <c r="D259" s="99"/>
      <c r="E259" s="99"/>
      <c r="F259" s="140">
        <v>31.5</v>
      </c>
      <c r="G259" s="140">
        <v>23</v>
      </c>
      <c r="H259" s="140">
        <v>8.5</v>
      </c>
      <c r="I259" s="123">
        <v>20</v>
      </c>
      <c r="J259" s="123">
        <v>17.649999999999999</v>
      </c>
      <c r="K259" s="145">
        <v>1</v>
      </c>
      <c r="L259" s="140">
        <v>31.5</v>
      </c>
      <c r="M259" s="140">
        <v>23</v>
      </c>
      <c r="N259" s="99"/>
      <c r="O259" s="140">
        <v>8.5</v>
      </c>
      <c r="P259" s="123">
        <v>20</v>
      </c>
      <c r="Q259" s="123">
        <v>17.649999999999999</v>
      </c>
      <c r="R259" s="233">
        <f>YEAR(Tableau4[[#This Row],[Date]])</f>
        <v>2020</v>
      </c>
    </row>
    <row r="260" spans="1:18">
      <c r="A260" s="247">
        <v>43862</v>
      </c>
      <c r="B260" s="244" t="s">
        <v>855</v>
      </c>
      <c r="C260" s="99" t="s">
        <v>9</v>
      </c>
      <c r="D260" s="99"/>
      <c r="E260" s="99"/>
      <c r="F260" s="140">
        <v>8.9</v>
      </c>
      <c r="G260" s="140">
        <v>6.35</v>
      </c>
      <c r="H260" s="140">
        <v>2.5500000000000007</v>
      </c>
      <c r="I260" s="123">
        <v>5</v>
      </c>
      <c r="J260" s="123">
        <v>2.67</v>
      </c>
      <c r="K260" s="145">
        <v>1</v>
      </c>
      <c r="L260" s="140">
        <v>8.9</v>
      </c>
      <c r="M260" s="140">
        <v>6.35</v>
      </c>
      <c r="N260" s="99"/>
      <c r="O260" s="140">
        <v>2.5500000000000007</v>
      </c>
      <c r="P260" s="123">
        <v>5</v>
      </c>
      <c r="Q260" s="123">
        <v>2.67</v>
      </c>
      <c r="R260" s="233">
        <f>YEAR(Tableau4[[#This Row],[Date]])</f>
        <v>2020</v>
      </c>
    </row>
    <row r="261" spans="1:18">
      <c r="A261" s="247">
        <v>43862</v>
      </c>
      <c r="B261" s="244" t="s">
        <v>855</v>
      </c>
      <c r="C261" s="99" t="s">
        <v>9</v>
      </c>
      <c r="D261" s="99"/>
      <c r="E261" s="99"/>
      <c r="F261" s="140">
        <v>9.9</v>
      </c>
      <c r="G261" s="140">
        <v>7</v>
      </c>
      <c r="H261" s="140">
        <v>2.9000000000000004</v>
      </c>
      <c r="I261" s="123">
        <v>5</v>
      </c>
      <c r="J261" s="123">
        <v>2.94</v>
      </c>
      <c r="K261" s="145">
        <v>1</v>
      </c>
      <c r="L261" s="140">
        <v>9.9</v>
      </c>
      <c r="M261" s="140">
        <v>7</v>
      </c>
      <c r="N261" s="99"/>
      <c r="O261" s="140">
        <v>2.9000000000000004</v>
      </c>
      <c r="P261" s="123">
        <v>5</v>
      </c>
      <c r="Q261" s="123">
        <v>2.94</v>
      </c>
      <c r="R261" s="233">
        <f>YEAR(Tableau4[[#This Row],[Date]])</f>
        <v>2020</v>
      </c>
    </row>
    <row r="262" spans="1:18">
      <c r="A262" s="247">
        <v>43862</v>
      </c>
      <c r="B262" s="244" t="s">
        <v>855</v>
      </c>
      <c r="C262" s="99" t="s">
        <v>9</v>
      </c>
      <c r="D262" s="99"/>
      <c r="E262" s="99"/>
      <c r="F262" s="140">
        <v>9.9</v>
      </c>
      <c r="G262" s="140">
        <v>7.05</v>
      </c>
      <c r="H262" s="140">
        <v>2.8500000000000005</v>
      </c>
      <c r="I262" s="123">
        <v>5</v>
      </c>
      <c r="J262" s="123">
        <v>3</v>
      </c>
      <c r="K262" s="145">
        <v>1</v>
      </c>
      <c r="L262" s="140">
        <v>9.9</v>
      </c>
      <c r="M262" s="140">
        <v>7.05</v>
      </c>
      <c r="N262" s="99"/>
      <c r="O262" s="140">
        <v>2.8500000000000005</v>
      </c>
      <c r="P262" s="123">
        <v>5</v>
      </c>
      <c r="Q262" s="123">
        <v>3</v>
      </c>
      <c r="R262" s="233">
        <f>YEAR(Tableau4[[#This Row],[Date]])</f>
        <v>2020</v>
      </c>
    </row>
    <row r="263" spans="1:18">
      <c r="A263" s="247">
        <v>43862</v>
      </c>
      <c r="B263" s="244" t="s">
        <v>855</v>
      </c>
      <c r="C263" s="99" t="s">
        <v>9</v>
      </c>
      <c r="D263" s="99"/>
      <c r="E263" s="99"/>
      <c r="F263" s="140">
        <v>19.899999999999999</v>
      </c>
      <c r="G263" s="140">
        <v>13.9</v>
      </c>
      <c r="H263" s="140">
        <v>5.9999999999999982</v>
      </c>
      <c r="I263" s="123">
        <v>11.5</v>
      </c>
      <c r="J263" s="123">
        <v>11.68</v>
      </c>
      <c r="K263" s="145">
        <v>1</v>
      </c>
      <c r="L263" s="140">
        <v>19.899999999999999</v>
      </c>
      <c r="M263" s="140">
        <v>13.9</v>
      </c>
      <c r="N263" s="99"/>
      <c r="O263" s="140">
        <v>5.9999999999999982</v>
      </c>
      <c r="P263" s="123">
        <v>11.5</v>
      </c>
      <c r="Q263" s="123">
        <v>11.68</v>
      </c>
      <c r="R263" s="233">
        <f>YEAR(Tableau4[[#This Row],[Date]])</f>
        <v>2020</v>
      </c>
    </row>
    <row r="264" spans="1:18">
      <c r="A264" s="247">
        <v>43862</v>
      </c>
      <c r="B264" s="244" t="s">
        <v>855</v>
      </c>
      <c r="C264" s="99" t="s">
        <v>9</v>
      </c>
      <c r="D264" s="99"/>
      <c r="E264" s="99"/>
      <c r="F264" s="140">
        <v>16.899999999999999</v>
      </c>
      <c r="G264" s="140">
        <v>12</v>
      </c>
      <c r="H264" s="140">
        <v>4.8999999999999986</v>
      </c>
      <c r="I264" s="123">
        <v>10</v>
      </c>
      <c r="J264" s="123">
        <v>10.08</v>
      </c>
      <c r="K264" s="145">
        <v>1</v>
      </c>
      <c r="L264" s="140">
        <v>16.899999999999999</v>
      </c>
      <c r="M264" s="140">
        <v>12</v>
      </c>
      <c r="N264" s="99"/>
      <c r="O264" s="140">
        <v>4.8999999999999986</v>
      </c>
      <c r="P264" s="123">
        <v>10</v>
      </c>
      <c r="Q264" s="123">
        <v>10.08</v>
      </c>
      <c r="R264" s="233">
        <f>YEAR(Tableau4[[#This Row],[Date]])</f>
        <v>2020</v>
      </c>
    </row>
    <row r="265" spans="1:18">
      <c r="A265" s="247">
        <v>43862</v>
      </c>
      <c r="B265" s="244" t="s">
        <v>855</v>
      </c>
      <c r="C265" s="99" t="s">
        <v>7</v>
      </c>
      <c r="D265" s="99"/>
      <c r="E265" s="99" t="s">
        <v>53</v>
      </c>
      <c r="F265" s="140">
        <v>5</v>
      </c>
      <c r="G265" s="140">
        <v>2.9</v>
      </c>
      <c r="H265" s="140">
        <v>2.1</v>
      </c>
      <c r="I265" s="123">
        <v>1.5</v>
      </c>
      <c r="J265" s="123">
        <v>1</v>
      </c>
      <c r="K265" s="145">
        <v>1</v>
      </c>
      <c r="L265" s="140">
        <v>0</v>
      </c>
      <c r="M265" s="140">
        <v>2.9</v>
      </c>
      <c r="N265" s="99">
        <v>5</v>
      </c>
      <c r="O265" s="140">
        <v>-2.9</v>
      </c>
      <c r="P265" s="123">
        <v>1.5</v>
      </c>
      <c r="Q265" s="123">
        <v>1</v>
      </c>
      <c r="R265" s="233">
        <f>YEAR(Tableau4[[#This Row],[Date]])</f>
        <v>2020</v>
      </c>
    </row>
    <row r="266" spans="1:18">
      <c r="A266" s="247">
        <v>43862</v>
      </c>
      <c r="B266" s="245" t="s">
        <v>855</v>
      </c>
      <c r="C266" s="99" t="s">
        <v>9</v>
      </c>
      <c r="D266" s="99"/>
      <c r="E266" s="99"/>
      <c r="F266" s="140">
        <v>21.9</v>
      </c>
      <c r="G266" s="140">
        <v>16.899999999999999</v>
      </c>
      <c r="H266" s="140">
        <v>5</v>
      </c>
      <c r="I266" s="123">
        <v>11.5</v>
      </c>
      <c r="J266" s="123">
        <v>12.27</v>
      </c>
      <c r="K266" s="145">
        <v>1</v>
      </c>
      <c r="L266" s="140">
        <v>21.9</v>
      </c>
      <c r="M266" s="140">
        <v>16.899999999999999</v>
      </c>
      <c r="N266" s="99"/>
      <c r="O266" s="140">
        <v>5</v>
      </c>
      <c r="P266" s="123">
        <v>12.5</v>
      </c>
      <c r="Q266" s="123">
        <v>12.27</v>
      </c>
      <c r="R266" s="233">
        <f>YEAR(Tableau4[[#This Row],[Date]])</f>
        <v>2020</v>
      </c>
    </row>
    <row r="267" spans="1:18">
      <c r="A267" s="247">
        <v>43862</v>
      </c>
      <c r="B267" s="245" t="s">
        <v>855</v>
      </c>
      <c r="C267" s="99" t="s">
        <v>12</v>
      </c>
      <c r="D267" s="99"/>
      <c r="E267" s="99"/>
      <c r="F267" s="140">
        <v>37.799999999999997</v>
      </c>
      <c r="G267" s="140">
        <v>27</v>
      </c>
      <c r="H267" s="140">
        <v>10.799999999999997</v>
      </c>
      <c r="I267" s="123">
        <v>13.5</v>
      </c>
      <c r="J267" s="123">
        <v>18.510000000000002</v>
      </c>
      <c r="K267" s="145">
        <v>1</v>
      </c>
      <c r="L267" s="140">
        <v>37.799999999999997</v>
      </c>
      <c r="M267" s="140">
        <v>27</v>
      </c>
      <c r="N267" s="99"/>
      <c r="O267" s="140">
        <v>10.799999999999997</v>
      </c>
      <c r="P267" s="123">
        <v>13.5</v>
      </c>
      <c r="Q267" s="123">
        <v>18.510000000000002</v>
      </c>
      <c r="R267" s="233">
        <f>YEAR(Tableau4[[#This Row],[Date]])</f>
        <v>2020</v>
      </c>
    </row>
    <row r="268" spans="1:18">
      <c r="A268" s="247">
        <v>43862</v>
      </c>
      <c r="B268" s="245" t="s">
        <v>855</v>
      </c>
      <c r="C268" s="99" t="s">
        <v>9</v>
      </c>
      <c r="D268" s="99"/>
      <c r="E268" s="99"/>
      <c r="F268" s="140">
        <v>16.899999999999999</v>
      </c>
      <c r="G268" s="140">
        <v>12.7</v>
      </c>
      <c r="H268" s="140">
        <v>4.1999999999999993</v>
      </c>
      <c r="I268" s="123">
        <v>9</v>
      </c>
      <c r="J268" s="123">
        <v>5.5</v>
      </c>
      <c r="K268" s="145">
        <v>1</v>
      </c>
      <c r="L268" s="140">
        <v>16.899999999999999</v>
      </c>
      <c r="M268" s="140">
        <v>12.7</v>
      </c>
      <c r="N268" s="99"/>
      <c r="O268" s="140">
        <v>4.1999999999999993</v>
      </c>
      <c r="P268" s="123">
        <v>10</v>
      </c>
      <c r="Q268" s="123">
        <v>5.5</v>
      </c>
      <c r="R268" s="233">
        <f>YEAR(Tableau4[[#This Row],[Date]])</f>
        <v>2020</v>
      </c>
    </row>
    <row r="269" spans="1:18">
      <c r="A269" s="247">
        <v>43891</v>
      </c>
      <c r="B269" s="245" t="s">
        <v>855</v>
      </c>
      <c r="C269" s="99" t="s">
        <v>9</v>
      </c>
      <c r="D269" s="99"/>
      <c r="E269" s="99"/>
      <c r="F269" s="140">
        <v>8.9</v>
      </c>
      <c r="G269" s="140">
        <v>6.35</v>
      </c>
      <c r="H269" s="140">
        <v>2.5500000000000007</v>
      </c>
      <c r="I269" s="123">
        <v>5</v>
      </c>
      <c r="J269" s="123">
        <v>2.67</v>
      </c>
      <c r="K269" s="145">
        <v>1</v>
      </c>
      <c r="L269" s="140">
        <v>8.9</v>
      </c>
      <c r="M269" s="140">
        <v>6.35</v>
      </c>
      <c r="N269" s="99"/>
      <c r="O269" s="140">
        <v>2.5500000000000007</v>
      </c>
      <c r="P269" s="123">
        <v>5</v>
      </c>
      <c r="Q269" s="123">
        <v>2.67</v>
      </c>
      <c r="R269" s="233">
        <f>YEAR(Tableau4[[#This Row],[Date]])</f>
        <v>2020</v>
      </c>
    </row>
    <row r="270" spans="1:18">
      <c r="A270" s="247">
        <v>43922</v>
      </c>
      <c r="B270" s="245" t="s">
        <v>855</v>
      </c>
      <c r="C270" s="99" t="s">
        <v>51</v>
      </c>
      <c r="D270" s="99"/>
      <c r="E270" s="99"/>
      <c r="F270" s="140">
        <v>40</v>
      </c>
      <c r="G270" s="140">
        <v>19.899999999999999</v>
      </c>
      <c r="H270" s="140">
        <v>20.100000000000001</v>
      </c>
      <c r="I270" s="123">
        <v>20</v>
      </c>
      <c r="J270" s="123">
        <v>8</v>
      </c>
      <c r="K270" s="145">
        <v>1</v>
      </c>
      <c r="L270" s="140">
        <v>40</v>
      </c>
      <c r="M270" s="140">
        <v>19.899999999999999</v>
      </c>
      <c r="N270" s="99"/>
      <c r="O270" s="140">
        <v>20.100000000000001</v>
      </c>
      <c r="P270" s="123">
        <v>20</v>
      </c>
      <c r="Q270" s="123">
        <v>8</v>
      </c>
      <c r="R270" s="233">
        <f>YEAR(Tableau4[[#This Row],[Date]])</f>
        <v>2020</v>
      </c>
    </row>
    <row r="271" spans="1:18">
      <c r="A271" s="229">
        <v>43556</v>
      </c>
      <c r="B271" s="245" t="s">
        <v>856</v>
      </c>
      <c r="C271" s="99" t="s">
        <v>7</v>
      </c>
      <c r="D271" s="99"/>
      <c r="E271" s="99">
        <v>50</v>
      </c>
      <c r="F271" s="140">
        <v>19.899999999999999</v>
      </c>
      <c r="G271" s="140">
        <v>13.3</v>
      </c>
      <c r="H271" s="140">
        <v>6.5999999999999979</v>
      </c>
      <c r="I271" s="123">
        <v>11</v>
      </c>
      <c r="J271" s="123">
        <v>9</v>
      </c>
      <c r="K271" s="145">
        <v>1</v>
      </c>
      <c r="L271" s="140">
        <v>19.899999999999999</v>
      </c>
      <c r="M271" s="140">
        <v>13.3</v>
      </c>
      <c r="N271" s="99"/>
      <c r="O271" s="140">
        <v>6.5999999999999979</v>
      </c>
      <c r="P271" s="123">
        <v>11</v>
      </c>
      <c r="Q271" s="123">
        <v>9</v>
      </c>
      <c r="R271" s="233">
        <f>YEAR(Tableau4[[#This Row],[Date]])</f>
        <v>2019</v>
      </c>
    </row>
    <row r="272" spans="1:18">
      <c r="A272" s="229">
        <v>43556</v>
      </c>
      <c r="B272" s="245" t="s">
        <v>856</v>
      </c>
      <c r="C272" s="99" t="s">
        <v>7</v>
      </c>
      <c r="D272" s="99"/>
      <c r="E272" s="99">
        <v>50</v>
      </c>
      <c r="F272" s="140">
        <v>19.899999999999999</v>
      </c>
      <c r="G272" s="140">
        <v>13.3</v>
      </c>
      <c r="H272" s="140">
        <v>6.5999999999999979</v>
      </c>
      <c r="I272" s="123">
        <v>11</v>
      </c>
      <c r="J272" s="123">
        <v>9</v>
      </c>
      <c r="K272" s="145">
        <v>1</v>
      </c>
      <c r="L272" s="140">
        <v>19.899999999999999</v>
      </c>
      <c r="M272" s="140">
        <v>13.3</v>
      </c>
      <c r="N272" s="99"/>
      <c r="O272" s="140">
        <v>6.5999999999999979</v>
      </c>
      <c r="P272" s="123">
        <v>11</v>
      </c>
      <c r="Q272" s="123">
        <v>9</v>
      </c>
      <c r="R272" s="233">
        <f>YEAR(Tableau4[[#This Row],[Date]])</f>
        <v>2019</v>
      </c>
    </row>
    <row r="273" spans="1:18">
      <c r="A273" s="229">
        <v>43556</v>
      </c>
      <c r="B273" s="245" t="s">
        <v>856</v>
      </c>
      <c r="C273" s="99" t="s">
        <v>7</v>
      </c>
      <c r="D273" s="99"/>
      <c r="E273" s="99">
        <v>10</v>
      </c>
      <c r="F273" s="140">
        <v>9.9</v>
      </c>
      <c r="G273" s="140">
        <v>6.9</v>
      </c>
      <c r="H273" s="140">
        <v>3</v>
      </c>
      <c r="I273" s="123">
        <v>4.5999999999999996</v>
      </c>
      <c r="J273" s="123">
        <v>2.9</v>
      </c>
      <c r="K273" s="145">
        <v>1</v>
      </c>
      <c r="L273" s="140">
        <v>9.9</v>
      </c>
      <c r="M273" s="140">
        <v>6.9</v>
      </c>
      <c r="N273" s="99"/>
      <c r="O273" s="140">
        <v>3</v>
      </c>
      <c r="P273" s="123">
        <v>4.5999999999999996</v>
      </c>
      <c r="Q273" s="123">
        <v>2.9</v>
      </c>
      <c r="R273" s="233">
        <f>YEAR(Tableau4[[#This Row],[Date]])</f>
        <v>2019</v>
      </c>
    </row>
    <row r="274" spans="1:18">
      <c r="A274" s="229">
        <v>43617</v>
      </c>
      <c r="B274" s="245" t="s">
        <v>856</v>
      </c>
      <c r="C274" s="99" t="s">
        <v>9</v>
      </c>
      <c r="D274" s="99"/>
      <c r="E274" s="99"/>
      <c r="F274" s="140">
        <v>9.9</v>
      </c>
      <c r="G274" s="140">
        <v>7</v>
      </c>
      <c r="H274" s="140">
        <v>2.9000000000000004</v>
      </c>
      <c r="I274" s="123">
        <v>5</v>
      </c>
      <c r="J274" s="123">
        <v>2.94</v>
      </c>
      <c r="K274" s="145">
        <v>1</v>
      </c>
      <c r="L274" s="140">
        <v>9.9</v>
      </c>
      <c r="M274" s="140">
        <v>7</v>
      </c>
      <c r="N274" s="99"/>
      <c r="O274" s="140">
        <v>2.9000000000000004</v>
      </c>
      <c r="P274" s="123">
        <v>5</v>
      </c>
      <c r="Q274" s="123">
        <v>2.94</v>
      </c>
      <c r="R274" s="233">
        <f>YEAR(Tableau4[[#This Row],[Date]])</f>
        <v>2019</v>
      </c>
    </row>
    <row r="275" spans="1:18">
      <c r="A275" s="229">
        <v>43617</v>
      </c>
      <c r="B275" s="245" t="s">
        <v>856</v>
      </c>
      <c r="C275" s="99" t="s">
        <v>7</v>
      </c>
      <c r="D275" s="99"/>
      <c r="E275" s="99" t="s">
        <v>53</v>
      </c>
      <c r="F275" s="140">
        <v>5</v>
      </c>
      <c r="G275" s="140">
        <v>2.99</v>
      </c>
      <c r="H275" s="140">
        <v>2.0099999999999998</v>
      </c>
      <c r="I275" s="123">
        <v>1.5</v>
      </c>
      <c r="J275" s="123">
        <v>1</v>
      </c>
      <c r="K275" s="145">
        <v>1</v>
      </c>
      <c r="L275" s="140">
        <v>5</v>
      </c>
      <c r="M275" s="140">
        <v>2.99</v>
      </c>
      <c r="N275" s="99"/>
      <c r="O275" s="140">
        <v>2.0099999999999998</v>
      </c>
      <c r="P275" s="123">
        <v>1.5</v>
      </c>
      <c r="Q275" s="123">
        <v>1</v>
      </c>
      <c r="R275" s="233">
        <f>YEAR(Tableau4[[#This Row],[Date]])</f>
        <v>2019</v>
      </c>
    </row>
    <row r="276" spans="1:18">
      <c r="A276" s="229">
        <v>43617</v>
      </c>
      <c r="B276" s="245" t="s">
        <v>856</v>
      </c>
      <c r="C276" s="99" t="s">
        <v>7</v>
      </c>
      <c r="D276" s="99"/>
      <c r="E276" s="99" t="s">
        <v>53</v>
      </c>
      <c r="F276" s="140">
        <v>5</v>
      </c>
      <c r="G276" s="140">
        <v>2.99</v>
      </c>
      <c r="H276" s="140">
        <v>2.0099999999999998</v>
      </c>
      <c r="I276" s="123">
        <v>1.5</v>
      </c>
      <c r="J276" s="123">
        <v>1</v>
      </c>
      <c r="K276" s="145">
        <v>1</v>
      </c>
      <c r="L276" s="140">
        <v>5</v>
      </c>
      <c r="M276" s="140">
        <v>2.99</v>
      </c>
      <c r="N276" s="99"/>
      <c r="O276" s="140">
        <v>2.0099999999999998</v>
      </c>
      <c r="P276" s="123">
        <v>1.5</v>
      </c>
      <c r="Q276" s="123">
        <v>1</v>
      </c>
      <c r="R276" s="233">
        <f>YEAR(Tableau4[[#This Row],[Date]])</f>
        <v>2019</v>
      </c>
    </row>
    <row r="277" spans="1:18">
      <c r="A277" s="229">
        <v>43617</v>
      </c>
      <c r="B277" s="245" t="s">
        <v>856</v>
      </c>
      <c r="C277" s="99" t="s">
        <v>7</v>
      </c>
      <c r="D277" s="99"/>
      <c r="E277" s="99" t="s">
        <v>53</v>
      </c>
      <c r="F277" s="140">
        <v>5</v>
      </c>
      <c r="G277" s="140">
        <v>2.99</v>
      </c>
      <c r="H277" s="140">
        <v>2.0099999999999998</v>
      </c>
      <c r="I277" s="123">
        <v>1.5</v>
      </c>
      <c r="J277" s="123">
        <v>1</v>
      </c>
      <c r="K277" s="145">
        <v>1</v>
      </c>
      <c r="L277" s="140">
        <v>5</v>
      </c>
      <c r="M277" s="140">
        <v>2.99</v>
      </c>
      <c r="N277" s="99"/>
      <c r="O277" s="140">
        <v>2.0099999999999998</v>
      </c>
      <c r="P277" s="123">
        <v>1.5</v>
      </c>
      <c r="Q277" s="123">
        <v>1</v>
      </c>
      <c r="R277" s="233">
        <f>YEAR(Tableau4[[#This Row],[Date]])</f>
        <v>2019</v>
      </c>
    </row>
    <row r="278" spans="1:18">
      <c r="A278" s="229">
        <v>43617</v>
      </c>
      <c r="B278" s="245" t="s">
        <v>856</v>
      </c>
      <c r="C278" s="99" t="s">
        <v>7</v>
      </c>
      <c r="D278" s="99"/>
      <c r="E278" s="99" t="s">
        <v>53</v>
      </c>
      <c r="F278" s="140">
        <v>5</v>
      </c>
      <c r="G278" s="140">
        <v>2.99</v>
      </c>
      <c r="H278" s="140">
        <v>2.0099999999999998</v>
      </c>
      <c r="I278" s="123">
        <v>1.5</v>
      </c>
      <c r="J278" s="123">
        <v>1</v>
      </c>
      <c r="K278" s="145">
        <v>1</v>
      </c>
      <c r="L278" s="140">
        <v>5</v>
      </c>
      <c r="M278" s="140">
        <v>2.99</v>
      </c>
      <c r="N278" s="99"/>
      <c r="O278" s="140">
        <v>2.0099999999999998</v>
      </c>
      <c r="P278" s="123">
        <v>1.5</v>
      </c>
      <c r="Q278" s="123">
        <v>1</v>
      </c>
      <c r="R278" s="233">
        <f>YEAR(Tableau4[[#This Row],[Date]])</f>
        <v>2019</v>
      </c>
    </row>
    <row r="279" spans="1:18">
      <c r="A279" s="229">
        <v>43617</v>
      </c>
      <c r="B279" s="245" t="s">
        <v>856</v>
      </c>
      <c r="C279" s="99" t="s">
        <v>9</v>
      </c>
      <c r="D279" s="99"/>
      <c r="E279" s="99"/>
      <c r="F279" s="140">
        <v>10.9</v>
      </c>
      <c r="G279" s="140">
        <v>7.8</v>
      </c>
      <c r="H279" s="140">
        <v>3.1000000000000005</v>
      </c>
      <c r="I279" s="123">
        <v>6</v>
      </c>
      <c r="J279" s="123">
        <v>3.28</v>
      </c>
      <c r="K279" s="145">
        <v>1</v>
      </c>
      <c r="L279" s="140">
        <v>10.9</v>
      </c>
      <c r="M279" s="140">
        <v>7.8</v>
      </c>
      <c r="N279" s="99"/>
      <c r="O279" s="140">
        <v>3.1000000000000005</v>
      </c>
      <c r="P279" s="123">
        <v>8</v>
      </c>
      <c r="Q279" s="123">
        <v>3.28</v>
      </c>
      <c r="R279" s="233">
        <f>YEAR(Tableau4[[#This Row],[Date]])</f>
        <v>2019</v>
      </c>
    </row>
    <row r="280" spans="1:18">
      <c r="A280" s="229">
        <v>43617</v>
      </c>
      <c r="B280" s="245" t="s">
        <v>856</v>
      </c>
      <c r="C280" s="99" t="s">
        <v>9</v>
      </c>
      <c r="D280" s="99"/>
      <c r="E280" s="99"/>
      <c r="F280" s="140">
        <v>14.9</v>
      </c>
      <c r="G280" s="140">
        <v>10.65</v>
      </c>
      <c r="H280" s="140">
        <v>4.25</v>
      </c>
      <c r="I280" s="123">
        <v>9</v>
      </c>
      <c r="J280" s="123">
        <v>5.5</v>
      </c>
      <c r="K280" s="145">
        <v>1</v>
      </c>
      <c r="L280" s="140">
        <v>14.9</v>
      </c>
      <c r="M280" s="140">
        <v>10.65</v>
      </c>
      <c r="N280" s="99"/>
      <c r="O280" s="140">
        <v>4.25</v>
      </c>
      <c r="P280" s="123">
        <v>10</v>
      </c>
      <c r="Q280" s="123">
        <v>5.5</v>
      </c>
      <c r="R280" s="233">
        <f>YEAR(Tableau4[[#This Row],[Date]])</f>
        <v>2019</v>
      </c>
    </row>
    <row r="281" spans="1:18">
      <c r="A281" s="229">
        <v>43770</v>
      </c>
      <c r="B281" s="244" t="s">
        <v>856</v>
      </c>
      <c r="C281" s="99" t="s">
        <v>51</v>
      </c>
      <c r="D281" s="99"/>
      <c r="E281" s="99"/>
      <c r="F281" s="140">
        <v>25</v>
      </c>
      <c r="G281" s="140">
        <v>17.8</v>
      </c>
      <c r="H281" s="140">
        <v>10.1</v>
      </c>
      <c r="I281" s="123">
        <v>6</v>
      </c>
      <c r="J281" s="123">
        <v>3</v>
      </c>
      <c r="K281" s="145">
        <v>1</v>
      </c>
      <c r="L281" s="140">
        <v>25</v>
      </c>
      <c r="M281" s="140">
        <v>17.8</v>
      </c>
      <c r="N281" s="99"/>
      <c r="O281" s="140">
        <v>7.2</v>
      </c>
      <c r="P281" s="123">
        <v>6</v>
      </c>
      <c r="Q281" s="123">
        <v>3</v>
      </c>
      <c r="R281" s="233">
        <f>YEAR(Tableau4[[#This Row],[Date]])</f>
        <v>2019</v>
      </c>
    </row>
    <row r="282" spans="1:18">
      <c r="A282" s="229">
        <v>43770</v>
      </c>
      <c r="B282" s="244" t="s">
        <v>856</v>
      </c>
      <c r="C282" s="99" t="s">
        <v>9</v>
      </c>
      <c r="D282" s="99"/>
      <c r="E282" s="99"/>
      <c r="F282" s="140">
        <v>17.899999999999999</v>
      </c>
      <c r="G282" s="140">
        <v>12.9</v>
      </c>
      <c r="H282" s="140">
        <v>4.9999999999999982</v>
      </c>
      <c r="I282" s="123">
        <v>10</v>
      </c>
      <c r="J282" s="123">
        <v>9.25</v>
      </c>
      <c r="K282" s="145">
        <v>1</v>
      </c>
      <c r="L282" s="140">
        <v>17.899999999999999</v>
      </c>
      <c r="M282" s="140">
        <v>12.9</v>
      </c>
      <c r="N282" s="99"/>
      <c r="O282" s="140">
        <v>4.9999999999999982</v>
      </c>
      <c r="P282" s="123">
        <v>10</v>
      </c>
      <c r="Q282" s="123">
        <v>9.25</v>
      </c>
      <c r="R282" s="233">
        <f>YEAR(Tableau4[[#This Row],[Date]])</f>
        <v>2019</v>
      </c>
    </row>
    <row r="283" spans="1:18">
      <c r="A283" s="229">
        <v>43556</v>
      </c>
      <c r="B283" s="244" t="s">
        <v>857</v>
      </c>
      <c r="C283" s="99" t="s">
        <v>7</v>
      </c>
      <c r="D283" s="99"/>
      <c r="E283" s="99">
        <v>50</v>
      </c>
      <c r="F283" s="140">
        <v>19.899999999999999</v>
      </c>
      <c r="G283" s="140">
        <v>13.3</v>
      </c>
      <c r="H283" s="140">
        <v>6.5999999999999979</v>
      </c>
      <c r="I283" s="123">
        <v>11</v>
      </c>
      <c r="J283" s="123">
        <v>9</v>
      </c>
      <c r="K283" s="145">
        <v>2</v>
      </c>
      <c r="L283" s="140">
        <v>39.799999999999997</v>
      </c>
      <c r="M283" s="140">
        <v>26.6</v>
      </c>
      <c r="N283" s="99"/>
      <c r="O283" s="140">
        <v>13.199999999999996</v>
      </c>
      <c r="P283" s="123">
        <v>22</v>
      </c>
      <c r="Q283" s="123">
        <v>18</v>
      </c>
      <c r="R283" s="233">
        <f>YEAR(Tableau4[[#This Row],[Date]])</f>
        <v>2019</v>
      </c>
    </row>
    <row r="284" spans="1:18">
      <c r="A284" s="229">
        <v>43556</v>
      </c>
      <c r="B284" s="244" t="s">
        <v>857</v>
      </c>
      <c r="C284" s="99" t="s">
        <v>7</v>
      </c>
      <c r="D284" s="99"/>
      <c r="E284" s="99">
        <v>50</v>
      </c>
      <c r="F284" s="140">
        <v>19.899999999999999</v>
      </c>
      <c r="G284" s="140">
        <v>13.3</v>
      </c>
      <c r="H284" s="140">
        <v>6.5999999999999979</v>
      </c>
      <c r="I284" s="123">
        <v>11</v>
      </c>
      <c r="J284" s="123">
        <v>9</v>
      </c>
      <c r="K284" s="145">
        <v>1</v>
      </c>
      <c r="L284" s="140">
        <v>19.899999999999999</v>
      </c>
      <c r="M284" s="140">
        <v>13.3</v>
      </c>
      <c r="N284" s="99"/>
      <c r="O284" s="140">
        <v>6.5999999999999979</v>
      </c>
      <c r="P284" s="123">
        <v>11</v>
      </c>
      <c r="Q284" s="123">
        <v>9</v>
      </c>
      <c r="R284" s="233">
        <f>YEAR(Tableau4[[#This Row],[Date]])</f>
        <v>2019</v>
      </c>
    </row>
    <row r="285" spans="1:18">
      <c r="A285" s="229">
        <v>43556</v>
      </c>
      <c r="B285" s="244" t="s">
        <v>857</v>
      </c>
      <c r="C285" s="99" t="s">
        <v>7</v>
      </c>
      <c r="D285" s="99"/>
      <c r="E285" s="99">
        <v>50</v>
      </c>
      <c r="F285" s="140">
        <v>19.899999999999999</v>
      </c>
      <c r="G285" s="140">
        <v>13.3</v>
      </c>
      <c r="H285" s="140">
        <v>6.5999999999999979</v>
      </c>
      <c r="I285" s="123">
        <v>11</v>
      </c>
      <c r="J285" s="123">
        <v>9</v>
      </c>
      <c r="K285" s="145">
        <v>1</v>
      </c>
      <c r="L285" s="140">
        <v>19.899999999999999</v>
      </c>
      <c r="M285" s="140">
        <v>13.3</v>
      </c>
      <c r="N285" s="99"/>
      <c r="O285" s="140">
        <v>6.5999999999999979</v>
      </c>
      <c r="P285" s="123">
        <v>11</v>
      </c>
      <c r="Q285" s="123">
        <v>9</v>
      </c>
      <c r="R285" s="233">
        <f>YEAR(Tableau4[[#This Row],[Date]])</f>
        <v>2019</v>
      </c>
    </row>
    <row r="286" spans="1:18">
      <c r="A286" s="229">
        <v>43556</v>
      </c>
      <c r="B286" s="244" t="s">
        <v>857</v>
      </c>
      <c r="C286" s="99" t="s">
        <v>7</v>
      </c>
      <c r="D286" s="99"/>
      <c r="E286" s="99">
        <v>10</v>
      </c>
      <c r="F286" s="140">
        <v>9.9</v>
      </c>
      <c r="G286" s="140">
        <v>6.9</v>
      </c>
      <c r="H286" s="140">
        <v>3</v>
      </c>
      <c r="I286" s="123">
        <v>4.5999999999999996</v>
      </c>
      <c r="J286" s="123">
        <v>2.9</v>
      </c>
      <c r="K286" s="145">
        <v>1</v>
      </c>
      <c r="L286" s="140">
        <v>9.9</v>
      </c>
      <c r="M286" s="140">
        <v>6.9</v>
      </c>
      <c r="N286" s="99"/>
      <c r="O286" s="140">
        <v>3</v>
      </c>
      <c r="P286" s="123">
        <v>4.5999999999999996</v>
      </c>
      <c r="Q286" s="123">
        <v>2.9</v>
      </c>
      <c r="R286" s="233">
        <f>YEAR(Tableau4[[#This Row],[Date]])</f>
        <v>2019</v>
      </c>
    </row>
    <row r="287" spans="1:18">
      <c r="A287" s="229">
        <v>43556</v>
      </c>
      <c r="B287" s="244" t="s">
        <v>857</v>
      </c>
      <c r="C287" s="99" t="s">
        <v>7</v>
      </c>
      <c r="D287" s="99"/>
      <c r="E287" s="99">
        <v>10</v>
      </c>
      <c r="F287" s="140">
        <v>9.9</v>
      </c>
      <c r="G287" s="140">
        <v>6.9</v>
      </c>
      <c r="H287" s="140">
        <v>3</v>
      </c>
      <c r="I287" s="123">
        <v>4.5999999999999996</v>
      </c>
      <c r="J287" s="123">
        <v>2.9</v>
      </c>
      <c r="K287" s="145">
        <v>1</v>
      </c>
      <c r="L287" s="140">
        <v>9.9</v>
      </c>
      <c r="M287" s="140">
        <v>6.9</v>
      </c>
      <c r="N287" s="99"/>
      <c r="O287" s="140">
        <v>3</v>
      </c>
      <c r="P287" s="123">
        <v>4.5999999999999996</v>
      </c>
      <c r="Q287" s="123">
        <v>2.9</v>
      </c>
      <c r="R287" s="233">
        <f>YEAR(Tableau4[[#This Row],[Date]])</f>
        <v>2019</v>
      </c>
    </row>
    <row r="288" spans="1:18">
      <c r="A288" s="229">
        <v>43556</v>
      </c>
      <c r="B288" s="244" t="s">
        <v>857</v>
      </c>
      <c r="C288" s="99" t="s">
        <v>7</v>
      </c>
      <c r="D288" s="99"/>
      <c r="E288" s="99">
        <v>10</v>
      </c>
      <c r="F288" s="140">
        <v>9.9</v>
      </c>
      <c r="G288" s="140">
        <v>6.9</v>
      </c>
      <c r="H288" s="140">
        <v>3</v>
      </c>
      <c r="I288" s="123">
        <v>4.5999999999999996</v>
      </c>
      <c r="J288" s="123">
        <v>2.9</v>
      </c>
      <c r="K288" s="145">
        <v>1</v>
      </c>
      <c r="L288" s="140">
        <v>9.9</v>
      </c>
      <c r="M288" s="140">
        <v>6.9</v>
      </c>
      <c r="N288" s="99"/>
      <c r="O288" s="140">
        <v>3</v>
      </c>
      <c r="P288" s="123">
        <v>4.5999999999999996</v>
      </c>
      <c r="Q288" s="123">
        <v>2.9</v>
      </c>
      <c r="R288" s="233">
        <f>YEAR(Tableau4[[#This Row],[Date]])</f>
        <v>2019</v>
      </c>
    </row>
    <row r="289" spans="1:18">
      <c r="A289" s="229">
        <v>43586</v>
      </c>
      <c r="B289" s="244" t="s">
        <v>857</v>
      </c>
      <c r="C289" s="99" t="s">
        <v>7</v>
      </c>
      <c r="D289" s="99"/>
      <c r="E289" s="99">
        <v>50</v>
      </c>
      <c r="F289" s="140">
        <v>19.899999999999999</v>
      </c>
      <c r="G289" s="140">
        <v>13.3</v>
      </c>
      <c r="H289" s="140">
        <v>6.5999999999999979</v>
      </c>
      <c r="I289" s="123">
        <v>11</v>
      </c>
      <c r="J289" s="123">
        <v>9</v>
      </c>
      <c r="K289" s="145">
        <v>1</v>
      </c>
      <c r="L289" s="140">
        <v>19.899999999999999</v>
      </c>
      <c r="M289" s="140">
        <v>13.3</v>
      </c>
      <c r="N289" s="99"/>
      <c r="O289" s="140">
        <v>6.5999999999999979</v>
      </c>
      <c r="P289" s="123">
        <v>11</v>
      </c>
      <c r="Q289" s="123">
        <v>9</v>
      </c>
      <c r="R289" s="233">
        <f>YEAR(Tableau4[[#This Row],[Date]])</f>
        <v>2019</v>
      </c>
    </row>
    <row r="290" spans="1:18">
      <c r="A290" s="229">
        <v>43586</v>
      </c>
      <c r="B290" s="244" t="s">
        <v>857</v>
      </c>
      <c r="C290" s="99" t="s">
        <v>9</v>
      </c>
      <c r="D290" s="99"/>
      <c r="E290" s="99"/>
      <c r="F290" s="140">
        <v>10.9</v>
      </c>
      <c r="G290" s="140">
        <v>7.8</v>
      </c>
      <c r="H290" s="140">
        <v>3.1000000000000005</v>
      </c>
      <c r="I290" s="123">
        <v>6</v>
      </c>
      <c r="J290" s="123">
        <v>3.28</v>
      </c>
      <c r="K290" s="145">
        <v>1</v>
      </c>
      <c r="L290" s="140">
        <v>10.9</v>
      </c>
      <c r="M290" s="140">
        <v>7.8</v>
      </c>
      <c r="N290" s="99"/>
      <c r="O290" s="140">
        <v>3.1000000000000005</v>
      </c>
      <c r="P290" s="123">
        <v>8</v>
      </c>
      <c r="Q290" s="123">
        <v>3.28</v>
      </c>
      <c r="R290" s="233">
        <f>YEAR(Tableau4[[#This Row],[Date]])</f>
        <v>2019</v>
      </c>
    </row>
    <row r="291" spans="1:18">
      <c r="A291" s="229">
        <v>43647</v>
      </c>
      <c r="B291" s="244" t="s">
        <v>857</v>
      </c>
      <c r="C291" s="99" t="s">
        <v>9</v>
      </c>
      <c r="D291" s="99"/>
      <c r="E291" s="99"/>
      <c r="F291" s="140">
        <v>10.9</v>
      </c>
      <c r="G291" s="140">
        <v>7.8</v>
      </c>
      <c r="H291" s="140">
        <v>3.1000000000000005</v>
      </c>
      <c r="I291" s="123">
        <v>6</v>
      </c>
      <c r="J291" s="123">
        <v>3.28</v>
      </c>
      <c r="K291" s="145">
        <v>1</v>
      </c>
      <c r="L291" s="140">
        <v>10.9</v>
      </c>
      <c r="M291" s="140">
        <v>7.8</v>
      </c>
      <c r="N291" s="99"/>
      <c r="O291" s="140">
        <v>3.1000000000000005</v>
      </c>
      <c r="P291" s="123">
        <v>8</v>
      </c>
      <c r="Q291" s="123">
        <v>3.28</v>
      </c>
      <c r="R291" s="233">
        <f>YEAR(Tableau4[[#This Row],[Date]])</f>
        <v>2019</v>
      </c>
    </row>
    <row r="292" spans="1:18">
      <c r="A292" s="229">
        <v>43586</v>
      </c>
      <c r="B292" s="244" t="s">
        <v>858</v>
      </c>
      <c r="C292" s="99" t="s">
        <v>7</v>
      </c>
      <c r="D292" s="99"/>
      <c r="E292" s="99">
        <v>100</v>
      </c>
      <c r="F292" s="140">
        <v>29.9</v>
      </c>
      <c r="G292" s="140">
        <v>19.899999999999999</v>
      </c>
      <c r="H292" s="140">
        <v>10</v>
      </c>
      <c r="I292" s="123">
        <v>16</v>
      </c>
      <c r="J292" s="123">
        <v>16.55</v>
      </c>
      <c r="K292" s="145">
        <v>1</v>
      </c>
      <c r="L292" s="140">
        <v>29.9</v>
      </c>
      <c r="M292" s="140">
        <v>19.899999999999999</v>
      </c>
      <c r="N292" s="99"/>
      <c r="O292" s="140">
        <v>10</v>
      </c>
      <c r="P292" s="123">
        <v>16</v>
      </c>
      <c r="Q292" s="123">
        <v>16.55</v>
      </c>
      <c r="R292" s="233">
        <f>YEAR(Tableau4[[#This Row],[Date]])</f>
        <v>2019</v>
      </c>
    </row>
    <row r="293" spans="1:18">
      <c r="A293" s="229">
        <v>43586</v>
      </c>
      <c r="B293" s="244" t="s">
        <v>858</v>
      </c>
      <c r="C293" s="99" t="s">
        <v>7</v>
      </c>
      <c r="D293" s="99"/>
      <c r="E293" s="99">
        <v>10</v>
      </c>
      <c r="F293" s="140">
        <v>9.9</v>
      </c>
      <c r="G293" s="140">
        <v>6.9</v>
      </c>
      <c r="H293" s="140">
        <v>3</v>
      </c>
      <c r="I293" s="123">
        <v>4.5999999999999996</v>
      </c>
      <c r="J293" s="123">
        <v>2.9</v>
      </c>
      <c r="K293" s="145">
        <v>1</v>
      </c>
      <c r="L293" s="140">
        <v>9.9</v>
      </c>
      <c r="M293" s="140">
        <v>6.9</v>
      </c>
      <c r="N293" s="99"/>
      <c r="O293" s="140">
        <v>3</v>
      </c>
      <c r="P293" s="123">
        <v>4.5999999999999996</v>
      </c>
      <c r="Q293" s="123">
        <v>2.9</v>
      </c>
      <c r="R293" s="233">
        <f>YEAR(Tableau4[[#This Row],[Date]])</f>
        <v>2019</v>
      </c>
    </row>
    <row r="294" spans="1:18">
      <c r="A294" s="229">
        <v>43586</v>
      </c>
      <c r="B294" s="244" t="s">
        <v>858</v>
      </c>
      <c r="C294" s="99" t="s">
        <v>7</v>
      </c>
      <c r="D294" s="99"/>
      <c r="E294" s="99">
        <v>10</v>
      </c>
      <c r="F294" s="140">
        <v>9.9</v>
      </c>
      <c r="G294" s="140">
        <v>6.9</v>
      </c>
      <c r="H294" s="140">
        <v>3</v>
      </c>
      <c r="I294" s="123">
        <v>4.5999999999999996</v>
      </c>
      <c r="J294" s="123">
        <v>2.9</v>
      </c>
      <c r="K294" s="145">
        <v>1</v>
      </c>
      <c r="L294" s="140">
        <v>9.9</v>
      </c>
      <c r="M294" s="140">
        <v>6.9</v>
      </c>
      <c r="N294" s="99"/>
      <c r="O294" s="140">
        <v>3</v>
      </c>
      <c r="P294" s="123">
        <v>4.5999999999999996</v>
      </c>
      <c r="Q294" s="123">
        <v>2.9</v>
      </c>
      <c r="R294" s="233">
        <f>YEAR(Tableau4[[#This Row],[Date]])</f>
        <v>2019</v>
      </c>
    </row>
    <row r="295" spans="1:18">
      <c r="A295" s="229">
        <v>43586</v>
      </c>
      <c r="B295" s="244" t="s">
        <v>858</v>
      </c>
      <c r="C295" s="99" t="s">
        <v>7</v>
      </c>
      <c r="D295" s="99"/>
      <c r="E295" s="99">
        <v>10</v>
      </c>
      <c r="F295" s="140">
        <v>9.9</v>
      </c>
      <c r="G295" s="140">
        <v>6.9</v>
      </c>
      <c r="H295" s="140">
        <v>3</v>
      </c>
      <c r="I295" s="123">
        <v>4.5999999999999996</v>
      </c>
      <c r="J295" s="123">
        <v>2.9</v>
      </c>
      <c r="K295" s="145">
        <v>1</v>
      </c>
      <c r="L295" s="140">
        <v>9.9</v>
      </c>
      <c r="M295" s="140">
        <v>6.9</v>
      </c>
      <c r="N295" s="99"/>
      <c r="O295" s="140">
        <v>3</v>
      </c>
      <c r="P295" s="123">
        <v>4.5999999999999996</v>
      </c>
      <c r="Q295" s="123">
        <v>2.9</v>
      </c>
      <c r="R295" s="233">
        <f>YEAR(Tableau4[[#This Row],[Date]])</f>
        <v>2019</v>
      </c>
    </row>
    <row r="296" spans="1:18">
      <c r="A296" s="229">
        <v>43586</v>
      </c>
      <c r="B296" s="244" t="s">
        <v>858</v>
      </c>
      <c r="C296" s="99" t="s">
        <v>7</v>
      </c>
      <c r="D296" s="99"/>
      <c r="E296" s="99">
        <v>10</v>
      </c>
      <c r="F296" s="140">
        <v>9.9</v>
      </c>
      <c r="G296" s="140">
        <v>6.9</v>
      </c>
      <c r="H296" s="140">
        <v>3</v>
      </c>
      <c r="I296" s="123">
        <v>4.5999999999999996</v>
      </c>
      <c r="J296" s="123">
        <v>2.9</v>
      </c>
      <c r="K296" s="145">
        <v>1</v>
      </c>
      <c r="L296" s="140">
        <v>9.9</v>
      </c>
      <c r="M296" s="140">
        <v>6.9</v>
      </c>
      <c r="N296" s="99"/>
      <c r="O296" s="140">
        <v>3</v>
      </c>
      <c r="P296" s="123">
        <v>4.5999999999999996</v>
      </c>
      <c r="Q296" s="123">
        <v>2.9</v>
      </c>
      <c r="R296" s="233">
        <f>YEAR(Tableau4[[#This Row],[Date]])</f>
        <v>2019</v>
      </c>
    </row>
    <row r="297" spans="1:18">
      <c r="A297" s="229">
        <v>43709</v>
      </c>
      <c r="B297" s="244" t="s">
        <v>858</v>
      </c>
      <c r="C297" s="99" t="s">
        <v>7</v>
      </c>
      <c r="D297" s="99"/>
      <c r="E297" s="99">
        <v>100</v>
      </c>
      <c r="F297" s="140">
        <v>29.9</v>
      </c>
      <c r="G297" s="140">
        <v>19.899999999999999</v>
      </c>
      <c r="H297" s="140">
        <v>10</v>
      </c>
      <c r="I297" s="123">
        <v>16</v>
      </c>
      <c r="J297" s="123">
        <v>16.55</v>
      </c>
      <c r="K297" s="145">
        <v>1</v>
      </c>
      <c r="L297" s="140">
        <v>29.9</v>
      </c>
      <c r="M297" s="140">
        <v>19.899999999999999</v>
      </c>
      <c r="N297" s="99"/>
      <c r="O297" s="140">
        <v>10</v>
      </c>
      <c r="P297" s="123">
        <v>16</v>
      </c>
      <c r="Q297" s="123">
        <v>16.55</v>
      </c>
      <c r="R297" s="233">
        <f>YEAR(Tableau4[[#This Row],[Date]])</f>
        <v>2019</v>
      </c>
    </row>
    <row r="298" spans="1:18">
      <c r="A298" s="229">
        <v>43709</v>
      </c>
      <c r="B298" s="244" t="s">
        <v>858</v>
      </c>
      <c r="C298" s="99" t="s">
        <v>7</v>
      </c>
      <c r="D298" s="99"/>
      <c r="E298" s="99" t="s">
        <v>53</v>
      </c>
      <c r="F298" s="140">
        <v>5</v>
      </c>
      <c r="G298" s="140">
        <v>2.9</v>
      </c>
      <c r="H298" s="140">
        <v>2.1</v>
      </c>
      <c r="I298" s="123">
        <v>1.5</v>
      </c>
      <c r="J298" s="123">
        <v>1</v>
      </c>
      <c r="K298" s="145">
        <v>1</v>
      </c>
      <c r="L298" s="140">
        <v>5</v>
      </c>
      <c r="M298" s="140">
        <v>2.9</v>
      </c>
      <c r="N298" s="99"/>
      <c r="O298" s="140">
        <v>2.1</v>
      </c>
      <c r="P298" s="123">
        <v>1.5</v>
      </c>
      <c r="Q298" s="123">
        <v>1</v>
      </c>
      <c r="R298" s="233">
        <f>YEAR(Tableau4[[#This Row],[Date]])</f>
        <v>2019</v>
      </c>
    </row>
    <row r="299" spans="1:18">
      <c r="A299" s="229">
        <v>43709</v>
      </c>
      <c r="B299" s="244" t="s">
        <v>858</v>
      </c>
      <c r="C299" s="99" t="s">
        <v>9</v>
      </c>
      <c r="D299" s="99"/>
      <c r="E299" s="99"/>
      <c r="F299" s="140">
        <v>16.2</v>
      </c>
      <c r="G299" s="140">
        <v>11.8</v>
      </c>
      <c r="H299" s="140">
        <v>4.3999999999999986</v>
      </c>
      <c r="I299" s="123">
        <v>9</v>
      </c>
      <c r="J299" s="123">
        <v>9.25</v>
      </c>
      <c r="K299" s="145">
        <v>1</v>
      </c>
      <c r="L299" s="140">
        <v>16.2</v>
      </c>
      <c r="M299" s="140">
        <v>11.6</v>
      </c>
      <c r="N299" s="99"/>
      <c r="O299" s="140">
        <v>4.3999999999999986</v>
      </c>
      <c r="P299" s="123">
        <v>9</v>
      </c>
      <c r="Q299" s="123">
        <v>9.25</v>
      </c>
      <c r="R299" s="233">
        <f>YEAR(Tableau4[[#This Row],[Date]])</f>
        <v>2019</v>
      </c>
    </row>
    <row r="300" spans="1:18">
      <c r="A300" s="247">
        <v>43922</v>
      </c>
      <c r="B300" s="244" t="s">
        <v>858</v>
      </c>
      <c r="C300" s="99" t="s">
        <v>7</v>
      </c>
      <c r="D300" s="99"/>
      <c r="E300" s="99" t="s">
        <v>84</v>
      </c>
      <c r="F300" s="140">
        <v>32.9</v>
      </c>
      <c r="G300" s="140">
        <v>9.9</v>
      </c>
      <c r="H300" s="140">
        <v>23</v>
      </c>
      <c r="I300" s="123">
        <v>8</v>
      </c>
      <c r="J300" s="123">
        <v>5</v>
      </c>
      <c r="K300" s="145">
        <v>1</v>
      </c>
      <c r="L300" s="140">
        <v>32.9</v>
      </c>
      <c r="M300" s="140">
        <v>9.9</v>
      </c>
      <c r="N300" s="99"/>
      <c r="O300" s="140">
        <v>23</v>
      </c>
      <c r="P300" s="123">
        <v>8</v>
      </c>
      <c r="Q300" s="123">
        <v>5</v>
      </c>
      <c r="R300" s="233">
        <f>YEAR(Tableau4[[#This Row],[Date]])</f>
        <v>2020</v>
      </c>
    </row>
    <row r="301" spans="1:18">
      <c r="A301" s="247">
        <v>43922</v>
      </c>
      <c r="B301" s="244" t="s">
        <v>858</v>
      </c>
      <c r="C301" s="99" t="s">
        <v>9</v>
      </c>
      <c r="D301" s="99"/>
      <c r="E301" s="99"/>
      <c r="F301" s="140">
        <v>11.9</v>
      </c>
      <c r="G301" s="140">
        <v>9</v>
      </c>
      <c r="H301" s="140">
        <v>2.9000000000000004</v>
      </c>
      <c r="I301" s="123">
        <v>6</v>
      </c>
      <c r="J301" s="123">
        <v>3.28</v>
      </c>
      <c r="K301" s="145">
        <v>1</v>
      </c>
      <c r="L301" s="140">
        <v>11.9</v>
      </c>
      <c r="M301" s="140">
        <v>9</v>
      </c>
      <c r="N301" s="99"/>
      <c r="O301" s="140">
        <v>2.9000000000000004</v>
      </c>
      <c r="P301" s="123">
        <v>8</v>
      </c>
      <c r="Q301" s="123">
        <v>3.28</v>
      </c>
      <c r="R301" s="233">
        <f>YEAR(Tableau4[[#This Row],[Date]])</f>
        <v>2020</v>
      </c>
    </row>
    <row r="302" spans="1:18">
      <c r="A302" s="247">
        <v>43952</v>
      </c>
      <c r="B302" s="244" t="s">
        <v>859</v>
      </c>
      <c r="C302" s="99" t="s">
        <v>58</v>
      </c>
      <c r="D302" s="99"/>
      <c r="E302" s="99"/>
      <c r="F302" s="140">
        <v>21</v>
      </c>
      <c r="G302" s="140">
        <v>15</v>
      </c>
      <c r="H302" s="140">
        <v>6</v>
      </c>
      <c r="I302" s="123">
        <v>11.5</v>
      </c>
      <c r="J302" s="123">
        <v>12.61</v>
      </c>
      <c r="K302" s="145">
        <v>1</v>
      </c>
      <c r="L302" s="140">
        <v>21</v>
      </c>
      <c r="M302" s="140">
        <v>15</v>
      </c>
      <c r="N302" s="99"/>
      <c r="O302" s="140">
        <v>6</v>
      </c>
      <c r="P302" s="123">
        <v>11.5</v>
      </c>
      <c r="Q302" s="123">
        <v>12.61</v>
      </c>
      <c r="R302" s="233">
        <f>YEAR(Tableau4[[#This Row],[Date]])</f>
        <v>2020</v>
      </c>
    </row>
    <row r="303" spans="1:18">
      <c r="A303" s="247">
        <v>43952</v>
      </c>
      <c r="B303" s="244" t="s">
        <v>859</v>
      </c>
      <c r="C303" s="99" t="s">
        <v>9</v>
      </c>
      <c r="D303" s="99"/>
      <c r="E303" s="99"/>
      <c r="F303" s="140">
        <v>16.899999999999999</v>
      </c>
      <c r="G303" s="140">
        <v>12.7</v>
      </c>
      <c r="H303" s="140">
        <v>4.1999999999999993</v>
      </c>
      <c r="I303" s="123">
        <v>9</v>
      </c>
      <c r="J303" s="123">
        <v>5.5</v>
      </c>
      <c r="K303" s="145">
        <v>1</v>
      </c>
      <c r="L303" s="140">
        <v>16.899999999999999</v>
      </c>
      <c r="M303" s="140">
        <v>12.7</v>
      </c>
      <c r="N303" s="99"/>
      <c r="O303" s="140">
        <v>4.1999999999999993</v>
      </c>
      <c r="P303" s="123">
        <v>10</v>
      </c>
      <c r="Q303" s="123">
        <v>5.5</v>
      </c>
      <c r="R303" s="233">
        <f>YEAR(Tableau4[[#This Row],[Date]])</f>
        <v>2020</v>
      </c>
    </row>
    <row r="304" spans="1:18">
      <c r="A304" s="229">
        <v>43556</v>
      </c>
      <c r="B304" s="244" t="s">
        <v>860</v>
      </c>
      <c r="C304" s="99" t="s">
        <v>7</v>
      </c>
      <c r="D304" s="99"/>
      <c r="E304" s="99">
        <v>100</v>
      </c>
      <c r="F304" s="140">
        <v>29.9</v>
      </c>
      <c r="G304" s="140">
        <v>19.899999999999999</v>
      </c>
      <c r="H304" s="140">
        <v>10</v>
      </c>
      <c r="I304" s="123">
        <v>16</v>
      </c>
      <c r="J304" s="123">
        <v>16.55</v>
      </c>
      <c r="K304" s="145">
        <v>1</v>
      </c>
      <c r="L304" s="140">
        <v>29.9</v>
      </c>
      <c r="M304" s="140">
        <v>19.899999999999999</v>
      </c>
      <c r="N304" s="99"/>
      <c r="O304" s="140">
        <v>10</v>
      </c>
      <c r="P304" s="123">
        <v>16</v>
      </c>
      <c r="Q304" s="123">
        <v>16.55</v>
      </c>
      <c r="R304" s="233">
        <f>YEAR(Tableau4[[#This Row],[Date]])</f>
        <v>2019</v>
      </c>
    </row>
    <row r="305" spans="1:18">
      <c r="A305" s="229">
        <v>43647</v>
      </c>
      <c r="B305" s="244" t="s">
        <v>860</v>
      </c>
      <c r="C305" s="99" t="s">
        <v>7</v>
      </c>
      <c r="D305" s="99"/>
      <c r="E305" s="99" t="s">
        <v>53</v>
      </c>
      <c r="F305" s="140">
        <v>5</v>
      </c>
      <c r="G305" s="140">
        <v>2.99</v>
      </c>
      <c r="H305" s="140">
        <v>2.0099999999999998</v>
      </c>
      <c r="I305" s="123">
        <v>1.5</v>
      </c>
      <c r="J305" s="123">
        <v>1</v>
      </c>
      <c r="K305" s="145">
        <v>1</v>
      </c>
      <c r="L305" s="140">
        <v>5</v>
      </c>
      <c r="M305" s="140">
        <v>2.99</v>
      </c>
      <c r="N305" s="99"/>
      <c r="O305" s="140">
        <v>2.0099999999999998</v>
      </c>
      <c r="P305" s="123">
        <v>1.5</v>
      </c>
      <c r="Q305" s="123">
        <v>1</v>
      </c>
      <c r="R305" s="233">
        <f>YEAR(Tableau4[[#This Row],[Date]])</f>
        <v>2019</v>
      </c>
    </row>
    <row r="306" spans="1:18">
      <c r="A306" s="229">
        <v>43739</v>
      </c>
      <c r="B306" s="244" t="s">
        <v>860</v>
      </c>
      <c r="C306" s="99" t="s">
        <v>7</v>
      </c>
      <c r="D306" s="99"/>
      <c r="E306" s="99">
        <v>100</v>
      </c>
      <c r="F306" s="140">
        <v>29.9</v>
      </c>
      <c r="G306" s="140">
        <v>19.899999999999999</v>
      </c>
      <c r="H306" s="140">
        <v>10</v>
      </c>
      <c r="I306" s="123">
        <v>16</v>
      </c>
      <c r="J306" s="123">
        <v>16.55</v>
      </c>
      <c r="K306" s="145">
        <v>1</v>
      </c>
      <c r="L306" s="140">
        <v>20</v>
      </c>
      <c r="M306" s="140">
        <v>19.899999999999999</v>
      </c>
      <c r="N306" s="99">
        <v>9.9</v>
      </c>
      <c r="O306" s="140">
        <v>0.1</v>
      </c>
      <c r="P306" s="123">
        <v>16</v>
      </c>
      <c r="Q306" s="123">
        <v>16.55</v>
      </c>
      <c r="R306" s="233">
        <f>YEAR(Tableau4[[#This Row],[Date]])</f>
        <v>2019</v>
      </c>
    </row>
    <row r="307" spans="1:18">
      <c r="A307" s="229">
        <v>43770</v>
      </c>
      <c r="B307" s="244" t="s">
        <v>860</v>
      </c>
      <c r="C307" s="99" t="s">
        <v>7</v>
      </c>
      <c r="D307" s="99"/>
      <c r="E307" s="99">
        <v>100</v>
      </c>
      <c r="F307" s="140">
        <v>29.9</v>
      </c>
      <c r="G307" s="140">
        <v>19.899999999999999</v>
      </c>
      <c r="H307" s="140">
        <v>10</v>
      </c>
      <c r="I307" s="123">
        <v>16</v>
      </c>
      <c r="J307" s="123">
        <v>16.55</v>
      </c>
      <c r="K307" s="145">
        <v>1</v>
      </c>
      <c r="L307" s="140">
        <v>29.9</v>
      </c>
      <c r="M307" s="140">
        <v>19.899999999999999</v>
      </c>
      <c r="N307" s="99"/>
      <c r="O307" s="140">
        <v>10</v>
      </c>
      <c r="P307" s="123">
        <v>16</v>
      </c>
      <c r="Q307" s="123">
        <v>16.55</v>
      </c>
      <c r="R307" s="233">
        <f>YEAR(Tableau4[[#This Row],[Date]])</f>
        <v>2019</v>
      </c>
    </row>
    <row r="308" spans="1:18">
      <c r="A308" s="229">
        <v>43770</v>
      </c>
      <c r="B308" s="244" t="s">
        <v>860</v>
      </c>
      <c r="C308" s="99" t="s">
        <v>7</v>
      </c>
      <c r="D308" s="99"/>
      <c r="E308" s="99" t="s">
        <v>53</v>
      </c>
      <c r="F308" s="140">
        <v>5</v>
      </c>
      <c r="G308" s="140">
        <v>2.9</v>
      </c>
      <c r="H308" s="140">
        <v>2.1</v>
      </c>
      <c r="I308" s="123">
        <v>1.5</v>
      </c>
      <c r="J308" s="123">
        <v>1</v>
      </c>
      <c r="K308" s="145">
        <v>1</v>
      </c>
      <c r="L308" s="140">
        <v>5</v>
      </c>
      <c r="M308" s="140">
        <v>2.9</v>
      </c>
      <c r="N308" s="99"/>
      <c r="O308" s="140">
        <v>2.1</v>
      </c>
      <c r="P308" s="123">
        <v>1.5</v>
      </c>
      <c r="Q308" s="123">
        <v>1</v>
      </c>
      <c r="R308" s="233">
        <f>YEAR(Tableau4[[#This Row],[Date]])</f>
        <v>2019</v>
      </c>
    </row>
    <row r="309" spans="1:18">
      <c r="A309" s="229">
        <v>43556</v>
      </c>
      <c r="B309" s="244" t="s">
        <v>861</v>
      </c>
      <c r="C309" s="99" t="s">
        <v>9</v>
      </c>
      <c r="D309" s="99"/>
      <c r="E309" s="99"/>
      <c r="F309" s="140">
        <v>8.9</v>
      </c>
      <c r="G309" s="140">
        <v>6.35</v>
      </c>
      <c r="H309" s="140">
        <v>2.5500000000000007</v>
      </c>
      <c r="I309" s="123">
        <v>5</v>
      </c>
      <c r="J309" s="123">
        <v>2.67</v>
      </c>
      <c r="K309" s="145">
        <v>1</v>
      </c>
      <c r="L309" s="140">
        <v>8.9</v>
      </c>
      <c r="M309" s="140">
        <v>6.35</v>
      </c>
      <c r="N309" s="99"/>
      <c r="O309" s="140">
        <v>2.5500000000000007</v>
      </c>
      <c r="P309" s="123">
        <v>5</v>
      </c>
      <c r="Q309" s="123">
        <v>2.67</v>
      </c>
      <c r="R309" s="233">
        <f>YEAR(Tableau4[[#This Row],[Date]])</f>
        <v>2019</v>
      </c>
    </row>
    <row r="310" spans="1:18">
      <c r="A310" s="229">
        <v>43556</v>
      </c>
      <c r="B310" s="244" t="s">
        <v>861</v>
      </c>
      <c r="C310" s="99" t="s">
        <v>9</v>
      </c>
      <c r="D310" s="99"/>
      <c r="E310" s="99"/>
      <c r="F310" s="140">
        <v>20.5</v>
      </c>
      <c r="G310" s="140">
        <v>14.6</v>
      </c>
      <c r="H310" s="140">
        <v>5.6999999999999993</v>
      </c>
      <c r="I310" s="123">
        <v>11.5</v>
      </c>
      <c r="J310" s="123">
        <v>12.27</v>
      </c>
      <c r="K310" s="145">
        <v>1</v>
      </c>
      <c r="L310" s="140">
        <v>20.5</v>
      </c>
      <c r="M310" s="140">
        <v>14.8</v>
      </c>
      <c r="N310" s="99"/>
      <c r="O310" s="140">
        <v>5.6999999999999993</v>
      </c>
      <c r="P310" s="123">
        <v>12.5</v>
      </c>
      <c r="Q310" s="123">
        <v>12.27</v>
      </c>
      <c r="R310" s="233">
        <f>YEAR(Tableau4[[#This Row],[Date]])</f>
        <v>2019</v>
      </c>
    </row>
    <row r="311" spans="1:18">
      <c r="A311" s="229">
        <v>43556</v>
      </c>
      <c r="B311" s="244" t="s">
        <v>861</v>
      </c>
      <c r="C311" s="99" t="s">
        <v>9</v>
      </c>
      <c r="D311" s="99"/>
      <c r="E311" s="99"/>
      <c r="F311" s="140">
        <v>14.9</v>
      </c>
      <c r="G311" s="140">
        <v>10.65</v>
      </c>
      <c r="H311" s="140">
        <v>4.25</v>
      </c>
      <c r="I311" s="123">
        <v>9</v>
      </c>
      <c r="J311" s="123">
        <v>5.5</v>
      </c>
      <c r="K311" s="145">
        <v>1</v>
      </c>
      <c r="L311" s="140">
        <v>14.9</v>
      </c>
      <c r="M311" s="140">
        <v>10.65</v>
      </c>
      <c r="N311" s="99"/>
      <c r="O311" s="140">
        <v>4.25</v>
      </c>
      <c r="P311" s="123">
        <v>9</v>
      </c>
      <c r="Q311" s="123">
        <v>5.5</v>
      </c>
      <c r="R311" s="233">
        <f>YEAR(Tableau4[[#This Row],[Date]])</f>
        <v>2019</v>
      </c>
    </row>
    <row r="312" spans="1:18">
      <c r="A312" s="229">
        <v>43556</v>
      </c>
      <c r="B312" s="244" t="s">
        <v>861</v>
      </c>
      <c r="C312" s="99" t="s">
        <v>7</v>
      </c>
      <c r="D312" s="99"/>
      <c r="E312" s="99"/>
      <c r="F312" s="140">
        <v>24.9</v>
      </c>
      <c r="G312" s="140">
        <v>14.9</v>
      </c>
      <c r="H312" s="140">
        <v>10</v>
      </c>
      <c r="I312" s="123">
        <v>6</v>
      </c>
      <c r="J312" s="123">
        <v>3</v>
      </c>
      <c r="K312" s="145">
        <v>1</v>
      </c>
      <c r="L312" s="140">
        <v>24.9</v>
      </c>
      <c r="M312" s="140">
        <v>14.9</v>
      </c>
      <c r="N312" s="99"/>
      <c r="O312" s="140">
        <v>10</v>
      </c>
      <c r="P312" s="123">
        <v>6</v>
      </c>
      <c r="Q312" s="123">
        <v>3</v>
      </c>
      <c r="R312" s="233">
        <f>YEAR(Tableau4[[#This Row],[Date]])</f>
        <v>2019</v>
      </c>
    </row>
    <row r="313" spans="1:18">
      <c r="A313" s="229">
        <v>43586</v>
      </c>
      <c r="B313" s="244" t="s">
        <v>861</v>
      </c>
      <c r="C313" s="99" t="s">
        <v>7</v>
      </c>
      <c r="D313" s="99"/>
      <c r="E313" s="99">
        <v>100</v>
      </c>
      <c r="F313" s="140">
        <v>29.9</v>
      </c>
      <c r="G313" s="140">
        <v>19.899999999999999</v>
      </c>
      <c r="H313" s="140">
        <v>10</v>
      </c>
      <c r="I313" s="123">
        <v>16</v>
      </c>
      <c r="J313" s="123">
        <v>16.55</v>
      </c>
      <c r="K313" s="145">
        <v>1</v>
      </c>
      <c r="L313" s="140">
        <v>29.9</v>
      </c>
      <c r="M313" s="140">
        <v>19.899999999999999</v>
      </c>
      <c r="N313" s="99"/>
      <c r="O313" s="140">
        <v>10</v>
      </c>
      <c r="P313" s="123">
        <v>16</v>
      </c>
      <c r="Q313" s="123">
        <v>16.55</v>
      </c>
      <c r="R313" s="233">
        <f>YEAR(Tableau4[[#This Row],[Date]])</f>
        <v>2019</v>
      </c>
    </row>
    <row r="314" spans="1:18">
      <c r="A314" s="229">
        <v>43617</v>
      </c>
      <c r="B314" s="244" t="s">
        <v>861</v>
      </c>
      <c r="C314" s="99" t="s">
        <v>9</v>
      </c>
      <c r="D314" s="99"/>
      <c r="E314" s="99"/>
      <c r="F314" s="140">
        <v>9.9</v>
      </c>
      <c r="G314" s="140">
        <v>7</v>
      </c>
      <c r="H314" s="140">
        <v>2.9000000000000004</v>
      </c>
      <c r="I314" s="123">
        <v>5</v>
      </c>
      <c r="J314" s="123">
        <v>2.94</v>
      </c>
      <c r="K314" s="145">
        <v>1</v>
      </c>
      <c r="L314" s="140">
        <v>9.9</v>
      </c>
      <c r="M314" s="140">
        <v>7</v>
      </c>
      <c r="N314" s="99"/>
      <c r="O314" s="140">
        <v>2.9000000000000004</v>
      </c>
      <c r="P314" s="123">
        <v>5</v>
      </c>
      <c r="Q314" s="123">
        <v>2.94</v>
      </c>
      <c r="R314" s="233">
        <f>YEAR(Tableau4[[#This Row],[Date]])</f>
        <v>2019</v>
      </c>
    </row>
    <row r="315" spans="1:18">
      <c r="A315" s="229">
        <v>43617</v>
      </c>
      <c r="B315" s="244" t="s">
        <v>861</v>
      </c>
      <c r="C315" s="99" t="s">
        <v>9</v>
      </c>
      <c r="D315" s="99"/>
      <c r="E315" s="99"/>
      <c r="F315" s="140">
        <v>9.9</v>
      </c>
      <c r="G315" s="140">
        <v>7.05</v>
      </c>
      <c r="H315" s="140">
        <v>2.8500000000000005</v>
      </c>
      <c r="I315" s="123">
        <v>5</v>
      </c>
      <c r="J315" s="123">
        <v>3</v>
      </c>
      <c r="K315" s="145">
        <v>1</v>
      </c>
      <c r="L315" s="140">
        <v>9.9</v>
      </c>
      <c r="M315" s="140">
        <v>7.05</v>
      </c>
      <c r="N315" s="99"/>
      <c r="O315" s="140">
        <v>2.8500000000000005</v>
      </c>
      <c r="P315" s="123">
        <v>5</v>
      </c>
      <c r="Q315" s="123">
        <v>3</v>
      </c>
      <c r="R315" s="233">
        <f>YEAR(Tableau4[[#This Row],[Date]])</f>
        <v>2019</v>
      </c>
    </row>
    <row r="316" spans="1:18">
      <c r="A316" s="229">
        <v>43617</v>
      </c>
      <c r="B316" s="244" t="s">
        <v>861</v>
      </c>
      <c r="C316" s="99" t="s">
        <v>7</v>
      </c>
      <c r="D316" s="99"/>
      <c r="E316" s="99" t="s">
        <v>53</v>
      </c>
      <c r="F316" s="140">
        <v>5</v>
      </c>
      <c r="G316" s="140">
        <v>2.99</v>
      </c>
      <c r="H316" s="140">
        <v>2.0099999999999998</v>
      </c>
      <c r="I316" s="123">
        <v>1.5</v>
      </c>
      <c r="J316" s="123">
        <v>1</v>
      </c>
      <c r="K316" s="145">
        <v>1</v>
      </c>
      <c r="L316" s="140">
        <v>5</v>
      </c>
      <c r="M316" s="140">
        <v>2.99</v>
      </c>
      <c r="N316" s="99"/>
      <c r="O316" s="140">
        <v>2.0099999999999998</v>
      </c>
      <c r="P316" s="123">
        <v>1.5</v>
      </c>
      <c r="Q316" s="123">
        <v>1</v>
      </c>
      <c r="R316" s="233">
        <f>YEAR(Tableau4[[#This Row],[Date]])</f>
        <v>2019</v>
      </c>
    </row>
    <row r="317" spans="1:18">
      <c r="A317" s="229">
        <v>43617</v>
      </c>
      <c r="B317" s="244" t="s">
        <v>861</v>
      </c>
      <c r="C317" s="99" t="s">
        <v>7</v>
      </c>
      <c r="D317" s="99"/>
      <c r="E317" s="99" t="s">
        <v>53</v>
      </c>
      <c r="F317" s="140">
        <v>5</v>
      </c>
      <c r="G317" s="140">
        <v>2.99</v>
      </c>
      <c r="H317" s="140">
        <v>2.0099999999999998</v>
      </c>
      <c r="I317" s="123">
        <v>1.5</v>
      </c>
      <c r="J317" s="123">
        <v>1</v>
      </c>
      <c r="K317" s="145">
        <v>1</v>
      </c>
      <c r="L317" s="140">
        <v>5</v>
      </c>
      <c r="M317" s="140">
        <v>2.99</v>
      </c>
      <c r="N317" s="99"/>
      <c r="O317" s="140">
        <v>2.0099999999999998</v>
      </c>
      <c r="P317" s="123">
        <v>1.5</v>
      </c>
      <c r="Q317" s="123">
        <v>1</v>
      </c>
      <c r="R317" s="233">
        <f>YEAR(Tableau4[[#This Row],[Date]])</f>
        <v>2019</v>
      </c>
    </row>
    <row r="318" spans="1:18">
      <c r="A318" s="229">
        <v>43617</v>
      </c>
      <c r="B318" s="244" t="s">
        <v>861</v>
      </c>
      <c r="C318" s="99" t="s">
        <v>7</v>
      </c>
      <c r="D318" s="99"/>
      <c r="E318" s="99" t="s">
        <v>53</v>
      </c>
      <c r="F318" s="140">
        <v>5</v>
      </c>
      <c r="G318" s="140">
        <v>2.99</v>
      </c>
      <c r="H318" s="140">
        <v>2.0099999999999998</v>
      </c>
      <c r="I318" s="123">
        <v>1.5</v>
      </c>
      <c r="J318" s="123">
        <v>1</v>
      </c>
      <c r="K318" s="145">
        <v>1</v>
      </c>
      <c r="L318" s="140">
        <v>5</v>
      </c>
      <c r="M318" s="140">
        <v>2.99</v>
      </c>
      <c r="N318" s="99"/>
      <c r="O318" s="140">
        <v>2.0099999999999998</v>
      </c>
      <c r="P318" s="123">
        <v>1.5</v>
      </c>
      <c r="Q318" s="123">
        <v>1</v>
      </c>
      <c r="R318" s="233">
        <f>YEAR(Tableau4[[#This Row],[Date]])</f>
        <v>2019</v>
      </c>
    </row>
    <row r="319" spans="1:18">
      <c r="A319" s="229">
        <v>43647</v>
      </c>
      <c r="B319" s="244" t="s">
        <v>861</v>
      </c>
      <c r="C319" s="99" t="s">
        <v>7</v>
      </c>
      <c r="D319" s="99"/>
      <c r="E319" s="99">
        <v>100</v>
      </c>
      <c r="F319" s="140">
        <v>29.9</v>
      </c>
      <c r="G319" s="140">
        <v>19.899999999999999</v>
      </c>
      <c r="H319" s="140">
        <v>10</v>
      </c>
      <c r="I319" s="123">
        <v>16</v>
      </c>
      <c r="J319" s="123">
        <v>16.55</v>
      </c>
      <c r="K319" s="145">
        <v>1</v>
      </c>
      <c r="L319" s="140">
        <v>29.9</v>
      </c>
      <c r="M319" s="140">
        <v>19.899999999999999</v>
      </c>
      <c r="N319" s="99"/>
      <c r="O319" s="140">
        <v>10</v>
      </c>
      <c r="P319" s="123">
        <v>16</v>
      </c>
      <c r="Q319" s="123">
        <v>16.55</v>
      </c>
      <c r="R319" s="233">
        <f>YEAR(Tableau4[[#This Row],[Date]])</f>
        <v>2019</v>
      </c>
    </row>
    <row r="320" spans="1:18">
      <c r="A320" s="229">
        <v>43647</v>
      </c>
      <c r="B320" s="244" t="s">
        <v>861</v>
      </c>
      <c r="C320" s="99" t="s">
        <v>7</v>
      </c>
      <c r="D320" s="99"/>
      <c r="E320" s="99">
        <v>50</v>
      </c>
      <c r="F320" s="140">
        <v>19.899999999999999</v>
      </c>
      <c r="G320" s="140">
        <v>13.3</v>
      </c>
      <c r="H320" s="140">
        <v>6.5999999999999979</v>
      </c>
      <c r="I320" s="123">
        <v>11</v>
      </c>
      <c r="J320" s="123">
        <v>9</v>
      </c>
      <c r="K320" s="145">
        <v>1</v>
      </c>
      <c r="L320" s="140">
        <v>19.899999999999999</v>
      </c>
      <c r="M320" s="140">
        <v>13.3</v>
      </c>
      <c r="N320" s="99"/>
      <c r="O320" s="140">
        <v>6.5999999999999979</v>
      </c>
      <c r="P320" s="123">
        <v>11</v>
      </c>
      <c r="Q320" s="123">
        <v>9</v>
      </c>
      <c r="R320" s="233">
        <f>YEAR(Tableau4[[#This Row],[Date]])</f>
        <v>2019</v>
      </c>
    </row>
    <row r="321" spans="1:18">
      <c r="A321" s="229">
        <v>43647</v>
      </c>
      <c r="B321" s="244" t="s">
        <v>861</v>
      </c>
      <c r="C321" s="99" t="s">
        <v>7</v>
      </c>
      <c r="D321" s="99"/>
      <c r="E321" s="99" t="s">
        <v>53</v>
      </c>
      <c r="F321" s="140">
        <v>5</v>
      </c>
      <c r="G321" s="140">
        <v>2.99</v>
      </c>
      <c r="H321" s="140">
        <v>2.0099999999999998</v>
      </c>
      <c r="I321" s="123">
        <v>1.5</v>
      </c>
      <c r="J321" s="123">
        <v>1</v>
      </c>
      <c r="K321" s="145">
        <v>1</v>
      </c>
      <c r="L321" s="140">
        <v>5</v>
      </c>
      <c r="M321" s="140">
        <v>2.99</v>
      </c>
      <c r="N321" s="99"/>
      <c r="O321" s="140">
        <v>2.0099999999999998</v>
      </c>
      <c r="P321" s="123">
        <v>1.5</v>
      </c>
      <c r="Q321" s="123">
        <v>1</v>
      </c>
      <c r="R321" s="233">
        <f>YEAR(Tableau4[[#This Row],[Date]])</f>
        <v>2019</v>
      </c>
    </row>
    <row r="322" spans="1:18">
      <c r="A322" s="229">
        <v>43678</v>
      </c>
      <c r="B322" s="244" t="s">
        <v>861</v>
      </c>
      <c r="C322" s="99" t="s">
        <v>7</v>
      </c>
      <c r="D322" s="99"/>
      <c r="E322" s="99">
        <v>100</v>
      </c>
      <c r="F322" s="140">
        <v>29.9</v>
      </c>
      <c r="G322" s="140">
        <v>19.899999999999999</v>
      </c>
      <c r="H322" s="140">
        <v>10</v>
      </c>
      <c r="I322" s="123">
        <v>16</v>
      </c>
      <c r="J322" s="123">
        <v>16.55</v>
      </c>
      <c r="K322" s="145">
        <v>1</v>
      </c>
      <c r="L322" s="140">
        <v>24.9</v>
      </c>
      <c r="M322" s="140">
        <v>19.899999999999999</v>
      </c>
      <c r="N322" s="99">
        <v>5</v>
      </c>
      <c r="O322" s="140">
        <v>5</v>
      </c>
      <c r="P322" s="123">
        <v>16</v>
      </c>
      <c r="Q322" s="123">
        <v>16.55</v>
      </c>
      <c r="R322" s="233">
        <f>YEAR(Tableau4[[#This Row],[Date]])</f>
        <v>2019</v>
      </c>
    </row>
    <row r="323" spans="1:18">
      <c r="A323" s="229">
        <v>43709</v>
      </c>
      <c r="B323" s="244" t="s">
        <v>861</v>
      </c>
      <c r="C323" s="99" t="s">
        <v>9</v>
      </c>
      <c r="D323" s="99"/>
      <c r="E323" s="99"/>
      <c r="F323" s="140">
        <v>20.5</v>
      </c>
      <c r="G323" s="140">
        <v>14.6</v>
      </c>
      <c r="H323" s="140">
        <v>5.9</v>
      </c>
      <c r="I323" s="123">
        <v>11.5</v>
      </c>
      <c r="J323" s="123">
        <v>12.27</v>
      </c>
      <c r="K323" s="145">
        <v>1</v>
      </c>
      <c r="L323" s="140">
        <v>20.5</v>
      </c>
      <c r="M323" s="140">
        <v>14.6</v>
      </c>
      <c r="N323" s="99"/>
      <c r="O323" s="140">
        <v>5.9</v>
      </c>
      <c r="P323" s="123">
        <v>12.5</v>
      </c>
      <c r="Q323" s="123">
        <v>12.27</v>
      </c>
      <c r="R323" s="233">
        <f>YEAR(Tableau4[[#This Row],[Date]])</f>
        <v>2019</v>
      </c>
    </row>
    <row r="324" spans="1:18">
      <c r="A324" s="229">
        <v>43770</v>
      </c>
      <c r="B324" s="244" t="s">
        <v>861</v>
      </c>
      <c r="C324" s="99" t="s">
        <v>12</v>
      </c>
      <c r="D324" s="99"/>
      <c r="E324" s="99"/>
      <c r="F324" s="140">
        <v>37.799999999999997</v>
      </c>
      <c r="G324" s="140">
        <v>27</v>
      </c>
      <c r="H324" s="140">
        <v>10.799999999999997</v>
      </c>
      <c r="I324" s="123">
        <v>13.5</v>
      </c>
      <c r="J324" s="123">
        <v>18.510000000000002</v>
      </c>
      <c r="K324" s="145">
        <v>1</v>
      </c>
      <c r="L324" s="140">
        <v>0</v>
      </c>
      <c r="M324" s="140">
        <v>27</v>
      </c>
      <c r="N324" s="99">
        <v>37.799999999999997</v>
      </c>
      <c r="O324" s="140">
        <v>-27</v>
      </c>
      <c r="P324" s="123">
        <v>13.5</v>
      </c>
      <c r="Q324" s="123">
        <v>18.510000000000002</v>
      </c>
      <c r="R324" s="233">
        <f>YEAR(Tableau4[[#This Row],[Date]])</f>
        <v>2019</v>
      </c>
    </row>
    <row r="325" spans="1:18">
      <c r="A325" s="229">
        <v>43770</v>
      </c>
      <c r="B325" s="244" t="s">
        <v>861</v>
      </c>
      <c r="C325" s="99" t="s">
        <v>12</v>
      </c>
      <c r="D325" s="99"/>
      <c r="E325" s="99"/>
      <c r="F325" s="140">
        <v>4.9000000000000004</v>
      </c>
      <c r="G325" s="140">
        <v>3.3</v>
      </c>
      <c r="H325" s="140">
        <v>1.6000000000000005</v>
      </c>
      <c r="I325" s="123">
        <v>3</v>
      </c>
      <c r="J325" s="123">
        <v>0.69</v>
      </c>
      <c r="K325" s="145">
        <v>1</v>
      </c>
      <c r="L325" s="140">
        <v>4.9000000000000004</v>
      </c>
      <c r="M325" s="140">
        <v>3.3</v>
      </c>
      <c r="N325" s="99"/>
      <c r="O325" s="140">
        <v>1.6000000000000005</v>
      </c>
      <c r="P325" s="123">
        <v>3</v>
      </c>
      <c r="Q325" s="123">
        <v>0.69</v>
      </c>
      <c r="R325" s="233">
        <f>YEAR(Tableau4[[#This Row],[Date]])</f>
        <v>2019</v>
      </c>
    </row>
    <row r="326" spans="1:18">
      <c r="A326" s="247">
        <v>43831</v>
      </c>
      <c r="B326" s="244" t="s">
        <v>861</v>
      </c>
      <c r="C326" s="99" t="s">
        <v>9</v>
      </c>
      <c r="D326" s="99"/>
      <c r="E326" s="99"/>
      <c r="F326" s="140">
        <v>8.9</v>
      </c>
      <c r="G326" s="140">
        <v>6.35</v>
      </c>
      <c r="H326" s="140">
        <v>2.5500000000000007</v>
      </c>
      <c r="I326" s="123">
        <v>5</v>
      </c>
      <c r="J326" s="123">
        <v>2.67</v>
      </c>
      <c r="K326" s="145">
        <v>1</v>
      </c>
      <c r="L326" s="140">
        <v>8.9</v>
      </c>
      <c r="M326" s="140">
        <v>6.35</v>
      </c>
      <c r="N326" s="99"/>
      <c r="O326" s="140">
        <v>2.5500000000000007</v>
      </c>
      <c r="P326" s="123">
        <v>5</v>
      </c>
      <c r="Q326" s="123">
        <v>2.67</v>
      </c>
      <c r="R326" s="233">
        <f>YEAR(Tableau4[[#This Row],[Date]])</f>
        <v>2020</v>
      </c>
    </row>
    <row r="327" spans="1:18">
      <c r="A327" s="247">
        <v>43831</v>
      </c>
      <c r="B327" s="244" t="s">
        <v>861</v>
      </c>
      <c r="C327" s="99" t="s">
        <v>51</v>
      </c>
      <c r="D327" s="99"/>
      <c r="E327" s="99"/>
      <c r="F327" s="140">
        <v>25</v>
      </c>
      <c r="G327" s="140">
        <v>21</v>
      </c>
      <c r="H327" s="140">
        <v>4</v>
      </c>
      <c r="I327" s="123">
        <v>11.7</v>
      </c>
      <c r="J327" s="123">
        <v>8.82</v>
      </c>
      <c r="K327" s="145">
        <v>1</v>
      </c>
      <c r="L327" s="140">
        <v>25</v>
      </c>
      <c r="M327" s="140">
        <v>21</v>
      </c>
      <c r="N327" s="99"/>
      <c r="O327" s="140">
        <v>4</v>
      </c>
      <c r="P327" s="123">
        <v>11.7</v>
      </c>
      <c r="Q327" s="123">
        <v>8.82</v>
      </c>
      <c r="R327" s="233">
        <f>YEAR(Tableau4[[#This Row],[Date]])</f>
        <v>2020</v>
      </c>
    </row>
    <row r="328" spans="1:18">
      <c r="A328" s="247">
        <v>43862</v>
      </c>
      <c r="B328" s="244" t="s">
        <v>861</v>
      </c>
      <c r="C328" s="99" t="s">
        <v>7</v>
      </c>
      <c r="D328" s="99"/>
      <c r="E328" s="99" t="s">
        <v>76</v>
      </c>
      <c r="F328" s="140">
        <v>32.9</v>
      </c>
      <c r="G328" s="140">
        <v>21.9</v>
      </c>
      <c r="H328" s="140">
        <v>11</v>
      </c>
      <c r="I328" s="123">
        <v>18</v>
      </c>
      <c r="J328" s="123">
        <v>16.55</v>
      </c>
      <c r="K328" s="145">
        <v>1</v>
      </c>
      <c r="L328" s="140">
        <v>27</v>
      </c>
      <c r="M328" s="140">
        <v>21.9</v>
      </c>
      <c r="N328" s="99">
        <v>5.9</v>
      </c>
      <c r="O328" s="140">
        <v>5.1000000000000014</v>
      </c>
      <c r="P328" s="123">
        <v>18</v>
      </c>
      <c r="Q328" s="123">
        <v>16.55</v>
      </c>
      <c r="R328" s="233">
        <f>YEAR(Tableau4[[#This Row],[Date]])</f>
        <v>2020</v>
      </c>
    </row>
    <row r="329" spans="1:18">
      <c r="A329" s="247">
        <v>43891</v>
      </c>
      <c r="B329" s="244" t="s">
        <v>861</v>
      </c>
      <c r="C329" s="99" t="s">
        <v>58</v>
      </c>
      <c r="D329" s="99"/>
      <c r="E329" s="99"/>
      <c r="F329" s="140">
        <v>19.899999999999999</v>
      </c>
      <c r="G329" s="140">
        <v>14.2</v>
      </c>
      <c r="H329" s="140">
        <v>5.6999999999999993</v>
      </c>
      <c r="I329" s="123">
        <v>10.5</v>
      </c>
      <c r="J329" s="123">
        <v>11.93</v>
      </c>
      <c r="K329" s="145">
        <v>1</v>
      </c>
      <c r="L329" s="140">
        <v>19.5</v>
      </c>
      <c r="M329" s="140">
        <v>14.2</v>
      </c>
      <c r="N329" s="99">
        <v>0.4</v>
      </c>
      <c r="O329" s="140">
        <v>5.3000000000000007</v>
      </c>
      <c r="P329" s="123">
        <v>10.5</v>
      </c>
      <c r="Q329" s="123">
        <v>11.93</v>
      </c>
      <c r="R329" s="233">
        <f>YEAR(Tableau4[[#This Row],[Date]])</f>
        <v>2020</v>
      </c>
    </row>
    <row r="330" spans="1:18">
      <c r="A330" s="247">
        <v>43891</v>
      </c>
      <c r="B330" s="244" t="s">
        <v>861</v>
      </c>
      <c r="C330" s="99" t="s">
        <v>12</v>
      </c>
      <c r="D330" s="99"/>
      <c r="E330" s="99"/>
      <c r="F330" s="140">
        <v>37.799999999999997</v>
      </c>
      <c r="G330" s="140">
        <v>27</v>
      </c>
      <c r="H330" s="140">
        <v>10.799999999999997</v>
      </c>
      <c r="I330" s="123">
        <v>13.5</v>
      </c>
      <c r="J330" s="123">
        <v>18.510000000000002</v>
      </c>
      <c r="K330" s="145">
        <v>1</v>
      </c>
      <c r="L330" s="140">
        <v>37.799999999999997</v>
      </c>
      <c r="M330" s="140">
        <v>27</v>
      </c>
      <c r="N330" s="99"/>
      <c r="O330" s="140">
        <v>10.799999999999997</v>
      </c>
      <c r="P330" s="123">
        <v>13.5</v>
      </c>
      <c r="Q330" s="123">
        <v>18.510000000000002</v>
      </c>
      <c r="R330" s="233">
        <f>YEAR(Tableau4[[#This Row],[Date]])</f>
        <v>2020</v>
      </c>
    </row>
    <row r="331" spans="1:18">
      <c r="A331" s="247">
        <v>43891</v>
      </c>
      <c r="B331" s="244" t="s">
        <v>861</v>
      </c>
      <c r="C331" s="99" t="s">
        <v>12</v>
      </c>
      <c r="D331" s="99"/>
      <c r="E331" s="99"/>
      <c r="F331" s="140">
        <v>27.5</v>
      </c>
      <c r="G331" s="140">
        <v>19.649999999999999</v>
      </c>
      <c r="H331" s="140">
        <v>7.8500000000000014</v>
      </c>
      <c r="I331" s="123">
        <v>13.5</v>
      </c>
      <c r="J331" s="123">
        <v>16.510000000000002</v>
      </c>
      <c r="K331" s="145">
        <v>1</v>
      </c>
      <c r="L331" s="140">
        <v>27.5</v>
      </c>
      <c r="M331" s="140">
        <v>19.649999999999999</v>
      </c>
      <c r="N331" s="99"/>
      <c r="O331" s="140">
        <v>7.8500000000000014</v>
      </c>
      <c r="P331" s="123">
        <v>13.5</v>
      </c>
      <c r="Q331" s="123">
        <v>16.510000000000002</v>
      </c>
      <c r="R331" s="233">
        <f>YEAR(Tableau4[[#This Row],[Date]])</f>
        <v>2020</v>
      </c>
    </row>
    <row r="332" spans="1:18">
      <c r="A332" s="247">
        <v>43891</v>
      </c>
      <c r="B332" s="244" t="s">
        <v>861</v>
      </c>
      <c r="C332" s="99" t="s">
        <v>12</v>
      </c>
      <c r="D332" s="99"/>
      <c r="E332" s="99"/>
      <c r="F332" s="140">
        <v>13.9</v>
      </c>
      <c r="G332" s="140">
        <v>9.9</v>
      </c>
      <c r="H332" s="140">
        <v>4</v>
      </c>
      <c r="I332" s="123">
        <v>8.5</v>
      </c>
      <c r="J332" s="123">
        <v>2.08</v>
      </c>
      <c r="K332" s="145">
        <v>1</v>
      </c>
      <c r="L332" s="140">
        <v>0</v>
      </c>
      <c r="M332" s="140">
        <v>9.9</v>
      </c>
      <c r="N332" s="99">
        <v>13.9</v>
      </c>
      <c r="O332" s="140">
        <v>-9.9</v>
      </c>
      <c r="P332" s="123">
        <v>8.5</v>
      </c>
      <c r="Q332" s="123">
        <v>2.08</v>
      </c>
      <c r="R332" s="233">
        <f>YEAR(Tableau4[[#This Row],[Date]])</f>
        <v>2020</v>
      </c>
    </row>
    <row r="333" spans="1:18">
      <c r="A333" s="247">
        <v>43922</v>
      </c>
      <c r="B333" s="244" t="s">
        <v>861</v>
      </c>
      <c r="C333" s="99" t="s">
        <v>9</v>
      </c>
      <c r="D333" s="99"/>
      <c r="E333" s="99"/>
      <c r="F333" s="140">
        <v>19.899999999999999</v>
      </c>
      <c r="G333" s="140">
        <v>13.9</v>
      </c>
      <c r="H333" s="140">
        <v>5.9999999999999982</v>
      </c>
      <c r="I333" s="123">
        <v>11.5</v>
      </c>
      <c r="J333" s="123">
        <v>11.68</v>
      </c>
      <c r="K333" s="145">
        <v>1</v>
      </c>
      <c r="L333" s="140">
        <v>19.899999999999999</v>
      </c>
      <c r="M333" s="140">
        <v>13.9</v>
      </c>
      <c r="N333" s="99"/>
      <c r="O333" s="140">
        <v>5.9999999999999982</v>
      </c>
      <c r="P333" s="123">
        <v>11.5</v>
      </c>
      <c r="Q333" s="123">
        <v>11.68</v>
      </c>
      <c r="R333" s="233">
        <f>YEAR(Tableau4[[#This Row],[Date]])</f>
        <v>2020</v>
      </c>
    </row>
    <row r="334" spans="1:18">
      <c r="A334" s="247">
        <v>43952</v>
      </c>
      <c r="B334" s="244" t="s">
        <v>861</v>
      </c>
      <c r="C334" s="99" t="s">
        <v>12</v>
      </c>
      <c r="D334" s="99"/>
      <c r="E334" s="99"/>
      <c r="F334" s="140">
        <v>27.5</v>
      </c>
      <c r="G334" s="140">
        <v>19.649999999999999</v>
      </c>
      <c r="H334" s="140">
        <v>7.8500000000000014</v>
      </c>
      <c r="I334" s="123">
        <v>13.5</v>
      </c>
      <c r="J334" s="123">
        <v>16.510000000000002</v>
      </c>
      <c r="K334" s="145">
        <v>1</v>
      </c>
      <c r="L334" s="140">
        <v>27.5</v>
      </c>
      <c r="M334" s="140">
        <v>19.649999999999999</v>
      </c>
      <c r="N334" s="99"/>
      <c r="O334" s="140">
        <v>7.8500000000000014</v>
      </c>
      <c r="P334" s="123">
        <v>13.5</v>
      </c>
      <c r="Q334" s="123">
        <v>16.510000000000002</v>
      </c>
      <c r="R334" s="233">
        <f>YEAR(Tableau4[[#This Row],[Date]])</f>
        <v>2020</v>
      </c>
    </row>
    <row r="335" spans="1:18">
      <c r="A335" s="247">
        <v>43952</v>
      </c>
      <c r="B335" s="245" t="s">
        <v>861</v>
      </c>
      <c r="C335" s="99" t="s">
        <v>12</v>
      </c>
      <c r="D335" s="99"/>
      <c r="E335" s="99"/>
      <c r="F335" s="140">
        <v>13.9</v>
      </c>
      <c r="G335" s="140">
        <v>9.9</v>
      </c>
      <c r="H335" s="140">
        <v>4</v>
      </c>
      <c r="I335" s="123">
        <v>8.5</v>
      </c>
      <c r="J335" s="123">
        <v>2.08</v>
      </c>
      <c r="K335" s="145">
        <v>1</v>
      </c>
      <c r="L335" s="140">
        <v>13.9</v>
      </c>
      <c r="M335" s="140">
        <v>9.9</v>
      </c>
      <c r="N335" s="99"/>
      <c r="O335" s="140">
        <v>4</v>
      </c>
      <c r="P335" s="123">
        <v>8.5</v>
      </c>
      <c r="Q335" s="123">
        <v>2.08</v>
      </c>
      <c r="R335" s="233">
        <f>YEAR(Tableau4[[#This Row],[Date]])</f>
        <v>2020</v>
      </c>
    </row>
    <row r="336" spans="1:18">
      <c r="A336" s="247">
        <v>43983</v>
      </c>
      <c r="B336" s="245" t="s">
        <v>861</v>
      </c>
      <c r="C336" s="99" t="s">
        <v>12</v>
      </c>
      <c r="D336" s="99"/>
      <c r="E336" s="99"/>
      <c r="F336" s="140">
        <v>37.799999999999997</v>
      </c>
      <c r="G336" s="140">
        <v>27</v>
      </c>
      <c r="H336" s="140">
        <v>10.799999999999997</v>
      </c>
      <c r="I336" s="123">
        <v>13.5</v>
      </c>
      <c r="J336" s="123">
        <v>18.510000000000002</v>
      </c>
      <c r="K336" s="145">
        <v>1</v>
      </c>
      <c r="L336" s="140">
        <v>37.799999999999997</v>
      </c>
      <c r="M336" s="140">
        <v>27</v>
      </c>
      <c r="N336" s="99"/>
      <c r="O336" s="140">
        <v>10.799999999999997</v>
      </c>
      <c r="P336" s="123">
        <v>13.5</v>
      </c>
      <c r="Q336" s="123">
        <v>18.510000000000002</v>
      </c>
      <c r="R336" s="233">
        <f>YEAR(Tableau4[[#This Row],[Date]])</f>
        <v>2020</v>
      </c>
    </row>
    <row r="337" spans="1:18">
      <c r="A337" s="247">
        <v>44013</v>
      </c>
      <c r="B337" s="245" t="s">
        <v>861</v>
      </c>
      <c r="C337" s="99" t="s">
        <v>58</v>
      </c>
      <c r="D337" s="99"/>
      <c r="E337" s="99"/>
      <c r="F337" s="140">
        <v>19.899999999999999</v>
      </c>
      <c r="G337" s="140">
        <v>14.2</v>
      </c>
      <c r="H337" s="140">
        <v>5.6999999999999993</v>
      </c>
      <c r="I337" s="123">
        <v>10.5</v>
      </c>
      <c r="J337" s="123">
        <v>11.93</v>
      </c>
      <c r="K337" s="145">
        <v>1</v>
      </c>
      <c r="L337" s="140">
        <v>19.899999999999999</v>
      </c>
      <c r="M337" s="140">
        <v>14.2</v>
      </c>
      <c r="N337" s="99"/>
      <c r="O337" s="140">
        <v>5.6999999999999993</v>
      </c>
      <c r="P337" s="123">
        <v>10.5</v>
      </c>
      <c r="Q337" s="123">
        <v>11.93</v>
      </c>
      <c r="R337" s="233">
        <f>YEAR(Tableau4[[#This Row],[Date]])</f>
        <v>2020</v>
      </c>
    </row>
    <row r="338" spans="1:18">
      <c r="A338" s="247">
        <v>44013</v>
      </c>
      <c r="B338" s="244" t="s">
        <v>861</v>
      </c>
      <c r="C338" s="99" t="s">
        <v>58</v>
      </c>
      <c r="D338" s="99"/>
      <c r="E338" s="99"/>
      <c r="F338" s="140">
        <v>21.5</v>
      </c>
      <c r="G338" s="140">
        <v>15.35</v>
      </c>
      <c r="H338" s="140">
        <v>6.15</v>
      </c>
      <c r="I338" s="123">
        <v>11.5</v>
      </c>
      <c r="J338" s="123">
        <v>12.9</v>
      </c>
      <c r="K338" s="145">
        <v>1</v>
      </c>
      <c r="L338" s="140">
        <v>21.5</v>
      </c>
      <c r="M338" s="140">
        <v>15.35</v>
      </c>
      <c r="N338" s="99"/>
      <c r="O338" s="140">
        <v>6.15</v>
      </c>
      <c r="P338" s="123">
        <v>11.5</v>
      </c>
      <c r="Q338" s="123">
        <v>12.9</v>
      </c>
      <c r="R338" s="233">
        <f>YEAR(Tableau4[[#This Row],[Date]])</f>
        <v>2020</v>
      </c>
    </row>
    <row r="339" spans="1:18">
      <c r="A339" s="229">
        <v>43739</v>
      </c>
      <c r="B339" s="246" t="s">
        <v>862</v>
      </c>
      <c r="C339" s="99" t="s">
        <v>7</v>
      </c>
      <c r="D339" s="99"/>
      <c r="E339" s="99" t="s">
        <v>53</v>
      </c>
      <c r="F339" s="140">
        <v>5</v>
      </c>
      <c r="G339" s="140">
        <v>2.9</v>
      </c>
      <c r="H339" s="140">
        <v>2.1</v>
      </c>
      <c r="I339" s="123">
        <v>1.5</v>
      </c>
      <c r="J339" s="123">
        <v>1</v>
      </c>
      <c r="K339" s="145">
        <v>1</v>
      </c>
      <c r="L339" s="140">
        <v>5</v>
      </c>
      <c r="M339" s="140">
        <v>2.9</v>
      </c>
      <c r="N339" s="99"/>
      <c r="O339" s="140">
        <v>2.1</v>
      </c>
      <c r="P339" s="123">
        <v>1.5</v>
      </c>
      <c r="Q339" s="123">
        <v>1</v>
      </c>
      <c r="R339" s="233">
        <f>YEAR(Tableau4[[#This Row],[Date]])</f>
        <v>2019</v>
      </c>
    </row>
    <row r="340" spans="1:18">
      <c r="A340" s="229">
        <v>43739</v>
      </c>
      <c r="B340" s="246" t="s">
        <v>862</v>
      </c>
      <c r="C340" s="99" t="s">
        <v>7</v>
      </c>
      <c r="D340" s="99"/>
      <c r="E340" s="99" t="s">
        <v>53</v>
      </c>
      <c r="F340" s="140">
        <v>5</v>
      </c>
      <c r="G340" s="140">
        <v>2.9</v>
      </c>
      <c r="H340" s="140">
        <v>2.1</v>
      </c>
      <c r="I340" s="123">
        <v>1.5</v>
      </c>
      <c r="J340" s="123">
        <v>1</v>
      </c>
      <c r="K340" s="145">
        <v>1</v>
      </c>
      <c r="L340" s="140">
        <v>5</v>
      </c>
      <c r="M340" s="140">
        <v>2.9</v>
      </c>
      <c r="N340" s="99"/>
      <c r="O340" s="140">
        <v>2.1</v>
      </c>
      <c r="P340" s="123">
        <v>1.5</v>
      </c>
      <c r="Q340" s="123">
        <v>1</v>
      </c>
      <c r="R340" s="233">
        <f>YEAR(Tableau4[[#This Row],[Date]])</f>
        <v>2019</v>
      </c>
    </row>
    <row r="341" spans="1:18">
      <c r="A341" s="229">
        <v>43739</v>
      </c>
      <c r="B341" s="246" t="s">
        <v>862</v>
      </c>
      <c r="C341" s="99" t="s">
        <v>7</v>
      </c>
      <c r="D341" s="99"/>
      <c r="E341" s="99" t="s">
        <v>53</v>
      </c>
      <c r="F341" s="140">
        <v>5</v>
      </c>
      <c r="G341" s="140">
        <v>2.9</v>
      </c>
      <c r="H341" s="140">
        <v>2.1</v>
      </c>
      <c r="I341" s="123">
        <v>1.5</v>
      </c>
      <c r="J341" s="123">
        <v>1</v>
      </c>
      <c r="K341" s="145">
        <v>1</v>
      </c>
      <c r="L341" s="140">
        <v>5</v>
      </c>
      <c r="M341" s="140">
        <v>2.9</v>
      </c>
      <c r="N341" s="99"/>
      <c r="O341" s="140">
        <v>2.1</v>
      </c>
      <c r="P341" s="123">
        <v>1.5</v>
      </c>
      <c r="Q341" s="123">
        <v>1</v>
      </c>
      <c r="R341" s="233">
        <f>YEAR(Tableau4[[#This Row],[Date]])</f>
        <v>2019</v>
      </c>
    </row>
    <row r="342" spans="1:18">
      <c r="A342" s="229">
        <v>43739</v>
      </c>
      <c r="B342" s="242" t="s">
        <v>862</v>
      </c>
      <c r="C342" s="99" t="s">
        <v>7</v>
      </c>
      <c r="D342" s="99"/>
      <c r="E342" s="99" t="s">
        <v>53</v>
      </c>
      <c r="F342" s="140">
        <v>5</v>
      </c>
      <c r="G342" s="140">
        <v>2.9</v>
      </c>
      <c r="H342" s="140">
        <v>2.1</v>
      </c>
      <c r="I342" s="123">
        <v>1.5</v>
      </c>
      <c r="J342" s="123">
        <v>1</v>
      </c>
      <c r="K342" s="145">
        <v>1</v>
      </c>
      <c r="L342" s="140">
        <v>5</v>
      </c>
      <c r="M342" s="140">
        <v>2.9</v>
      </c>
      <c r="N342" s="99"/>
      <c r="O342" s="140">
        <v>2.1</v>
      </c>
      <c r="P342" s="123">
        <v>1.5</v>
      </c>
      <c r="Q342" s="123">
        <v>1</v>
      </c>
      <c r="R342" s="233">
        <f>YEAR(Tableau4[[#This Row],[Date]])</f>
        <v>2019</v>
      </c>
    </row>
    <row r="343" spans="1:18">
      <c r="A343" s="229">
        <v>43647</v>
      </c>
      <c r="B343" s="244" t="s">
        <v>863</v>
      </c>
      <c r="C343" s="99" t="s">
        <v>9</v>
      </c>
      <c r="D343" s="99"/>
      <c r="E343" s="99"/>
      <c r="F343" s="140">
        <v>29.5</v>
      </c>
      <c r="G343" s="140">
        <v>21</v>
      </c>
      <c r="H343" s="140">
        <v>8.5</v>
      </c>
      <c r="I343" s="123">
        <v>19</v>
      </c>
      <c r="J343" s="123">
        <v>17.649999999999999</v>
      </c>
      <c r="K343" s="145">
        <v>1</v>
      </c>
      <c r="L343" s="140">
        <v>29.5</v>
      </c>
      <c r="M343" s="140">
        <v>21</v>
      </c>
      <c r="N343" s="99"/>
      <c r="O343" s="140">
        <v>8.5</v>
      </c>
      <c r="P343" s="123">
        <v>19</v>
      </c>
      <c r="Q343" s="123">
        <v>17.649999999999999</v>
      </c>
      <c r="R343" s="233">
        <f>YEAR(Tableau4[[#This Row],[Date]])</f>
        <v>2019</v>
      </c>
    </row>
    <row r="344" spans="1:18">
      <c r="A344" s="229">
        <v>43647</v>
      </c>
      <c r="B344" s="244" t="s">
        <v>863</v>
      </c>
      <c r="C344" s="99" t="s">
        <v>9</v>
      </c>
      <c r="D344" s="99"/>
      <c r="E344" s="99"/>
      <c r="F344" s="140">
        <v>22.9</v>
      </c>
      <c r="G344" s="140">
        <v>16.350000000000001</v>
      </c>
      <c r="H344" s="140">
        <v>6.5499999999999972</v>
      </c>
      <c r="I344" s="123">
        <v>13.5</v>
      </c>
      <c r="J344" s="123">
        <v>13.74</v>
      </c>
      <c r="K344" s="145">
        <v>1</v>
      </c>
      <c r="L344" s="140">
        <v>22.9</v>
      </c>
      <c r="M344" s="140">
        <v>16.350000000000001</v>
      </c>
      <c r="N344" s="99"/>
      <c r="O344" s="140">
        <v>6.5499999999999972</v>
      </c>
      <c r="P344" s="123">
        <v>13.5</v>
      </c>
      <c r="Q344" s="123">
        <v>13.74</v>
      </c>
      <c r="R344" s="233">
        <f>YEAR(Tableau4[[#This Row],[Date]])</f>
        <v>2019</v>
      </c>
    </row>
    <row r="345" spans="1:18">
      <c r="A345" s="229">
        <v>43647</v>
      </c>
      <c r="B345" s="244" t="s">
        <v>863</v>
      </c>
      <c r="C345" s="99" t="s">
        <v>9</v>
      </c>
      <c r="D345" s="99"/>
      <c r="E345" s="99"/>
      <c r="F345" s="140">
        <v>9.9</v>
      </c>
      <c r="G345" s="140">
        <v>7.05</v>
      </c>
      <c r="H345" s="140">
        <v>2.8500000000000005</v>
      </c>
      <c r="I345" s="123">
        <v>5</v>
      </c>
      <c r="J345" s="123">
        <v>3</v>
      </c>
      <c r="K345" s="145">
        <v>1</v>
      </c>
      <c r="L345" s="140">
        <v>9.9</v>
      </c>
      <c r="M345" s="140">
        <v>7.05</v>
      </c>
      <c r="N345" s="99"/>
      <c r="O345" s="140">
        <v>2.8500000000000005</v>
      </c>
      <c r="P345" s="123">
        <v>5</v>
      </c>
      <c r="Q345" s="123">
        <v>3</v>
      </c>
      <c r="R345" s="233">
        <f>YEAR(Tableau4[[#This Row],[Date]])</f>
        <v>2019</v>
      </c>
    </row>
    <row r="346" spans="1:18">
      <c r="A346" s="229">
        <v>43647</v>
      </c>
      <c r="B346" s="245" t="s">
        <v>863</v>
      </c>
      <c r="C346" s="99" t="s">
        <v>9</v>
      </c>
      <c r="D346" s="99"/>
      <c r="E346" s="99"/>
      <c r="F346" s="140">
        <v>20.5</v>
      </c>
      <c r="G346" s="140">
        <v>14.6</v>
      </c>
      <c r="H346" s="140">
        <v>5.9</v>
      </c>
      <c r="I346" s="123">
        <v>11.5</v>
      </c>
      <c r="J346" s="123">
        <v>12.27</v>
      </c>
      <c r="K346" s="145">
        <v>1</v>
      </c>
      <c r="L346" s="140">
        <v>20.5</v>
      </c>
      <c r="M346" s="140">
        <v>14.6</v>
      </c>
      <c r="N346" s="99"/>
      <c r="O346" s="140">
        <v>5.9</v>
      </c>
      <c r="P346" s="123">
        <v>12.5</v>
      </c>
      <c r="Q346" s="123">
        <v>12.27</v>
      </c>
      <c r="R346" s="233">
        <f>YEAR(Tableau4[[#This Row],[Date]])</f>
        <v>2019</v>
      </c>
    </row>
    <row r="347" spans="1:18">
      <c r="A347" s="229">
        <v>43647</v>
      </c>
      <c r="B347" s="245" t="s">
        <v>863</v>
      </c>
      <c r="C347" s="99" t="s">
        <v>7</v>
      </c>
      <c r="D347" s="99"/>
      <c r="E347" s="99">
        <v>100</v>
      </c>
      <c r="F347" s="140">
        <v>29.9</v>
      </c>
      <c r="G347" s="140">
        <v>19.899999999999999</v>
      </c>
      <c r="H347" s="140">
        <v>10</v>
      </c>
      <c r="I347" s="123">
        <v>16</v>
      </c>
      <c r="J347" s="123">
        <v>16.55</v>
      </c>
      <c r="K347" s="145">
        <v>1</v>
      </c>
      <c r="L347" s="140">
        <v>29.9</v>
      </c>
      <c r="M347" s="140">
        <v>19.899999999999999</v>
      </c>
      <c r="N347" s="99"/>
      <c r="O347" s="140">
        <v>10</v>
      </c>
      <c r="P347" s="123">
        <v>0</v>
      </c>
      <c r="Q347" s="123">
        <v>16.55</v>
      </c>
      <c r="R347" s="233">
        <f>YEAR(Tableau4[[#This Row],[Date]])</f>
        <v>2019</v>
      </c>
    </row>
    <row r="348" spans="1:18">
      <c r="A348" s="229">
        <v>43647</v>
      </c>
      <c r="B348" s="245" t="s">
        <v>863</v>
      </c>
      <c r="C348" s="99" t="s">
        <v>9</v>
      </c>
      <c r="D348" s="99"/>
      <c r="E348" s="99"/>
      <c r="F348" s="140">
        <v>16.2</v>
      </c>
      <c r="G348" s="140">
        <v>11.8</v>
      </c>
      <c r="H348" s="140">
        <v>4.3999999999999986</v>
      </c>
      <c r="I348" s="123">
        <v>9</v>
      </c>
      <c r="J348" s="123">
        <v>9.25</v>
      </c>
      <c r="K348" s="145">
        <v>1</v>
      </c>
      <c r="L348" s="140">
        <v>16.2</v>
      </c>
      <c r="M348" s="140">
        <v>11.8</v>
      </c>
      <c r="N348" s="99"/>
      <c r="O348" s="140">
        <v>4.3999999999999986</v>
      </c>
      <c r="P348" s="123">
        <v>9</v>
      </c>
      <c r="Q348" s="123">
        <v>9.25</v>
      </c>
      <c r="R348" s="233">
        <f>YEAR(Tableau4[[#This Row],[Date]])</f>
        <v>2019</v>
      </c>
    </row>
    <row r="349" spans="1:18">
      <c r="A349" s="229">
        <v>43647</v>
      </c>
      <c r="B349" s="245" t="s">
        <v>864</v>
      </c>
      <c r="C349" s="99" t="s">
        <v>7</v>
      </c>
      <c r="D349" s="99"/>
      <c r="E349" s="99">
        <v>50</v>
      </c>
      <c r="F349" s="140">
        <v>19.899999999999999</v>
      </c>
      <c r="G349" s="140">
        <v>13.3</v>
      </c>
      <c r="H349" s="140">
        <v>6.5999999999999979</v>
      </c>
      <c r="I349" s="123">
        <v>11</v>
      </c>
      <c r="J349" s="123">
        <v>9</v>
      </c>
      <c r="K349" s="145">
        <v>1</v>
      </c>
      <c r="L349" s="140">
        <v>19.899999999999999</v>
      </c>
      <c r="M349" s="140">
        <v>13.3</v>
      </c>
      <c r="N349" s="99"/>
      <c r="O349" s="140">
        <v>6.5999999999999979</v>
      </c>
      <c r="P349" s="123">
        <v>11</v>
      </c>
      <c r="Q349" s="123">
        <v>9</v>
      </c>
      <c r="R349" s="233">
        <f>YEAR(Tableau4[[#This Row],[Date]])</f>
        <v>2019</v>
      </c>
    </row>
    <row r="350" spans="1:18">
      <c r="A350" s="229">
        <v>43647</v>
      </c>
      <c r="B350" s="245" t="s">
        <v>864</v>
      </c>
      <c r="C350" s="99" t="s">
        <v>7</v>
      </c>
      <c r="D350" s="99"/>
      <c r="E350" s="99">
        <v>50</v>
      </c>
      <c r="F350" s="140">
        <v>19.899999999999999</v>
      </c>
      <c r="G350" s="140">
        <v>13.3</v>
      </c>
      <c r="H350" s="140">
        <v>6.5999999999999979</v>
      </c>
      <c r="I350" s="123">
        <v>11</v>
      </c>
      <c r="J350" s="123">
        <v>9</v>
      </c>
      <c r="K350" s="145">
        <v>1</v>
      </c>
      <c r="L350" s="140">
        <v>19.899999999999999</v>
      </c>
      <c r="M350" s="140">
        <v>13.3</v>
      </c>
      <c r="N350" s="99"/>
      <c r="O350" s="140">
        <v>6.5999999999999979</v>
      </c>
      <c r="P350" s="123">
        <v>11</v>
      </c>
      <c r="Q350" s="123">
        <v>9</v>
      </c>
      <c r="R350" s="233">
        <f>YEAR(Tableau4[[#This Row],[Date]])</f>
        <v>2019</v>
      </c>
    </row>
    <row r="351" spans="1:18">
      <c r="A351" s="229">
        <v>43647</v>
      </c>
      <c r="B351" s="245" t="s">
        <v>864</v>
      </c>
      <c r="C351" s="99" t="s">
        <v>7</v>
      </c>
      <c r="D351" s="99"/>
      <c r="E351" s="99">
        <v>50</v>
      </c>
      <c r="F351" s="140">
        <v>19.899999999999999</v>
      </c>
      <c r="G351" s="140">
        <v>13.3</v>
      </c>
      <c r="H351" s="140">
        <v>6.5999999999999979</v>
      </c>
      <c r="I351" s="123">
        <v>11</v>
      </c>
      <c r="J351" s="123">
        <v>9</v>
      </c>
      <c r="K351" s="145">
        <v>1</v>
      </c>
      <c r="L351" s="140">
        <v>19.899999999999999</v>
      </c>
      <c r="M351" s="140">
        <v>13.3</v>
      </c>
      <c r="N351" s="99"/>
      <c r="O351" s="140">
        <v>6.5999999999999979</v>
      </c>
      <c r="P351" s="123">
        <v>11</v>
      </c>
      <c r="Q351" s="123">
        <v>9</v>
      </c>
      <c r="R351" s="233">
        <f>YEAR(Tableau4[[#This Row],[Date]])</f>
        <v>2019</v>
      </c>
    </row>
    <row r="352" spans="1:18">
      <c r="A352" s="229">
        <v>43709</v>
      </c>
      <c r="B352" s="245" t="s">
        <v>864</v>
      </c>
      <c r="C352" s="99" t="s">
        <v>9</v>
      </c>
      <c r="D352" s="99"/>
      <c r="E352" s="99"/>
      <c r="F352" s="140">
        <v>29.5</v>
      </c>
      <c r="G352" s="140">
        <v>21</v>
      </c>
      <c r="H352" s="140">
        <v>8.5</v>
      </c>
      <c r="I352" s="123">
        <v>19</v>
      </c>
      <c r="J352" s="123">
        <v>17.649999999999999</v>
      </c>
      <c r="K352" s="145">
        <v>1</v>
      </c>
      <c r="L352" s="140">
        <v>29.5</v>
      </c>
      <c r="M352" s="140">
        <v>21</v>
      </c>
      <c r="N352" s="99"/>
      <c r="O352" s="140">
        <v>8.5</v>
      </c>
      <c r="P352" s="123">
        <v>19</v>
      </c>
      <c r="Q352" s="123">
        <v>17.649999999999999</v>
      </c>
      <c r="R352" s="233">
        <f>YEAR(Tableau4[[#This Row],[Date]])</f>
        <v>2019</v>
      </c>
    </row>
    <row r="353" spans="1:18">
      <c r="A353" s="229">
        <v>43709</v>
      </c>
      <c r="B353" s="245" t="s">
        <v>864</v>
      </c>
      <c r="C353" s="99" t="s">
        <v>9</v>
      </c>
      <c r="D353" s="99"/>
      <c r="E353" s="99"/>
      <c r="F353" s="140">
        <v>22.9</v>
      </c>
      <c r="G353" s="140">
        <v>16.350000000000001</v>
      </c>
      <c r="H353" s="140">
        <v>6.5499999999999972</v>
      </c>
      <c r="I353" s="123">
        <v>13.5</v>
      </c>
      <c r="J353" s="123">
        <v>13.74</v>
      </c>
      <c r="K353" s="145">
        <v>1</v>
      </c>
      <c r="L353" s="140">
        <v>22.9</v>
      </c>
      <c r="M353" s="140">
        <v>16.350000000000001</v>
      </c>
      <c r="N353" s="99"/>
      <c r="O353" s="140">
        <v>6.5499999999999972</v>
      </c>
      <c r="P353" s="123">
        <v>13.5</v>
      </c>
      <c r="Q353" s="123">
        <v>13.74</v>
      </c>
      <c r="R353" s="233">
        <f>YEAR(Tableau4[[#This Row],[Date]])</f>
        <v>2019</v>
      </c>
    </row>
    <row r="354" spans="1:18">
      <c r="A354" s="229">
        <v>43709</v>
      </c>
      <c r="B354" s="245" t="s">
        <v>864</v>
      </c>
      <c r="C354" s="99" t="s">
        <v>7</v>
      </c>
      <c r="D354" s="99"/>
      <c r="E354" s="99">
        <v>100</v>
      </c>
      <c r="F354" s="140">
        <v>29.9</v>
      </c>
      <c r="G354" s="140">
        <v>19.899999999999999</v>
      </c>
      <c r="H354" s="140">
        <v>10</v>
      </c>
      <c r="I354" s="123">
        <v>16</v>
      </c>
      <c r="J354" s="123">
        <v>16.55</v>
      </c>
      <c r="K354" s="145">
        <v>1</v>
      </c>
      <c r="L354" s="140">
        <v>29.9</v>
      </c>
      <c r="M354" s="140">
        <v>19.899999999999999</v>
      </c>
      <c r="N354" s="99"/>
      <c r="O354" s="140">
        <v>10</v>
      </c>
      <c r="P354" s="123">
        <v>16</v>
      </c>
      <c r="Q354" s="123">
        <v>16.55</v>
      </c>
      <c r="R354" s="233">
        <f>YEAR(Tableau4[[#This Row],[Date]])</f>
        <v>2019</v>
      </c>
    </row>
    <row r="355" spans="1:18">
      <c r="A355" s="229">
        <v>43709</v>
      </c>
      <c r="B355" s="245" t="s">
        <v>864</v>
      </c>
      <c r="C355" s="99" t="s">
        <v>7</v>
      </c>
      <c r="D355" s="99"/>
      <c r="E355" s="99" t="s">
        <v>53</v>
      </c>
      <c r="F355" s="140">
        <v>5</v>
      </c>
      <c r="G355" s="140">
        <v>2.9</v>
      </c>
      <c r="H355" s="140">
        <v>2.1</v>
      </c>
      <c r="I355" s="123">
        <v>1.5</v>
      </c>
      <c r="J355" s="123">
        <v>1</v>
      </c>
      <c r="K355" s="145">
        <v>1</v>
      </c>
      <c r="L355" s="140">
        <v>0</v>
      </c>
      <c r="M355" s="140">
        <v>2.9</v>
      </c>
      <c r="N355" s="99">
        <v>5</v>
      </c>
      <c r="O355" s="140">
        <v>0</v>
      </c>
      <c r="P355" s="123">
        <v>1.5</v>
      </c>
      <c r="Q355" s="123">
        <v>1</v>
      </c>
      <c r="R355" s="233">
        <f>YEAR(Tableau4[[#This Row],[Date]])</f>
        <v>2019</v>
      </c>
    </row>
    <row r="356" spans="1:18">
      <c r="A356" s="229">
        <v>43709</v>
      </c>
      <c r="B356" s="245" t="s">
        <v>864</v>
      </c>
      <c r="C356" s="99" t="s">
        <v>9</v>
      </c>
      <c r="D356" s="99"/>
      <c r="E356" s="99"/>
      <c r="F356" s="140">
        <v>16.2</v>
      </c>
      <c r="G356" s="140">
        <v>11.6</v>
      </c>
      <c r="H356" s="140">
        <v>4.5999999999999996</v>
      </c>
      <c r="I356" s="123">
        <v>9</v>
      </c>
      <c r="J356" s="123">
        <v>9.25</v>
      </c>
      <c r="K356" s="145">
        <v>1</v>
      </c>
      <c r="L356" s="140">
        <v>16.2</v>
      </c>
      <c r="M356" s="140">
        <v>11.6</v>
      </c>
      <c r="N356" s="99"/>
      <c r="O356" s="140">
        <v>4.5999999999999996</v>
      </c>
      <c r="P356" s="123">
        <v>9</v>
      </c>
      <c r="Q356" s="123">
        <v>9.25</v>
      </c>
      <c r="R356" s="233">
        <f>YEAR(Tableau4[[#This Row],[Date]])</f>
        <v>2019</v>
      </c>
    </row>
    <row r="357" spans="1:18">
      <c r="A357" s="229">
        <v>43586</v>
      </c>
      <c r="B357" s="245" t="s">
        <v>865</v>
      </c>
      <c r="C357" s="99" t="s">
        <v>7</v>
      </c>
      <c r="D357" s="99"/>
      <c r="E357" s="99">
        <v>100</v>
      </c>
      <c r="F357" s="140">
        <v>29.9</v>
      </c>
      <c r="G357" s="140">
        <v>19.899999999999999</v>
      </c>
      <c r="H357" s="140">
        <v>10</v>
      </c>
      <c r="I357" s="123">
        <v>16</v>
      </c>
      <c r="J357" s="123">
        <v>16.55</v>
      </c>
      <c r="K357" s="145">
        <v>1</v>
      </c>
      <c r="L357" s="140">
        <v>29.9</v>
      </c>
      <c r="M357" s="140">
        <v>19.899999999999999</v>
      </c>
      <c r="N357" s="99"/>
      <c r="O357" s="140">
        <v>10</v>
      </c>
      <c r="P357" s="123">
        <v>16</v>
      </c>
      <c r="Q357" s="123">
        <v>16.55</v>
      </c>
      <c r="R357" s="233">
        <f>YEAR(Tableau4[[#This Row],[Date]])</f>
        <v>2019</v>
      </c>
    </row>
    <row r="358" spans="1:18">
      <c r="A358" s="229">
        <v>43556</v>
      </c>
      <c r="B358" s="242" t="s">
        <v>866</v>
      </c>
      <c r="C358" s="99" t="s">
        <v>7</v>
      </c>
      <c r="D358" s="99"/>
      <c r="E358" s="99">
        <v>50</v>
      </c>
      <c r="F358" s="140">
        <v>19.899999999999999</v>
      </c>
      <c r="G358" s="140">
        <v>13.3</v>
      </c>
      <c r="H358" s="140">
        <v>6.5999999999999979</v>
      </c>
      <c r="I358" s="123">
        <v>11</v>
      </c>
      <c r="J358" s="123">
        <v>9</v>
      </c>
      <c r="K358" s="145">
        <v>1</v>
      </c>
      <c r="L358" s="140">
        <v>19.899999999999999</v>
      </c>
      <c r="M358" s="140">
        <v>13.3</v>
      </c>
      <c r="N358" s="99"/>
      <c r="O358" s="140">
        <v>6.5999999999999979</v>
      </c>
      <c r="P358" s="123">
        <v>11</v>
      </c>
      <c r="Q358" s="123">
        <v>9</v>
      </c>
      <c r="R358" s="233">
        <f>YEAR(Tableau4[[#This Row],[Date]])</f>
        <v>2019</v>
      </c>
    </row>
    <row r="359" spans="1:18">
      <c r="A359" s="229">
        <v>43556</v>
      </c>
      <c r="B359" s="242" t="s">
        <v>866</v>
      </c>
      <c r="C359" s="99" t="s">
        <v>7</v>
      </c>
      <c r="D359" s="99"/>
      <c r="E359" s="99">
        <v>50</v>
      </c>
      <c r="F359" s="140">
        <v>19.899999999999999</v>
      </c>
      <c r="G359" s="140">
        <v>13.3</v>
      </c>
      <c r="H359" s="140">
        <v>6.5999999999999979</v>
      </c>
      <c r="I359" s="123">
        <v>11</v>
      </c>
      <c r="J359" s="123">
        <v>9</v>
      </c>
      <c r="K359" s="145">
        <v>1</v>
      </c>
      <c r="L359" s="140">
        <v>19.899999999999999</v>
      </c>
      <c r="M359" s="140">
        <v>13.3</v>
      </c>
      <c r="N359" s="99"/>
      <c r="O359" s="140">
        <v>6.5999999999999979</v>
      </c>
      <c r="P359" s="123">
        <v>11</v>
      </c>
      <c r="Q359" s="123">
        <v>9</v>
      </c>
      <c r="R359" s="233">
        <f>YEAR(Tableau4[[#This Row],[Date]])</f>
        <v>2019</v>
      </c>
    </row>
    <row r="360" spans="1:18">
      <c r="A360" s="229">
        <v>43586</v>
      </c>
      <c r="B360" s="242" t="s">
        <v>866</v>
      </c>
      <c r="C360" s="99" t="s">
        <v>9</v>
      </c>
      <c r="D360" s="99"/>
      <c r="E360" s="99"/>
      <c r="F360" s="140">
        <v>19.3</v>
      </c>
      <c r="G360" s="140">
        <v>13.8</v>
      </c>
      <c r="H360" s="140">
        <v>5.5</v>
      </c>
      <c r="I360" s="123">
        <v>11</v>
      </c>
      <c r="J360" s="123">
        <v>11.6</v>
      </c>
      <c r="K360" s="145">
        <v>1</v>
      </c>
      <c r="L360" s="140">
        <v>19.3</v>
      </c>
      <c r="M360" s="140">
        <v>13.8</v>
      </c>
      <c r="N360" s="99"/>
      <c r="O360" s="140">
        <v>5.5</v>
      </c>
      <c r="P360" s="123">
        <v>11</v>
      </c>
      <c r="Q360" s="123">
        <v>11.6</v>
      </c>
      <c r="R360" s="233">
        <f>YEAR(Tableau4[[#This Row],[Date]])</f>
        <v>2019</v>
      </c>
    </row>
    <row r="361" spans="1:18">
      <c r="A361" s="229">
        <v>43586</v>
      </c>
      <c r="B361" s="242" t="s">
        <v>866</v>
      </c>
      <c r="C361" s="99" t="s">
        <v>9</v>
      </c>
      <c r="D361" s="99"/>
      <c r="E361" s="99"/>
      <c r="F361" s="140">
        <v>20.5</v>
      </c>
      <c r="G361" s="140">
        <v>14.6</v>
      </c>
      <c r="H361" s="140">
        <v>5.9</v>
      </c>
      <c r="I361" s="123">
        <v>11.5</v>
      </c>
      <c r="J361" s="123">
        <v>12.27</v>
      </c>
      <c r="K361" s="145">
        <v>1</v>
      </c>
      <c r="L361" s="140">
        <v>20.5</v>
      </c>
      <c r="M361" s="140">
        <v>14.6</v>
      </c>
      <c r="N361" s="99"/>
      <c r="O361" s="140">
        <v>5.9</v>
      </c>
      <c r="P361" s="123">
        <v>12.5</v>
      </c>
      <c r="Q361" s="123">
        <v>12.27</v>
      </c>
      <c r="R361" s="233">
        <f>YEAR(Tableau4[[#This Row],[Date]])</f>
        <v>2019</v>
      </c>
    </row>
    <row r="362" spans="1:18">
      <c r="A362" s="229">
        <v>43617</v>
      </c>
      <c r="B362" s="246" t="s">
        <v>866</v>
      </c>
      <c r="C362" s="99" t="s">
        <v>7</v>
      </c>
      <c r="D362" s="99"/>
      <c r="E362" s="99">
        <v>100</v>
      </c>
      <c r="F362" s="140">
        <v>29.9</v>
      </c>
      <c r="G362" s="140">
        <v>19.899999999999999</v>
      </c>
      <c r="H362" s="140">
        <v>10</v>
      </c>
      <c r="I362" s="123">
        <v>16</v>
      </c>
      <c r="J362" s="123">
        <v>16.55</v>
      </c>
      <c r="K362" s="145">
        <v>1</v>
      </c>
      <c r="L362" s="140">
        <v>29.9</v>
      </c>
      <c r="M362" s="140">
        <v>19.899999999999999</v>
      </c>
      <c r="N362" s="99"/>
      <c r="O362" s="140">
        <v>10</v>
      </c>
      <c r="P362" s="123">
        <v>16</v>
      </c>
      <c r="Q362" s="123">
        <v>16.55</v>
      </c>
      <c r="R362" s="233">
        <f>YEAR(Tableau4[[#This Row],[Date]])</f>
        <v>2019</v>
      </c>
    </row>
    <row r="363" spans="1:18">
      <c r="A363" s="229">
        <v>43617</v>
      </c>
      <c r="B363" s="246" t="s">
        <v>866</v>
      </c>
      <c r="C363" s="99" t="s">
        <v>7</v>
      </c>
      <c r="D363" s="99"/>
      <c r="E363" s="99">
        <v>50</v>
      </c>
      <c r="F363" s="140">
        <v>19.899999999999999</v>
      </c>
      <c r="G363" s="140">
        <v>13.3</v>
      </c>
      <c r="H363" s="140">
        <v>6.5999999999999979</v>
      </c>
      <c r="I363" s="123">
        <v>11</v>
      </c>
      <c r="J363" s="123">
        <v>9</v>
      </c>
      <c r="K363" s="145">
        <v>1</v>
      </c>
      <c r="L363" s="140">
        <v>19.899999999999999</v>
      </c>
      <c r="M363" s="140">
        <v>13.3</v>
      </c>
      <c r="N363" s="99"/>
      <c r="O363" s="140">
        <v>6.5999999999999979</v>
      </c>
      <c r="P363" s="123">
        <v>11</v>
      </c>
      <c r="Q363" s="123">
        <v>9</v>
      </c>
      <c r="R363" s="233">
        <f>YEAR(Tableau4[[#This Row],[Date]])</f>
        <v>2019</v>
      </c>
    </row>
    <row r="364" spans="1:18">
      <c r="A364" s="229">
        <v>43617</v>
      </c>
      <c r="B364" s="246" t="s">
        <v>866</v>
      </c>
      <c r="C364" s="99" t="s">
        <v>7</v>
      </c>
      <c r="D364" s="99"/>
      <c r="E364" s="99" t="s">
        <v>52</v>
      </c>
      <c r="F364" s="140">
        <v>5.9</v>
      </c>
      <c r="G364" s="140">
        <v>2.99</v>
      </c>
      <c r="H364" s="140">
        <v>2.91</v>
      </c>
      <c r="I364" s="123">
        <v>1.5</v>
      </c>
      <c r="J364" s="123">
        <v>1</v>
      </c>
      <c r="K364" s="145">
        <v>1</v>
      </c>
      <c r="L364" s="140">
        <v>5.9</v>
      </c>
      <c r="M364" s="140">
        <v>2.99</v>
      </c>
      <c r="N364" s="99"/>
      <c r="O364" s="140">
        <v>2.91</v>
      </c>
      <c r="P364" s="123">
        <v>1.5</v>
      </c>
      <c r="Q364" s="123">
        <v>1</v>
      </c>
      <c r="R364" s="233">
        <f>YEAR(Tableau4[[#This Row],[Date]])</f>
        <v>2019</v>
      </c>
    </row>
    <row r="365" spans="1:18">
      <c r="A365" s="229">
        <v>43770</v>
      </c>
      <c r="B365" s="246" t="s">
        <v>866</v>
      </c>
      <c r="C365" s="99" t="s">
        <v>9</v>
      </c>
      <c r="D365" s="99"/>
      <c r="E365" s="99"/>
      <c r="F365" s="140">
        <v>21.9</v>
      </c>
      <c r="G365" s="140">
        <v>16.899999999999999</v>
      </c>
      <c r="H365" s="140">
        <v>5</v>
      </c>
      <c r="I365" s="123">
        <v>11.5</v>
      </c>
      <c r="J365" s="123">
        <v>12.27</v>
      </c>
      <c r="K365" s="145">
        <v>1</v>
      </c>
      <c r="L365" s="140">
        <v>21.9</v>
      </c>
      <c r="M365" s="140">
        <v>16.899999999999999</v>
      </c>
      <c r="N365" s="99"/>
      <c r="O365" s="140">
        <v>5</v>
      </c>
      <c r="P365" s="123">
        <v>12.5</v>
      </c>
      <c r="Q365" s="123">
        <v>12.27</v>
      </c>
      <c r="R365" s="233">
        <f>YEAR(Tableau4[[#This Row],[Date]])</f>
        <v>2019</v>
      </c>
    </row>
    <row r="366" spans="1:18">
      <c r="A366" s="229">
        <v>43800</v>
      </c>
      <c r="B366" s="246" t="s">
        <v>866</v>
      </c>
      <c r="C366" s="99" t="s">
        <v>9</v>
      </c>
      <c r="D366" s="99"/>
      <c r="E366" s="99"/>
      <c r="F366" s="140">
        <v>31.5</v>
      </c>
      <c r="G366" s="140">
        <v>23</v>
      </c>
      <c r="H366" s="140">
        <v>8.5</v>
      </c>
      <c r="I366" s="123">
        <v>20</v>
      </c>
      <c r="J366" s="123">
        <v>17.649999999999999</v>
      </c>
      <c r="K366" s="145">
        <v>1</v>
      </c>
      <c r="L366" s="140">
        <v>31.5</v>
      </c>
      <c r="M366" s="140">
        <v>23</v>
      </c>
      <c r="N366" s="99"/>
      <c r="O366" s="140">
        <v>8.5</v>
      </c>
      <c r="P366" s="123">
        <v>20</v>
      </c>
      <c r="Q366" s="123">
        <v>17.649999999999999</v>
      </c>
      <c r="R366" s="233">
        <f>YEAR(Tableau4[[#This Row],[Date]])</f>
        <v>2019</v>
      </c>
    </row>
    <row r="367" spans="1:18">
      <c r="A367" s="229">
        <v>43800</v>
      </c>
      <c r="B367" s="246" t="s">
        <v>866</v>
      </c>
      <c r="C367" s="99" t="s">
        <v>7</v>
      </c>
      <c r="D367" s="99"/>
      <c r="E367" s="99">
        <v>50</v>
      </c>
      <c r="F367" s="140">
        <v>19.899999999999999</v>
      </c>
      <c r="G367" s="140">
        <v>13.3</v>
      </c>
      <c r="H367" s="140">
        <v>6.5999999999999979</v>
      </c>
      <c r="I367" s="123">
        <v>11</v>
      </c>
      <c r="J367" s="123">
        <v>9</v>
      </c>
      <c r="K367" s="145">
        <v>1</v>
      </c>
      <c r="L367" s="140">
        <v>19.899999999999999</v>
      </c>
      <c r="M367" s="140">
        <v>13.3</v>
      </c>
      <c r="N367" s="99"/>
      <c r="O367" s="140">
        <v>6.5999999999999979</v>
      </c>
      <c r="P367" s="123">
        <v>11</v>
      </c>
      <c r="Q367" s="123">
        <v>9</v>
      </c>
      <c r="R367" s="233">
        <f>YEAR(Tableau4[[#This Row],[Date]])</f>
        <v>2019</v>
      </c>
    </row>
    <row r="368" spans="1:18">
      <c r="A368" s="229">
        <v>43800</v>
      </c>
      <c r="B368" s="243" t="s">
        <v>866</v>
      </c>
      <c r="C368" s="99" t="s">
        <v>7</v>
      </c>
      <c r="D368" s="99"/>
      <c r="E368" s="99" t="s">
        <v>53</v>
      </c>
      <c r="F368" s="140">
        <v>5</v>
      </c>
      <c r="G368" s="140">
        <v>2.9</v>
      </c>
      <c r="H368" s="140">
        <v>2.1</v>
      </c>
      <c r="I368" s="123">
        <v>1.5</v>
      </c>
      <c r="J368" s="123">
        <v>1</v>
      </c>
      <c r="K368" s="145">
        <v>1</v>
      </c>
      <c r="L368" s="140">
        <v>5</v>
      </c>
      <c r="M368" s="140">
        <v>2.9</v>
      </c>
      <c r="N368" s="99"/>
      <c r="O368" s="140">
        <v>2.1</v>
      </c>
      <c r="P368" s="123">
        <v>1.5</v>
      </c>
      <c r="Q368" s="123">
        <v>1</v>
      </c>
      <c r="R368" s="233">
        <f>YEAR(Tableau4[[#This Row],[Date]])</f>
        <v>2019</v>
      </c>
    </row>
    <row r="369" spans="1:18">
      <c r="A369" s="229">
        <v>43800</v>
      </c>
      <c r="B369" s="243" t="s">
        <v>866</v>
      </c>
      <c r="C369" s="99" t="s">
        <v>7</v>
      </c>
      <c r="D369" s="99"/>
      <c r="E369" s="99" t="s">
        <v>53</v>
      </c>
      <c r="F369" s="140">
        <v>5</v>
      </c>
      <c r="G369" s="140">
        <v>2.9</v>
      </c>
      <c r="H369" s="140">
        <v>2.1</v>
      </c>
      <c r="I369" s="123">
        <v>1.5</v>
      </c>
      <c r="J369" s="123">
        <v>1</v>
      </c>
      <c r="K369" s="145">
        <v>1</v>
      </c>
      <c r="L369" s="140">
        <v>5</v>
      </c>
      <c r="M369" s="140">
        <v>2.9</v>
      </c>
      <c r="N369" s="99"/>
      <c r="O369" s="140">
        <v>2.1</v>
      </c>
      <c r="P369" s="123">
        <v>1.5</v>
      </c>
      <c r="Q369" s="123">
        <v>1</v>
      </c>
      <c r="R369" s="233">
        <f>YEAR(Tableau4[[#This Row],[Date]])</f>
        <v>2019</v>
      </c>
    </row>
    <row r="370" spans="1:18">
      <c r="A370" s="229">
        <v>43800</v>
      </c>
      <c r="B370" s="243" t="s">
        <v>866</v>
      </c>
      <c r="C370" s="99" t="s">
        <v>7</v>
      </c>
      <c r="D370" s="99"/>
      <c r="E370" s="99" t="s">
        <v>53</v>
      </c>
      <c r="F370" s="140">
        <v>5</v>
      </c>
      <c r="G370" s="140">
        <v>2.9</v>
      </c>
      <c r="H370" s="140">
        <v>2.1</v>
      </c>
      <c r="I370" s="123">
        <v>1.5</v>
      </c>
      <c r="J370" s="123">
        <v>1</v>
      </c>
      <c r="K370" s="145">
        <v>1</v>
      </c>
      <c r="L370" s="140">
        <v>5</v>
      </c>
      <c r="M370" s="140">
        <v>2.9</v>
      </c>
      <c r="N370" s="99"/>
      <c r="O370" s="140">
        <v>2.1</v>
      </c>
      <c r="P370" s="123">
        <v>1.5</v>
      </c>
      <c r="Q370" s="123">
        <v>1</v>
      </c>
      <c r="R370" s="233">
        <f>YEAR(Tableau4[[#This Row],[Date]])</f>
        <v>2019</v>
      </c>
    </row>
    <row r="371" spans="1:18">
      <c r="A371" s="229">
        <v>43800</v>
      </c>
      <c r="B371" s="243" t="s">
        <v>866</v>
      </c>
      <c r="C371" s="99" t="s">
        <v>7</v>
      </c>
      <c r="D371" s="99"/>
      <c r="E371" s="99" t="s">
        <v>53</v>
      </c>
      <c r="F371" s="140">
        <v>5</v>
      </c>
      <c r="G371" s="140">
        <v>2.9</v>
      </c>
      <c r="H371" s="140">
        <v>2.1</v>
      </c>
      <c r="I371" s="123">
        <v>1.5</v>
      </c>
      <c r="J371" s="123">
        <v>1</v>
      </c>
      <c r="K371" s="145">
        <v>1</v>
      </c>
      <c r="L371" s="140">
        <v>0</v>
      </c>
      <c r="M371" s="140">
        <v>2.9</v>
      </c>
      <c r="N371" s="99">
        <v>5</v>
      </c>
      <c r="O371" s="140">
        <v>-2.9</v>
      </c>
      <c r="P371" s="123">
        <v>1.5</v>
      </c>
      <c r="Q371" s="123">
        <v>1</v>
      </c>
      <c r="R371" s="233">
        <f>YEAR(Tableau4[[#This Row],[Date]])</f>
        <v>2019</v>
      </c>
    </row>
    <row r="372" spans="1:18">
      <c r="A372" s="247">
        <v>43983</v>
      </c>
      <c r="B372" s="256" t="s">
        <v>866</v>
      </c>
      <c r="C372" s="99" t="s">
        <v>7</v>
      </c>
      <c r="D372" s="99"/>
      <c r="E372" s="99" t="s">
        <v>76</v>
      </c>
      <c r="F372" s="140">
        <v>32.9</v>
      </c>
      <c r="G372" s="140">
        <v>21.9</v>
      </c>
      <c r="H372" s="140">
        <v>11</v>
      </c>
      <c r="I372" s="123">
        <v>18</v>
      </c>
      <c r="J372" s="123">
        <v>16.55</v>
      </c>
      <c r="K372" s="145">
        <v>1</v>
      </c>
      <c r="L372" s="140">
        <v>32.9</v>
      </c>
      <c r="M372" s="140">
        <v>21.9</v>
      </c>
      <c r="N372" s="99"/>
      <c r="O372" s="140">
        <v>11</v>
      </c>
      <c r="P372" s="123">
        <v>18</v>
      </c>
      <c r="Q372" s="123">
        <v>16.55</v>
      </c>
      <c r="R372" s="233">
        <f>YEAR(Tableau4[[#This Row],[Date]])</f>
        <v>2020</v>
      </c>
    </row>
    <row r="373" spans="1:18">
      <c r="A373" s="247">
        <v>43862</v>
      </c>
      <c r="B373" s="244" t="s">
        <v>867</v>
      </c>
      <c r="C373" s="99" t="s">
        <v>9</v>
      </c>
      <c r="D373" s="99"/>
      <c r="E373" s="99"/>
      <c r="F373" s="140">
        <v>19.5</v>
      </c>
      <c r="G373" s="140">
        <v>10.65</v>
      </c>
      <c r="H373" s="140">
        <v>8.85</v>
      </c>
      <c r="I373" s="123">
        <v>8.5</v>
      </c>
      <c r="J373" s="123">
        <v>8.9499999999999993</v>
      </c>
      <c r="K373" s="145">
        <v>1</v>
      </c>
      <c r="L373" s="140">
        <v>19.5</v>
      </c>
      <c r="M373" s="140">
        <v>10.65</v>
      </c>
      <c r="N373" s="99"/>
      <c r="O373" s="140">
        <v>8.85</v>
      </c>
      <c r="P373" s="123">
        <v>8.5</v>
      </c>
      <c r="Q373" s="123">
        <v>8.9499999999999993</v>
      </c>
      <c r="R373" s="233">
        <f>YEAR(Tableau4[[#This Row],[Date]])</f>
        <v>2020</v>
      </c>
    </row>
    <row r="374" spans="1:18">
      <c r="A374" s="247">
        <v>43862</v>
      </c>
      <c r="B374" s="244" t="s">
        <v>867</v>
      </c>
      <c r="C374" s="99" t="s">
        <v>7</v>
      </c>
      <c r="D374" s="99"/>
      <c r="E374" s="99" t="s">
        <v>76</v>
      </c>
      <c r="F374" s="140">
        <v>32.9</v>
      </c>
      <c r="G374" s="140">
        <v>21.9</v>
      </c>
      <c r="H374" s="140">
        <v>11</v>
      </c>
      <c r="I374" s="123">
        <v>18</v>
      </c>
      <c r="J374" s="123">
        <v>16.55</v>
      </c>
      <c r="K374" s="145">
        <v>1</v>
      </c>
      <c r="L374" s="140">
        <v>32.9</v>
      </c>
      <c r="M374" s="140">
        <v>21.9</v>
      </c>
      <c r="N374" s="99"/>
      <c r="O374" s="140">
        <v>11</v>
      </c>
      <c r="P374" s="123">
        <v>18</v>
      </c>
      <c r="Q374" s="123">
        <v>16.55</v>
      </c>
      <c r="R374" s="233">
        <f>YEAR(Tableau4[[#This Row],[Date]])</f>
        <v>2020</v>
      </c>
    </row>
    <row r="375" spans="1:18">
      <c r="A375" s="229">
        <v>43739</v>
      </c>
      <c r="B375" s="246" t="s">
        <v>868</v>
      </c>
      <c r="C375" s="99" t="s">
        <v>7</v>
      </c>
      <c r="D375" s="99"/>
      <c r="E375" s="99" t="s">
        <v>53</v>
      </c>
      <c r="F375" s="140">
        <v>5</v>
      </c>
      <c r="G375" s="140">
        <v>2.9</v>
      </c>
      <c r="H375" s="140">
        <v>2.1</v>
      </c>
      <c r="I375" s="123">
        <v>1.5</v>
      </c>
      <c r="J375" s="123">
        <v>1</v>
      </c>
      <c r="K375" s="145">
        <v>1</v>
      </c>
      <c r="L375" s="140">
        <v>5</v>
      </c>
      <c r="M375" s="140">
        <v>2.9</v>
      </c>
      <c r="N375" s="99"/>
      <c r="O375" s="140">
        <v>2.1</v>
      </c>
      <c r="P375" s="123">
        <v>1.5</v>
      </c>
      <c r="Q375" s="123">
        <v>1</v>
      </c>
      <c r="R375" s="233">
        <f>YEAR(Tableau4[[#This Row],[Date]])</f>
        <v>2019</v>
      </c>
    </row>
    <row r="376" spans="1:18">
      <c r="A376" s="247">
        <v>43983</v>
      </c>
      <c r="B376" s="244" t="s">
        <v>868</v>
      </c>
      <c r="C376" s="99" t="s">
        <v>9</v>
      </c>
      <c r="D376" s="99"/>
      <c r="E376" s="99"/>
      <c r="F376" s="140">
        <v>49.9</v>
      </c>
      <c r="G376" s="140">
        <v>39.9</v>
      </c>
      <c r="H376" s="140">
        <v>10</v>
      </c>
      <c r="I376" s="123">
        <v>40</v>
      </c>
      <c r="J376" s="123">
        <v>29</v>
      </c>
      <c r="K376" s="145">
        <v>1</v>
      </c>
      <c r="L376" s="140">
        <v>43.1</v>
      </c>
      <c r="M376" s="140">
        <v>39.9</v>
      </c>
      <c r="N376" s="99">
        <v>6.8</v>
      </c>
      <c r="O376" s="140">
        <v>3.2000000000000028</v>
      </c>
      <c r="P376" s="123">
        <v>40</v>
      </c>
      <c r="Q376" s="123">
        <v>29</v>
      </c>
      <c r="R376" s="233">
        <f>YEAR(Tableau4[[#This Row],[Date]])</f>
        <v>2020</v>
      </c>
    </row>
    <row r="377" spans="1:18">
      <c r="A377" s="247">
        <v>43983</v>
      </c>
      <c r="B377" s="244" t="s">
        <v>868</v>
      </c>
      <c r="C377" s="99" t="s">
        <v>9</v>
      </c>
      <c r="D377" s="99"/>
      <c r="E377" s="99"/>
      <c r="F377" s="140">
        <v>16.899999999999999</v>
      </c>
      <c r="G377" s="140">
        <v>12.7</v>
      </c>
      <c r="H377" s="140">
        <v>4.1999999999999993</v>
      </c>
      <c r="I377" s="123">
        <v>9</v>
      </c>
      <c r="J377" s="123">
        <v>5.5</v>
      </c>
      <c r="K377" s="145">
        <v>1</v>
      </c>
      <c r="L377" s="140">
        <v>16.899999999999999</v>
      </c>
      <c r="M377" s="140">
        <v>12.7</v>
      </c>
      <c r="N377" s="99"/>
      <c r="O377" s="140">
        <v>4.1999999999999993</v>
      </c>
      <c r="P377" s="123">
        <v>10</v>
      </c>
      <c r="Q377" s="123">
        <v>5.5</v>
      </c>
      <c r="R377" s="233">
        <f>YEAR(Tableau4[[#This Row],[Date]])</f>
        <v>2020</v>
      </c>
    </row>
    <row r="378" spans="1:18">
      <c r="A378" s="247">
        <v>44013</v>
      </c>
      <c r="B378" s="244" t="s">
        <v>868</v>
      </c>
      <c r="C378" s="99" t="s">
        <v>9</v>
      </c>
      <c r="D378" s="99"/>
      <c r="E378" s="99"/>
      <c r="F378" s="140">
        <v>8.9</v>
      </c>
      <c r="G378" s="140">
        <v>6.35</v>
      </c>
      <c r="H378" s="140">
        <v>2.5500000000000007</v>
      </c>
      <c r="I378" s="123">
        <v>5</v>
      </c>
      <c r="J378" s="123">
        <v>2.67</v>
      </c>
      <c r="K378" s="145">
        <v>1</v>
      </c>
      <c r="L378" s="140">
        <v>8.9</v>
      </c>
      <c r="M378" s="140">
        <v>6.35</v>
      </c>
      <c r="N378" s="99"/>
      <c r="O378" s="140">
        <v>2.5500000000000007</v>
      </c>
      <c r="P378" s="123">
        <v>5</v>
      </c>
      <c r="Q378" s="123">
        <v>2.67</v>
      </c>
      <c r="R378" s="233">
        <f>YEAR(Tableau4[[#This Row],[Date]])</f>
        <v>2020</v>
      </c>
    </row>
    <row r="379" spans="1:18">
      <c r="A379" s="247">
        <v>44013</v>
      </c>
      <c r="B379" s="244" t="s">
        <v>868</v>
      </c>
      <c r="C379" s="99" t="s">
        <v>51</v>
      </c>
      <c r="D379" s="99"/>
      <c r="E379" s="99"/>
      <c r="F379" s="140">
        <v>40</v>
      </c>
      <c r="G379" s="140">
        <v>19.899999999999999</v>
      </c>
      <c r="H379" s="140">
        <v>20.100000000000001</v>
      </c>
      <c r="I379" s="123">
        <v>20</v>
      </c>
      <c r="J379" s="123">
        <v>8</v>
      </c>
      <c r="K379" s="145">
        <v>1</v>
      </c>
      <c r="L379" s="140">
        <v>40</v>
      </c>
      <c r="M379" s="140">
        <v>19.899999999999999</v>
      </c>
      <c r="N379" s="99"/>
      <c r="O379" s="140">
        <v>20.100000000000001</v>
      </c>
      <c r="P379" s="123">
        <v>20</v>
      </c>
      <c r="Q379" s="123">
        <v>8</v>
      </c>
      <c r="R379" s="233">
        <f>YEAR(Tableau4[[#This Row],[Date]])</f>
        <v>2020</v>
      </c>
    </row>
    <row r="380" spans="1:18">
      <c r="A380" s="229">
        <v>43556</v>
      </c>
      <c r="B380" s="244" t="s">
        <v>869</v>
      </c>
      <c r="C380" s="99" t="s">
        <v>7</v>
      </c>
      <c r="D380" s="99"/>
      <c r="E380" s="99">
        <v>100</v>
      </c>
      <c r="F380" s="140">
        <v>29.9</v>
      </c>
      <c r="G380" s="140">
        <v>19.899999999999999</v>
      </c>
      <c r="H380" s="140">
        <v>10</v>
      </c>
      <c r="I380" s="123">
        <v>16</v>
      </c>
      <c r="J380" s="123">
        <v>16.55</v>
      </c>
      <c r="K380" s="145">
        <v>1</v>
      </c>
      <c r="L380" s="140">
        <v>29.9</v>
      </c>
      <c r="M380" s="140">
        <v>19.899999999999999</v>
      </c>
      <c r="N380" s="99"/>
      <c r="O380" s="140">
        <v>10</v>
      </c>
      <c r="P380" s="123">
        <v>16</v>
      </c>
      <c r="Q380" s="123">
        <v>16.55</v>
      </c>
      <c r="R380" s="233">
        <f>YEAR(Tableau4[[#This Row],[Date]])</f>
        <v>2019</v>
      </c>
    </row>
    <row r="381" spans="1:18">
      <c r="A381" s="229">
        <v>43617</v>
      </c>
      <c r="B381" s="244" t="s">
        <v>869</v>
      </c>
      <c r="C381" s="99" t="s">
        <v>51</v>
      </c>
      <c r="D381" s="99"/>
      <c r="E381" s="99"/>
      <c r="F381" s="140">
        <v>24.9</v>
      </c>
      <c r="G381" s="140">
        <v>14.9</v>
      </c>
      <c r="H381" s="140">
        <v>9.9999999999999982</v>
      </c>
      <c r="I381" s="123">
        <v>6</v>
      </c>
      <c r="J381" s="123">
        <v>3</v>
      </c>
      <c r="K381" s="145">
        <v>1</v>
      </c>
      <c r="L381" s="140">
        <v>24.9</v>
      </c>
      <c r="M381" s="140">
        <v>14.9</v>
      </c>
      <c r="N381" s="99"/>
      <c r="O381" s="140">
        <v>9.9999999999999982</v>
      </c>
      <c r="P381" s="123">
        <v>6</v>
      </c>
      <c r="Q381" s="123">
        <v>3</v>
      </c>
      <c r="R381" s="233">
        <f>YEAR(Tableau4[[#This Row],[Date]])</f>
        <v>2019</v>
      </c>
    </row>
    <row r="382" spans="1:18">
      <c r="A382" s="229">
        <v>43678</v>
      </c>
      <c r="B382" s="244" t="s">
        <v>869</v>
      </c>
      <c r="C382" s="99" t="s">
        <v>7</v>
      </c>
      <c r="D382" s="99"/>
      <c r="E382" s="99">
        <v>50</v>
      </c>
      <c r="F382" s="140">
        <v>19.899999999999999</v>
      </c>
      <c r="G382" s="140">
        <v>13.3</v>
      </c>
      <c r="H382" s="140">
        <v>6.5999999999999979</v>
      </c>
      <c r="I382" s="123">
        <v>11</v>
      </c>
      <c r="J382" s="123">
        <v>9</v>
      </c>
      <c r="K382" s="145">
        <v>1</v>
      </c>
      <c r="L382" s="140">
        <v>19.899999999999999</v>
      </c>
      <c r="M382" s="140">
        <v>13.3</v>
      </c>
      <c r="N382" s="99"/>
      <c r="O382" s="140">
        <v>6.5999999999999979</v>
      </c>
      <c r="P382" s="123">
        <v>11</v>
      </c>
      <c r="Q382" s="123">
        <v>9</v>
      </c>
      <c r="R382" s="233">
        <f>YEAR(Tableau4[[#This Row],[Date]])</f>
        <v>2019</v>
      </c>
    </row>
    <row r="383" spans="1:18">
      <c r="A383" s="247">
        <v>43862</v>
      </c>
      <c r="B383" s="244" t="s">
        <v>869</v>
      </c>
      <c r="C383" s="99" t="s">
        <v>9</v>
      </c>
      <c r="D383" s="99"/>
      <c r="E383" s="99"/>
      <c r="F383" s="140">
        <v>9.9</v>
      </c>
      <c r="G383" s="140">
        <v>7.05</v>
      </c>
      <c r="H383" s="140">
        <v>2.8500000000000005</v>
      </c>
      <c r="I383" s="123">
        <v>5</v>
      </c>
      <c r="J383" s="123">
        <v>3</v>
      </c>
      <c r="K383" s="145">
        <v>1</v>
      </c>
      <c r="L383" s="140">
        <v>9.9</v>
      </c>
      <c r="M383" s="140">
        <v>7.05</v>
      </c>
      <c r="N383" s="99"/>
      <c r="O383" s="140">
        <v>2.8500000000000005</v>
      </c>
      <c r="P383" s="123">
        <v>5</v>
      </c>
      <c r="Q383" s="123">
        <v>3</v>
      </c>
      <c r="R383" s="233">
        <f>YEAR(Tableau4[[#This Row],[Date]])</f>
        <v>2020</v>
      </c>
    </row>
    <row r="384" spans="1:18">
      <c r="A384" s="247">
        <v>43983</v>
      </c>
      <c r="B384" s="244" t="s">
        <v>869</v>
      </c>
      <c r="C384" s="99" t="s">
        <v>9</v>
      </c>
      <c r="D384" s="99"/>
      <c r="E384" s="99"/>
      <c r="F384" s="140">
        <v>9.9</v>
      </c>
      <c r="G384" s="140">
        <v>7.05</v>
      </c>
      <c r="H384" s="140">
        <v>2.8500000000000005</v>
      </c>
      <c r="I384" s="123">
        <v>5</v>
      </c>
      <c r="J384" s="123">
        <v>3</v>
      </c>
      <c r="K384" s="145">
        <v>1</v>
      </c>
      <c r="L384" s="140">
        <v>9.9</v>
      </c>
      <c r="M384" s="140">
        <v>7.05</v>
      </c>
      <c r="N384" s="99"/>
      <c r="O384" s="140">
        <v>2.8500000000000005</v>
      </c>
      <c r="P384" s="123">
        <v>5</v>
      </c>
      <c r="Q384" s="123">
        <v>3</v>
      </c>
      <c r="R384" s="233">
        <f>YEAR(Tableau4[[#This Row],[Date]])</f>
        <v>2020</v>
      </c>
    </row>
    <row r="385" spans="1:18">
      <c r="A385" s="247">
        <v>43983</v>
      </c>
      <c r="B385" s="244" t="s">
        <v>869</v>
      </c>
      <c r="C385" s="99" t="s">
        <v>7</v>
      </c>
      <c r="D385" s="99"/>
      <c r="E385" s="99" t="s">
        <v>76</v>
      </c>
      <c r="F385" s="140">
        <v>32.9</v>
      </c>
      <c r="G385" s="140">
        <v>21.9</v>
      </c>
      <c r="H385" s="140">
        <v>11</v>
      </c>
      <c r="I385" s="123">
        <v>18</v>
      </c>
      <c r="J385" s="123">
        <v>16.55</v>
      </c>
      <c r="K385" s="145">
        <v>1</v>
      </c>
      <c r="L385" s="140">
        <v>32.9</v>
      </c>
      <c r="M385" s="140">
        <v>21.9</v>
      </c>
      <c r="N385" s="99">
        <v>2.9</v>
      </c>
      <c r="O385" s="140">
        <v>11</v>
      </c>
      <c r="P385" s="123">
        <v>18</v>
      </c>
      <c r="Q385" s="123">
        <v>16.55</v>
      </c>
      <c r="R385" s="233">
        <f>YEAR(Tableau4[[#This Row],[Date]])</f>
        <v>2020</v>
      </c>
    </row>
    <row r="386" spans="1:18">
      <c r="A386" s="229">
        <v>43739</v>
      </c>
      <c r="B386" s="244" t="s">
        <v>870</v>
      </c>
      <c r="C386" s="99" t="s">
        <v>7</v>
      </c>
      <c r="D386" s="99"/>
      <c r="E386" s="99">
        <v>50</v>
      </c>
      <c r="F386" s="140">
        <v>19.899999999999999</v>
      </c>
      <c r="G386" s="140">
        <v>13.3</v>
      </c>
      <c r="H386" s="140">
        <v>6.5999999999999979</v>
      </c>
      <c r="I386" s="123">
        <v>11</v>
      </c>
      <c r="J386" s="123">
        <v>9</v>
      </c>
      <c r="K386" s="145">
        <v>1</v>
      </c>
      <c r="L386" s="140">
        <v>19.899999999999999</v>
      </c>
      <c r="M386" s="140">
        <v>13.3</v>
      </c>
      <c r="N386" s="99"/>
      <c r="O386" s="140">
        <v>6.5999999999999979</v>
      </c>
      <c r="P386" s="123">
        <v>11</v>
      </c>
      <c r="Q386" s="123">
        <v>9</v>
      </c>
      <c r="R386" s="233">
        <f>YEAR(Tableau4[[#This Row],[Date]])</f>
        <v>2019</v>
      </c>
    </row>
    <row r="387" spans="1:18">
      <c r="A387" s="229">
        <v>43647</v>
      </c>
      <c r="B387" s="244" t="s">
        <v>871</v>
      </c>
      <c r="C387" s="99" t="s">
        <v>9</v>
      </c>
      <c r="D387" s="99"/>
      <c r="E387" s="99"/>
      <c r="F387" s="140">
        <v>10.9</v>
      </c>
      <c r="G387" s="140">
        <v>7.8</v>
      </c>
      <c r="H387" s="140">
        <v>3.1000000000000005</v>
      </c>
      <c r="I387" s="123">
        <v>6</v>
      </c>
      <c r="J387" s="123">
        <v>3.28</v>
      </c>
      <c r="K387" s="145">
        <v>1</v>
      </c>
      <c r="L387" s="140">
        <v>10.9</v>
      </c>
      <c r="M387" s="140">
        <v>7.8</v>
      </c>
      <c r="N387" s="99"/>
      <c r="O387" s="140">
        <v>3.1000000000000005</v>
      </c>
      <c r="P387" s="123">
        <v>8</v>
      </c>
      <c r="Q387" s="123">
        <v>3.28</v>
      </c>
      <c r="R387" s="233">
        <f>YEAR(Tableau4[[#This Row],[Date]])</f>
        <v>2019</v>
      </c>
    </row>
    <row r="388" spans="1:18">
      <c r="A388" s="247">
        <v>43983</v>
      </c>
      <c r="B388" s="244" t="s">
        <v>872</v>
      </c>
      <c r="C388" s="99" t="s">
        <v>12</v>
      </c>
      <c r="D388" s="99"/>
      <c r="E388" s="99"/>
      <c r="F388" s="140">
        <v>37.799999999999997</v>
      </c>
      <c r="G388" s="140">
        <v>27</v>
      </c>
      <c r="H388" s="140">
        <v>10.799999999999997</v>
      </c>
      <c r="I388" s="123">
        <v>13.5</v>
      </c>
      <c r="J388" s="123">
        <v>18.510000000000002</v>
      </c>
      <c r="K388" s="145">
        <v>1</v>
      </c>
      <c r="L388" s="140">
        <v>37.799999999999997</v>
      </c>
      <c r="M388" s="140">
        <v>27</v>
      </c>
      <c r="N388" s="99"/>
      <c r="O388" s="140">
        <v>10.799999999999997</v>
      </c>
      <c r="P388" s="123">
        <v>13.5</v>
      </c>
      <c r="Q388" s="123">
        <v>18.510000000000002</v>
      </c>
      <c r="R388" s="233">
        <f>YEAR(Tableau4[[#This Row],[Date]])</f>
        <v>2020</v>
      </c>
    </row>
    <row r="389" spans="1:18">
      <c r="A389" s="229">
        <v>43617</v>
      </c>
      <c r="B389" s="244" t="s">
        <v>873</v>
      </c>
      <c r="C389" s="99" t="s">
        <v>9</v>
      </c>
      <c r="D389" s="99"/>
      <c r="E389" s="99"/>
      <c r="F389" s="140">
        <v>9.9</v>
      </c>
      <c r="G389" s="140">
        <v>7</v>
      </c>
      <c r="H389" s="140">
        <v>2.9000000000000004</v>
      </c>
      <c r="I389" s="123">
        <v>5</v>
      </c>
      <c r="J389" s="123">
        <v>2.94</v>
      </c>
      <c r="K389" s="145">
        <v>1</v>
      </c>
      <c r="L389" s="140">
        <v>9.9</v>
      </c>
      <c r="M389" s="140">
        <v>7</v>
      </c>
      <c r="N389" s="99"/>
      <c r="O389" s="140">
        <v>2.9000000000000004</v>
      </c>
      <c r="P389" s="123">
        <v>5</v>
      </c>
      <c r="Q389" s="123">
        <v>2.94</v>
      </c>
      <c r="R389" s="233">
        <f>YEAR(Tableau4[[#This Row],[Date]])</f>
        <v>2019</v>
      </c>
    </row>
    <row r="390" spans="1:18">
      <c r="A390" s="229">
        <v>43617</v>
      </c>
      <c r="B390" s="244" t="s">
        <v>873</v>
      </c>
      <c r="C390" s="99" t="s">
        <v>9</v>
      </c>
      <c r="D390" s="99"/>
      <c r="E390" s="99"/>
      <c r="F390" s="140">
        <v>14.9</v>
      </c>
      <c r="G390" s="140">
        <v>10.65</v>
      </c>
      <c r="H390" s="140">
        <v>4.25</v>
      </c>
      <c r="I390" s="123">
        <v>9</v>
      </c>
      <c r="J390" s="123">
        <v>5.5</v>
      </c>
      <c r="K390" s="145">
        <v>1</v>
      </c>
      <c r="L390" s="140">
        <v>14.9</v>
      </c>
      <c r="M390" s="140">
        <v>10.65</v>
      </c>
      <c r="N390" s="99"/>
      <c r="O390" s="140">
        <v>4.25</v>
      </c>
      <c r="P390" s="123">
        <v>10</v>
      </c>
      <c r="Q390" s="123">
        <v>5.5</v>
      </c>
      <c r="R390" s="233">
        <f>YEAR(Tableau4[[#This Row],[Date]])</f>
        <v>2019</v>
      </c>
    </row>
    <row r="391" spans="1:18">
      <c r="A391" s="229">
        <v>43556</v>
      </c>
      <c r="B391" s="244" t="s">
        <v>874</v>
      </c>
      <c r="C391" s="99" t="s">
        <v>7</v>
      </c>
      <c r="D391" s="99"/>
      <c r="E391" s="99">
        <v>50</v>
      </c>
      <c r="F391" s="140">
        <v>19.899999999999999</v>
      </c>
      <c r="G391" s="140">
        <v>13.3</v>
      </c>
      <c r="H391" s="140">
        <v>6.5999999999999979</v>
      </c>
      <c r="I391" s="123">
        <v>11</v>
      </c>
      <c r="J391" s="123">
        <v>9</v>
      </c>
      <c r="K391" s="145">
        <v>1</v>
      </c>
      <c r="L391" s="140">
        <v>19.899999999999999</v>
      </c>
      <c r="M391" s="140">
        <v>13.3</v>
      </c>
      <c r="N391" s="99"/>
      <c r="O391" s="140">
        <v>6.5999999999999979</v>
      </c>
      <c r="P391" s="123">
        <v>11</v>
      </c>
      <c r="Q391" s="123">
        <v>9</v>
      </c>
      <c r="R391" s="233">
        <f>YEAR(Tableau4[[#This Row],[Date]])</f>
        <v>2019</v>
      </c>
    </row>
    <row r="392" spans="1:18">
      <c r="A392" s="229">
        <v>43556</v>
      </c>
      <c r="B392" s="244" t="s">
        <v>874</v>
      </c>
      <c r="C392" s="99" t="s">
        <v>7</v>
      </c>
      <c r="D392" s="99"/>
      <c r="E392" s="99" t="s">
        <v>50</v>
      </c>
      <c r="F392" s="140">
        <v>9.9</v>
      </c>
      <c r="G392" s="140">
        <v>7.1</v>
      </c>
      <c r="H392" s="140">
        <v>2.8000000000000007</v>
      </c>
      <c r="I392" s="123">
        <v>6</v>
      </c>
      <c r="J392" s="123">
        <v>3</v>
      </c>
      <c r="K392" s="145">
        <v>1</v>
      </c>
      <c r="L392" s="140">
        <v>9.9</v>
      </c>
      <c r="M392" s="140">
        <v>7.1</v>
      </c>
      <c r="N392" s="99"/>
      <c r="O392" s="140">
        <v>2.8000000000000007</v>
      </c>
      <c r="P392" s="123">
        <v>6</v>
      </c>
      <c r="Q392" s="123">
        <v>3</v>
      </c>
      <c r="R392" s="233">
        <f>YEAR(Tableau4[[#This Row],[Date]])</f>
        <v>2019</v>
      </c>
    </row>
    <row r="393" spans="1:18">
      <c r="A393" s="229">
        <v>43709</v>
      </c>
      <c r="B393" s="244" t="s">
        <v>874</v>
      </c>
      <c r="C393" s="99" t="s">
        <v>7</v>
      </c>
      <c r="D393" s="99"/>
      <c r="E393" s="99" t="s">
        <v>53</v>
      </c>
      <c r="F393" s="140">
        <v>5</v>
      </c>
      <c r="G393" s="140">
        <v>2.9</v>
      </c>
      <c r="H393" s="140">
        <v>2.1</v>
      </c>
      <c r="I393" s="123">
        <v>1.5</v>
      </c>
      <c r="J393" s="123">
        <v>1</v>
      </c>
      <c r="K393" s="145">
        <v>1</v>
      </c>
      <c r="L393" s="140">
        <v>5</v>
      </c>
      <c r="M393" s="140">
        <v>2.9</v>
      </c>
      <c r="N393" s="99"/>
      <c r="O393" s="140">
        <v>2.1</v>
      </c>
      <c r="P393" s="123">
        <v>1.5</v>
      </c>
      <c r="Q393" s="123">
        <v>1</v>
      </c>
      <c r="R393" s="233">
        <f>YEAR(Tableau4[[#This Row],[Date]])</f>
        <v>2019</v>
      </c>
    </row>
    <row r="394" spans="1:18">
      <c r="A394" s="247">
        <v>43862</v>
      </c>
      <c r="B394" s="244" t="s">
        <v>874</v>
      </c>
      <c r="C394" s="99" t="s">
        <v>9</v>
      </c>
      <c r="D394" s="99"/>
      <c r="E394" s="99"/>
      <c r="F394" s="140">
        <v>9.9</v>
      </c>
      <c r="G394" s="140">
        <v>7.05</v>
      </c>
      <c r="H394" s="140">
        <v>2.8500000000000005</v>
      </c>
      <c r="I394" s="123">
        <v>5</v>
      </c>
      <c r="J394" s="123">
        <v>3</v>
      </c>
      <c r="K394" s="145">
        <v>1</v>
      </c>
      <c r="L394" s="140">
        <v>9.9</v>
      </c>
      <c r="M394" s="140">
        <v>7.05</v>
      </c>
      <c r="N394" s="99"/>
      <c r="O394" s="140">
        <v>2.8500000000000005</v>
      </c>
      <c r="P394" s="123">
        <v>5</v>
      </c>
      <c r="Q394" s="123">
        <v>3</v>
      </c>
      <c r="R394" s="233">
        <f>YEAR(Tableau4[[#This Row],[Date]])</f>
        <v>2020</v>
      </c>
    </row>
    <row r="395" spans="1:18">
      <c r="A395" s="247">
        <v>43862</v>
      </c>
      <c r="B395" s="244" t="s">
        <v>874</v>
      </c>
      <c r="C395" s="99" t="s">
        <v>12</v>
      </c>
      <c r="D395" s="99"/>
      <c r="E395" s="99"/>
      <c r="F395" s="140">
        <v>3.9</v>
      </c>
      <c r="G395" s="140">
        <v>2.7</v>
      </c>
      <c r="H395" s="140">
        <v>1.1999999999999997</v>
      </c>
      <c r="I395" s="123">
        <v>2.5</v>
      </c>
      <c r="J395" s="123">
        <v>0.56999999999999995</v>
      </c>
      <c r="K395" s="145">
        <v>1</v>
      </c>
      <c r="L395" s="140">
        <v>3.9</v>
      </c>
      <c r="M395" s="140">
        <v>2.7</v>
      </c>
      <c r="N395" s="99"/>
      <c r="O395" s="140">
        <v>1.1999999999999997</v>
      </c>
      <c r="P395" s="123">
        <v>2.5</v>
      </c>
      <c r="Q395" s="123">
        <v>0.56999999999999995</v>
      </c>
      <c r="R395" s="233">
        <f>YEAR(Tableau4[[#This Row],[Date]])</f>
        <v>2020</v>
      </c>
    </row>
    <row r="396" spans="1:18">
      <c r="A396" s="247">
        <v>43862</v>
      </c>
      <c r="B396" s="244" t="s">
        <v>874</v>
      </c>
      <c r="C396" s="99" t="s">
        <v>7</v>
      </c>
      <c r="D396" s="99"/>
      <c r="E396" s="99" t="s">
        <v>76</v>
      </c>
      <c r="F396" s="140">
        <v>32.9</v>
      </c>
      <c r="G396" s="140">
        <v>21.9</v>
      </c>
      <c r="H396" s="140">
        <v>11</v>
      </c>
      <c r="I396" s="123">
        <v>18</v>
      </c>
      <c r="J396" s="123">
        <v>16.55</v>
      </c>
      <c r="K396" s="145">
        <v>1</v>
      </c>
      <c r="L396" s="140">
        <v>32.9</v>
      </c>
      <c r="M396" s="140">
        <v>21.9</v>
      </c>
      <c r="N396" s="99"/>
      <c r="O396" s="140">
        <v>11</v>
      </c>
      <c r="P396" s="123">
        <v>18</v>
      </c>
      <c r="Q396" s="123">
        <v>16.55</v>
      </c>
      <c r="R396" s="233">
        <f>YEAR(Tableau4[[#This Row],[Date]])</f>
        <v>2020</v>
      </c>
    </row>
    <row r="397" spans="1:18">
      <c r="A397" s="247">
        <v>43952</v>
      </c>
      <c r="B397" s="244" t="s">
        <v>874</v>
      </c>
      <c r="C397" s="99" t="s">
        <v>7</v>
      </c>
      <c r="D397" s="99"/>
      <c r="E397" s="99" t="s">
        <v>76</v>
      </c>
      <c r="F397" s="140">
        <v>32.9</v>
      </c>
      <c r="G397" s="140">
        <v>21.9</v>
      </c>
      <c r="H397" s="140">
        <v>11</v>
      </c>
      <c r="I397" s="123">
        <v>18</v>
      </c>
      <c r="J397" s="123">
        <v>16.55</v>
      </c>
      <c r="K397" s="145">
        <v>1</v>
      </c>
      <c r="L397" s="140">
        <v>27.9</v>
      </c>
      <c r="M397" s="140">
        <v>21.9</v>
      </c>
      <c r="N397" s="99">
        <v>5</v>
      </c>
      <c r="O397" s="140">
        <v>6</v>
      </c>
      <c r="P397" s="123">
        <v>18</v>
      </c>
      <c r="Q397" s="123">
        <v>16.55</v>
      </c>
      <c r="R397" s="233">
        <f>YEAR(Tableau4[[#This Row],[Date]])</f>
        <v>2020</v>
      </c>
    </row>
    <row r="398" spans="1:18">
      <c r="A398" s="247">
        <v>43952</v>
      </c>
      <c r="B398" s="244" t="s">
        <v>874</v>
      </c>
      <c r="C398" s="99" t="s">
        <v>7</v>
      </c>
      <c r="D398" s="99"/>
      <c r="E398" s="99" t="s">
        <v>76</v>
      </c>
      <c r="F398" s="140">
        <v>32.9</v>
      </c>
      <c r="G398" s="140">
        <v>21.9</v>
      </c>
      <c r="H398" s="140">
        <v>11</v>
      </c>
      <c r="I398" s="123">
        <v>18</v>
      </c>
      <c r="J398" s="123">
        <v>16.55</v>
      </c>
      <c r="K398" s="145">
        <v>1</v>
      </c>
      <c r="L398" s="140">
        <v>27.9</v>
      </c>
      <c r="M398" s="140">
        <v>21.9</v>
      </c>
      <c r="N398" s="99">
        <v>5</v>
      </c>
      <c r="O398" s="140">
        <v>6</v>
      </c>
      <c r="P398" s="123">
        <v>18</v>
      </c>
      <c r="Q398" s="123">
        <v>16.55</v>
      </c>
      <c r="R398" s="233">
        <f>YEAR(Tableau4[[#This Row],[Date]])</f>
        <v>2020</v>
      </c>
    </row>
    <row r="399" spans="1:18">
      <c r="A399" s="229">
        <v>43800</v>
      </c>
      <c r="B399" s="244" t="s">
        <v>875</v>
      </c>
      <c r="C399" s="99" t="s">
        <v>7</v>
      </c>
      <c r="D399" s="99"/>
      <c r="E399" s="99">
        <v>100</v>
      </c>
      <c r="F399" s="140">
        <v>32.9</v>
      </c>
      <c r="G399" s="140">
        <v>21.9</v>
      </c>
      <c r="H399" s="140">
        <v>11</v>
      </c>
      <c r="I399" s="123">
        <v>18</v>
      </c>
      <c r="J399" s="123">
        <v>16.55</v>
      </c>
      <c r="K399" s="145">
        <v>1</v>
      </c>
      <c r="L399" s="140">
        <v>30</v>
      </c>
      <c r="M399" s="140">
        <v>21.9</v>
      </c>
      <c r="N399" s="99">
        <v>2.9</v>
      </c>
      <c r="O399" s="140">
        <v>8.1000000000000014</v>
      </c>
      <c r="P399" s="123">
        <v>18</v>
      </c>
      <c r="Q399" s="123">
        <v>16.55</v>
      </c>
      <c r="R399" s="233">
        <f>YEAR(Tableau4[[#This Row],[Date]])</f>
        <v>2019</v>
      </c>
    </row>
    <row r="400" spans="1:18">
      <c r="A400" s="229">
        <v>43739</v>
      </c>
      <c r="B400" s="246" t="s">
        <v>876</v>
      </c>
      <c r="C400" s="99" t="s">
        <v>9</v>
      </c>
      <c r="D400" s="99"/>
      <c r="E400" s="99"/>
      <c r="F400" s="140">
        <v>29.9</v>
      </c>
      <c r="G400" s="140">
        <v>21</v>
      </c>
      <c r="H400" s="140">
        <v>8.8999999999999986</v>
      </c>
      <c r="I400" s="123">
        <v>15</v>
      </c>
      <c r="J400" s="123">
        <v>11.96</v>
      </c>
      <c r="K400" s="145">
        <v>1</v>
      </c>
      <c r="L400" s="140">
        <v>29.9</v>
      </c>
      <c r="M400" s="140">
        <v>21</v>
      </c>
      <c r="N400" s="99"/>
      <c r="O400" s="140">
        <v>8.8999999999999986</v>
      </c>
      <c r="P400" s="123">
        <v>15</v>
      </c>
      <c r="Q400" s="123">
        <v>11.96</v>
      </c>
      <c r="R400" s="233">
        <f>YEAR(Tableau4[[#This Row],[Date]])</f>
        <v>2019</v>
      </c>
    </row>
    <row r="401" spans="1:18">
      <c r="A401" s="229">
        <v>43770</v>
      </c>
      <c r="B401" s="246" t="s">
        <v>876</v>
      </c>
      <c r="C401" s="99" t="s">
        <v>51</v>
      </c>
      <c r="D401" s="99"/>
      <c r="E401" s="99"/>
      <c r="F401" s="140">
        <v>25</v>
      </c>
      <c r="G401" s="140">
        <v>21</v>
      </c>
      <c r="H401" s="140">
        <v>4</v>
      </c>
      <c r="I401" s="123">
        <v>11.7</v>
      </c>
      <c r="J401" s="123">
        <v>8.82</v>
      </c>
      <c r="K401" s="145">
        <v>1</v>
      </c>
      <c r="L401" s="140">
        <v>25</v>
      </c>
      <c r="M401" s="140">
        <v>21</v>
      </c>
      <c r="N401" s="99"/>
      <c r="O401" s="140">
        <v>4</v>
      </c>
      <c r="P401" s="123">
        <v>11.7</v>
      </c>
      <c r="Q401" s="123">
        <v>8.82</v>
      </c>
      <c r="R401" s="233">
        <f>YEAR(Tableau4[[#This Row],[Date]])</f>
        <v>2019</v>
      </c>
    </row>
    <row r="402" spans="1:18">
      <c r="A402" s="229">
        <v>43647</v>
      </c>
      <c r="B402" s="244" t="s">
        <v>877</v>
      </c>
      <c r="C402" s="99" t="s">
        <v>9</v>
      </c>
      <c r="D402" s="99"/>
      <c r="E402" s="99"/>
      <c r="F402" s="140">
        <v>29.5</v>
      </c>
      <c r="G402" s="140">
        <v>21</v>
      </c>
      <c r="H402" s="140">
        <v>8.5</v>
      </c>
      <c r="I402" s="123">
        <v>19</v>
      </c>
      <c r="J402" s="123">
        <v>17.649999999999999</v>
      </c>
      <c r="K402" s="145">
        <v>1</v>
      </c>
      <c r="L402" s="140">
        <v>29.5</v>
      </c>
      <c r="M402" s="140">
        <v>21</v>
      </c>
      <c r="N402" s="99"/>
      <c r="O402" s="140">
        <v>8.5</v>
      </c>
      <c r="P402" s="123">
        <v>19</v>
      </c>
      <c r="Q402" s="123">
        <v>17.649999999999999</v>
      </c>
      <c r="R402" s="233">
        <f>YEAR(Tableau4[[#This Row],[Date]])</f>
        <v>2019</v>
      </c>
    </row>
    <row r="403" spans="1:18">
      <c r="A403" s="229">
        <v>43647</v>
      </c>
      <c r="B403" s="244" t="s">
        <v>877</v>
      </c>
      <c r="C403" s="99" t="s">
        <v>7</v>
      </c>
      <c r="D403" s="99"/>
      <c r="E403" s="99">
        <v>50</v>
      </c>
      <c r="F403" s="140">
        <v>19.899999999999999</v>
      </c>
      <c r="G403" s="140">
        <v>13.3</v>
      </c>
      <c r="H403" s="140">
        <v>6.5999999999999979</v>
      </c>
      <c r="I403" s="123">
        <v>11</v>
      </c>
      <c r="J403" s="123">
        <v>9</v>
      </c>
      <c r="K403" s="145">
        <v>1</v>
      </c>
      <c r="L403" s="140">
        <v>19.899999999999999</v>
      </c>
      <c r="M403" s="140">
        <v>13.3</v>
      </c>
      <c r="N403" s="99"/>
      <c r="O403" s="140">
        <v>6.5999999999999979</v>
      </c>
      <c r="P403" s="123">
        <v>11</v>
      </c>
      <c r="Q403" s="123">
        <v>9</v>
      </c>
      <c r="R403" s="233">
        <f>YEAR(Tableau4[[#This Row],[Date]])</f>
        <v>2019</v>
      </c>
    </row>
    <row r="404" spans="1:18">
      <c r="A404" s="229">
        <v>43556</v>
      </c>
      <c r="B404" s="244" t="s">
        <v>878</v>
      </c>
      <c r="C404" s="99" t="s">
        <v>7</v>
      </c>
      <c r="D404" s="99"/>
      <c r="E404" s="99">
        <v>50</v>
      </c>
      <c r="F404" s="140">
        <v>19.899999999999999</v>
      </c>
      <c r="G404" s="140">
        <v>13.3</v>
      </c>
      <c r="H404" s="140">
        <v>6.5999999999999979</v>
      </c>
      <c r="I404" s="123">
        <v>11</v>
      </c>
      <c r="J404" s="123">
        <v>9</v>
      </c>
      <c r="K404" s="145">
        <v>1</v>
      </c>
      <c r="L404" s="140">
        <v>19.899999999999999</v>
      </c>
      <c r="M404" s="140">
        <v>13.3</v>
      </c>
      <c r="N404" s="99"/>
      <c r="O404" s="140">
        <v>6.5999999999999979</v>
      </c>
      <c r="P404" s="123">
        <v>11</v>
      </c>
      <c r="Q404" s="123">
        <v>9</v>
      </c>
      <c r="R404" s="233">
        <f>YEAR(Tableau4[[#This Row],[Date]])</f>
        <v>2019</v>
      </c>
    </row>
    <row r="405" spans="1:18">
      <c r="A405" s="247">
        <v>43862</v>
      </c>
      <c r="B405" s="245" t="s">
        <v>878</v>
      </c>
      <c r="C405" s="99" t="s">
        <v>7</v>
      </c>
      <c r="D405" s="99"/>
      <c r="E405" s="99" t="s">
        <v>76</v>
      </c>
      <c r="F405" s="140">
        <v>32.9</v>
      </c>
      <c r="G405" s="140">
        <v>21.9</v>
      </c>
      <c r="H405" s="140">
        <v>11</v>
      </c>
      <c r="I405" s="123">
        <v>18</v>
      </c>
      <c r="J405" s="123">
        <v>16.55</v>
      </c>
      <c r="K405" s="145">
        <v>1</v>
      </c>
      <c r="L405" s="140">
        <v>32.9</v>
      </c>
      <c r="M405" s="140">
        <v>21.9</v>
      </c>
      <c r="N405" s="99"/>
      <c r="O405" s="140">
        <v>11</v>
      </c>
      <c r="P405" s="123">
        <v>18</v>
      </c>
      <c r="Q405" s="123">
        <v>16.55</v>
      </c>
      <c r="R405" s="233">
        <f>YEAR(Tableau4[[#This Row],[Date]])</f>
        <v>2020</v>
      </c>
    </row>
    <row r="406" spans="1:18">
      <c r="A406" s="229">
        <v>43770</v>
      </c>
      <c r="B406" s="245" t="s">
        <v>879</v>
      </c>
      <c r="C406" s="99" t="s">
        <v>7</v>
      </c>
      <c r="D406" s="99"/>
      <c r="E406" s="99" t="s">
        <v>53</v>
      </c>
      <c r="F406" s="140">
        <v>5</v>
      </c>
      <c r="G406" s="140">
        <v>2.9</v>
      </c>
      <c r="H406" s="140">
        <v>2.1</v>
      </c>
      <c r="I406" s="123">
        <v>1.5</v>
      </c>
      <c r="J406" s="123">
        <v>1</v>
      </c>
      <c r="K406" s="145">
        <v>2</v>
      </c>
      <c r="L406" s="140">
        <v>10</v>
      </c>
      <c r="M406" s="140">
        <v>5.8</v>
      </c>
      <c r="N406" s="99"/>
      <c r="O406" s="140">
        <v>4.2</v>
      </c>
      <c r="P406" s="123">
        <v>3</v>
      </c>
      <c r="Q406" s="123">
        <v>2</v>
      </c>
      <c r="R406" s="233">
        <f>YEAR(Tableau4[[#This Row],[Date]])</f>
        <v>2019</v>
      </c>
    </row>
    <row r="407" spans="1:18">
      <c r="A407" s="229">
        <v>43678</v>
      </c>
      <c r="B407" s="244" t="s">
        <v>880</v>
      </c>
      <c r="C407" s="99" t="s">
        <v>9</v>
      </c>
      <c r="D407" s="99"/>
      <c r="E407" s="99"/>
      <c r="F407" s="140">
        <v>9.9</v>
      </c>
      <c r="G407" s="140">
        <v>7.05</v>
      </c>
      <c r="H407" s="140">
        <v>2.8500000000000005</v>
      </c>
      <c r="I407" s="123">
        <v>5</v>
      </c>
      <c r="J407" s="123">
        <v>3</v>
      </c>
      <c r="K407" s="145">
        <v>1</v>
      </c>
      <c r="L407" s="140">
        <v>9.9</v>
      </c>
      <c r="M407" s="140">
        <v>7.05</v>
      </c>
      <c r="N407" s="99"/>
      <c r="O407" s="140">
        <v>2.8500000000000005</v>
      </c>
      <c r="P407" s="123">
        <v>5</v>
      </c>
      <c r="Q407" s="123">
        <v>3</v>
      </c>
      <c r="R407" s="233">
        <f>YEAR(Tableau4[[#This Row],[Date]])</f>
        <v>2019</v>
      </c>
    </row>
    <row r="408" spans="1:18">
      <c r="A408" s="229">
        <v>43678</v>
      </c>
      <c r="B408" s="244" t="s">
        <v>880</v>
      </c>
      <c r="C408" s="99" t="s">
        <v>7</v>
      </c>
      <c r="D408" s="99"/>
      <c r="E408" s="99">
        <v>50</v>
      </c>
      <c r="F408" s="140">
        <v>19.899999999999999</v>
      </c>
      <c r="G408" s="140">
        <v>13.3</v>
      </c>
      <c r="H408" s="140">
        <v>6.5999999999999979</v>
      </c>
      <c r="I408" s="123">
        <v>11</v>
      </c>
      <c r="J408" s="123">
        <v>9</v>
      </c>
      <c r="K408" s="145">
        <v>1</v>
      </c>
      <c r="L408" s="140">
        <v>19.899999999999999</v>
      </c>
      <c r="M408" s="140">
        <v>13.3</v>
      </c>
      <c r="N408" s="99"/>
      <c r="O408" s="140">
        <v>6.5999999999999979</v>
      </c>
      <c r="P408" s="123">
        <v>11</v>
      </c>
      <c r="Q408" s="123">
        <v>9</v>
      </c>
      <c r="R408" s="233">
        <f>YEAR(Tableau4[[#This Row],[Date]])</f>
        <v>2019</v>
      </c>
    </row>
    <row r="409" spans="1:18">
      <c r="A409" s="229">
        <v>43678</v>
      </c>
      <c r="B409" s="244" t="s">
        <v>880</v>
      </c>
      <c r="C409" s="99" t="s">
        <v>7</v>
      </c>
      <c r="D409" s="99"/>
      <c r="E409" s="99">
        <v>50</v>
      </c>
      <c r="F409" s="140">
        <v>19.899999999999999</v>
      </c>
      <c r="G409" s="140">
        <v>13.3</v>
      </c>
      <c r="H409" s="140">
        <v>6.5999999999999979</v>
      </c>
      <c r="I409" s="123">
        <v>11</v>
      </c>
      <c r="J409" s="123">
        <v>9</v>
      </c>
      <c r="K409" s="145">
        <v>1</v>
      </c>
      <c r="L409" s="140">
        <v>19.899999999999999</v>
      </c>
      <c r="M409" s="140">
        <v>13.3</v>
      </c>
      <c r="N409" s="99"/>
      <c r="O409" s="140">
        <v>6.5999999999999979</v>
      </c>
      <c r="P409" s="123">
        <v>11</v>
      </c>
      <c r="Q409" s="123">
        <v>9</v>
      </c>
      <c r="R409" s="233">
        <f>YEAR(Tableau4[[#This Row],[Date]])</f>
        <v>2019</v>
      </c>
    </row>
    <row r="410" spans="1:18">
      <c r="A410" s="229">
        <v>43678</v>
      </c>
      <c r="B410" s="244" t="s">
        <v>880</v>
      </c>
      <c r="C410" s="99" t="s">
        <v>7</v>
      </c>
      <c r="D410" s="99"/>
      <c r="E410" s="99">
        <v>50</v>
      </c>
      <c r="F410" s="140">
        <v>19.899999999999999</v>
      </c>
      <c r="G410" s="140">
        <v>13.3</v>
      </c>
      <c r="H410" s="140">
        <v>6.5999999999999979</v>
      </c>
      <c r="I410" s="123">
        <v>11</v>
      </c>
      <c r="J410" s="123">
        <v>9</v>
      </c>
      <c r="K410" s="145">
        <v>1</v>
      </c>
      <c r="L410" s="140">
        <v>19.899999999999999</v>
      </c>
      <c r="M410" s="140">
        <v>13.3</v>
      </c>
      <c r="N410" s="99"/>
      <c r="O410" s="140">
        <v>6.5999999999999979</v>
      </c>
      <c r="P410" s="123">
        <v>11</v>
      </c>
      <c r="Q410" s="123">
        <v>9</v>
      </c>
      <c r="R410" s="233">
        <f>YEAR(Tableau4[[#This Row],[Date]])</f>
        <v>2019</v>
      </c>
    </row>
    <row r="411" spans="1:18">
      <c r="A411" s="229">
        <v>43678</v>
      </c>
      <c r="B411" s="244" t="s">
        <v>880</v>
      </c>
      <c r="C411" s="99" t="s">
        <v>7</v>
      </c>
      <c r="D411" s="99"/>
      <c r="E411" s="99">
        <v>50</v>
      </c>
      <c r="F411" s="140">
        <v>19.899999999999999</v>
      </c>
      <c r="G411" s="140">
        <v>13.3</v>
      </c>
      <c r="H411" s="140">
        <v>6.5999999999999979</v>
      </c>
      <c r="I411" s="123">
        <v>11</v>
      </c>
      <c r="J411" s="123">
        <v>9</v>
      </c>
      <c r="K411" s="145">
        <v>1</v>
      </c>
      <c r="L411" s="140">
        <v>19.899999999999999</v>
      </c>
      <c r="M411" s="140">
        <v>13.3</v>
      </c>
      <c r="N411" s="99"/>
      <c r="O411" s="140">
        <v>6.5999999999999979</v>
      </c>
      <c r="P411" s="123">
        <v>11</v>
      </c>
      <c r="Q411" s="123">
        <v>9</v>
      </c>
      <c r="R411" s="233">
        <f>YEAR(Tableau4[[#This Row],[Date]])</f>
        <v>2019</v>
      </c>
    </row>
    <row r="412" spans="1:18">
      <c r="A412" s="241">
        <v>43678</v>
      </c>
      <c r="B412" s="244" t="s">
        <v>880</v>
      </c>
      <c r="C412" s="99" t="s">
        <v>7</v>
      </c>
      <c r="D412" s="99"/>
      <c r="E412" s="99">
        <v>50</v>
      </c>
      <c r="F412" s="140">
        <v>19.899999999999999</v>
      </c>
      <c r="G412" s="140">
        <v>13.3</v>
      </c>
      <c r="H412" s="140">
        <v>6.5999999999999979</v>
      </c>
      <c r="I412" s="123">
        <v>11</v>
      </c>
      <c r="J412" s="123">
        <v>9</v>
      </c>
      <c r="K412" s="145">
        <v>1</v>
      </c>
      <c r="L412" s="140">
        <v>19.899999999999999</v>
      </c>
      <c r="M412" s="140">
        <v>13.3</v>
      </c>
      <c r="N412" s="99"/>
      <c r="O412" s="140">
        <v>6.5999999999999979</v>
      </c>
      <c r="P412" s="123">
        <v>11</v>
      </c>
      <c r="Q412" s="123">
        <v>9</v>
      </c>
      <c r="R412" s="233">
        <f>YEAR(Tableau4[[#This Row],[Date]])</f>
        <v>2019</v>
      </c>
    </row>
    <row r="413" spans="1:18">
      <c r="A413" s="241">
        <v>43556</v>
      </c>
      <c r="B413" s="244" t="s">
        <v>881</v>
      </c>
      <c r="C413" s="99" t="s">
        <v>7</v>
      </c>
      <c r="D413" s="99"/>
      <c r="E413" s="99">
        <v>10</v>
      </c>
      <c r="F413" s="140">
        <v>9.9</v>
      </c>
      <c r="G413" s="140">
        <v>6.9</v>
      </c>
      <c r="H413" s="140">
        <v>3</v>
      </c>
      <c r="I413" s="123">
        <v>4.5999999999999996</v>
      </c>
      <c r="J413" s="123">
        <v>2.9</v>
      </c>
      <c r="K413" s="145">
        <v>1</v>
      </c>
      <c r="L413" s="140">
        <v>9.9</v>
      </c>
      <c r="M413" s="140">
        <v>6.9</v>
      </c>
      <c r="N413" s="99"/>
      <c r="O413" s="140">
        <v>3</v>
      </c>
      <c r="P413" s="123">
        <v>4.5999999999999996</v>
      </c>
      <c r="Q413" s="123">
        <v>2.9</v>
      </c>
      <c r="R413" s="233">
        <f>YEAR(Tableau4[[#This Row],[Date]])</f>
        <v>2019</v>
      </c>
    </row>
    <row r="414" spans="1:18">
      <c r="A414" s="241">
        <v>43556</v>
      </c>
      <c r="B414" s="244" t="s">
        <v>881</v>
      </c>
      <c r="C414" s="99" t="s">
        <v>7</v>
      </c>
      <c r="D414" s="99"/>
      <c r="E414" s="99">
        <v>10</v>
      </c>
      <c r="F414" s="140">
        <v>9.9</v>
      </c>
      <c r="G414" s="140">
        <v>6.9</v>
      </c>
      <c r="H414" s="140">
        <v>3</v>
      </c>
      <c r="I414" s="123">
        <v>4.5999999999999996</v>
      </c>
      <c r="J414" s="123">
        <v>2.9</v>
      </c>
      <c r="K414" s="145">
        <v>1</v>
      </c>
      <c r="L414" s="140">
        <v>9.9</v>
      </c>
      <c r="M414" s="140">
        <v>6.9</v>
      </c>
      <c r="N414" s="99"/>
      <c r="O414" s="140">
        <v>3</v>
      </c>
      <c r="P414" s="123">
        <v>4.5999999999999996</v>
      </c>
      <c r="Q414" s="123">
        <v>2.9</v>
      </c>
      <c r="R414" s="233">
        <f>YEAR(Tableau4[[#This Row],[Date]])</f>
        <v>2019</v>
      </c>
    </row>
    <row r="415" spans="1:18">
      <c r="A415" s="241">
        <v>43556</v>
      </c>
      <c r="B415" s="244" t="s">
        <v>881</v>
      </c>
      <c r="C415" s="99" t="s">
        <v>7</v>
      </c>
      <c r="D415" s="99"/>
      <c r="E415" s="99">
        <v>10</v>
      </c>
      <c r="F415" s="140">
        <v>9.9</v>
      </c>
      <c r="G415" s="140">
        <v>6.9</v>
      </c>
      <c r="H415" s="140">
        <v>3</v>
      </c>
      <c r="I415" s="123">
        <v>4.5999999999999996</v>
      </c>
      <c r="J415" s="123">
        <v>2.9</v>
      </c>
      <c r="K415" s="145">
        <v>1</v>
      </c>
      <c r="L415" s="140">
        <v>9.9</v>
      </c>
      <c r="M415" s="140">
        <v>6.9</v>
      </c>
      <c r="N415" s="99"/>
      <c r="O415" s="140">
        <v>3</v>
      </c>
      <c r="P415" s="123">
        <v>4.5999999999999996</v>
      </c>
      <c r="Q415" s="123">
        <v>2.9</v>
      </c>
      <c r="R415" s="233">
        <f>YEAR(Tableau4[[#This Row],[Date]])</f>
        <v>2019</v>
      </c>
    </row>
    <row r="416" spans="1:18">
      <c r="A416" s="241">
        <v>43678</v>
      </c>
      <c r="B416" s="244" t="s">
        <v>881</v>
      </c>
      <c r="C416" s="99" t="s">
        <v>9</v>
      </c>
      <c r="D416" s="99"/>
      <c r="E416" s="99"/>
      <c r="F416" s="140">
        <v>9.9</v>
      </c>
      <c r="G416" s="140">
        <v>7.05</v>
      </c>
      <c r="H416" s="140">
        <v>2.8500000000000005</v>
      </c>
      <c r="I416" s="123">
        <v>5</v>
      </c>
      <c r="J416" s="123">
        <v>3</v>
      </c>
      <c r="K416" s="145">
        <v>1</v>
      </c>
      <c r="L416" s="140">
        <v>9.9</v>
      </c>
      <c r="M416" s="140">
        <v>7.05</v>
      </c>
      <c r="N416" s="99"/>
      <c r="O416" s="140">
        <v>2.8500000000000005</v>
      </c>
      <c r="P416" s="123">
        <v>5</v>
      </c>
      <c r="Q416" s="123">
        <v>3</v>
      </c>
      <c r="R416" s="233">
        <f>YEAR(Tableau4[[#This Row],[Date]])</f>
        <v>2019</v>
      </c>
    </row>
    <row r="417" spans="1:18">
      <c r="A417" s="241">
        <v>43678</v>
      </c>
      <c r="B417" s="244" t="s">
        <v>881</v>
      </c>
      <c r="C417" s="99" t="s">
        <v>7</v>
      </c>
      <c r="D417" s="99"/>
      <c r="E417" s="99">
        <v>50</v>
      </c>
      <c r="F417" s="140">
        <v>19.899999999999999</v>
      </c>
      <c r="G417" s="140">
        <v>13.3</v>
      </c>
      <c r="H417" s="140">
        <v>6.5999999999999979</v>
      </c>
      <c r="I417" s="123">
        <v>11</v>
      </c>
      <c r="J417" s="123">
        <v>9</v>
      </c>
      <c r="K417" s="145">
        <v>1</v>
      </c>
      <c r="L417" s="140">
        <v>0</v>
      </c>
      <c r="M417" s="140">
        <v>13.3</v>
      </c>
      <c r="N417" s="99">
        <v>19.899999999999999</v>
      </c>
      <c r="O417" s="140">
        <v>0</v>
      </c>
      <c r="P417" s="123">
        <v>11</v>
      </c>
      <c r="Q417" s="123">
        <v>9</v>
      </c>
      <c r="R417" s="233">
        <f>YEAR(Tableau4[[#This Row],[Date]])</f>
        <v>2019</v>
      </c>
    </row>
    <row r="418" spans="1:18">
      <c r="A418" s="241">
        <v>43678</v>
      </c>
      <c r="B418" s="244" t="s">
        <v>881</v>
      </c>
      <c r="C418" s="99" t="s">
        <v>12</v>
      </c>
      <c r="D418" s="99"/>
      <c r="E418" s="99"/>
      <c r="F418" s="140">
        <v>7.9</v>
      </c>
      <c r="G418" s="140">
        <v>4.5</v>
      </c>
      <c r="H418" s="140">
        <v>3.4000000000000004</v>
      </c>
      <c r="I418" s="123">
        <v>3.8</v>
      </c>
      <c r="J418" s="123">
        <v>3</v>
      </c>
      <c r="K418" s="145">
        <v>1</v>
      </c>
      <c r="L418" s="140">
        <v>0</v>
      </c>
      <c r="M418" s="140">
        <v>4.5</v>
      </c>
      <c r="N418" s="99">
        <v>7.9</v>
      </c>
      <c r="O418" s="140">
        <v>0</v>
      </c>
      <c r="P418" s="123">
        <v>3.8</v>
      </c>
      <c r="Q418" s="123">
        <v>3</v>
      </c>
      <c r="R418" s="233">
        <f>YEAR(Tableau4[[#This Row],[Date]])</f>
        <v>2019</v>
      </c>
    </row>
    <row r="419" spans="1:18">
      <c r="A419" s="241">
        <v>43678</v>
      </c>
      <c r="B419" s="244" t="s">
        <v>881</v>
      </c>
      <c r="C419" s="99" t="s">
        <v>9</v>
      </c>
      <c r="D419" s="99"/>
      <c r="E419" s="99"/>
      <c r="F419" s="140">
        <v>14.9</v>
      </c>
      <c r="G419" s="140">
        <v>10.65</v>
      </c>
      <c r="H419" s="140">
        <v>4.25</v>
      </c>
      <c r="I419" s="123">
        <v>9</v>
      </c>
      <c r="J419" s="123">
        <v>5.5</v>
      </c>
      <c r="K419" s="145">
        <v>1</v>
      </c>
      <c r="L419" s="140">
        <v>14.9</v>
      </c>
      <c r="M419" s="140">
        <v>10.65</v>
      </c>
      <c r="N419" s="99"/>
      <c r="O419" s="140">
        <v>4.25</v>
      </c>
      <c r="P419" s="123">
        <v>10</v>
      </c>
      <c r="Q419" s="123">
        <v>5.5</v>
      </c>
      <c r="R419" s="233">
        <f>YEAR(Tableau4[[#This Row],[Date]])</f>
        <v>2019</v>
      </c>
    </row>
    <row r="420" spans="1:18">
      <c r="A420" s="241">
        <v>43800</v>
      </c>
      <c r="B420" s="244" t="s">
        <v>881</v>
      </c>
      <c r="C420" s="99" t="s">
        <v>7</v>
      </c>
      <c r="D420" s="99"/>
      <c r="E420" s="99">
        <v>100</v>
      </c>
      <c r="F420" s="140">
        <v>32.9</v>
      </c>
      <c r="G420" s="140">
        <v>21.9</v>
      </c>
      <c r="H420" s="140">
        <v>11</v>
      </c>
      <c r="I420" s="123">
        <v>18</v>
      </c>
      <c r="J420" s="123">
        <v>16.55</v>
      </c>
      <c r="K420" s="145">
        <v>1</v>
      </c>
      <c r="L420" s="140">
        <v>30</v>
      </c>
      <c r="M420" s="140">
        <v>21.9</v>
      </c>
      <c r="N420" s="99">
        <v>2.9</v>
      </c>
      <c r="O420" s="140">
        <v>8.1000000000000014</v>
      </c>
      <c r="P420" s="123">
        <v>18</v>
      </c>
      <c r="Q420" s="123">
        <v>16.55</v>
      </c>
      <c r="R420" s="233">
        <f>YEAR(Tableau4[[#This Row],[Date]])</f>
        <v>2019</v>
      </c>
    </row>
    <row r="421" spans="1:18">
      <c r="A421" s="241">
        <v>43647</v>
      </c>
      <c r="B421" s="244" t="s">
        <v>882</v>
      </c>
      <c r="C421" s="99" t="s">
        <v>7</v>
      </c>
      <c r="D421" s="99"/>
      <c r="E421" s="99">
        <v>50</v>
      </c>
      <c r="F421" s="140">
        <v>19.899999999999999</v>
      </c>
      <c r="G421" s="140">
        <v>13.3</v>
      </c>
      <c r="H421" s="140">
        <v>6.5999999999999979</v>
      </c>
      <c r="I421" s="123">
        <v>11</v>
      </c>
      <c r="J421" s="123">
        <v>9</v>
      </c>
      <c r="K421" s="145">
        <v>1</v>
      </c>
      <c r="L421" s="140">
        <v>19.899999999999999</v>
      </c>
      <c r="M421" s="140">
        <v>13.3</v>
      </c>
      <c r="N421" s="99"/>
      <c r="O421" s="140">
        <v>6.5999999999999979</v>
      </c>
      <c r="P421" s="123">
        <v>11</v>
      </c>
      <c r="Q421" s="123">
        <v>9</v>
      </c>
      <c r="R421" s="233">
        <f>YEAR(Tableau4[[#This Row],[Date]])</f>
        <v>2019</v>
      </c>
    </row>
    <row r="422" spans="1:18">
      <c r="A422" s="241">
        <v>43647</v>
      </c>
      <c r="B422" s="244" t="s">
        <v>883</v>
      </c>
      <c r="C422" s="99" t="s">
        <v>7</v>
      </c>
      <c r="D422" s="99"/>
      <c r="E422" s="99">
        <v>100</v>
      </c>
      <c r="F422" s="140">
        <v>29.9</v>
      </c>
      <c r="G422" s="140">
        <v>19.899999999999999</v>
      </c>
      <c r="H422" s="140">
        <v>10</v>
      </c>
      <c r="I422" s="123">
        <v>16</v>
      </c>
      <c r="J422" s="123">
        <v>16.55</v>
      </c>
      <c r="K422" s="145">
        <v>1</v>
      </c>
      <c r="L422" s="140">
        <v>29.9</v>
      </c>
      <c r="M422" s="140">
        <v>19.899999999999999</v>
      </c>
      <c r="N422" s="99"/>
      <c r="O422" s="140">
        <v>10</v>
      </c>
      <c r="P422" s="123">
        <v>16</v>
      </c>
      <c r="Q422" s="123">
        <v>16.55</v>
      </c>
      <c r="R422" s="233">
        <f>YEAR(Tableau4[[#This Row],[Date]])</f>
        <v>2019</v>
      </c>
    </row>
    <row r="423" spans="1:18">
      <c r="A423" s="241">
        <v>43647</v>
      </c>
      <c r="B423" s="244" t="s">
        <v>883</v>
      </c>
      <c r="C423" s="99" t="s">
        <v>9</v>
      </c>
      <c r="D423" s="99"/>
      <c r="E423" s="99"/>
      <c r="F423" s="140">
        <v>14.9</v>
      </c>
      <c r="G423" s="140">
        <v>10.65</v>
      </c>
      <c r="H423" s="140">
        <v>4.25</v>
      </c>
      <c r="I423" s="123">
        <v>9</v>
      </c>
      <c r="J423" s="123">
        <v>5.5</v>
      </c>
      <c r="K423" s="145">
        <v>1</v>
      </c>
      <c r="L423" s="140">
        <v>14.4</v>
      </c>
      <c r="M423" s="140">
        <v>10.65</v>
      </c>
      <c r="N423" s="99">
        <v>0.5</v>
      </c>
      <c r="O423" s="140">
        <v>3.75</v>
      </c>
      <c r="P423" s="123">
        <v>10</v>
      </c>
      <c r="Q423" s="123">
        <v>5.5</v>
      </c>
      <c r="R423" s="233">
        <f>YEAR(Tableau4[[#This Row],[Date]])</f>
        <v>2019</v>
      </c>
    </row>
    <row r="424" spans="1:18">
      <c r="A424" s="241">
        <v>43556</v>
      </c>
      <c r="B424" s="244" t="s">
        <v>884</v>
      </c>
      <c r="C424" s="99" t="s">
        <v>7</v>
      </c>
      <c r="D424" s="99"/>
      <c r="E424" s="99">
        <v>50</v>
      </c>
      <c r="F424" s="140">
        <v>19.899999999999999</v>
      </c>
      <c r="G424" s="140">
        <v>13.3</v>
      </c>
      <c r="H424" s="140">
        <v>6.5999999999999979</v>
      </c>
      <c r="I424" s="123">
        <v>11</v>
      </c>
      <c r="J424" s="123">
        <v>9</v>
      </c>
      <c r="K424" s="145">
        <v>1</v>
      </c>
      <c r="L424" s="140">
        <v>19.899999999999999</v>
      </c>
      <c r="M424" s="140">
        <v>13.3</v>
      </c>
      <c r="N424" s="99"/>
      <c r="O424" s="140">
        <v>6.5999999999999979</v>
      </c>
      <c r="P424" s="123">
        <v>11</v>
      </c>
      <c r="Q424" s="123">
        <v>9</v>
      </c>
      <c r="R424" s="233">
        <f>YEAR(Tableau4[[#This Row],[Date]])</f>
        <v>2019</v>
      </c>
    </row>
    <row r="425" spans="1:18">
      <c r="A425" s="241">
        <v>43617</v>
      </c>
      <c r="B425" s="244" t="s">
        <v>884</v>
      </c>
      <c r="C425" s="99" t="s">
        <v>7</v>
      </c>
      <c r="D425" s="99"/>
      <c r="E425" s="99">
        <v>100</v>
      </c>
      <c r="F425" s="140">
        <v>29.9</v>
      </c>
      <c r="G425" s="140">
        <v>19.899999999999999</v>
      </c>
      <c r="H425" s="140">
        <v>10</v>
      </c>
      <c r="I425" s="123">
        <v>16</v>
      </c>
      <c r="J425" s="123">
        <v>16.55</v>
      </c>
      <c r="K425" s="145">
        <v>1</v>
      </c>
      <c r="L425" s="140">
        <v>29.9</v>
      </c>
      <c r="M425" s="140">
        <v>19.899999999999999</v>
      </c>
      <c r="N425" s="99"/>
      <c r="O425" s="140">
        <v>10</v>
      </c>
      <c r="P425" s="123">
        <v>16</v>
      </c>
      <c r="Q425" s="123">
        <v>16.55</v>
      </c>
      <c r="R425" s="233">
        <f>YEAR(Tableau4[[#This Row],[Date]])</f>
        <v>2019</v>
      </c>
    </row>
    <row r="426" spans="1:18">
      <c r="A426" s="241">
        <v>43617</v>
      </c>
      <c r="B426" s="244" t="s">
        <v>884</v>
      </c>
      <c r="C426" s="99" t="s">
        <v>7</v>
      </c>
      <c r="D426" s="99"/>
      <c r="E426" s="99">
        <v>50</v>
      </c>
      <c r="F426" s="140">
        <v>19.899999999999999</v>
      </c>
      <c r="G426" s="140">
        <v>13.3</v>
      </c>
      <c r="H426" s="140">
        <v>6.5999999999999979</v>
      </c>
      <c r="I426" s="123">
        <v>11</v>
      </c>
      <c r="J426" s="123">
        <v>9</v>
      </c>
      <c r="K426" s="145">
        <v>1</v>
      </c>
      <c r="L426" s="140">
        <v>19.899999999999999</v>
      </c>
      <c r="M426" s="140">
        <v>13.3</v>
      </c>
      <c r="N426" s="99"/>
      <c r="O426" s="140">
        <v>6.5999999999999979</v>
      </c>
      <c r="P426" s="123">
        <v>11</v>
      </c>
      <c r="Q426" s="123">
        <v>9</v>
      </c>
      <c r="R426" s="233">
        <f>YEAR(Tableau4[[#This Row],[Date]])</f>
        <v>2019</v>
      </c>
    </row>
    <row r="427" spans="1:18">
      <c r="A427" s="241">
        <v>43678</v>
      </c>
      <c r="B427" s="244" t="s">
        <v>884</v>
      </c>
      <c r="C427" s="99" t="s">
        <v>7</v>
      </c>
      <c r="D427" s="99"/>
      <c r="E427" s="99">
        <v>100</v>
      </c>
      <c r="F427" s="140">
        <v>29.9</v>
      </c>
      <c r="G427" s="140">
        <v>19.899999999999999</v>
      </c>
      <c r="H427" s="140">
        <v>10</v>
      </c>
      <c r="I427" s="123">
        <v>16</v>
      </c>
      <c r="J427" s="123">
        <v>16.55</v>
      </c>
      <c r="K427" s="145">
        <v>1</v>
      </c>
      <c r="L427" s="140">
        <v>29.9</v>
      </c>
      <c r="M427" s="140">
        <v>19.899999999999999</v>
      </c>
      <c r="N427" s="99"/>
      <c r="O427" s="140">
        <v>10</v>
      </c>
      <c r="P427" s="123">
        <v>16</v>
      </c>
      <c r="Q427" s="123">
        <v>16.55</v>
      </c>
      <c r="R427" s="233">
        <f>YEAR(Tableau4[[#This Row],[Date]])</f>
        <v>2019</v>
      </c>
    </row>
    <row r="428" spans="1:18">
      <c r="A428" s="241">
        <v>43678</v>
      </c>
      <c r="B428" s="244" t="s">
        <v>884</v>
      </c>
      <c r="C428" s="99" t="s">
        <v>7</v>
      </c>
      <c r="D428" s="99"/>
      <c r="E428" s="99">
        <v>100</v>
      </c>
      <c r="F428" s="140">
        <v>29.9</v>
      </c>
      <c r="G428" s="140">
        <v>19.899999999999999</v>
      </c>
      <c r="H428" s="140">
        <v>10</v>
      </c>
      <c r="I428" s="123">
        <v>16</v>
      </c>
      <c r="J428" s="123">
        <v>16.55</v>
      </c>
      <c r="K428" s="145">
        <v>1</v>
      </c>
      <c r="L428" s="140">
        <v>29.9</v>
      </c>
      <c r="M428" s="140">
        <v>19.899999999999999</v>
      </c>
      <c r="N428" s="99"/>
      <c r="O428" s="140">
        <v>10</v>
      </c>
      <c r="P428" s="123">
        <v>16</v>
      </c>
      <c r="Q428" s="123">
        <v>16.55</v>
      </c>
      <c r="R428" s="233">
        <f>YEAR(Tableau4[[#This Row],[Date]])</f>
        <v>2019</v>
      </c>
    </row>
    <row r="429" spans="1:18">
      <c r="A429" s="241">
        <v>43678</v>
      </c>
      <c r="B429" s="244" t="s">
        <v>884</v>
      </c>
      <c r="C429" s="99" t="s">
        <v>7</v>
      </c>
      <c r="D429" s="99"/>
      <c r="E429" s="99">
        <v>50</v>
      </c>
      <c r="F429" s="140">
        <v>19.899999999999999</v>
      </c>
      <c r="G429" s="140">
        <v>13.3</v>
      </c>
      <c r="H429" s="140">
        <v>6.5999999999999979</v>
      </c>
      <c r="I429" s="123">
        <v>11</v>
      </c>
      <c r="J429" s="123">
        <v>9</v>
      </c>
      <c r="K429" s="145">
        <v>1</v>
      </c>
      <c r="L429" s="140">
        <v>19.899999999999999</v>
      </c>
      <c r="M429" s="140">
        <v>13.3</v>
      </c>
      <c r="N429" s="99"/>
      <c r="O429" s="140">
        <v>6.5999999999999979</v>
      </c>
      <c r="P429" s="123">
        <v>11</v>
      </c>
      <c r="Q429" s="123">
        <v>9</v>
      </c>
      <c r="R429" s="233">
        <f>YEAR(Tableau4[[#This Row],[Date]])</f>
        <v>2019</v>
      </c>
    </row>
    <row r="430" spans="1:18">
      <c r="A430" s="231">
        <v>43891</v>
      </c>
      <c r="B430" s="244" t="s">
        <v>884</v>
      </c>
      <c r="C430" s="99" t="s">
        <v>7</v>
      </c>
      <c r="D430" s="99"/>
      <c r="E430" s="99" t="s">
        <v>83</v>
      </c>
      <c r="F430" s="140">
        <v>25</v>
      </c>
      <c r="G430" s="140">
        <v>9.9</v>
      </c>
      <c r="H430" s="140">
        <v>15.1</v>
      </c>
      <c r="I430" s="123">
        <v>8</v>
      </c>
      <c r="J430" s="123">
        <v>5</v>
      </c>
      <c r="K430" s="145">
        <v>1</v>
      </c>
      <c r="L430" s="140">
        <v>24.9</v>
      </c>
      <c r="M430" s="140">
        <v>9.9</v>
      </c>
      <c r="N430" s="99">
        <v>0.1</v>
      </c>
      <c r="O430" s="140">
        <v>14.999999999999998</v>
      </c>
      <c r="P430" s="123">
        <v>8</v>
      </c>
      <c r="Q430" s="123">
        <v>5</v>
      </c>
      <c r="R430" s="233">
        <f>YEAR(Tableau4[[#This Row],[Date]])</f>
        <v>2020</v>
      </c>
    </row>
    <row r="431" spans="1:18">
      <c r="A431" s="241">
        <v>43617</v>
      </c>
      <c r="B431" s="244" t="s">
        <v>885</v>
      </c>
      <c r="C431" s="99" t="s">
        <v>7</v>
      </c>
      <c r="D431" s="99"/>
      <c r="E431" s="99" t="s">
        <v>52</v>
      </c>
      <c r="F431" s="140">
        <v>5.9</v>
      </c>
      <c r="G431" s="140">
        <v>2.99</v>
      </c>
      <c r="H431" s="140">
        <v>2.91</v>
      </c>
      <c r="I431" s="123">
        <v>1.5</v>
      </c>
      <c r="J431" s="123">
        <v>1</v>
      </c>
      <c r="K431" s="145">
        <v>1</v>
      </c>
      <c r="L431" s="140">
        <v>5.9</v>
      </c>
      <c r="M431" s="140">
        <v>2.99</v>
      </c>
      <c r="N431" s="99"/>
      <c r="O431" s="140">
        <v>2.91</v>
      </c>
      <c r="P431" s="123">
        <v>1.5</v>
      </c>
      <c r="Q431" s="123">
        <v>1</v>
      </c>
      <c r="R431" s="233">
        <f>YEAR(Tableau4[[#This Row],[Date]])</f>
        <v>2019</v>
      </c>
    </row>
    <row r="432" spans="1:18">
      <c r="A432" s="241">
        <v>43617</v>
      </c>
      <c r="B432" s="244" t="s">
        <v>885</v>
      </c>
      <c r="C432" s="99" t="s">
        <v>7</v>
      </c>
      <c r="D432" s="99"/>
      <c r="E432" s="99" t="s">
        <v>52</v>
      </c>
      <c r="F432" s="140">
        <v>5.9</v>
      </c>
      <c r="G432" s="140">
        <v>2.99</v>
      </c>
      <c r="H432" s="140">
        <v>2.91</v>
      </c>
      <c r="I432" s="123">
        <v>1.5</v>
      </c>
      <c r="J432" s="123">
        <v>1</v>
      </c>
      <c r="K432" s="145">
        <v>1</v>
      </c>
      <c r="L432" s="140">
        <v>5.9</v>
      </c>
      <c r="M432" s="140">
        <v>2.99</v>
      </c>
      <c r="N432" s="99"/>
      <c r="O432" s="140">
        <v>2.91</v>
      </c>
      <c r="P432" s="123">
        <v>1.5</v>
      </c>
      <c r="Q432" s="123">
        <v>1</v>
      </c>
      <c r="R432" s="233">
        <f>YEAR(Tableau4[[#This Row],[Date]])</f>
        <v>2019</v>
      </c>
    </row>
    <row r="433" spans="1:18">
      <c r="A433" s="241">
        <v>43617</v>
      </c>
      <c r="B433" s="244" t="s">
        <v>885</v>
      </c>
      <c r="C433" s="99" t="s">
        <v>7</v>
      </c>
      <c r="D433" s="99"/>
      <c r="E433" s="99" t="s">
        <v>52</v>
      </c>
      <c r="F433" s="140">
        <v>5.9</v>
      </c>
      <c r="G433" s="140">
        <v>2.99</v>
      </c>
      <c r="H433" s="140">
        <v>2.91</v>
      </c>
      <c r="I433" s="123">
        <v>1.5</v>
      </c>
      <c r="J433" s="123">
        <v>1</v>
      </c>
      <c r="K433" s="145">
        <v>1</v>
      </c>
      <c r="L433" s="140">
        <v>5.9</v>
      </c>
      <c r="M433" s="140">
        <v>2.99</v>
      </c>
      <c r="N433" s="99"/>
      <c r="O433" s="140">
        <v>2.91</v>
      </c>
      <c r="P433" s="123">
        <v>1.5</v>
      </c>
      <c r="Q433" s="123">
        <v>1</v>
      </c>
      <c r="R433" s="233">
        <f>YEAR(Tableau4[[#This Row],[Date]])</f>
        <v>2019</v>
      </c>
    </row>
    <row r="434" spans="1:18">
      <c r="A434" s="241">
        <v>43647</v>
      </c>
      <c r="B434" s="244" t="s">
        <v>885</v>
      </c>
      <c r="C434" s="99" t="s">
        <v>9</v>
      </c>
      <c r="D434" s="99"/>
      <c r="E434" s="99"/>
      <c r="F434" s="140">
        <v>9.9</v>
      </c>
      <c r="G434" s="140">
        <v>7</v>
      </c>
      <c r="H434" s="140">
        <v>2.9000000000000004</v>
      </c>
      <c r="I434" s="123">
        <v>5</v>
      </c>
      <c r="J434" s="123">
        <v>2.94</v>
      </c>
      <c r="K434" s="145">
        <v>1</v>
      </c>
      <c r="L434" s="140">
        <v>9.9</v>
      </c>
      <c r="M434" s="140">
        <v>7</v>
      </c>
      <c r="N434" s="99"/>
      <c r="O434" s="140">
        <v>2.9000000000000004</v>
      </c>
      <c r="P434" s="123">
        <v>5</v>
      </c>
      <c r="Q434" s="123">
        <v>2.94</v>
      </c>
      <c r="R434" s="233">
        <f>YEAR(Tableau4[[#This Row],[Date]])</f>
        <v>2019</v>
      </c>
    </row>
    <row r="435" spans="1:18">
      <c r="A435" s="241">
        <v>43647</v>
      </c>
      <c r="B435" s="244" t="s">
        <v>885</v>
      </c>
      <c r="C435" s="99" t="s">
        <v>7</v>
      </c>
      <c r="D435" s="99"/>
      <c r="E435" s="99">
        <v>100</v>
      </c>
      <c r="F435" s="140">
        <v>29.9</v>
      </c>
      <c r="G435" s="140">
        <v>19.899999999999999</v>
      </c>
      <c r="H435" s="140">
        <v>10</v>
      </c>
      <c r="I435" s="123">
        <v>16</v>
      </c>
      <c r="J435" s="123">
        <v>16.55</v>
      </c>
      <c r="K435" s="145">
        <v>1</v>
      </c>
      <c r="L435" s="140">
        <v>19.899999999999999</v>
      </c>
      <c r="M435" s="140">
        <v>19.899999999999999</v>
      </c>
      <c r="N435" s="99">
        <v>10</v>
      </c>
      <c r="O435" s="140">
        <v>0</v>
      </c>
      <c r="P435" s="123">
        <v>16</v>
      </c>
      <c r="Q435" s="123">
        <v>16.55</v>
      </c>
      <c r="R435" s="233">
        <f>YEAR(Tableau4[[#This Row],[Date]])</f>
        <v>2019</v>
      </c>
    </row>
    <row r="436" spans="1:18">
      <c r="A436" s="241">
        <v>43647</v>
      </c>
      <c r="B436" s="244" t="s">
        <v>885</v>
      </c>
      <c r="C436" s="99" t="s">
        <v>58</v>
      </c>
      <c r="D436" s="99"/>
      <c r="E436" s="99"/>
      <c r="F436" s="140">
        <v>21</v>
      </c>
      <c r="G436" s="140">
        <v>15</v>
      </c>
      <c r="H436" s="140">
        <v>6</v>
      </c>
      <c r="I436" s="123">
        <v>11.5</v>
      </c>
      <c r="J436" s="123">
        <v>12.61</v>
      </c>
      <c r="K436" s="145">
        <v>1</v>
      </c>
      <c r="L436" s="140">
        <v>21</v>
      </c>
      <c r="M436" s="140">
        <v>15</v>
      </c>
      <c r="N436" s="99"/>
      <c r="O436" s="140">
        <v>6</v>
      </c>
      <c r="P436" s="123">
        <v>11.5</v>
      </c>
      <c r="Q436" s="123">
        <v>12.61</v>
      </c>
      <c r="R436" s="233">
        <f>YEAR(Tableau4[[#This Row],[Date]])</f>
        <v>2019</v>
      </c>
    </row>
    <row r="437" spans="1:18">
      <c r="A437" s="241">
        <v>43647</v>
      </c>
      <c r="B437" s="244" t="s">
        <v>885</v>
      </c>
      <c r="C437" s="99" t="s">
        <v>9</v>
      </c>
      <c r="D437" s="99"/>
      <c r="E437" s="99"/>
      <c r="F437" s="140">
        <v>14.9</v>
      </c>
      <c r="G437" s="140">
        <v>10.65</v>
      </c>
      <c r="H437" s="140">
        <v>4.25</v>
      </c>
      <c r="I437" s="123">
        <v>9</v>
      </c>
      <c r="J437" s="123">
        <v>5.5</v>
      </c>
      <c r="K437" s="145">
        <v>1</v>
      </c>
      <c r="L437" s="140">
        <v>14.9</v>
      </c>
      <c r="M437" s="140">
        <v>10.65</v>
      </c>
      <c r="N437" s="99"/>
      <c r="O437" s="140">
        <v>4.25</v>
      </c>
      <c r="P437" s="123">
        <v>10</v>
      </c>
      <c r="Q437" s="123">
        <v>5.5</v>
      </c>
      <c r="R437" s="233">
        <f>YEAR(Tableau4[[#This Row],[Date]])</f>
        <v>2019</v>
      </c>
    </row>
    <row r="438" spans="1:18">
      <c r="A438" s="231">
        <v>43862</v>
      </c>
      <c r="B438" s="244" t="s">
        <v>885</v>
      </c>
      <c r="C438" s="99" t="s">
        <v>7</v>
      </c>
      <c r="D438" s="99"/>
      <c r="E438" s="99" t="s">
        <v>76</v>
      </c>
      <c r="F438" s="140">
        <v>32.9</v>
      </c>
      <c r="G438" s="140">
        <v>21.9</v>
      </c>
      <c r="H438" s="140">
        <v>11</v>
      </c>
      <c r="I438" s="123">
        <v>18</v>
      </c>
      <c r="J438" s="123">
        <v>16.55</v>
      </c>
      <c r="K438" s="145">
        <v>1</v>
      </c>
      <c r="L438" s="140">
        <v>30</v>
      </c>
      <c r="M438" s="140">
        <v>21.9</v>
      </c>
      <c r="N438" s="99">
        <v>2.9</v>
      </c>
      <c r="O438" s="140">
        <v>8.1000000000000014</v>
      </c>
      <c r="P438" s="123">
        <v>18</v>
      </c>
      <c r="Q438" s="123">
        <v>16.55</v>
      </c>
      <c r="R438" s="233">
        <f>YEAR(Tableau4[[#This Row],[Date]])</f>
        <v>2020</v>
      </c>
    </row>
    <row r="439" spans="1:18">
      <c r="A439" s="231">
        <v>44013</v>
      </c>
      <c r="B439" s="244" t="s">
        <v>886</v>
      </c>
      <c r="C439" s="99" t="s">
        <v>58</v>
      </c>
      <c r="D439" s="99"/>
      <c r="E439" s="99"/>
      <c r="F439" s="140">
        <v>21</v>
      </c>
      <c r="G439" s="140">
        <v>15</v>
      </c>
      <c r="H439" s="140">
        <v>6</v>
      </c>
      <c r="I439" s="123">
        <v>11.5</v>
      </c>
      <c r="J439" s="123">
        <v>12.61</v>
      </c>
      <c r="K439" s="145">
        <v>1</v>
      </c>
      <c r="L439" s="140">
        <v>21</v>
      </c>
      <c r="M439" s="140">
        <v>15</v>
      </c>
      <c r="N439" s="99"/>
      <c r="O439" s="140">
        <v>6</v>
      </c>
      <c r="P439" s="123">
        <v>11.5</v>
      </c>
      <c r="Q439" s="123">
        <v>12.61</v>
      </c>
      <c r="R439" s="233">
        <f>YEAR(Tableau4[[#This Row],[Date]])</f>
        <v>2020</v>
      </c>
    </row>
    <row r="440" spans="1:18">
      <c r="A440" s="231">
        <v>44013</v>
      </c>
      <c r="B440" s="244" t="s">
        <v>886</v>
      </c>
      <c r="C440" s="99" t="s">
        <v>9</v>
      </c>
      <c r="D440" s="99"/>
      <c r="E440" s="99"/>
      <c r="F440" s="140">
        <v>16.899999999999999</v>
      </c>
      <c r="G440" s="140">
        <v>12.7</v>
      </c>
      <c r="H440" s="140">
        <v>4.1999999999999993</v>
      </c>
      <c r="I440" s="123">
        <v>9</v>
      </c>
      <c r="J440" s="123">
        <v>5.5</v>
      </c>
      <c r="K440" s="145">
        <v>1</v>
      </c>
      <c r="L440" s="140">
        <v>16.899999999999999</v>
      </c>
      <c r="M440" s="140">
        <v>12.7</v>
      </c>
      <c r="N440" s="99"/>
      <c r="O440" s="140">
        <v>4.1999999999999993</v>
      </c>
      <c r="P440" s="123">
        <v>10</v>
      </c>
      <c r="Q440" s="123">
        <v>5.5</v>
      </c>
      <c r="R440" s="233">
        <f>YEAR(Tableau4[[#This Row],[Date]])</f>
        <v>2020</v>
      </c>
    </row>
    <row r="441" spans="1:18">
      <c r="A441" s="231">
        <v>43891</v>
      </c>
      <c r="B441" s="244" t="s">
        <v>887</v>
      </c>
      <c r="C441" s="99" t="s">
        <v>9</v>
      </c>
      <c r="D441" s="99"/>
      <c r="E441" s="99"/>
      <c r="F441" s="140">
        <v>8.9</v>
      </c>
      <c r="G441" s="140">
        <v>6.35</v>
      </c>
      <c r="H441" s="140">
        <v>2.5500000000000007</v>
      </c>
      <c r="I441" s="123">
        <v>5</v>
      </c>
      <c r="J441" s="123">
        <v>2.67</v>
      </c>
      <c r="K441" s="145">
        <v>1</v>
      </c>
      <c r="L441" s="140">
        <v>8.9</v>
      </c>
      <c r="M441" s="140">
        <v>6.35</v>
      </c>
      <c r="N441" s="99"/>
      <c r="O441" s="140">
        <v>2.5500000000000007</v>
      </c>
      <c r="P441" s="123">
        <v>5</v>
      </c>
      <c r="Q441" s="123">
        <v>2.67</v>
      </c>
      <c r="R441" s="233">
        <f>YEAR(Tableau4[[#This Row],[Date]])</f>
        <v>2020</v>
      </c>
    </row>
    <row r="442" spans="1:18">
      <c r="A442" s="231">
        <v>43891</v>
      </c>
      <c r="B442" s="244" t="s">
        <v>887</v>
      </c>
      <c r="C442" s="99" t="s">
        <v>9</v>
      </c>
      <c r="D442" s="99"/>
      <c r="E442" s="99"/>
      <c r="F442" s="140">
        <v>16.899999999999999</v>
      </c>
      <c r="G442" s="140">
        <v>12.7</v>
      </c>
      <c r="H442" s="140">
        <v>4.1999999999999993</v>
      </c>
      <c r="I442" s="123">
        <v>9</v>
      </c>
      <c r="J442" s="123">
        <v>5.5</v>
      </c>
      <c r="K442" s="145">
        <v>1</v>
      </c>
      <c r="L442" s="140">
        <v>16.899999999999999</v>
      </c>
      <c r="M442" s="140">
        <v>12.7</v>
      </c>
      <c r="N442" s="99"/>
      <c r="O442" s="140">
        <v>4.1999999999999993</v>
      </c>
      <c r="P442" s="123">
        <v>10</v>
      </c>
      <c r="Q442" s="123">
        <v>5.5</v>
      </c>
      <c r="R442" s="233">
        <f>YEAR(Tableau4[[#This Row],[Date]])</f>
        <v>2020</v>
      </c>
    </row>
    <row r="443" spans="1:18">
      <c r="A443" s="231">
        <v>43922</v>
      </c>
      <c r="B443" s="244" t="s">
        <v>887</v>
      </c>
      <c r="C443" s="99" t="s">
        <v>58</v>
      </c>
      <c r="D443" s="99"/>
      <c r="E443" s="99"/>
      <c r="F443" s="140">
        <v>21</v>
      </c>
      <c r="G443" s="140">
        <v>15</v>
      </c>
      <c r="H443" s="140">
        <v>6</v>
      </c>
      <c r="I443" s="123">
        <v>11.5</v>
      </c>
      <c r="J443" s="123">
        <v>12.61</v>
      </c>
      <c r="K443" s="145">
        <v>1</v>
      </c>
      <c r="L443" s="140">
        <v>21</v>
      </c>
      <c r="M443" s="140">
        <v>15</v>
      </c>
      <c r="N443" s="99"/>
      <c r="O443" s="140">
        <v>6</v>
      </c>
      <c r="P443" s="123">
        <v>11.5</v>
      </c>
      <c r="Q443" s="123">
        <v>12.61</v>
      </c>
      <c r="R443" s="233">
        <f>YEAR(Tableau4[[#This Row],[Date]])</f>
        <v>2020</v>
      </c>
    </row>
    <row r="444" spans="1:18">
      <c r="A444" s="231">
        <v>43983</v>
      </c>
      <c r="B444" s="244" t="s">
        <v>887</v>
      </c>
      <c r="C444" s="99" t="s">
        <v>9</v>
      </c>
      <c r="D444" s="99"/>
      <c r="E444" s="99"/>
      <c r="F444" s="140">
        <v>29.9</v>
      </c>
      <c r="G444" s="140">
        <v>21</v>
      </c>
      <c r="H444" s="140">
        <v>8.8999999999999986</v>
      </c>
      <c r="I444" s="123">
        <v>15</v>
      </c>
      <c r="J444" s="123">
        <v>11.96</v>
      </c>
      <c r="K444" s="145">
        <v>1</v>
      </c>
      <c r="L444" s="140">
        <v>23</v>
      </c>
      <c r="M444" s="140">
        <v>21</v>
      </c>
      <c r="N444" s="99">
        <v>6.9</v>
      </c>
      <c r="O444" s="140">
        <v>2</v>
      </c>
      <c r="P444" s="123">
        <v>15</v>
      </c>
      <c r="Q444" s="123">
        <v>11.96</v>
      </c>
      <c r="R444" s="233">
        <f>YEAR(Tableau4[[#This Row],[Date]])</f>
        <v>2020</v>
      </c>
    </row>
    <row r="445" spans="1:18">
      <c r="A445" s="231">
        <v>43983</v>
      </c>
      <c r="B445" s="244" t="s">
        <v>887</v>
      </c>
      <c r="C445" s="99" t="s">
        <v>9</v>
      </c>
      <c r="D445" s="99"/>
      <c r="E445" s="99"/>
      <c r="F445" s="140">
        <v>9.9</v>
      </c>
      <c r="G445" s="140">
        <v>7</v>
      </c>
      <c r="H445" s="140">
        <v>2.9000000000000004</v>
      </c>
      <c r="I445" s="123">
        <v>5</v>
      </c>
      <c r="J445" s="123">
        <v>2.94</v>
      </c>
      <c r="K445" s="145">
        <v>1</v>
      </c>
      <c r="L445" s="140">
        <v>9.9</v>
      </c>
      <c r="M445" s="140">
        <v>7</v>
      </c>
      <c r="N445" s="99"/>
      <c r="O445" s="140">
        <v>2.9000000000000004</v>
      </c>
      <c r="P445" s="123">
        <v>5</v>
      </c>
      <c r="Q445" s="123">
        <v>2.94</v>
      </c>
      <c r="R445" s="233">
        <f>YEAR(Tableau4[[#This Row],[Date]])</f>
        <v>2020</v>
      </c>
    </row>
    <row r="446" spans="1:18">
      <c r="A446" s="231">
        <v>43983</v>
      </c>
      <c r="B446" s="244" t="s">
        <v>887</v>
      </c>
      <c r="C446" s="99" t="s">
        <v>9</v>
      </c>
      <c r="D446" s="99"/>
      <c r="E446" s="99"/>
      <c r="F446" s="140">
        <v>19.899999999999999</v>
      </c>
      <c r="G446" s="140">
        <v>15.9</v>
      </c>
      <c r="H446" s="140">
        <v>3.9999999999999982</v>
      </c>
      <c r="I446" s="123">
        <v>12</v>
      </c>
      <c r="J446" s="123">
        <v>11</v>
      </c>
      <c r="K446" s="145">
        <v>1</v>
      </c>
      <c r="L446" s="140">
        <v>19.899999999999999</v>
      </c>
      <c r="M446" s="140">
        <v>15.9</v>
      </c>
      <c r="N446" s="99"/>
      <c r="O446" s="140">
        <v>3.9999999999999982</v>
      </c>
      <c r="P446" s="123">
        <v>12</v>
      </c>
      <c r="Q446" s="123">
        <v>11</v>
      </c>
      <c r="R446" s="233">
        <f>YEAR(Tableau4[[#This Row],[Date]])</f>
        <v>2020</v>
      </c>
    </row>
    <row r="447" spans="1:18">
      <c r="A447" s="241">
        <v>43770</v>
      </c>
      <c r="B447" s="244" t="s">
        <v>888</v>
      </c>
      <c r="C447" s="99" t="s">
        <v>9</v>
      </c>
      <c r="D447" s="99"/>
      <c r="E447" s="99"/>
      <c r="F447" s="140">
        <v>9.9</v>
      </c>
      <c r="G447" s="140">
        <v>7.05</v>
      </c>
      <c r="H447" s="140">
        <v>2.8500000000000005</v>
      </c>
      <c r="I447" s="123">
        <v>5</v>
      </c>
      <c r="J447" s="123">
        <v>3</v>
      </c>
      <c r="K447" s="145">
        <v>1</v>
      </c>
      <c r="L447" s="140">
        <v>9.9</v>
      </c>
      <c r="M447" s="140">
        <v>7.05</v>
      </c>
      <c r="N447" s="99"/>
      <c r="O447" s="140">
        <v>2.8500000000000005</v>
      </c>
      <c r="P447" s="123">
        <v>5</v>
      </c>
      <c r="Q447" s="123">
        <v>3</v>
      </c>
      <c r="R447" s="233">
        <f>YEAR(Tableau4[[#This Row],[Date]])</f>
        <v>2019</v>
      </c>
    </row>
    <row r="448" spans="1:18">
      <c r="A448" s="241">
        <v>43770</v>
      </c>
      <c r="B448" s="244" t="s">
        <v>888</v>
      </c>
      <c r="C448" s="99" t="s">
        <v>7</v>
      </c>
      <c r="D448" s="99"/>
      <c r="E448" s="99" t="s">
        <v>53</v>
      </c>
      <c r="F448" s="140">
        <v>5</v>
      </c>
      <c r="G448" s="140">
        <v>2.9</v>
      </c>
      <c r="H448" s="140">
        <v>2.1</v>
      </c>
      <c r="I448" s="123">
        <v>1.5</v>
      </c>
      <c r="J448" s="123">
        <v>1</v>
      </c>
      <c r="K448" s="145">
        <v>1</v>
      </c>
      <c r="L448" s="140">
        <v>5</v>
      </c>
      <c r="M448" s="140">
        <v>2.9</v>
      </c>
      <c r="N448" s="99"/>
      <c r="O448" s="140">
        <v>2.1</v>
      </c>
      <c r="P448" s="123">
        <v>1.5</v>
      </c>
      <c r="Q448" s="123">
        <v>1</v>
      </c>
      <c r="R448" s="233">
        <f>YEAR(Tableau4[[#This Row],[Date]])</f>
        <v>2019</v>
      </c>
    </row>
    <row r="449" spans="1:18">
      <c r="A449" s="241">
        <v>43709</v>
      </c>
      <c r="B449" s="244" t="s">
        <v>889</v>
      </c>
      <c r="C449" s="99" t="s">
        <v>9</v>
      </c>
      <c r="D449" s="99"/>
      <c r="E449" s="99"/>
      <c r="F449" s="140">
        <v>10.9</v>
      </c>
      <c r="G449" s="140">
        <v>7.8</v>
      </c>
      <c r="H449" s="140">
        <v>3.1000000000000005</v>
      </c>
      <c r="I449" s="123">
        <v>6</v>
      </c>
      <c r="J449" s="123">
        <v>3.28</v>
      </c>
      <c r="K449" s="145">
        <v>1</v>
      </c>
      <c r="L449" s="140">
        <v>10.9</v>
      </c>
      <c r="M449" s="140">
        <v>7.8</v>
      </c>
      <c r="N449" s="99"/>
      <c r="O449" s="140">
        <v>3.1000000000000005</v>
      </c>
      <c r="P449" s="123">
        <v>8</v>
      </c>
      <c r="Q449" s="123">
        <v>3.28</v>
      </c>
      <c r="R449" s="233">
        <f>YEAR(Tableau4[[#This Row],[Date]])</f>
        <v>2019</v>
      </c>
    </row>
    <row r="450" spans="1:18">
      <c r="A450" s="241">
        <v>43709</v>
      </c>
      <c r="B450" s="244" t="s">
        <v>889</v>
      </c>
      <c r="C450" s="99" t="s">
        <v>7</v>
      </c>
      <c r="D450" s="99"/>
      <c r="E450" s="99" t="s">
        <v>53</v>
      </c>
      <c r="F450" s="140">
        <v>5</v>
      </c>
      <c r="G450" s="140">
        <v>2.9</v>
      </c>
      <c r="H450" s="140">
        <v>2.1</v>
      </c>
      <c r="I450" s="123">
        <v>1.5</v>
      </c>
      <c r="J450" s="123">
        <v>1</v>
      </c>
      <c r="K450" s="145">
        <v>3</v>
      </c>
      <c r="L450" s="140">
        <v>15</v>
      </c>
      <c r="M450" s="140">
        <v>8.6999999999999993</v>
      </c>
      <c r="N450" s="99"/>
      <c r="O450" s="140">
        <v>6.3000000000000007</v>
      </c>
      <c r="P450" s="123">
        <v>4.5</v>
      </c>
      <c r="Q450" s="123">
        <v>3</v>
      </c>
      <c r="R450" s="233">
        <f>YEAR(Tableau4[[#This Row],[Date]])</f>
        <v>2019</v>
      </c>
    </row>
    <row r="451" spans="1:18">
      <c r="A451" s="241">
        <v>43709</v>
      </c>
      <c r="B451" s="244" t="s">
        <v>889</v>
      </c>
      <c r="C451" s="99" t="s">
        <v>7</v>
      </c>
      <c r="D451" s="99"/>
      <c r="E451" s="99" t="s">
        <v>53</v>
      </c>
      <c r="F451" s="140">
        <v>5</v>
      </c>
      <c r="G451" s="140">
        <v>2.9</v>
      </c>
      <c r="H451" s="140">
        <v>2.1</v>
      </c>
      <c r="I451" s="123">
        <v>1.5</v>
      </c>
      <c r="J451" s="123">
        <v>1</v>
      </c>
      <c r="K451" s="145">
        <v>2</v>
      </c>
      <c r="L451" s="140">
        <v>10</v>
      </c>
      <c r="M451" s="140">
        <v>5.8</v>
      </c>
      <c r="N451" s="99"/>
      <c r="O451" s="140">
        <v>4.2</v>
      </c>
      <c r="P451" s="123">
        <v>3</v>
      </c>
      <c r="Q451" s="123">
        <v>2</v>
      </c>
      <c r="R451" s="233">
        <f>YEAR(Tableau4[[#This Row],[Date]])</f>
        <v>2019</v>
      </c>
    </row>
    <row r="452" spans="1:18">
      <c r="A452" s="241">
        <v>43709</v>
      </c>
      <c r="B452" s="244" t="s">
        <v>889</v>
      </c>
      <c r="C452" s="99" t="s">
        <v>7</v>
      </c>
      <c r="D452" s="99"/>
      <c r="E452" s="99" t="s">
        <v>53</v>
      </c>
      <c r="F452" s="140">
        <v>5</v>
      </c>
      <c r="G452" s="140">
        <v>2.9</v>
      </c>
      <c r="H452" s="140">
        <v>2.1</v>
      </c>
      <c r="I452" s="123">
        <v>1.5</v>
      </c>
      <c r="J452" s="123">
        <v>1</v>
      </c>
      <c r="K452" s="145">
        <v>1</v>
      </c>
      <c r="L452" s="140">
        <v>5</v>
      </c>
      <c r="M452" s="140">
        <v>2.9</v>
      </c>
      <c r="N452" s="99"/>
      <c r="O452" s="140">
        <v>2.1</v>
      </c>
      <c r="P452" s="123">
        <v>1.5</v>
      </c>
      <c r="Q452" s="123">
        <v>1</v>
      </c>
      <c r="R452" s="233">
        <f>YEAR(Tableau4[[#This Row],[Date]])</f>
        <v>2019</v>
      </c>
    </row>
    <row r="453" spans="1:18">
      <c r="A453" s="241">
        <v>43709</v>
      </c>
      <c r="B453" s="244" t="s">
        <v>889</v>
      </c>
      <c r="C453" s="99" t="s">
        <v>7</v>
      </c>
      <c r="D453" s="99"/>
      <c r="E453" s="99" t="s">
        <v>53</v>
      </c>
      <c r="F453" s="140">
        <v>5</v>
      </c>
      <c r="G453" s="140">
        <v>2.9</v>
      </c>
      <c r="H453" s="140">
        <v>2.1</v>
      </c>
      <c r="I453" s="123">
        <v>1.5</v>
      </c>
      <c r="J453" s="123">
        <v>1</v>
      </c>
      <c r="K453" s="145">
        <v>1</v>
      </c>
      <c r="L453" s="140">
        <v>5</v>
      </c>
      <c r="M453" s="140">
        <v>2.9</v>
      </c>
      <c r="N453" s="99"/>
      <c r="O453" s="140">
        <v>2.1</v>
      </c>
      <c r="P453" s="123">
        <v>1.5</v>
      </c>
      <c r="Q453" s="123">
        <v>1</v>
      </c>
      <c r="R453" s="233">
        <f>YEAR(Tableau4[[#This Row],[Date]])</f>
        <v>2019</v>
      </c>
    </row>
    <row r="454" spans="1:18">
      <c r="A454" s="241">
        <v>43709</v>
      </c>
      <c r="B454" s="244" t="s">
        <v>889</v>
      </c>
      <c r="C454" s="99" t="s">
        <v>7</v>
      </c>
      <c r="D454" s="99"/>
      <c r="E454" s="99" t="s">
        <v>53</v>
      </c>
      <c r="F454" s="140">
        <v>5</v>
      </c>
      <c r="G454" s="140">
        <v>2.9</v>
      </c>
      <c r="H454" s="140">
        <v>2.1</v>
      </c>
      <c r="I454" s="123">
        <v>1.5</v>
      </c>
      <c r="J454" s="123">
        <v>1</v>
      </c>
      <c r="K454" s="145">
        <v>1</v>
      </c>
      <c r="L454" s="140">
        <v>5</v>
      </c>
      <c r="M454" s="140">
        <v>2.9</v>
      </c>
      <c r="N454" s="99"/>
      <c r="O454" s="140">
        <v>2.1</v>
      </c>
      <c r="P454" s="123">
        <v>1.5</v>
      </c>
      <c r="Q454" s="123">
        <v>1</v>
      </c>
      <c r="R454" s="233">
        <f>YEAR(Tableau4[[#This Row],[Date]])</f>
        <v>2019</v>
      </c>
    </row>
    <row r="455" spans="1:18">
      <c r="A455" s="241">
        <v>43709</v>
      </c>
      <c r="B455" s="244" t="s">
        <v>889</v>
      </c>
      <c r="C455" s="99" t="s">
        <v>9</v>
      </c>
      <c r="D455" s="99"/>
      <c r="E455" s="99"/>
      <c r="F455" s="140">
        <v>14.9</v>
      </c>
      <c r="G455" s="140">
        <v>10.65</v>
      </c>
      <c r="H455" s="140">
        <v>4.25</v>
      </c>
      <c r="I455" s="123">
        <v>9</v>
      </c>
      <c r="J455" s="123">
        <v>5.5</v>
      </c>
      <c r="K455" s="145">
        <v>1</v>
      </c>
      <c r="L455" s="140">
        <v>14.9</v>
      </c>
      <c r="M455" s="140">
        <v>10.65</v>
      </c>
      <c r="N455" s="99"/>
      <c r="O455" s="140">
        <v>4.25</v>
      </c>
      <c r="P455" s="123">
        <v>10</v>
      </c>
      <c r="Q455" s="123">
        <v>5.5</v>
      </c>
      <c r="R455" s="233">
        <f>YEAR(Tableau4[[#This Row],[Date]])</f>
        <v>2019</v>
      </c>
    </row>
    <row r="456" spans="1:18">
      <c r="A456" s="231">
        <v>43983</v>
      </c>
      <c r="B456" s="244" t="s">
        <v>889</v>
      </c>
      <c r="C456" s="99" t="s">
        <v>9</v>
      </c>
      <c r="D456" s="99"/>
      <c r="E456" s="99"/>
      <c r="F456" s="140">
        <v>16.899999999999999</v>
      </c>
      <c r="G456" s="140">
        <v>12.7</v>
      </c>
      <c r="H456" s="140">
        <v>4.1999999999999993</v>
      </c>
      <c r="I456" s="123">
        <v>9</v>
      </c>
      <c r="J456" s="123">
        <v>5.5</v>
      </c>
      <c r="K456" s="145">
        <v>1</v>
      </c>
      <c r="L456" s="140">
        <v>16.899999999999999</v>
      </c>
      <c r="M456" s="140">
        <v>12.7</v>
      </c>
      <c r="N456" s="99"/>
      <c r="O456" s="140">
        <v>4.1999999999999993</v>
      </c>
      <c r="P456" s="123">
        <v>10</v>
      </c>
      <c r="Q456" s="123">
        <v>5.5</v>
      </c>
      <c r="R456" s="233">
        <f>YEAR(Tableau4[[#This Row],[Date]])</f>
        <v>2020</v>
      </c>
    </row>
    <row r="457" spans="1:18">
      <c r="A457" s="231">
        <v>44013</v>
      </c>
      <c r="B457" s="244" t="s">
        <v>889</v>
      </c>
      <c r="C457" s="99" t="s">
        <v>7</v>
      </c>
      <c r="D457" s="99"/>
      <c r="E457" s="99" t="s">
        <v>53</v>
      </c>
      <c r="F457" s="140">
        <v>5</v>
      </c>
      <c r="G457" s="140">
        <v>2.9</v>
      </c>
      <c r="H457" s="140">
        <v>2.1</v>
      </c>
      <c r="I457" s="123">
        <v>1.5</v>
      </c>
      <c r="J457" s="123">
        <v>1</v>
      </c>
      <c r="K457" s="145">
        <v>1</v>
      </c>
      <c r="L457" s="140">
        <v>5</v>
      </c>
      <c r="M457" s="140">
        <v>2.9</v>
      </c>
      <c r="N457" s="99"/>
      <c r="O457" s="140">
        <v>2.1</v>
      </c>
      <c r="P457" s="123">
        <v>1.5</v>
      </c>
      <c r="Q457" s="123">
        <v>1</v>
      </c>
      <c r="R457" s="233">
        <f>YEAR(Tableau4[[#This Row],[Date]])</f>
        <v>2020</v>
      </c>
    </row>
    <row r="458" spans="1:18">
      <c r="A458" s="231">
        <v>44013</v>
      </c>
      <c r="B458" s="244" t="s">
        <v>889</v>
      </c>
      <c r="C458" s="99" t="s">
        <v>7</v>
      </c>
      <c r="D458" s="99"/>
      <c r="E458" s="99" t="s">
        <v>53</v>
      </c>
      <c r="F458" s="140">
        <v>5</v>
      </c>
      <c r="G458" s="140">
        <v>2.9</v>
      </c>
      <c r="H458" s="140">
        <v>2.1</v>
      </c>
      <c r="I458" s="123">
        <v>1.5</v>
      </c>
      <c r="J458" s="123">
        <v>1</v>
      </c>
      <c r="K458" s="145">
        <v>2</v>
      </c>
      <c r="L458" s="140">
        <v>10</v>
      </c>
      <c r="M458" s="140">
        <v>5.8</v>
      </c>
      <c r="N458" s="99"/>
      <c r="O458" s="140">
        <v>4.2</v>
      </c>
      <c r="P458" s="123">
        <v>3</v>
      </c>
      <c r="Q458" s="123">
        <v>2</v>
      </c>
      <c r="R458" s="233">
        <f>YEAR(Tableau4[[#This Row],[Date]])</f>
        <v>2020</v>
      </c>
    </row>
    <row r="459" spans="1:18">
      <c r="A459" s="231">
        <v>44013</v>
      </c>
      <c r="B459" s="244" t="s">
        <v>889</v>
      </c>
      <c r="C459" s="99" t="s">
        <v>7</v>
      </c>
      <c r="D459" s="99"/>
      <c r="E459" s="99" t="s">
        <v>76</v>
      </c>
      <c r="F459" s="140">
        <v>32.9</v>
      </c>
      <c r="G459" s="140">
        <v>21.9</v>
      </c>
      <c r="H459" s="140">
        <v>11</v>
      </c>
      <c r="I459" s="123">
        <v>18</v>
      </c>
      <c r="J459" s="123">
        <v>16.55</v>
      </c>
      <c r="K459" s="145">
        <v>1</v>
      </c>
      <c r="L459" s="140">
        <v>32.9</v>
      </c>
      <c r="M459" s="140">
        <v>21.9</v>
      </c>
      <c r="N459" s="99"/>
      <c r="O459" s="140">
        <v>11</v>
      </c>
      <c r="P459" s="123">
        <v>18</v>
      </c>
      <c r="Q459" s="123">
        <v>16.55</v>
      </c>
      <c r="R459" s="233">
        <f>YEAR(Tableau4[[#This Row],[Date]])</f>
        <v>2020</v>
      </c>
    </row>
    <row r="460" spans="1:18">
      <c r="A460" s="231">
        <v>44013</v>
      </c>
      <c r="B460" s="244" t="s">
        <v>889</v>
      </c>
      <c r="C460" s="99" t="s">
        <v>7</v>
      </c>
      <c r="D460" s="99"/>
      <c r="E460" s="99" t="s">
        <v>53</v>
      </c>
      <c r="F460" s="140">
        <v>5</v>
      </c>
      <c r="G460" s="140">
        <v>2.9</v>
      </c>
      <c r="H460" s="140">
        <v>2.1</v>
      </c>
      <c r="I460" s="123">
        <v>1.5</v>
      </c>
      <c r="J460" s="123">
        <v>1</v>
      </c>
      <c r="K460" s="145">
        <v>1</v>
      </c>
      <c r="L460" s="140">
        <v>5</v>
      </c>
      <c r="M460" s="140">
        <v>2.9</v>
      </c>
      <c r="N460" s="99"/>
      <c r="O460" s="140">
        <v>2.1</v>
      </c>
      <c r="P460" s="123">
        <v>1.5</v>
      </c>
      <c r="Q460" s="123">
        <v>1</v>
      </c>
      <c r="R460" s="233">
        <f>YEAR(Tableau4[[#This Row],[Date]])</f>
        <v>2020</v>
      </c>
    </row>
    <row r="461" spans="1:18">
      <c r="A461" s="231">
        <v>44013</v>
      </c>
      <c r="B461" s="244" t="s">
        <v>889</v>
      </c>
      <c r="C461" s="99" t="s">
        <v>7</v>
      </c>
      <c r="D461" s="99"/>
      <c r="E461" s="99" t="s">
        <v>53</v>
      </c>
      <c r="F461" s="140">
        <v>5</v>
      </c>
      <c r="G461" s="140">
        <v>2.9</v>
      </c>
      <c r="H461" s="140">
        <v>2.1</v>
      </c>
      <c r="I461" s="123">
        <v>1.5</v>
      </c>
      <c r="J461" s="123">
        <v>1</v>
      </c>
      <c r="K461" s="145">
        <v>2</v>
      </c>
      <c r="L461" s="140">
        <v>10</v>
      </c>
      <c r="M461" s="140">
        <v>5.8</v>
      </c>
      <c r="N461" s="99"/>
      <c r="O461" s="140">
        <v>4.2</v>
      </c>
      <c r="P461" s="123">
        <v>3</v>
      </c>
      <c r="Q461" s="123">
        <v>2</v>
      </c>
      <c r="R461" s="233">
        <f>YEAR(Tableau4[[#This Row],[Date]])</f>
        <v>2020</v>
      </c>
    </row>
    <row r="462" spans="1:18">
      <c r="A462" s="231">
        <v>43983</v>
      </c>
      <c r="B462" s="244" t="s">
        <v>890</v>
      </c>
      <c r="C462" s="99" t="s">
        <v>7</v>
      </c>
      <c r="D462" s="99"/>
      <c r="E462" s="99" t="s">
        <v>76</v>
      </c>
      <c r="F462" s="140">
        <v>32.9</v>
      </c>
      <c r="G462" s="140">
        <v>21.9</v>
      </c>
      <c r="H462" s="140">
        <v>11</v>
      </c>
      <c r="I462" s="123">
        <v>18</v>
      </c>
      <c r="J462" s="123">
        <v>16.55</v>
      </c>
      <c r="K462" s="145">
        <v>1</v>
      </c>
      <c r="L462" s="140">
        <v>30</v>
      </c>
      <c r="M462" s="140">
        <v>21.9</v>
      </c>
      <c r="N462" s="99">
        <v>2.9</v>
      </c>
      <c r="O462" s="140">
        <v>8.1000000000000014</v>
      </c>
      <c r="P462" s="123">
        <v>18</v>
      </c>
      <c r="Q462" s="123">
        <v>16.55</v>
      </c>
      <c r="R462" s="233">
        <f>YEAR(Tableau4[[#This Row],[Date]])</f>
        <v>2020</v>
      </c>
    </row>
    <row r="463" spans="1:18">
      <c r="A463" s="231">
        <v>43983</v>
      </c>
      <c r="B463" s="244" t="s">
        <v>891</v>
      </c>
      <c r="C463" s="99" t="s">
        <v>7</v>
      </c>
      <c r="D463" s="99"/>
      <c r="E463" s="99" t="s">
        <v>76</v>
      </c>
      <c r="F463" s="140">
        <v>32.9</v>
      </c>
      <c r="G463" s="140">
        <v>21.9</v>
      </c>
      <c r="H463" s="140">
        <v>11</v>
      </c>
      <c r="I463" s="123">
        <v>18</v>
      </c>
      <c r="J463" s="123">
        <v>16.55</v>
      </c>
      <c r="K463" s="145">
        <v>1</v>
      </c>
      <c r="L463" s="140">
        <v>30</v>
      </c>
      <c r="M463" s="140">
        <v>21.9</v>
      </c>
      <c r="N463" s="99">
        <v>2.9</v>
      </c>
      <c r="O463" s="140">
        <v>8.1000000000000014</v>
      </c>
      <c r="P463" s="123">
        <v>18</v>
      </c>
      <c r="Q463" s="123">
        <v>16.55</v>
      </c>
      <c r="R463" s="233">
        <f>YEAR(Tableau4[[#This Row],[Date]])</f>
        <v>2020</v>
      </c>
    </row>
    <row r="464" spans="1:18">
      <c r="A464" s="231">
        <v>43983</v>
      </c>
      <c r="B464" s="244" t="s">
        <v>891</v>
      </c>
      <c r="C464" s="99" t="s">
        <v>7</v>
      </c>
      <c r="D464" s="99"/>
      <c r="E464" s="99" t="s">
        <v>76</v>
      </c>
      <c r="F464" s="140">
        <v>32.9</v>
      </c>
      <c r="G464" s="140">
        <v>21.9</v>
      </c>
      <c r="H464" s="140">
        <v>11</v>
      </c>
      <c r="I464" s="123">
        <v>18</v>
      </c>
      <c r="J464" s="123">
        <v>16.55</v>
      </c>
      <c r="K464" s="145">
        <v>1</v>
      </c>
      <c r="L464" s="140">
        <v>30</v>
      </c>
      <c r="M464" s="140">
        <v>21.9</v>
      </c>
      <c r="N464" s="99">
        <v>2.9</v>
      </c>
      <c r="O464" s="140">
        <v>8.1000000000000014</v>
      </c>
      <c r="P464" s="123">
        <v>18</v>
      </c>
      <c r="Q464" s="123">
        <v>16.55</v>
      </c>
      <c r="R464" s="233">
        <f>YEAR(Tableau4[[#This Row],[Date]])</f>
        <v>2020</v>
      </c>
    </row>
    <row r="465" spans="1:18">
      <c r="A465" s="231">
        <v>43983</v>
      </c>
      <c r="B465" s="244" t="s">
        <v>891</v>
      </c>
      <c r="C465" s="99" t="s">
        <v>7</v>
      </c>
      <c r="D465" s="99"/>
      <c r="E465" s="99" t="s">
        <v>76</v>
      </c>
      <c r="F465" s="140">
        <v>32.9</v>
      </c>
      <c r="G465" s="140">
        <v>21.9</v>
      </c>
      <c r="H465" s="140">
        <v>11</v>
      </c>
      <c r="I465" s="123">
        <v>18</v>
      </c>
      <c r="J465" s="123">
        <v>16.55</v>
      </c>
      <c r="K465" s="145">
        <v>1</v>
      </c>
      <c r="L465" s="140">
        <v>30</v>
      </c>
      <c r="M465" s="140">
        <v>21.9</v>
      </c>
      <c r="N465" s="99">
        <v>2.9</v>
      </c>
      <c r="O465" s="140">
        <v>8.1000000000000014</v>
      </c>
      <c r="P465" s="123">
        <v>18</v>
      </c>
      <c r="Q465" s="123">
        <v>16.55</v>
      </c>
      <c r="R465" s="233">
        <f>YEAR(Tableau4[[#This Row],[Date]])</f>
        <v>2020</v>
      </c>
    </row>
    <row r="466" spans="1:18">
      <c r="A466" s="241">
        <v>43556</v>
      </c>
      <c r="B466" s="246" t="s">
        <v>892</v>
      </c>
      <c r="C466" s="99" t="s">
        <v>51</v>
      </c>
      <c r="D466" s="99"/>
      <c r="E466" s="99">
        <v>100</v>
      </c>
      <c r="F466" s="140">
        <v>44.9</v>
      </c>
      <c r="G466" s="140">
        <v>34.049999999999997</v>
      </c>
      <c r="H466" s="140">
        <v>10.850000000000001</v>
      </c>
      <c r="I466" s="123">
        <v>25</v>
      </c>
      <c r="J466" s="123">
        <v>25.08</v>
      </c>
      <c r="K466" s="145">
        <v>1</v>
      </c>
      <c r="L466" s="140">
        <v>44.9</v>
      </c>
      <c r="M466" s="140">
        <v>34.049999999999997</v>
      </c>
      <c r="N466" s="99"/>
      <c r="O466" s="140">
        <v>10.850000000000001</v>
      </c>
      <c r="P466" s="123">
        <v>25</v>
      </c>
      <c r="Q466" s="123">
        <v>25.08</v>
      </c>
      <c r="R466" s="233">
        <f>YEAR(Tableau4[[#This Row],[Date]])</f>
        <v>2019</v>
      </c>
    </row>
    <row r="467" spans="1:18">
      <c r="A467" s="241">
        <v>43556</v>
      </c>
      <c r="B467" s="246" t="s">
        <v>892</v>
      </c>
      <c r="C467" s="99" t="s">
        <v>7</v>
      </c>
      <c r="D467" s="99"/>
      <c r="E467" s="99">
        <v>100</v>
      </c>
      <c r="F467" s="140">
        <v>29.9</v>
      </c>
      <c r="G467" s="140">
        <v>19.899999999999999</v>
      </c>
      <c r="H467" s="140">
        <v>10</v>
      </c>
      <c r="I467" s="123">
        <v>16</v>
      </c>
      <c r="J467" s="123">
        <v>16.55</v>
      </c>
      <c r="K467" s="145">
        <v>1</v>
      </c>
      <c r="L467" s="140">
        <v>29.9</v>
      </c>
      <c r="M467" s="140">
        <v>19.899999999999999</v>
      </c>
      <c r="N467" s="99"/>
      <c r="O467" s="140">
        <v>10</v>
      </c>
      <c r="P467" s="123">
        <v>16</v>
      </c>
      <c r="Q467" s="123">
        <v>16.55</v>
      </c>
      <c r="R467" s="233">
        <f>YEAR(Tableau4[[#This Row],[Date]])</f>
        <v>2019</v>
      </c>
    </row>
    <row r="468" spans="1:18">
      <c r="A468" s="241">
        <v>43556</v>
      </c>
      <c r="B468" s="246" t="s">
        <v>892</v>
      </c>
      <c r="C468" s="99" t="s">
        <v>7</v>
      </c>
      <c r="D468" s="99"/>
      <c r="E468" s="99">
        <v>50</v>
      </c>
      <c r="F468" s="140">
        <v>19.899999999999999</v>
      </c>
      <c r="G468" s="140">
        <v>13.3</v>
      </c>
      <c r="H468" s="140">
        <v>6.5999999999999979</v>
      </c>
      <c r="I468" s="123">
        <v>11</v>
      </c>
      <c r="J468" s="123">
        <v>9</v>
      </c>
      <c r="K468" s="145">
        <v>1</v>
      </c>
      <c r="L468" s="140">
        <v>19.899999999999999</v>
      </c>
      <c r="M468" s="140">
        <v>13.3</v>
      </c>
      <c r="N468" s="99"/>
      <c r="O468" s="140">
        <v>6.5999999999999979</v>
      </c>
      <c r="P468" s="123">
        <v>11</v>
      </c>
      <c r="Q468" s="123">
        <v>9</v>
      </c>
      <c r="R468" s="233">
        <f>YEAR(Tableau4[[#This Row],[Date]])</f>
        <v>2019</v>
      </c>
    </row>
    <row r="469" spans="1:18">
      <c r="A469" s="231">
        <v>43831</v>
      </c>
      <c r="B469" s="244" t="s">
        <v>892</v>
      </c>
      <c r="C469" s="99" t="s">
        <v>7</v>
      </c>
      <c r="D469" s="99"/>
      <c r="E469" s="99" t="s">
        <v>53</v>
      </c>
      <c r="F469" s="140">
        <v>5</v>
      </c>
      <c r="G469" s="140">
        <v>2.9</v>
      </c>
      <c r="H469" s="140">
        <v>2.1</v>
      </c>
      <c r="I469" s="123">
        <v>1.5</v>
      </c>
      <c r="J469" s="123">
        <v>1</v>
      </c>
      <c r="K469" s="145">
        <v>1</v>
      </c>
      <c r="L469" s="140">
        <v>5</v>
      </c>
      <c r="M469" s="140">
        <v>2.9</v>
      </c>
      <c r="N469" s="99"/>
      <c r="O469" s="140">
        <v>2.1</v>
      </c>
      <c r="P469" s="123">
        <v>1.5</v>
      </c>
      <c r="Q469" s="123">
        <v>1</v>
      </c>
      <c r="R469" s="233">
        <f>YEAR(Tableau4[[#This Row],[Date]])</f>
        <v>2020</v>
      </c>
    </row>
    <row r="470" spans="1:18">
      <c r="A470" s="231">
        <v>43831</v>
      </c>
      <c r="B470" s="244" t="s">
        <v>892</v>
      </c>
      <c r="C470" s="99" t="s">
        <v>7</v>
      </c>
      <c r="D470" s="99"/>
      <c r="E470" s="99" t="s">
        <v>53</v>
      </c>
      <c r="F470" s="140">
        <v>5</v>
      </c>
      <c r="G470" s="140">
        <v>2.9</v>
      </c>
      <c r="H470" s="140">
        <v>2.1</v>
      </c>
      <c r="I470" s="123">
        <v>1.5</v>
      </c>
      <c r="J470" s="123">
        <v>1</v>
      </c>
      <c r="K470" s="145">
        <v>1</v>
      </c>
      <c r="L470" s="140">
        <v>5</v>
      </c>
      <c r="M470" s="140">
        <v>2.9</v>
      </c>
      <c r="N470" s="99"/>
      <c r="O470" s="140">
        <v>2.1</v>
      </c>
      <c r="P470" s="123">
        <v>1.5</v>
      </c>
      <c r="Q470" s="123">
        <v>1</v>
      </c>
      <c r="R470" s="233">
        <f>YEAR(Tableau4[[#This Row],[Date]])</f>
        <v>2020</v>
      </c>
    </row>
    <row r="471" spans="1:18">
      <c r="A471" s="231">
        <v>43831</v>
      </c>
      <c r="B471" s="244" t="s">
        <v>892</v>
      </c>
      <c r="C471" s="99" t="s">
        <v>7</v>
      </c>
      <c r="D471" s="99"/>
      <c r="E471" s="99" t="s">
        <v>53</v>
      </c>
      <c r="F471" s="140">
        <v>5</v>
      </c>
      <c r="G471" s="140">
        <v>2.9</v>
      </c>
      <c r="H471" s="140">
        <v>2.1</v>
      </c>
      <c r="I471" s="123">
        <v>1.5</v>
      </c>
      <c r="J471" s="123">
        <v>1</v>
      </c>
      <c r="K471" s="145">
        <v>1</v>
      </c>
      <c r="L471" s="140">
        <v>5</v>
      </c>
      <c r="M471" s="140">
        <v>2.9</v>
      </c>
      <c r="N471" s="99"/>
      <c r="O471" s="140">
        <v>2.1</v>
      </c>
      <c r="P471" s="123">
        <v>1.5</v>
      </c>
      <c r="Q471" s="123">
        <v>1</v>
      </c>
      <c r="R471" s="233">
        <f>YEAR(Tableau4[[#This Row],[Date]])</f>
        <v>2020</v>
      </c>
    </row>
    <row r="472" spans="1:18">
      <c r="A472" s="231">
        <v>43831</v>
      </c>
      <c r="B472" s="244" t="s">
        <v>892</v>
      </c>
      <c r="C472" s="99" t="s">
        <v>7</v>
      </c>
      <c r="D472" s="99"/>
      <c r="E472" s="99" t="s">
        <v>53</v>
      </c>
      <c r="F472" s="140">
        <v>5</v>
      </c>
      <c r="G472" s="140">
        <v>2.9</v>
      </c>
      <c r="H472" s="140">
        <v>2.1</v>
      </c>
      <c r="I472" s="123">
        <v>1.5</v>
      </c>
      <c r="J472" s="123">
        <v>1</v>
      </c>
      <c r="K472" s="145">
        <v>1</v>
      </c>
      <c r="L472" s="140">
        <v>5</v>
      </c>
      <c r="M472" s="140">
        <v>2.9</v>
      </c>
      <c r="N472" s="99"/>
      <c r="O472" s="140">
        <v>2.1</v>
      </c>
      <c r="P472" s="123">
        <v>1.5</v>
      </c>
      <c r="Q472" s="123">
        <v>1</v>
      </c>
      <c r="R472" s="233">
        <f>YEAR(Tableau4[[#This Row],[Date]])</f>
        <v>2020</v>
      </c>
    </row>
    <row r="473" spans="1:18">
      <c r="A473" s="231">
        <v>43831</v>
      </c>
      <c r="B473" s="244" t="s">
        <v>892</v>
      </c>
      <c r="C473" s="99" t="s">
        <v>7</v>
      </c>
      <c r="D473" s="99"/>
      <c r="E473" s="99" t="s">
        <v>53</v>
      </c>
      <c r="F473" s="140">
        <v>5</v>
      </c>
      <c r="G473" s="140">
        <v>2.9</v>
      </c>
      <c r="H473" s="140">
        <v>2.1</v>
      </c>
      <c r="I473" s="123">
        <v>1.5</v>
      </c>
      <c r="J473" s="123">
        <v>1</v>
      </c>
      <c r="K473" s="145">
        <v>1</v>
      </c>
      <c r="L473" s="140">
        <v>5</v>
      </c>
      <c r="M473" s="140">
        <v>2.9</v>
      </c>
      <c r="N473" s="99"/>
      <c r="O473" s="140">
        <v>2.1</v>
      </c>
      <c r="P473" s="123">
        <v>1.5</v>
      </c>
      <c r="Q473" s="123">
        <v>1</v>
      </c>
      <c r="R473" s="233">
        <f>YEAR(Tableau4[[#This Row],[Date]])</f>
        <v>2020</v>
      </c>
    </row>
    <row r="474" spans="1:18">
      <c r="A474" s="241">
        <v>43800</v>
      </c>
      <c r="B474" s="246" t="s">
        <v>893</v>
      </c>
      <c r="C474" s="99" t="s">
        <v>7</v>
      </c>
      <c r="D474" s="99"/>
      <c r="E474" s="99">
        <v>100</v>
      </c>
      <c r="F474" s="140">
        <v>32.9</v>
      </c>
      <c r="G474" s="140">
        <v>21.9</v>
      </c>
      <c r="H474" s="140">
        <v>11</v>
      </c>
      <c r="I474" s="123">
        <v>18</v>
      </c>
      <c r="J474" s="123">
        <v>16.55</v>
      </c>
      <c r="K474" s="145">
        <v>1</v>
      </c>
      <c r="L474" s="140">
        <v>30</v>
      </c>
      <c r="M474" s="140">
        <v>21.9</v>
      </c>
      <c r="N474" s="99">
        <v>2.9</v>
      </c>
      <c r="O474" s="140">
        <v>8.1000000000000014</v>
      </c>
      <c r="P474" s="123">
        <v>18</v>
      </c>
      <c r="Q474" s="123">
        <v>16.55</v>
      </c>
      <c r="R474" s="233">
        <f>YEAR(Tableau4[[#This Row],[Date]])</f>
        <v>2019</v>
      </c>
    </row>
    <row r="475" spans="1:18">
      <c r="A475" s="231">
        <v>43831</v>
      </c>
      <c r="B475" s="244" t="s">
        <v>893</v>
      </c>
      <c r="C475" s="99" t="s">
        <v>7</v>
      </c>
      <c r="D475" s="99"/>
      <c r="E475" s="99" t="s">
        <v>76</v>
      </c>
      <c r="F475" s="140">
        <v>32.9</v>
      </c>
      <c r="G475" s="140">
        <v>21.9</v>
      </c>
      <c r="H475" s="140">
        <v>11</v>
      </c>
      <c r="I475" s="123">
        <v>18</v>
      </c>
      <c r="J475" s="123">
        <v>16.55</v>
      </c>
      <c r="K475" s="145">
        <v>1</v>
      </c>
      <c r="L475" s="140">
        <v>32.9</v>
      </c>
      <c r="M475" s="140">
        <v>21.9</v>
      </c>
      <c r="N475" s="99"/>
      <c r="O475" s="140">
        <v>11</v>
      </c>
      <c r="P475" s="123">
        <v>18</v>
      </c>
      <c r="Q475" s="123">
        <v>16.55</v>
      </c>
      <c r="R475" s="233">
        <f>YEAR(Tableau4[[#This Row],[Date]])</f>
        <v>2020</v>
      </c>
    </row>
    <row r="476" spans="1:18">
      <c r="A476" s="231">
        <v>43831</v>
      </c>
      <c r="B476" s="244" t="s">
        <v>893</v>
      </c>
      <c r="C476" s="99" t="s">
        <v>58</v>
      </c>
      <c r="D476" s="99"/>
      <c r="E476" s="99"/>
      <c r="F476" s="140">
        <v>21</v>
      </c>
      <c r="G476" s="140">
        <v>15</v>
      </c>
      <c r="H476" s="140">
        <v>6</v>
      </c>
      <c r="I476" s="123">
        <v>11.5</v>
      </c>
      <c r="J476" s="123">
        <v>12.61</v>
      </c>
      <c r="K476" s="145">
        <v>1</v>
      </c>
      <c r="L476" s="140">
        <v>21</v>
      </c>
      <c r="M476" s="140">
        <v>15</v>
      </c>
      <c r="N476" s="99"/>
      <c r="O476" s="140">
        <v>6</v>
      </c>
      <c r="P476" s="123">
        <v>11.5</v>
      </c>
      <c r="Q476" s="123">
        <v>12.61</v>
      </c>
      <c r="R476" s="233">
        <f>YEAR(Tableau4[[#This Row],[Date]])</f>
        <v>2020</v>
      </c>
    </row>
    <row r="477" spans="1:18">
      <c r="A477" s="231">
        <v>43831</v>
      </c>
      <c r="B477" s="244" t="s">
        <v>893</v>
      </c>
      <c r="C477" s="99" t="s">
        <v>7</v>
      </c>
      <c r="D477" s="99"/>
      <c r="E477" s="99" t="s">
        <v>53</v>
      </c>
      <c r="F477" s="140">
        <v>5</v>
      </c>
      <c r="G477" s="140">
        <v>2.9</v>
      </c>
      <c r="H477" s="140">
        <v>2.1</v>
      </c>
      <c r="I477" s="123">
        <v>1.5</v>
      </c>
      <c r="J477" s="123">
        <v>1</v>
      </c>
      <c r="K477" s="145">
        <v>1</v>
      </c>
      <c r="L477" s="140">
        <v>5</v>
      </c>
      <c r="M477" s="140">
        <v>2.9</v>
      </c>
      <c r="N477" s="99"/>
      <c r="O477" s="140">
        <v>2.1</v>
      </c>
      <c r="P477" s="123">
        <v>1.5</v>
      </c>
      <c r="Q477" s="123">
        <v>1</v>
      </c>
      <c r="R477" s="233">
        <f>YEAR(Tableau4[[#This Row],[Date]])</f>
        <v>2020</v>
      </c>
    </row>
    <row r="478" spans="1:18">
      <c r="A478" s="231">
        <v>43952</v>
      </c>
      <c r="B478" s="244" t="s">
        <v>893</v>
      </c>
      <c r="C478" s="99" t="s">
        <v>58</v>
      </c>
      <c r="D478" s="99"/>
      <c r="E478" s="99"/>
      <c r="F478" s="140">
        <v>21</v>
      </c>
      <c r="G478" s="140">
        <v>15</v>
      </c>
      <c r="H478" s="140">
        <v>6</v>
      </c>
      <c r="I478" s="123">
        <v>11.5</v>
      </c>
      <c r="J478" s="123">
        <v>12.61</v>
      </c>
      <c r="K478" s="145">
        <v>1</v>
      </c>
      <c r="L478" s="140">
        <v>21</v>
      </c>
      <c r="M478" s="140">
        <v>15</v>
      </c>
      <c r="N478" s="99"/>
      <c r="O478" s="140">
        <v>6</v>
      </c>
      <c r="P478" s="123">
        <v>11.5</v>
      </c>
      <c r="Q478" s="123">
        <v>12.61</v>
      </c>
      <c r="R478" s="233">
        <f>YEAR(Tableau4[[#This Row],[Date]])</f>
        <v>2020</v>
      </c>
    </row>
    <row r="479" spans="1:18">
      <c r="A479" s="231">
        <v>43952</v>
      </c>
      <c r="B479" s="244" t="s">
        <v>893</v>
      </c>
      <c r="C479" s="99" t="s">
        <v>7</v>
      </c>
      <c r="D479" s="99"/>
      <c r="E479" s="99" t="s">
        <v>76</v>
      </c>
      <c r="F479" s="140">
        <v>32.9</v>
      </c>
      <c r="G479" s="140">
        <v>21.9</v>
      </c>
      <c r="H479" s="140">
        <v>11</v>
      </c>
      <c r="I479" s="123">
        <v>18</v>
      </c>
      <c r="J479" s="123">
        <v>16.55</v>
      </c>
      <c r="K479" s="145">
        <v>1</v>
      </c>
      <c r="L479" s="140">
        <v>32.9</v>
      </c>
      <c r="M479" s="140">
        <v>21.9</v>
      </c>
      <c r="N479" s="99"/>
      <c r="O479" s="140">
        <v>11</v>
      </c>
      <c r="P479" s="123">
        <v>18</v>
      </c>
      <c r="Q479" s="123">
        <v>16.55</v>
      </c>
      <c r="R479" s="233">
        <f>YEAR(Tableau4[[#This Row],[Date]])</f>
        <v>2020</v>
      </c>
    </row>
    <row r="480" spans="1:18">
      <c r="A480" s="231">
        <v>44013</v>
      </c>
      <c r="B480" s="244" t="s">
        <v>893</v>
      </c>
      <c r="C480" s="99" t="s">
        <v>58</v>
      </c>
      <c r="D480" s="99"/>
      <c r="E480" s="99"/>
      <c r="F480" s="140">
        <v>21</v>
      </c>
      <c r="G480" s="140">
        <v>15</v>
      </c>
      <c r="H480" s="140">
        <v>6</v>
      </c>
      <c r="I480" s="123">
        <v>11.5</v>
      </c>
      <c r="J480" s="123">
        <v>12.61</v>
      </c>
      <c r="K480" s="145">
        <v>1</v>
      </c>
      <c r="L480" s="140">
        <v>21</v>
      </c>
      <c r="M480" s="140">
        <v>15</v>
      </c>
      <c r="N480" s="99"/>
      <c r="O480" s="140">
        <v>6</v>
      </c>
      <c r="P480" s="123">
        <v>11.5</v>
      </c>
      <c r="Q480" s="123">
        <v>12.61</v>
      </c>
      <c r="R480" s="233">
        <f>YEAR(Tableau4[[#This Row],[Date]])</f>
        <v>2020</v>
      </c>
    </row>
    <row r="481" spans="1:18">
      <c r="A481" s="241">
        <v>43556</v>
      </c>
      <c r="B481" s="244" t="s">
        <v>894</v>
      </c>
      <c r="C481" s="99" t="s">
        <v>7</v>
      </c>
      <c r="D481" s="99"/>
      <c r="E481" s="99">
        <v>50</v>
      </c>
      <c r="F481" s="140">
        <v>19.899999999999999</v>
      </c>
      <c r="G481" s="140">
        <v>13.3</v>
      </c>
      <c r="H481" s="140">
        <v>6.5999999999999979</v>
      </c>
      <c r="I481" s="123">
        <v>11</v>
      </c>
      <c r="J481" s="123">
        <v>9</v>
      </c>
      <c r="K481" s="145">
        <v>1</v>
      </c>
      <c r="L481" s="140">
        <v>19.899999999999999</v>
      </c>
      <c r="M481" s="140">
        <v>13.3</v>
      </c>
      <c r="N481" s="99"/>
      <c r="O481" s="140">
        <v>6.5999999999999979</v>
      </c>
      <c r="P481" s="123">
        <v>11</v>
      </c>
      <c r="Q481" s="123">
        <v>9</v>
      </c>
      <c r="R481" s="233">
        <f>YEAR(Tableau4[[#This Row],[Date]])</f>
        <v>2019</v>
      </c>
    </row>
    <row r="482" spans="1:18">
      <c r="A482" s="241">
        <v>43586</v>
      </c>
      <c r="B482" s="244" t="s">
        <v>894</v>
      </c>
      <c r="C482" s="99" t="s">
        <v>7</v>
      </c>
      <c r="D482" s="99"/>
      <c r="E482" s="99">
        <v>50</v>
      </c>
      <c r="F482" s="140">
        <v>19.899999999999999</v>
      </c>
      <c r="G482" s="140">
        <v>13.3</v>
      </c>
      <c r="H482" s="140">
        <v>6.5999999999999979</v>
      </c>
      <c r="I482" s="123">
        <v>11</v>
      </c>
      <c r="J482" s="123">
        <v>9</v>
      </c>
      <c r="K482" s="145">
        <v>1</v>
      </c>
      <c r="L482" s="140">
        <v>19.899999999999999</v>
      </c>
      <c r="M482" s="140">
        <v>13.3</v>
      </c>
      <c r="N482" s="99"/>
      <c r="O482" s="140">
        <v>6.5999999999999979</v>
      </c>
      <c r="P482" s="123">
        <v>11</v>
      </c>
      <c r="Q482" s="123">
        <v>9</v>
      </c>
      <c r="R482" s="233">
        <f>YEAR(Tableau4[[#This Row],[Date]])</f>
        <v>2019</v>
      </c>
    </row>
    <row r="483" spans="1:18">
      <c r="A483" s="241">
        <v>43617</v>
      </c>
      <c r="B483" s="244" t="s">
        <v>894</v>
      </c>
      <c r="C483" s="99" t="s">
        <v>9</v>
      </c>
      <c r="D483" s="99"/>
      <c r="E483" s="99"/>
      <c r="F483" s="140">
        <v>10.9</v>
      </c>
      <c r="G483" s="140">
        <v>7.8</v>
      </c>
      <c r="H483" s="140">
        <v>3.1000000000000005</v>
      </c>
      <c r="I483" s="123">
        <v>6</v>
      </c>
      <c r="J483" s="123">
        <v>3.28</v>
      </c>
      <c r="K483" s="145">
        <v>1</v>
      </c>
      <c r="L483" s="140">
        <v>10.9</v>
      </c>
      <c r="M483" s="140">
        <v>7.8</v>
      </c>
      <c r="N483" s="99"/>
      <c r="O483" s="140">
        <v>3.1000000000000005</v>
      </c>
      <c r="P483" s="123">
        <v>8</v>
      </c>
      <c r="Q483" s="123">
        <v>3.28</v>
      </c>
      <c r="R483" s="233">
        <f>YEAR(Tableau4[[#This Row],[Date]])</f>
        <v>2019</v>
      </c>
    </row>
    <row r="484" spans="1:18">
      <c r="A484" s="241">
        <v>43617</v>
      </c>
      <c r="B484" s="244" t="s">
        <v>894</v>
      </c>
      <c r="C484" s="99" t="s">
        <v>7</v>
      </c>
      <c r="D484" s="99"/>
      <c r="E484" s="99" t="s">
        <v>53</v>
      </c>
      <c r="F484" s="140">
        <v>5</v>
      </c>
      <c r="G484" s="140">
        <v>2.99</v>
      </c>
      <c r="H484" s="140">
        <v>2.0099999999999998</v>
      </c>
      <c r="I484" s="123">
        <v>1.5</v>
      </c>
      <c r="J484" s="123">
        <v>1</v>
      </c>
      <c r="K484" s="145">
        <v>1</v>
      </c>
      <c r="L484" s="140">
        <v>5</v>
      </c>
      <c r="M484" s="140">
        <v>2.99</v>
      </c>
      <c r="N484" s="99"/>
      <c r="O484" s="140">
        <v>2.0099999999999998</v>
      </c>
      <c r="P484" s="123">
        <v>1.5</v>
      </c>
      <c r="Q484" s="123">
        <v>1</v>
      </c>
      <c r="R484" s="233">
        <f>YEAR(Tableau4[[#This Row],[Date]])</f>
        <v>2019</v>
      </c>
    </row>
    <row r="485" spans="1:18">
      <c r="A485" s="241">
        <v>43678</v>
      </c>
      <c r="B485" s="244" t="s">
        <v>894</v>
      </c>
      <c r="C485" s="99" t="s">
        <v>7</v>
      </c>
      <c r="D485" s="99"/>
      <c r="E485" s="99">
        <v>50</v>
      </c>
      <c r="F485" s="140">
        <v>19.899999999999999</v>
      </c>
      <c r="G485" s="140">
        <v>13.3</v>
      </c>
      <c r="H485" s="140">
        <v>6.5999999999999979</v>
      </c>
      <c r="I485" s="123">
        <v>11</v>
      </c>
      <c r="J485" s="123">
        <v>9</v>
      </c>
      <c r="K485" s="145">
        <v>1</v>
      </c>
      <c r="L485" s="140">
        <v>19.899999999999999</v>
      </c>
      <c r="M485" s="140">
        <v>13.3</v>
      </c>
      <c r="N485" s="99"/>
      <c r="O485" s="140">
        <v>6.5999999999999979</v>
      </c>
      <c r="P485" s="123">
        <v>11</v>
      </c>
      <c r="Q485" s="123">
        <v>9</v>
      </c>
      <c r="R485" s="233">
        <f>YEAR(Tableau4[[#This Row],[Date]])</f>
        <v>2019</v>
      </c>
    </row>
    <row r="486" spans="1:18">
      <c r="A486" s="241">
        <v>43770</v>
      </c>
      <c r="B486" s="244" t="s">
        <v>894</v>
      </c>
      <c r="C486" s="99" t="s">
        <v>7</v>
      </c>
      <c r="D486" s="99"/>
      <c r="E486" s="99">
        <v>50</v>
      </c>
      <c r="F486" s="140">
        <v>19.899999999999999</v>
      </c>
      <c r="G486" s="140">
        <v>13.3</v>
      </c>
      <c r="H486" s="140">
        <v>6.5999999999999979</v>
      </c>
      <c r="I486" s="123">
        <v>11</v>
      </c>
      <c r="J486" s="123">
        <v>9</v>
      </c>
      <c r="K486" s="145">
        <v>1</v>
      </c>
      <c r="L486" s="140">
        <v>19.899999999999999</v>
      </c>
      <c r="M486" s="140">
        <v>13.3</v>
      </c>
      <c r="N486" s="99"/>
      <c r="O486" s="140">
        <v>6.5999999999999979</v>
      </c>
      <c r="P486" s="123">
        <v>11</v>
      </c>
      <c r="Q486" s="123">
        <v>9</v>
      </c>
      <c r="R486" s="233">
        <f>YEAR(Tableau4[[#This Row],[Date]])</f>
        <v>2019</v>
      </c>
    </row>
    <row r="487" spans="1:18">
      <c r="A487" s="231">
        <v>43831</v>
      </c>
      <c r="B487" s="244" t="s">
        <v>894</v>
      </c>
      <c r="C487" s="99" t="s">
        <v>7</v>
      </c>
      <c r="D487" s="99"/>
      <c r="E487" s="99" t="s">
        <v>79</v>
      </c>
      <c r="F487" s="140">
        <v>27</v>
      </c>
      <c r="G487" s="140">
        <v>9.9</v>
      </c>
      <c r="H487" s="140">
        <v>17.100000000000001</v>
      </c>
      <c r="I487" s="123">
        <v>8</v>
      </c>
      <c r="J487" s="123">
        <v>5</v>
      </c>
      <c r="K487" s="145">
        <v>1</v>
      </c>
      <c r="L487" s="140">
        <v>27</v>
      </c>
      <c r="M487" s="140">
        <v>9.9</v>
      </c>
      <c r="N487" s="99"/>
      <c r="O487" s="140">
        <v>17.100000000000001</v>
      </c>
      <c r="P487" s="123">
        <v>8</v>
      </c>
      <c r="Q487" s="123">
        <v>5</v>
      </c>
      <c r="R487" s="233">
        <f>YEAR(Tableau4[[#This Row],[Date]])</f>
        <v>2020</v>
      </c>
    </row>
    <row r="488" spans="1:18">
      <c r="A488" s="231">
        <v>43952</v>
      </c>
      <c r="B488" s="244" t="s">
        <v>894</v>
      </c>
      <c r="C488" s="99" t="s">
        <v>7</v>
      </c>
      <c r="D488" s="99"/>
      <c r="E488" s="99" t="s">
        <v>76</v>
      </c>
      <c r="F488" s="140">
        <v>32.9</v>
      </c>
      <c r="G488" s="140">
        <v>21.9</v>
      </c>
      <c r="H488" s="140">
        <v>11</v>
      </c>
      <c r="I488" s="123">
        <v>18</v>
      </c>
      <c r="J488" s="123">
        <v>16.55</v>
      </c>
      <c r="K488" s="145">
        <v>1</v>
      </c>
      <c r="L488" s="140">
        <v>32.9</v>
      </c>
      <c r="M488" s="140">
        <v>21.9</v>
      </c>
      <c r="N488" s="99"/>
      <c r="O488" s="140">
        <v>11</v>
      </c>
      <c r="P488" s="123">
        <v>18</v>
      </c>
      <c r="Q488" s="123">
        <v>16.55</v>
      </c>
      <c r="R488" s="233">
        <f>YEAR(Tableau4[[#This Row],[Date]])</f>
        <v>2020</v>
      </c>
    </row>
    <row r="489" spans="1:18">
      <c r="A489" s="241">
        <v>43556</v>
      </c>
      <c r="B489" s="244" t="s">
        <v>895</v>
      </c>
      <c r="C489" s="99" t="s">
        <v>7</v>
      </c>
      <c r="D489" s="99"/>
      <c r="E489" s="99">
        <v>100</v>
      </c>
      <c r="F489" s="140">
        <v>29.9</v>
      </c>
      <c r="G489" s="140">
        <v>19.899999999999999</v>
      </c>
      <c r="H489" s="140">
        <v>10</v>
      </c>
      <c r="I489" s="123">
        <v>16</v>
      </c>
      <c r="J489" s="123">
        <v>16.55</v>
      </c>
      <c r="K489" s="145">
        <v>1</v>
      </c>
      <c r="L489" s="140">
        <v>29.9</v>
      </c>
      <c r="M489" s="140">
        <v>19.899999999999999</v>
      </c>
      <c r="N489" s="99"/>
      <c r="O489" s="140">
        <v>10</v>
      </c>
      <c r="P489" s="123">
        <v>16</v>
      </c>
      <c r="Q489" s="123">
        <v>16.55</v>
      </c>
      <c r="R489" s="233">
        <f>YEAR(Tableau4[[#This Row],[Date]])</f>
        <v>2019</v>
      </c>
    </row>
    <row r="490" spans="1:18">
      <c r="A490" s="241">
        <v>43739</v>
      </c>
      <c r="B490" s="246" t="s">
        <v>896</v>
      </c>
      <c r="C490" s="99" t="s">
        <v>7</v>
      </c>
      <c r="D490" s="99"/>
      <c r="E490" s="99">
        <v>100</v>
      </c>
      <c r="F490" s="140">
        <v>29.9</v>
      </c>
      <c r="G490" s="140">
        <v>19.899999999999999</v>
      </c>
      <c r="H490" s="140">
        <v>10</v>
      </c>
      <c r="I490" s="123">
        <v>16</v>
      </c>
      <c r="J490" s="123">
        <v>16.55</v>
      </c>
      <c r="K490" s="145">
        <v>1</v>
      </c>
      <c r="L490" s="140">
        <v>29.9</v>
      </c>
      <c r="M490" s="140">
        <v>19.899999999999999</v>
      </c>
      <c r="N490" s="99"/>
      <c r="O490" s="140">
        <v>10</v>
      </c>
      <c r="P490" s="123">
        <v>16</v>
      </c>
      <c r="Q490" s="123">
        <v>16.55</v>
      </c>
      <c r="R490" s="233">
        <f>YEAR(Tableau4[[#This Row],[Date]])</f>
        <v>2019</v>
      </c>
    </row>
    <row r="491" spans="1:18">
      <c r="A491" s="241">
        <v>43739</v>
      </c>
      <c r="B491" s="246" t="s">
        <v>896</v>
      </c>
      <c r="C491" s="99" t="s">
        <v>7</v>
      </c>
      <c r="D491" s="99"/>
      <c r="E491" s="99">
        <v>100</v>
      </c>
      <c r="F491" s="140">
        <v>29.9</v>
      </c>
      <c r="G491" s="140">
        <v>19.899999999999999</v>
      </c>
      <c r="H491" s="140">
        <v>10</v>
      </c>
      <c r="I491" s="123">
        <v>16</v>
      </c>
      <c r="J491" s="123">
        <v>16.55</v>
      </c>
      <c r="K491" s="145">
        <v>1</v>
      </c>
      <c r="L491" s="140">
        <v>29.9</v>
      </c>
      <c r="M491" s="140">
        <v>19.899999999999999</v>
      </c>
      <c r="N491" s="99"/>
      <c r="O491" s="140">
        <v>10</v>
      </c>
      <c r="P491" s="123">
        <v>16</v>
      </c>
      <c r="Q491" s="123">
        <v>16.55</v>
      </c>
      <c r="R491" s="233">
        <f>YEAR(Tableau4[[#This Row],[Date]])</f>
        <v>2019</v>
      </c>
    </row>
    <row r="492" spans="1:18">
      <c r="A492" s="241">
        <v>43739</v>
      </c>
      <c r="B492" s="246" t="s">
        <v>896</v>
      </c>
      <c r="C492" s="99" t="s">
        <v>7</v>
      </c>
      <c r="D492" s="99"/>
      <c r="E492" s="99">
        <v>100</v>
      </c>
      <c r="F492" s="140">
        <v>29.9</v>
      </c>
      <c r="G492" s="140">
        <v>19.899999999999999</v>
      </c>
      <c r="H492" s="140">
        <v>10</v>
      </c>
      <c r="I492" s="123">
        <v>16</v>
      </c>
      <c r="J492" s="123">
        <v>16.55</v>
      </c>
      <c r="K492" s="145">
        <v>1</v>
      </c>
      <c r="L492" s="140">
        <v>29.9</v>
      </c>
      <c r="M492" s="140">
        <v>19.899999999999999</v>
      </c>
      <c r="N492" s="99"/>
      <c r="O492" s="140">
        <v>10</v>
      </c>
      <c r="P492" s="123">
        <v>16</v>
      </c>
      <c r="Q492" s="123">
        <v>16.55</v>
      </c>
      <c r="R492" s="233">
        <f>YEAR(Tableau4[[#This Row],[Date]])</f>
        <v>2019</v>
      </c>
    </row>
    <row r="493" spans="1:18">
      <c r="A493" s="241">
        <v>43739</v>
      </c>
      <c r="B493" s="246" t="s">
        <v>896</v>
      </c>
      <c r="C493" s="99" t="s">
        <v>7</v>
      </c>
      <c r="D493" s="99"/>
      <c r="E493" s="99" t="s">
        <v>53</v>
      </c>
      <c r="F493" s="140">
        <v>5</v>
      </c>
      <c r="G493" s="140">
        <v>2.9</v>
      </c>
      <c r="H493" s="140">
        <v>2.1</v>
      </c>
      <c r="I493" s="123">
        <v>1.5</v>
      </c>
      <c r="J493" s="123">
        <v>1</v>
      </c>
      <c r="K493" s="145">
        <v>1</v>
      </c>
      <c r="L493" s="140">
        <v>5</v>
      </c>
      <c r="M493" s="140">
        <v>2.9</v>
      </c>
      <c r="N493" s="99"/>
      <c r="O493" s="140">
        <v>2.1</v>
      </c>
      <c r="P493" s="123">
        <v>1.5</v>
      </c>
      <c r="Q493" s="123">
        <v>1</v>
      </c>
      <c r="R493" s="233">
        <f>YEAR(Tableau4[[#This Row],[Date]])</f>
        <v>2019</v>
      </c>
    </row>
    <row r="494" spans="1:18">
      <c r="A494" s="241">
        <v>43739</v>
      </c>
      <c r="B494" s="246" t="s">
        <v>896</v>
      </c>
      <c r="C494" s="99" t="s">
        <v>7</v>
      </c>
      <c r="D494" s="99"/>
      <c r="E494" s="99" t="s">
        <v>53</v>
      </c>
      <c r="F494" s="140">
        <v>5</v>
      </c>
      <c r="G494" s="140">
        <v>2.9</v>
      </c>
      <c r="H494" s="140">
        <v>2.1</v>
      </c>
      <c r="I494" s="123">
        <v>1.5</v>
      </c>
      <c r="J494" s="123">
        <v>1</v>
      </c>
      <c r="K494" s="145">
        <v>1</v>
      </c>
      <c r="L494" s="140">
        <v>5</v>
      </c>
      <c r="M494" s="140">
        <v>2.9</v>
      </c>
      <c r="N494" s="99"/>
      <c r="O494" s="140">
        <v>2.1</v>
      </c>
      <c r="P494" s="123">
        <v>1.5</v>
      </c>
      <c r="Q494" s="123">
        <v>1</v>
      </c>
      <c r="R494" s="233">
        <f>YEAR(Tableau4[[#This Row],[Date]])</f>
        <v>2019</v>
      </c>
    </row>
    <row r="495" spans="1:18">
      <c r="A495" s="241">
        <v>43739</v>
      </c>
      <c r="B495" s="246" t="s">
        <v>896</v>
      </c>
      <c r="C495" s="99" t="s">
        <v>7</v>
      </c>
      <c r="D495" s="99"/>
      <c r="E495" s="99" t="s">
        <v>53</v>
      </c>
      <c r="F495" s="140">
        <v>5</v>
      </c>
      <c r="G495" s="140">
        <v>2.9</v>
      </c>
      <c r="H495" s="140">
        <v>2.1</v>
      </c>
      <c r="I495" s="123">
        <v>1.5</v>
      </c>
      <c r="J495" s="123">
        <v>1</v>
      </c>
      <c r="K495" s="145">
        <v>1</v>
      </c>
      <c r="L495" s="140">
        <v>5</v>
      </c>
      <c r="M495" s="140">
        <v>2.9</v>
      </c>
      <c r="N495" s="99"/>
      <c r="O495" s="140">
        <v>2.1</v>
      </c>
      <c r="P495" s="123">
        <v>1.5</v>
      </c>
      <c r="Q495" s="123">
        <v>1</v>
      </c>
      <c r="R495" s="233">
        <f>YEAR(Tableau4[[#This Row],[Date]])</f>
        <v>2019</v>
      </c>
    </row>
    <row r="496" spans="1:18">
      <c r="A496" s="241">
        <v>43739</v>
      </c>
      <c r="B496" s="246" t="s">
        <v>896</v>
      </c>
      <c r="C496" s="99" t="s">
        <v>7</v>
      </c>
      <c r="D496" s="99"/>
      <c r="E496" s="99" t="s">
        <v>53</v>
      </c>
      <c r="F496" s="140">
        <v>5</v>
      </c>
      <c r="G496" s="140">
        <v>2.9</v>
      </c>
      <c r="H496" s="140">
        <v>2.1</v>
      </c>
      <c r="I496" s="123">
        <v>1.5</v>
      </c>
      <c r="J496" s="123">
        <v>1</v>
      </c>
      <c r="K496" s="145">
        <v>1</v>
      </c>
      <c r="L496" s="140">
        <v>5</v>
      </c>
      <c r="M496" s="140">
        <v>2.9</v>
      </c>
      <c r="N496" s="99"/>
      <c r="O496" s="140">
        <v>2.1</v>
      </c>
      <c r="P496" s="123">
        <v>1.5</v>
      </c>
      <c r="Q496" s="123">
        <v>1</v>
      </c>
      <c r="R496" s="233">
        <f>YEAR(Tableau4[[#This Row],[Date]])</f>
        <v>2019</v>
      </c>
    </row>
    <row r="497" spans="1:18">
      <c r="A497" s="241">
        <v>43739</v>
      </c>
      <c r="B497" s="246" t="s">
        <v>896</v>
      </c>
      <c r="C497" s="99" t="s">
        <v>7</v>
      </c>
      <c r="D497" s="99"/>
      <c r="E497" s="99" t="s">
        <v>53</v>
      </c>
      <c r="F497" s="140">
        <v>5</v>
      </c>
      <c r="G497" s="140">
        <v>2.9</v>
      </c>
      <c r="H497" s="140">
        <v>2.1</v>
      </c>
      <c r="I497" s="123">
        <v>1.5</v>
      </c>
      <c r="J497" s="123">
        <v>1</v>
      </c>
      <c r="K497" s="145">
        <v>1</v>
      </c>
      <c r="L497" s="140">
        <v>5</v>
      </c>
      <c r="M497" s="140">
        <v>2.9</v>
      </c>
      <c r="N497" s="99"/>
      <c r="O497" s="140">
        <v>2.1</v>
      </c>
      <c r="P497" s="123">
        <v>1.5</v>
      </c>
      <c r="Q497" s="123">
        <v>1</v>
      </c>
      <c r="R497" s="233">
        <f>YEAR(Tableau4[[#This Row],[Date]])</f>
        <v>2019</v>
      </c>
    </row>
    <row r="498" spans="1:18">
      <c r="A498" s="241">
        <v>43739</v>
      </c>
      <c r="B498" s="246" t="s">
        <v>896</v>
      </c>
      <c r="C498" s="99" t="s">
        <v>7</v>
      </c>
      <c r="D498" s="99"/>
      <c r="E498" s="99" t="s">
        <v>53</v>
      </c>
      <c r="F498" s="140">
        <v>5</v>
      </c>
      <c r="G498" s="140">
        <v>2.9</v>
      </c>
      <c r="H498" s="140">
        <v>2.1</v>
      </c>
      <c r="I498" s="123">
        <v>1.5</v>
      </c>
      <c r="J498" s="123">
        <v>1</v>
      </c>
      <c r="K498" s="145">
        <v>1</v>
      </c>
      <c r="L498" s="140">
        <v>5</v>
      </c>
      <c r="M498" s="140">
        <v>2.9</v>
      </c>
      <c r="N498" s="99"/>
      <c r="O498" s="140">
        <v>2.1</v>
      </c>
      <c r="P498" s="123">
        <v>1.5</v>
      </c>
      <c r="Q498" s="123">
        <v>1</v>
      </c>
      <c r="R498" s="233">
        <f>YEAR(Tableau4[[#This Row],[Date]])</f>
        <v>2019</v>
      </c>
    </row>
    <row r="499" spans="1:18">
      <c r="A499" s="241">
        <v>43739</v>
      </c>
      <c r="B499" s="246" t="s">
        <v>896</v>
      </c>
      <c r="C499" s="99" t="s">
        <v>7</v>
      </c>
      <c r="D499" s="99"/>
      <c r="E499" s="99" t="s">
        <v>53</v>
      </c>
      <c r="F499" s="140">
        <v>5</v>
      </c>
      <c r="G499" s="140">
        <v>2.9</v>
      </c>
      <c r="H499" s="140">
        <v>2.1</v>
      </c>
      <c r="I499" s="123">
        <v>1.5</v>
      </c>
      <c r="J499" s="123">
        <v>1</v>
      </c>
      <c r="K499" s="145">
        <v>1</v>
      </c>
      <c r="L499" s="140">
        <v>5</v>
      </c>
      <c r="M499" s="140">
        <v>2.9</v>
      </c>
      <c r="N499" s="99"/>
      <c r="O499" s="140">
        <v>2.1</v>
      </c>
      <c r="P499" s="123">
        <v>1.5</v>
      </c>
      <c r="Q499" s="123">
        <v>1</v>
      </c>
      <c r="R499" s="233">
        <f>YEAR(Tableau4[[#This Row],[Date]])</f>
        <v>2019</v>
      </c>
    </row>
    <row r="500" spans="1:18">
      <c r="A500" s="241">
        <v>43739</v>
      </c>
      <c r="B500" s="246" t="s">
        <v>896</v>
      </c>
      <c r="C500" s="99" t="s">
        <v>7</v>
      </c>
      <c r="D500" s="99"/>
      <c r="E500" s="99" t="s">
        <v>53</v>
      </c>
      <c r="F500" s="140">
        <v>5</v>
      </c>
      <c r="G500" s="140">
        <v>2.9</v>
      </c>
      <c r="H500" s="140">
        <v>2.1</v>
      </c>
      <c r="I500" s="123">
        <v>1.5</v>
      </c>
      <c r="J500" s="123">
        <v>1</v>
      </c>
      <c r="K500" s="145">
        <v>1</v>
      </c>
      <c r="L500" s="140">
        <v>5</v>
      </c>
      <c r="M500" s="140">
        <v>2.9</v>
      </c>
      <c r="N500" s="99"/>
      <c r="O500" s="140">
        <v>2.1</v>
      </c>
      <c r="P500" s="123">
        <v>1.5</v>
      </c>
      <c r="Q500" s="123">
        <v>1</v>
      </c>
      <c r="R500" s="233">
        <f>YEAR(Tableau4[[#This Row],[Date]])</f>
        <v>2019</v>
      </c>
    </row>
    <row r="501" spans="1:18">
      <c r="A501" s="241">
        <v>43739</v>
      </c>
      <c r="B501" s="246" t="s">
        <v>896</v>
      </c>
      <c r="C501" s="99" t="s">
        <v>7</v>
      </c>
      <c r="D501" s="99"/>
      <c r="E501" s="99" t="s">
        <v>53</v>
      </c>
      <c r="F501" s="140">
        <v>5</v>
      </c>
      <c r="G501" s="140">
        <v>2.9</v>
      </c>
      <c r="H501" s="140">
        <v>2.1</v>
      </c>
      <c r="I501" s="123">
        <v>1.5</v>
      </c>
      <c r="J501" s="123">
        <v>1</v>
      </c>
      <c r="K501" s="145">
        <v>1</v>
      </c>
      <c r="L501" s="140">
        <v>5</v>
      </c>
      <c r="M501" s="140">
        <v>2.9</v>
      </c>
      <c r="N501" s="99"/>
      <c r="O501" s="140">
        <v>2.1</v>
      </c>
      <c r="P501" s="123">
        <v>1.5</v>
      </c>
      <c r="Q501" s="123">
        <v>1</v>
      </c>
      <c r="R501" s="233">
        <f>YEAR(Tableau4[[#This Row],[Date]])</f>
        <v>2019</v>
      </c>
    </row>
    <row r="502" spans="1:18">
      <c r="A502" s="241">
        <v>43739</v>
      </c>
      <c r="B502" s="246" t="s">
        <v>896</v>
      </c>
      <c r="C502" s="99" t="s">
        <v>7</v>
      </c>
      <c r="D502" s="99"/>
      <c r="E502" s="99" t="s">
        <v>53</v>
      </c>
      <c r="F502" s="140">
        <v>5</v>
      </c>
      <c r="G502" s="140">
        <v>2.9</v>
      </c>
      <c r="H502" s="140">
        <v>2.1</v>
      </c>
      <c r="I502" s="123">
        <v>1.5</v>
      </c>
      <c r="J502" s="123">
        <v>1</v>
      </c>
      <c r="K502" s="145">
        <v>1</v>
      </c>
      <c r="L502" s="140">
        <v>5</v>
      </c>
      <c r="M502" s="140">
        <v>2.9</v>
      </c>
      <c r="N502" s="99"/>
      <c r="O502" s="140">
        <v>2.1</v>
      </c>
      <c r="P502" s="123">
        <v>1.5</v>
      </c>
      <c r="Q502" s="123">
        <v>1</v>
      </c>
      <c r="R502" s="233">
        <f>YEAR(Tableau4[[#This Row],[Date]])</f>
        <v>2019</v>
      </c>
    </row>
    <row r="503" spans="1:18">
      <c r="A503" s="241">
        <v>43739</v>
      </c>
      <c r="B503" s="246" t="s">
        <v>896</v>
      </c>
      <c r="C503" s="99" t="s">
        <v>7</v>
      </c>
      <c r="D503" s="99"/>
      <c r="E503" s="99" t="s">
        <v>53</v>
      </c>
      <c r="F503" s="140">
        <v>5</v>
      </c>
      <c r="G503" s="140">
        <v>2.9</v>
      </c>
      <c r="H503" s="140">
        <v>2.1</v>
      </c>
      <c r="I503" s="123">
        <v>1.5</v>
      </c>
      <c r="J503" s="123">
        <v>1</v>
      </c>
      <c r="K503" s="145">
        <v>1</v>
      </c>
      <c r="L503" s="140">
        <v>0</v>
      </c>
      <c r="M503" s="140">
        <v>2.9</v>
      </c>
      <c r="N503" s="99">
        <v>5</v>
      </c>
      <c r="O503" s="140">
        <v>-2.9</v>
      </c>
      <c r="P503" s="123">
        <v>1.5</v>
      </c>
      <c r="Q503" s="123">
        <v>1</v>
      </c>
      <c r="R503" s="233">
        <f>YEAR(Tableau4[[#This Row],[Date]])</f>
        <v>2019</v>
      </c>
    </row>
    <row r="504" spans="1:18">
      <c r="A504" s="231">
        <v>43862</v>
      </c>
      <c r="B504" s="244" t="s">
        <v>896</v>
      </c>
      <c r="C504" s="99" t="s">
        <v>7</v>
      </c>
      <c r="D504" s="99"/>
      <c r="E504" s="99" t="s">
        <v>81</v>
      </c>
      <c r="F504" s="140">
        <v>15</v>
      </c>
      <c r="G504" s="140">
        <v>6.9</v>
      </c>
      <c r="H504" s="140">
        <v>8.1</v>
      </c>
      <c r="I504" s="123">
        <v>4</v>
      </c>
      <c r="J504" s="123">
        <v>3</v>
      </c>
      <c r="K504" s="145">
        <v>1</v>
      </c>
      <c r="L504" s="140">
        <v>10</v>
      </c>
      <c r="M504" s="140">
        <v>6.9</v>
      </c>
      <c r="N504" s="99">
        <v>5</v>
      </c>
      <c r="O504" s="140">
        <v>3.0999999999999996</v>
      </c>
      <c r="P504" s="123">
        <v>4</v>
      </c>
      <c r="Q504" s="123">
        <v>3</v>
      </c>
      <c r="R504" s="233">
        <f>YEAR(Tableau4[[#This Row],[Date]])</f>
        <v>2020</v>
      </c>
    </row>
    <row r="505" spans="1:18">
      <c r="A505" s="231">
        <v>43862</v>
      </c>
      <c r="B505" s="244" t="s">
        <v>896</v>
      </c>
      <c r="C505" s="99" t="s">
        <v>7</v>
      </c>
      <c r="D505" s="99"/>
      <c r="E505" s="99" t="s">
        <v>80</v>
      </c>
      <c r="F505" s="140">
        <v>15</v>
      </c>
      <c r="G505" s="140">
        <v>5.8</v>
      </c>
      <c r="H505" s="140">
        <v>9.1999999999999993</v>
      </c>
      <c r="I505" s="123">
        <v>4</v>
      </c>
      <c r="J505" s="123">
        <v>3</v>
      </c>
      <c r="K505" s="145">
        <v>1</v>
      </c>
      <c r="L505" s="140">
        <v>10</v>
      </c>
      <c r="M505" s="140">
        <v>5.8</v>
      </c>
      <c r="N505" s="99">
        <v>5</v>
      </c>
      <c r="O505" s="140">
        <v>4.2</v>
      </c>
      <c r="P505" s="123">
        <v>4</v>
      </c>
      <c r="Q505" s="123">
        <v>3</v>
      </c>
      <c r="R505" s="233">
        <f>YEAR(Tableau4[[#This Row],[Date]])</f>
        <v>2020</v>
      </c>
    </row>
    <row r="506" spans="1:18">
      <c r="A506" s="231">
        <v>43862</v>
      </c>
      <c r="B506" s="244" t="s">
        <v>896</v>
      </c>
      <c r="C506" s="99" t="s">
        <v>7</v>
      </c>
      <c r="D506" s="99"/>
      <c r="E506" s="99" t="s">
        <v>76</v>
      </c>
      <c r="F506" s="140">
        <v>32.9</v>
      </c>
      <c r="G506" s="140">
        <v>21.9</v>
      </c>
      <c r="H506" s="140">
        <v>11</v>
      </c>
      <c r="I506" s="123">
        <v>18</v>
      </c>
      <c r="J506" s="123">
        <v>16.55</v>
      </c>
      <c r="K506" s="145">
        <v>1</v>
      </c>
      <c r="L506" s="140">
        <v>32.9</v>
      </c>
      <c r="M506" s="140">
        <v>21.9</v>
      </c>
      <c r="N506" s="99"/>
      <c r="O506" s="140">
        <v>11</v>
      </c>
      <c r="P506" s="123">
        <v>18</v>
      </c>
      <c r="Q506" s="123">
        <v>16.55</v>
      </c>
      <c r="R506" s="233">
        <f>YEAR(Tableau4[[#This Row],[Date]])</f>
        <v>2020</v>
      </c>
    </row>
    <row r="507" spans="1:18">
      <c r="A507" s="231">
        <v>43862</v>
      </c>
      <c r="B507" s="244" t="s">
        <v>896</v>
      </c>
      <c r="C507" s="99" t="s">
        <v>7</v>
      </c>
      <c r="D507" s="99"/>
      <c r="E507" s="99" t="s">
        <v>76</v>
      </c>
      <c r="F507" s="140">
        <v>32.9</v>
      </c>
      <c r="G507" s="140">
        <v>21.9</v>
      </c>
      <c r="H507" s="140">
        <v>11</v>
      </c>
      <c r="I507" s="123">
        <v>18</v>
      </c>
      <c r="J507" s="123">
        <v>16.55</v>
      </c>
      <c r="K507" s="145">
        <v>1</v>
      </c>
      <c r="L507" s="140">
        <v>32.9</v>
      </c>
      <c r="M507" s="140">
        <v>21.9</v>
      </c>
      <c r="N507" s="99"/>
      <c r="O507" s="140">
        <v>11</v>
      </c>
      <c r="P507" s="123">
        <v>18</v>
      </c>
      <c r="Q507" s="123">
        <v>16.55</v>
      </c>
      <c r="R507" s="233">
        <f>YEAR(Tableau4[[#This Row],[Date]])</f>
        <v>2020</v>
      </c>
    </row>
    <row r="508" spans="1:18">
      <c r="A508" s="231">
        <v>43983</v>
      </c>
      <c r="B508" s="244" t="s">
        <v>896</v>
      </c>
      <c r="C508" s="99" t="s">
        <v>7</v>
      </c>
      <c r="D508" s="99"/>
      <c r="E508" s="99" t="s">
        <v>76</v>
      </c>
      <c r="F508" s="140">
        <v>32.9</v>
      </c>
      <c r="G508" s="140">
        <v>21.9</v>
      </c>
      <c r="H508" s="140">
        <v>11</v>
      </c>
      <c r="I508" s="123">
        <v>18</v>
      </c>
      <c r="J508" s="123">
        <v>16.55</v>
      </c>
      <c r="K508" s="145">
        <v>1</v>
      </c>
      <c r="L508" s="140">
        <v>30</v>
      </c>
      <c r="M508" s="140">
        <v>21.9</v>
      </c>
      <c r="N508" s="99">
        <v>2.9</v>
      </c>
      <c r="O508" s="140">
        <v>8.1000000000000014</v>
      </c>
      <c r="P508" s="123">
        <v>18</v>
      </c>
      <c r="Q508" s="123">
        <v>16.55</v>
      </c>
      <c r="R508" s="233">
        <f>YEAR(Tableau4[[#This Row],[Date]])</f>
        <v>2020</v>
      </c>
    </row>
    <row r="509" spans="1:18">
      <c r="A509" s="231">
        <v>43983</v>
      </c>
      <c r="B509" s="244" t="s">
        <v>896</v>
      </c>
      <c r="C509" s="99" t="s">
        <v>7</v>
      </c>
      <c r="D509" s="99"/>
      <c r="E509" s="99" t="s">
        <v>76</v>
      </c>
      <c r="F509" s="140">
        <v>32.9</v>
      </c>
      <c r="G509" s="140">
        <v>21.9</v>
      </c>
      <c r="H509" s="140">
        <v>11</v>
      </c>
      <c r="I509" s="123">
        <v>18</v>
      </c>
      <c r="J509" s="123">
        <v>16.55</v>
      </c>
      <c r="K509" s="145">
        <v>1</v>
      </c>
      <c r="L509" s="140">
        <v>30</v>
      </c>
      <c r="M509" s="140">
        <v>21.9</v>
      </c>
      <c r="N509" s="99">
        <v>2.9</v>
      </c>
      <c r="O509" s="140">
        <v>8.1000000000000014</v>
      </c>
      <c r="P509" s="123">
        <v>18</v>
      </c>
      <c r="Q509" s="123">
        <v>16.55</v>
      </c>
      <c r="R509" s="233">
        <f>YEAR(Tableau4[[#This Row],[Date]])</f>
        <v>2020</v>
      </c>
    </row>
    <row r="510" spans="1:18">
      <c r="A510" s="231">
        <v>43983</v>
      </c>
      <c r="B510" s="244" t="s">
        <v>896</v>
      </c>
      <c r="C510" s="99" t="s">
        <v>7</v>
      </c>
      <c r="D510" s="99"/>
      <c r="E510" s="99" t="s">
        <v>76</v>
      </c>
      <c r="F510" s="140">
        <v>32.9</v>
      </c>
      <c r="G510" s="140">
        <v>21.9</v>
      </c>
      <c r="H510" s="140">
        <v>11</v>
      </c>
      <c r="I510" s="123">
        <v>18</v>
      </c>
      <c r="J510" s="123">
        <v>16.55</v>
      </c>
      <c r="K510" s="145">
        <v>1</v>
      </c>
      <c r="L510" s="140">
        <v>30</v>
      </c>
      <c r="M510" s="140">
        <v>21.9</v>
      </c>
      <c r="N510" s="99">
        <v>2.9</v>
      </c>
      <c r="O510" s="140">
        <v>8.1000000000000014</v>
      </c>
      <c r="P510" s="123">
        <v>18</v>
      </c>
      <c r="Q510" s="123">
        <v>16.55</v>
      </c>
      <c r="R510" s="233">
        <f>YEAR(Tableau4[[#This Row],[Date]])</f>
        <v>2020</v>
      </c>
    </row>
    <row r="511" spans="1:18">
      <c r="A511" s="241">
        <v>43556</v>
      </c>
      <c r="B511" s="244" t="s">
        <v>897</v>
      </c>
      <c r="C511" s="99" t="s">
        <v>7</v>
      </c>
      <c r="D511" s="99"/>
      <c r="E511" s="99">
        <v>50</v>
      </c>
      <c r="F511" s="140">
        <v>19.899999999999999</v>
      </c>
      <c r="G511" s="140">
        <v>13.3</v>
      </c>
      <c r="H511" s="140">
        <v>6.5999999999999979</v>
      </c>
      <c r="I511" s="123">
        <v>11</v>
      </c>
      <c r="J511" s="123">
        <v>9</v>
      </c>
      <c r="K511" s="145">
        <v>1</v>
      </c>
      <c r="L511" s="140">
        <v>19.899999999999999</v>
      </c>
      <c r="M511" s="140">
        <v>13.3</v>
      </c>
      <c r="N511" s="99"/>
      <c r="O511" s="140">
        <v>6.5999999999999979</v>
      </c>
      <c r="P511" s="123">
        <v>11</v>
      </c>
      <c r="Q511" s="123">
        <v>9</v>
      </c>
      <c r="R511" s="233">
        <f>YEAR(Tableau4[[#This Row],[Date]])</f>
        <v>2019</v>
      </c>
    </row>
    <row r="512" spans="1:18">
      <c r="A512" s="241">
        <v>43556</v>
      </c>
      <c r="B512" s="244" t="s">
        <v>897</v>
      </c>
      <c r="C512" s="99" t="s">
        <v>7</v>
      </c>
      <c r="D512" s="99"/>
      <c r="E512" s="99">
        <v>50</v>
      </c>
      <c r="F512" s="140">
        <v>19.899999999999999</v>
      </c>
      <c r="G512" s="140">
        <v>13.3</v>
      </c>
      <c r="H512" s="140">
        <v>6.5999999999999979</v>
      </c>
      <c r="I512" s="123">
        <v>11</v>
      </c>
      <c r="J512" s="123">
        <v>9</v>
      </c>
      <c r="K512" s="145">
        <v>1</v>
      </c>
      <c r="L512" s="140">
        <v>19.899999999999999</v>
      </c>
      <c r="M512" s="140">
        <v>13.3</v>
      </c>
      <c r="N512" s="99"/>
      <c r="O512" s="140">
        <v>6.5999999999999979</v>
      </c>
      <c r="P512" s="123">
        <v>11</v>
      </c>
      <c r="Q512" s="123">
        <v>9</v>
      </c>
      <c r="R512" s="233">
        <f>YEAR(Tableau4[[#This Row],[Date]])</f>
        <v>2019</v>
      </c>
    </row>
    <row r="513" spans="1:18">
      <c r="A513" s="241">
        <v>43709</v>
      </c>
      <c r="B513" s="244" t="s">
        <v>897</v>
      </c>
      <c r="C513" s="99" t="s">
        <v>58</v>
      </c>
      <c r="D513" s="99"/>
      <c r="E513" s="99"/>
      <c r="F513" s="140">
        <v>21</v>
      </c>
      <c r="G513" s="140">
        <v>15</v>
      </c>
      <c r="H513" s="140">
        <v>6</v>
      </c>
      <c r="I513" s="123">
        <v>11.5</v>
      </c>
      <c r="J513" s="123">
        <v>12.61</v>
      </c>
      <c r="K513" s="145">
        <v>1</v>
      </c>
      <c r="L513" s="140">
        <v>20</v>
      </c>
      <c r="M513" s="140">
        <v>15</v>
      </c>
      <c r="N513" s="99">
        <v>1</v>
      </c>
      <c r="O513" s="140">
        <v>5</v>
      </c>
      <c r="P513" s="123">
        <v>11.5</v>
      </c>
      <c r="Q513" s="123">
        <v>12.61</v>
      </c>
      <c r="R513" s="233">
        <f>YEAR(Tableau4[[#This Row],[Date]])</f>
        <v>2019</v>
      </c>
    </row>
    <row r="514" spans="1:18">
      <c r="A514" s="241">
        <v>43709</v>
      </c>
      <c r="B514" s="244" t="s">
        <v>897</v>
      </c>
      <c r="C514" s="99" t="s">
        <v>7</v>
      </c>
      <c r="D514" s="99"/>
      <c r="E514" s="99">
        <v>50</v>
      </c>
      <c r="F514" s="140">
        <v>19.899999999999999</v>
      </c>
      <c r="G514" s="140">
        <v>13.3</v>
      </c>
      <c r="H514" s="140">
        <v>6.5999999999999979</v>
      </c>
      <c r="I514" s="123">
        <v>11</v>
      </c>
      <c r="J514" s="123">
        <v>9</v>
      </c>
      <c r="K514" s="145">
        <v>1</v>
      </c>
      <c r="L514" s="140">
        <v>19.899999999999999</v>
      </c>
      <c r="M514" s="140">
        <v>13.3</v>
      </c>
      <c r="N514" s="99"/>
      <c r="O514" s="140">
        <v>6.5999999999999979</v>
      </c>
      <c r="P514" s="123">
        <v>11</v>
      </c>
      <c r="Q514" s="123">
        <v>9</v>
      </c>
      <c r="R514" s="233">
        <f>YEAR(Tableau4[[#This Row],[Date]])</f>
        <v>2019</v>
      </c>
    </row>
    <row r="515" spans="1:18">
      <c r="A515" s="241">
        <v>43709</v>
      </c>
      <c r="B515" s="244" t="s">
        <v>897</v>
      </c>
      <c r="C515" s="99" t="s">
        <v>7</v>
      </c>
      <c r="D515" s="99"/>
      <c r="E515" s="99" t="s">
        <v>53</v>
      </c>
      <c r="F515" s="140">
        <v>5</v>
      </c>
      <c r="G515" s="140">
        <v>2.9</v>
      </c>
      <c r="H515" s="140">
        <v>2.1</v>
      </c>
      <c r="I515" s="123">
        <v>1.5</v>
      </c>
      <c r="J515" s="123">
        <v>1</v>
      </c>
      <c r="K515" s="145">
        <v>1</v>
      </c>
      <c r="L515" s="140">
        <v>5</v>
      </c>
      <c r="M515" s="140">
        <v>2.9</v>
      </c>
      <c r="N515" s="99"/>
      <c r="O515" s="140">
        <v>2.1</v>
      </c>
      <c r="P515" s="123">
        <v>1.5</v>
      </c>
      <c r="Q515" s="123">
        <v>1</v>
      </c>
      <c r="R515" s="233">
        <f>YEAR(Tableau4[[#This Row],[Date]])</f>
        <v>2019</v>
      </c>
    </row>
    <row r="516" spans="1:18">
      <c r="A516" s="231">
        <v>43952</v>
      </c>
      <c r="B516" s="244" t="s">
        <v>897</v>
      </c>
      <c r="C516" s="99" t="s">
        <v>12</v>
      </c>
      <c r="D516" s="99"/>
      <c r="E516" s="99"/>
      <c r="F516" s="140">
        <v>4.9000000000000004</v>
      </c>
      <c r="G516" s="140">
        <v>3.3</v>
      </c>
      <c r="H516" s="140">
        <v>1.6000000000000005</v>
      </c>
      <c r="I516" s="123">
        <v>3</v>
      </c>
      <c r="J516" s="123">
        <v>0.69</v>
      </c>
      <c r="K516" s="145">
        <v>1</v>
      </c>
      <c r="L516" s="140">
        <v>4.9000000000000004</v>
      </c>
      <c r="M516" s="140">
        <v>3.3</v>
      </c>
      <c r="N516" s="99"/>
      <c r="O516" s="140">
        <v>1.6000000000000005</v>
      </c>
      <c r="P516" s="123">
        <v>3</v>
      </c>
      <c r="Q516" s="123">
        <v>0.69</v>
      </c>
      <c r="R516" s="233">
        <f>YEAR(Tableau4[[#This Row],[Date]])</f>
        <v>2020</v>
      </c>
    </row>
    <row r="517" spans="1:18">
      <c r="A517" s="231">
        <v>43952</v>
      </c>
      <c r="B517" s="244" t="s">
        <v>897</v>
      </c>
      <c r="C517" s="99" t="s">
        <v>58</v>
      </c>
      <c r="D517" s="99"/>
      <c r="E517" s="99"/>
      <c r="F517" s="140">
        <v>21</v>
      </c>
      <c r="G517" s="140">
        <v>15</v>
      </c>
      <c r="H517" s="140">
        <v>6</v>
      </c>
      <c r="I517" s="123">
        <v>11.5</v>
      </c>
      <c r="J517" s="123">
        <v>12.61</v>
      </c>
      <c r="K517" s="145">
        <v>1</v>
      </c>
      <c r="L517" s="140">
        <v>21</v>
      </c>
      <c r="M517" s="140">
        <v>15</v>
      </c>
      <c r="N517" s="99"/>
      <c r="O517" s="140">
        <v>6</v>
      </c>
      <c r="P517" s="123">
        <v>11.5</v>
      </c>
      <c r="Q517" s="123">
        <v>12.61</v>
      </c>
      <c r="R517" s="233">
        <f>YEAR(Tableau4[[#This Row],[Date]])</f>
        <v>2020</v>
      </c>
    </row>
    <row r="518" spans="1:18">
      <c r="A518" s="231">
        <v>43952</v>
      </c>
      <c r="B518" s="244" t="s">
        <v>897</v>
      </c>
      <c r="C518" s="99" t="s">
        <v>12</v>
      </c>
      <c r="D518" s="99"/>
      <c r="E518" s="99"/>
      <c r="F518" s="140">
        <v>6.9</v>
      </c>
      <c r="G518" s="140">
        <v>5.3</v>
      </c>
      <c r="H518" s="140">
        <v>1.6000000000000005</v>
      </c>
      <c r="I518" s="123">
        <v>3</v>
      </c>
      <c r="J518" s="123">
        <v>2.21</v>
      </c>
      <c r="K518" s="145">
        <v>1</v>
      </c>
      <c r="L518" s="140">
        <v>6.9</v>
      </c>
      <c r="M518" s="140">
        <v>5.3</v>
      </c>
      <c r="N518" s="99"/>
      <c r="O518" s="140">
        <v>1.6000000000000005</v>
      </c>
      <c r="P518" s="123">
        <v>3</v>
      </c>
      <c r="Q518" s="123">
        <v>2.21</v>
      </c>
      <c r="R518" s="233">
        <f>YEAR(Tableau4[[#This Row],[Date]])</f>
        <v>2020</v>
      </c>
    </row>
    <row r="519" spans="1:18">
      <c r="A519" s="241">
        <v>43770</v>
      </c>
      <c r="B519" s="244" t="s">
        <v>688</v>
      </c>
      <c r="C519" s="99" t="s">
        <v>7</v>
      </c>
      <c r="D519" s="99"/>
      <c r="E519" s="99">
        <v>50</v>
      </c>
      <c r="F519" s="140">
        <v>19.899999999999999</v>
      </c>
      <c r="G519" s="140">
        <v>13.3</v>
      </c>
      <c r="H519" s="140">
        <v>6.5999999999999979</v>
      </c>
      <c r="I519" s="123">
        <v>11</v>
      </c>
      <c r="J519" s="123">
        <v>9</v>
      </c>
      <c r="K519" s="145">
        <v>1</v>
      </c>
      <c r="L519" s="140">
        <v>19.899999999999999</v>
      </c>
      <c r="M519" s="140">
        <v>13.3</v>
      </c>
      <c r="N519" s="99"/>
      <c r="O519" s="140">
        <v>6.5999999999999979</v>
      </c>
      <c r="P519" s="123">
        <v>11</v>
      </c>
      <c r="Q519" s="123">
        <v>9</v>
      </c>
      <c r="R519" s="233">
        <f>YEAR(Tableau4[[#This Row],[Date]])</f>
        <v>2019</v>
      </c>
    </row>
    <row r="520" spans="1:18">
      <c r="A520" s="241">
        <v>43617</v>
      </c>
      <c r="B520" s="244" t="s">
        <v>689</v>
      </c>
      <c r="C520" s="99" t="s">
        <v>9</v>
      </c>
      <c r="D520" s="99"/>
      <c r="E520" s="99"/>
      <c r="F520" s="140">
        <v>29.5</v>
      </c>
      <c r="G520" s="140">
        <v>21</v>
      </c>
      <c r="H520" s="140">
        <v>8.5</v>
      </c>
      <c r="I520" s="123">
        <v>19</v>
      </c>
      <c r="J520" s="123">
        <v>17.649999999999999</v>
      </c>
      <c r="K520" s="145">
        <v>1</v>
      </c>
      <c r="L520" s="140">
        <v>29.5</v>
      </c>
      <c r="M520" s="140">
        <v>21</v>
      </c>
      <c r="N520" s="99"/>
      <c r="O520" s="140">
        <v>8.5</v>
      </c>
      <c r="P520" s="123">
        <v>19</v>
      </c>
      <c r="Q520" s="123">
        <v>17.649999999999999</v>
      </c>
      <c r="R520" s="233">
        <f>YEAR(Tableau4[[#This Row],[Date]])</f>
        <v>2019</v>
      </c>
    </row>
    <row r="521" spans="1:18">
      <c r="A521" s="241">
        <v>43617</v>
      </c>
      <c r="B521" s="244" t="s">
        <v>689</v>
      </c>
      <c r="C521" s="99" t="s">
        <v>9</v>
      </c>
      <c r="D521" s="99"/>
      <c r="E521" s="99"/>
      <c r="F521" s="140">
        <v>10.9</v>
      </c>
      <c r="G521" s="140">
        <v>7.8</v>
      </c>
      <c r="H521" s="140">
        <v>3.1000000000000005</v>
      </c>
      <c r="I521" s="123">
        <v>6</v>
      </c>
      <c r="J521" s="123">
        <v>3.28</v>
      </c>
      <c r="K521" s="145">
        <v>3</v>
      </c>
      <c r="L521" s="140">
        <v>32.700000000000003</v>
      </c>
      <c r="M521" s="140">
        <v>23.4</v>
      </c>
      <c r="N521" s="99"/>
      <c r="O521" s="140">
        <v>9.3000000000000007</v>
      </c>
      <c r="P521" s="123">
        <v>24</v>
      </c>
      <c r="Q521" s="123">
        <v>9.84</v>
      </c>
      <c r="R521" s="233">
        <f>YEAR(Tableau4[[#This Row],[Date]])</f>
        <v>2019</v>
      </c>
    </row>
    <row r="522" spans="1:18">
      <c r="A522" s="241">
        <v>43647</v>
      </c>
      <c r="B522" s="244" t="s">
        <v>689</v>
      </c>
      <c r="C522" s="99" t="s">
        <v>9</v>
      </c>
      <c r="D522" s="99"/>
      <c r="E522" s="99"/>
      <c r="F522" s="140">
        <v>19.3</v>
      </c>
      <c r="G522" s="140">
        <v>13.8</v>
      </c>
      <c r="H522" s="140">
        <v>5.5</v>
      </c>
      <c r="I522" s="123">
        <v>11</v>
      </c>
      <c r="J522" s="123">
        <v>11.6</v>
      </c>
      <c r="K522" s="145">
        <v>1</v>
      </c>
      <c r="L522" s="140">
        <v>19.3</v>
      </c>
      <c r="M522" s="140">
        <v>13.8</v>
      </c>
      <c r="N522" s="99"/>
      <c r="O522" s="140">
        <v>5.5</v>
      </c>
      <c r="P522" s="123">
        <v>11</v>
      </c>
      <c r="Q522" s="123">
        <v>11.6</v>
      </c>
      <c r="R522" s="233">
        <f>YEAR(Tableau4[[#This Row],[Date]])</f>
        <v>2019</v>
      </c>
    </row>
    <row r="523" spans="1:18">
      <c r="A523" s="241">
        <v>43647</v>
      </c>
      <c r="B523" s="244" t="s">
        <v>689</v>
      </c>
      <c r="C523" s="99" t="s">
        <v>9</v>
      </c>
      <c r="D523" s="99"/>
      <c r="E523" s="99"/>
      <c r="F523" s="140">
        <v>10.9</v>
      </c>
      <c r="G523" s="140">
        <v>7.8</v>
      </c>
      <c r="H523" s="140">
        <v>3.1000000000000005</v>
      </c>
      <c r="I523" s="123">
        <v>6</v>
      </c>
      <c r="J523" s="123">
        <v>3.28</v>
      </c>
      <c r="K523" s="145">
        <v>1</v>
      </c>
      <c r="L523" s="140">
        <v>10.9</v>
      </c>
      <c r="M523" s="140">
        <v>7.8</v>
      </c>
      <c r="N523" s="99"/>
      <c r="O523" s="140">
        <v>3.1000000000000005</v>
      </c>
      <c r="P523" s="123">
        <v>8</v>
      </c>
      <c r="Q523" s="123">
        <v>3.28</v>
      </c>
      <c r="R523" s="233">
        <f>YEAR(Tableau4[[#This Row],[Date]])</f>
        <v>2019</v>
      </c>
    </row>
    <row r="524" spans="1:18">
      <c r="A524" s="241">
        <v>43647</v>
      </c>
      <c r="B524" s="244" t="s">
        <v>689</v>
      </c>
      <c r="C524" s="99" t="s">
        <v>7</v>
      </c>
      <c r="D524" s="99"/>
      <c r="E524" s="99">
        <v>50</v>
      </c>
      <c r="F524" s="140">
        <v>19.899999999999999</v>
      </c>
      <c r="G524" s="140">
        <v>13.3</v>
      </c>
      <c r="H524" s="140">
        <v>6.5999999999999979</v>
      </c>
      <c r="I524" s="123">
        <v>11</v>
      </c>
      <c r="J524" s="123">
        <v>9</v>
      </c>
      <c r="K524" s="145">
        <v>1</v>
      </c>
      <c r="L524" s="140">
        <v>19.899999999999999</v>
      </c>
      <c r="M524" s="140">
        <v>13.3</v>
      </c>
      <c r="N524" s="99"/>
      <c r="O524" s="140">
        <v>6.5999999999999979</v>
      </c>
      <c r="P524" s="123">
        <v>11</v>
      </c>
      <c r="Q524" s="123">
        <v>9</v>
      </c>
      <c r="R524" s="233">
        <f>YEAR(Tableau4[[#This Row],[Date]])</f>
        <v>2019</v>
      </c>
    </row>
    <row r="525" spans="1:18">
      <c r="A525" s="241">
        <v>43647</v>
      </c>
      <c r="B525" s="244" t="s">
        <v>689</v>
      </c>
      <c r="C525" s="99" t="s">
        <v>7</v>
      </c>
      <c r="D525" s="99"/>
      <c r="E525" s="99">
        <v>50</v>
      </c>
      <c r="F525" s="140">
        <v>19.899999999999999</v>
      </c>
      <c r="G525" s="140">
        <v>13.3</v>
      </c>
      <c r="H525" s="140">
        <v>6.5999999999999979</v>
      </c>
      <c r="I525" s="123">
        <v>11</v>
      </c>
      <c r="J525" s="123">
        <v>9</v>
      </c>
      <c r="K525" s="145">
        <v>1</v>
      </c>
      <c r="L525" s="140">
        <v>19.899999999999999</v>
      </c>
      <c r="M525" s="140">
        <v>13.3</v>
      </c>
      <c r="N525" s="99"/>
      <c r="O525" s="140">
        <v>6.5999999999999979</v>
      </c>
      <c r="P525" s="123">
        <v>11</v>
      </c>
      <c r="Q525" s="123">
        <v>9</v>
      </c>
      <c r="R525" s="233">
        <f>YEAR(Tableau4[[#This Row],[Date]])</f>
        <v>2019</v>
      </c>
    </row>
    <row r="526" spans="1:18">
      <c r="A526" s="241">
        <v>43647</v>
      </c>
      <c r="B526" s="244" t="s">
        <v>689</v>
      </c>
      <c r="C526" s="99" t="s">
        <v>7</v>
      </c>
      <c r="D526" s="99"/>
      <c r="E526" s="99" t="s">
        <v>50</v>
      </c>
      <c r="F526" s="140">
        <v>9.9</v>
      </c>
      <c r="G526" s="140">
        <v>7.1</v>
      </c>
      <c r="H526" s="140">
        <v>2.8000000000000007</v>
      </c>
      <c r="I526" s="123">
        <v>6</v>
      </c>
      <c r="J526" s="123">
        <v>3</v>
      </c>
      <c r="K526" s="145">
        <v>1</v>
      </c>
      <c r="L526" s="140">
        <v>9.9</v>
      </c>
      <c r="M526" s="140">
        <v>7.1</v>
      </c>
      <c r="N526" s="99"/>
      <c r="O526" s="140">
        <v>2.8000000000000007</v>
      </c>
      <c r="P526" s="123">
        <v>6</v>
      </c>
      <c r="Q526" s="123">
        <v>3</v>
      </c>
      <c r="R526" s="233">
        <f>YEAR(Tableau4[[#This Row],[Date]])</f>
        <v>2019</v>
      </c>
    </row>
    <row r="527" spans="1:18">
      <c r="A527" s="241">
        <v>43709</v>
      </c>
      <c r="B527" s="244" t="s">
        <v>689</v>
      </c>
      <c r="C527" s="99" t="s">
        <v>9</v>
      </c>
      <c r="D527" s="99"/>
      <c r="E527" s="99"/>
      <c r="F527" s="140">
        <v>16.2</v>
      </c>
      <c r="G527" s="140">
        <v>11.6</v>
      </c>
      <c r="H527" s="140">
        <v>4.5999999999999996</v>
      </c>
      <c r="I527" s="123">
        <v>9</v>
      </c>
      <c r="J527" s="123">
        <v>9.25</v>
      </c>
      <c r="K527" s="145">
        <v>1</v>
      </c>
      <c r="L527" s="140">
        <v>16.2</v>
      </c>
      <c r="M527" s="140">
        <v>11.6</v>
      </c>
      <c r="N527" s="99"/>
      <c r="O527" s="140">
        <v>4.5999999999999996</v>
      </c>
      <c r="P527" s="123">
        <v>9</v>
      </c>
      <c r="Q527" s="123">
        <v>9.25</v>
      </c>
      <c r="R527" s="233">
        <f>YEAR(Tableau4[[#This Row],[Date]])</f>
        <v>2019</v>
      </c>
    </row>
    <row r="528" spans="1:18">
      <c r="A528" s="241">
        <v>43739</v>
      </c>
      <c r="B528" s="244" t="s">
        <v>689</v>
      </c>
      <c r="C528" s="99" t="s">
        <v>9</v>
      </c>
      <c r="D528" s="99"/>
      <c r="E528" s="99"/>
      <c r="F528" s="140">
        <v>29.5</v>
      </c>
      <c r="G528" s="140">
        <v>21</v>
      </c>
      <c r="H528" s="140">
        <v>8.5</v>
      </c>
      <c r="I528" s="123">
        <v>19</v>
      </c>
      <c r="J528" s="123">
        <v>17.649999999999999</v>
      </c>
      <c r="K528" s="145">
        <v>1</v>
      </c>
      <c r="L528" s="140">
        <v>29.5</v>
      </c>
      <c r="M528" s="140">
        <v>21</v>
      </c>
      <c r="N528" s="99"/>
      <c r="O528" s="140">
        <v>8.5</v>
      </c>
      <c r="P528" s="123">
        <v>19</v>
      </c>
      <c r="Q528" s="123">
        <v>17.649999999999999</v>
      </c>
      <c r="R528" s="233">
        <f>YEAR(Tableau4[[#This Row],[Date]])</f>
        <v>2019</v>
      </c>
    </row>
    <row r="529" spans="1:18">
      <c r="A529" s="241">
        <v>43739</v>
      </c>
      <c r="B529" s="244" t="s">
        <v>689</v>
      </c>
      <c r="C529" s="99" t="s">
        <v>7</v>
      </c>
      <c r="D529" s="99"/>
      <c r="E529" s="99" t="s">
        <v>53</v>
      </c>
      <c r="F529" s="140">
        <v>5</v>
      </c>
      <c r="G529" s="140">
        <v>2.9</v>
      </c>
      <c r="H529" s="140">
        <v>2.1</v>
      </c>
      <c r="I529" s="123">
        <v>1.5</v>
      </c>
      <c r="J529" s="123">
        <v>1</v>
      </c>
      <c r="K529" s="145">
        <v>2</v>
      </c>
      <c r="L529" s="140">
        <v>10</v>
      </c>
      <c r="M529" s="140">
        <v>5.8</v>
      </c>
      <c r="N529" s="99"/>
      <c r="O529" s="140">
        <v>4.2</v>
      </c>
      <c r="P529" s="123">
        <v>3</v>
      </c>
      <c r="Q529" s="123">
        <v>2</v>
      </c>
      <c r="R529" s="233">
        <f>YEAR(Tableau4[[#This Row],[Date]])</f>
        <v>2019</v>
      </c>
    </row>
    <row r="530" spans="1:18">
      <c r="A530" s="241">
        <v>43739</v>
      </c>
      <c r="B530" s="244" t="s">
        <v>689</v>
      </c>
      <c r="C530" s="99" t="s">
        <v>7</v>
      </c>
      <c r="D530" s="99"/>
      <c r="E530" s="99" t="s">
        <v>53</v>
      </c>
      <c r="F530" s="140">
        <v>5</v>
      </c>
      <c r="G530" s="140">
        <v>2.9</v>
      </c>
      <c r="H530" s="140">
        <v>2.1</v>
      </c>
      <c r="I530" s="123">
        <v>1.5</v>
      </c>
      <c r="J530" s="123">
        <v>1</v>
      </c>
      <c r="K530" s="145">
        <v>1</v>
      </c>
      <c r="L530" s="140">
        <v>5</v>
      </c>
      <c r="M530" s="140">
        <v>2.9</v>
      </c>
      <c r="N530" s="99"/>
      <c r="O530" s="140">
        <v>2.1</v>
      </c>
      <c r="P530" s="123">
        <v>1.5</v>
      </c>
      <c r="Q530" s="123">
        <v>1</v>
      </c>
      <c r="R530" s="233">
        <f>YEAR(Tableau4[[#This Row],[Date]])</f>
        <v>2019</v>
      </c>
    </row>
    <row r="531" spans="1:18">
      <c r="A531" s="241">
        <v>43739</v>
      </c>
      <c r="B531" s="244" t="s">
        <v>689</v>
      </c>
      <c r="C531" s="99" t="s">
        <v>7</v>
      </c>
      <c r="D531" s="99"/>
      <c r="E531" s="99" t="s">
        <v>53</v>
      </c>
      <c r="F531" s="140">
        <v>5</v>
      </c>
      <c r="G531" s="140">
        <v>2.9</v>
      </c>
      <c r="H531" s="140">
        <v>2.1</v>
      </c>
      <c r="I531" s="123">
        <v>1.5</v>
      </c>
      <c r="J531" s="123">
        <v>1</v>
      </c>
      <c r="K531" s="145">
        <v>1</v>
      </c>
      <c r="L531" s="140">
        <v>5</v>
      </c>
      <c r="M531" s="140">
        <v>2.9</v>
      </c>
      <c r="N531" s="99"/>
      <c r="O531" s="140">
        <v>2.1</v>
      </c>
      <c r="P531" s="123">
        <v>1.5</v>
      </c>
      <c r="Q531" s="123">
        <v>1</v>
      </c>
      <c r="R531" s="233">
        <f>YEAR(Tableau4[[#This Row],[Date]])</f>
        <v>2019</v>
      </c>
    </row>
    <row r="532" spans="1:18">
      <c r="A532" s="241">
        <v>43739</v>
      </c>
      <c r="B532" s="244" t="s">
        <v>689</v>
      </c>
      <c r="C532" s="99" t="s">
        <v>7</v>
      </c>
      <c r="D532" s="99"/>
      <c r="E532" s="99" t="s">
        <v>53</v>
      </c>
      <c r="F532" s="140">
        <v>5</v>
      </c>
      <c r="G532" s="140">
        <v>2.9</v>
      </c>
      <c r="H532" s="140">
        <v>2.1</v>
      </c>
      <c r="I532" s="123">
        <v>1.5</v>
      </c>
      <c r="J532" s="123">
        <v>1</v>
      </c>
      <c r="K532" s="145">
        <v>1</v>
      </c>
      <c r="L532" s="140">
        <v>5</v>
      </c>
      <c r="M532" s="140">
        <v>2.9</v>
      </c>
      <c r="N532" s="99"/>
      <c r="O532" s="140">
        <v>2.1</v>
      </c>
      <c r="P532" s="123">
        <v>1.5</v>
      </c>
      <c r="Q532" s="123">
        <v>1</v>
      </c>
      <c r="R532" s="233">
        <f>YEAR(Tableau4[[#This Row],[Date]])</f>
        <v>2019</v>
      </c>
    </row>
    <row r="533" spans="1:18">
      <c r="A533" s="241">
        <v>43739</v>
      </c>
      <c r="B533" s="244" t="s">
        <v>689</v>
      </c>
      <c r="C533" s="99" t="s">
        <v>7</v>
      </c>
      <c r="D533" s="99"/>
      <c r="E533" s="99" t="s">
        <v>53</v>
      </c>
      <c r="F533" s="140">
        <v>5</v>
      </c>
      <c r="G533" s="140">
        <v>2.9</v>
      </c>
      <c r="H533" s="140">
        <v>2.1</v>
      </c>
      <c r="I533" s="123">
        <v>1.5</v>
      </c>
      <c r="J533" s="123">
        <v>1</v>
      </c>
      <c r="K533" s="145">
        <v>1</v>
      </c>
      <c r="L533" s="140">
        <v>5</v>
      </c>
      <c r="M533" s="140">
        <v>2.9</v>
      </c>
      <c r="N533" s="99"/>
      <c r="O533" s="140">
        <v>2.1</v>
      </c>
      <c r="P533" s="123">
        <v>1.5</v>
      </c>
      <c r="Q533" s="123">
        <v>1</v>
      </c>
      <c r="R533" s="233">
        <f>YEAR(Tableau4[[#This Row],[Date]])</f>
        <v>2019</v>
      </c>
    </row>
    <row r="534" spans="1:18">
      <c r="A534" s="241">
        <v>43739</v>
      </c>
      <c r="B534" s="244" t="s">
        <v>689</v>
      </c>
      <c r="C534" s="99" t="s">
        <v>7</v>
      </c>
      <c r="D534" s="99"/>
      <c r="E534" s="99" t="s">
        <v>53</v>
      </c>
      <c r="F534" s="140">
        <v>5</v>
      </c>
      <c r="G534" s="140">
        <v>2.9</v>
      </c>
      <c r="H534" s="140">
        <v>2.1</v>
      </c>
      <c r="I534" s="123">
        <v>1.5</v>
      </c>
      <c r="J534" s="123">
        <v>1</v>
      </c>
      <c r="K534" s="145">
        <v>1</v>
      </c>
      <c r="L534" s="140">
        <v>5</v>
      </c>
      <c r="M534" s="140">
        <v>2.9</v>
      </c>
      <c r="N534" s="99"/>
      <c r="O534" s="140">
        <v>2.1</v>
      </c>
      <c r="P534" s="123">
        <v>1.5</v>
      </c>
      <c r="Q534" s="123">
        <v>1</v>
      </c>
      <c r="R534" s="233">
        <f>YEAR(Tableau4[[#This Row],[Date]])</f>
        <v>2019</v>
      </c>
    </row>
    <row r="535" spans="1:18">
      <c r="A535" s="241">
        <v>43739</v>
      </c>
      <c r="B535" s="244" t="s">
        <v>689</v>
      </c>
      <c r="C535" s="99" t="s">
        <v>7</v>
      </c>
      <c r="D535" s="99"/>
      <c r="E535" s="99" t="s">
        <v>53</v>
      </c>
      <c r="F535" s="140">
        <v>5</v>
      </c>
      <c r="G535" s="140">
        <v>2.9</v>
      </c>
      <c r="H535" s="140">
        <v>2.1</v>
      </c>
      <c r="I535" s="123">
        <v>1.5</v>
      </c>
      <c r="J535" s="123">
        <v>1</v>
      </c>
      <c r="K535" s="145">
        <v>1</v>
      </c>
      <c r="L535" s="140">
        <v>5</v>
      </c>
      <c r="M535" s="140">
        <v>2.9</v>
      </c>
      <c r="N535" s="99"/>
      <c r="O535" s="140">
        <v>2.1</v>
      </c>
      <c r="P535" s="123">
        <v>1.5</v>
      </c>
      <c r="Q535" s="123">
        <v>1</v>
      </c>
      <c r="R535" s="233">
        <f>YEAR(Tableau4[[#This Row],[Date]])</f>
        <v>2019</v>
      </c>
    </row>
    <row r="536" spans="1:18">
      <c r="A536" s="241">
        <v>43770</v>
      </c>
      <c r="B536" s="244" t="s">
        <v>689</v>
      </c>
      <c r="C536" s="99" t="s">
        <v>9</v>
      </c>
      <c r="D536" s="99"/>
      <c r="E536" s="99"/>
      <c r="F536" s="140">
        <v>9.9</v>
      </c>
      <c r="G536" s="140">
        <v>7.05</v>
      </c>
      <c r="H536" s="140">
        <v>2.8500000000000005</v>
      </c>
      <c r="I536" s="123">
        <v>5</v>
      </c>
      <c r="J536" s="123">
        <v>3</v>
      </c>
      <c r="K536" s="145">
        <v>1</v>
      </c>
      <c r="L536" s="140">
        <v>9.9</v>
      </c>
      <c r="M536" s="140">
        <v>7.05</v>
      </c>
      <c r="N536" s="99"/>
      <c r="O536" s="140">
        <v>2.8500000000000005</v>
      </c>
      <c r="P536" s="123">
        <v>5</v>
      </c>
      <c r="Q536" s="123">
        <v>3</v>
      </c>
      <c r="R536" s="233">
        <f>YEAR(Tableau4[[#This Row],[Date]])</f>
        <v>2019</v>
      </c>
    </row>
    <row r="537" spans="1:18">
      <c r="A537" s="241">
        <v>43800</v>
      </c>
      <c r="B537" s="244" t="s">
        <v>689</v>
      </c>
      <c r="C537" s="99" t="s">
        <v>7</v>
      </c>
      <c r="D537" s="99"/>
      <c r="E537" s="99">
        <v>100</v>
      </c>
      <c r="F537" s="140">
        <v>32.9</v>
      </c>
      <c r="G537" s="140">
        <v>21.9</v>
      </c>
      <c r="H537" s="140">
        <v>11</v>
      </c>
      <c r="I537" s="123">
        <v>18</v>
      </c>
      <c r="J537" s="123">
        <v>16.55</v>
      </c>
      <c r="K537" s="145">
        <v>1</v>
      </c>
      <c r="L537" s="140">
        <v>23</v>
      </c>
      <c r="M537" s="140">
        <v>21.9</v>
      </c>
      <c r="N537" s="99">
        <v>9.9</v>
      </c>
      <c r="O537" s="140">
        <v>1.1000000000000014</v>
      </c>
      <c r="P537" s="123">
        <v>18</v>
      </c>
      <c r="Q537" s="123">
        <v>16.55</v>
      </c>
      <c r="R537" s="233">
        <f>YEAR(Tableau4[[#This Row],[Date]])</f>
        <v>2019</v>
      </c>
    </row>
    <row r="538" spans="1:18">
      <c r="A538" s="241">
        <v>43800</v>
      </c>
      <c r="B538" s="244" t="s">
        <v>689</v>
      </c>
      <c r="C538" s="99" t="s">
        <v>7</v>
      </c>
      <c r="D538" s="99"/>
      <c r="E538" s="99">
        <v>100</v>
      </c>
      <c r="F538" s="140">
        <v>32.9</v>
      </c>
      <c r="G538" s="140">
        <v>21.9</v>
      </c>
      <c r="H538" s="140">
        <v>11</v>
      </c>
      <c r="I538" s="123">
        <v>18</v>
      </c>
      <c r="J538" s="123">
        <v>16.55</v>
      </c>
      <c r="K538" s="145">
        <v>1</v>
      </c>
      <c r="L538" s="140">
        <v>23</v>
      </c>
      <c r="M538" s="140">
        <v>21.9</v>
      </c>
      <c r="N538" s="99">
        <v>9.9</v>
      </c>
      <c r="O538" s="140">
        <v>1.1000000000000014</v>
      </c>
      <c r="P538" s="123">
        <v>18</v>
      </c>
      <c r="Q538" s="123">
        <v>16.55</v>
      </c>
      <c r="R538" s="233">
        <f>YEAR(Tableau4[[#This Row],[Date]])</f>
        <v>2019</v>
      </c>
    </row>
    <row r="539" spans="1:18">
      <c r="A539" s="241">
        <v>43800</v>
      </c>
      <c r="B539" s="244" t="s">
        <v>689</v>
      </c>
      <c r="C539" s="99" t="s">
        <v>7</v>
      </c>
      <c r="D539" s="99"/>
      <c r="E539" s="99" t="s">
        <v>53</v>
      </c>
      <c r="F539" s="140">
        <v>5</v>
      </c>
      <c r="G539" s="140">
        <v>2.9</v>
      </c>
      <c r="H539" s="140">
        <v>2.1</v>
      </c>
      <c r="I539" s="123">
        <v>1.5</v>
      </c>
      <c r="J539" s="123">
        <v>1</v>
      </c>
      <c r="K539" s="145">
        <v>1</v>
      </c>
      <c r="L539" s="140">
        <v>5</v>
      </c>
      <c r="M539" s="140">
        <v>2.9</v>
      </c>
      <c r="N539" s="99"/>
      <c r="O539" s="140">
        <v>2.1</v>
      </c>
      <c r="P539" s="123">
        <v>1.5</v>
      </c>
      <c r="Q539" s="123">
        <v>1</v>
      </c>
      <c r="R539" s="233">
        <f>YEAR(Tableau4[[#This Row],[Date]])</f>
        <v>2019</v>
      </c>
    </row>
    <row r="540" spans="1:18">
      <c r="A540" s="231">
        <v>43952</v>
      </c>
      <c r="B540" s="244" t="s">
        <v>689</v>
      </c>
      <c r="C540" s="99" t="s">
        <v>9</v>
      </c>
      <c r="D540" s="99"/>
      <c r="E540" s="99"/>
      <c r="F540" s="140">
        <v>11.9</v>
      </c>
      <c r="G540" s="140">
        <v>9</v>
      </c>
      <c r="H540" s="140">
        <v>2.9000000000000004</v>
      </c>
      <c r="I540" s="123">
        <v>6</v>
      </c>
      <c r="J540" s="123">
        <v>3.28</v>
      </c>
      <c r="K540" s="145">
        <v>1</v>
      </c>
      <c r="L540" s="140">
        <v>11.9</v>
      </c>
      <c r="M540" s="140">
        <v>9</v>
      </c>
      <c r="N540" s="99"/>
      <c r="O540" s="140">
        <v>2.9000000000000004</v>
      </c>
      <c r="P540" s="123">
        <v>8</v>
      </c>
      <c r="Q540" s="123">
        <v>3.28</v>
      </c>
      <c r="R540" s="233">
        <f>YEAR(Tableau4[[#This Row],[Date]])</f>
        <v>2020</v>
      </c>
    </row>
    <row r="541" spans="1:18">
      <c r="A541" s="231">
        <v>43952</v>
      </c>
      <c r="B541" s="244" t="s">
        <v>689</v>
      </c>
      <c r="C541" s="99" t="s">
        <v>51</v>
      </c>
      <c r="D541" s="99"/>
      <c r="E541" s="99"/>
      <c r="F541" s="140">
        <v>40</v>
      </c>
      <c r="G541" s="140">
        <v>19.899999999999999</v>
      </c>
      <c r="H541" s="140">
        <v>20.100000000000001</v>
      </c>
      <c r="I541" s="123">
        <v>20</v>
      </c>
      <c r="J541" s="123">
        <v>8</v>
      </c>
      <c r="K541" s="145">
        <v>1</v>
      </c>
      <c r="L541" s="140">
        <v>40</v>
      </c>
      <c r="M541" s="140">
        <v>19.899999999999999</v>
      </c>
      <c r="N541" s="99"/>
      <c r="O541" s="140">
        <v>20.100000000000001</v>
      </c>
      <c r="P541" s="123">
        <v>20</v>
      </c>
      <c r="Q541" s="123">
        <v>8</v>
      </c>
      <c r="R541" s="233">
        <f>YEAR(Tableau4[[#This Row],[Date]])</f>
        <v>2020</v>
      </c>
    </row>
    <row r="542" spans="1:18">
      <c r="A542" s="231">
        <v>43983</v>
      </c>
      <c r="B542" s="244" t="s">
        <v>689</v>
      </c>
      <c r="C542" s="99" t="s">
        <v>7</v>
      </c>
      <c r="D542" s="99"/>
      <c r="E542" s="99" t="s">
        <v>76</v>
      </c>
      <c r="F542" s="140">
        <v>32.9</v>
      </c>
      <c r="G542" s="140">
        <v>21.9</v>
      </c>
      <c r="H542" s="140">
        <v>11</v>
      </c>
      <c r="I542" s="123">
        <v>18</v>
      </c>
      <c r="J542" s="123">
        <v>16.55</v>
      </c>
      <c r="K542" s="145">
        <v>1</v>
      </c>
      <c r="L542" s="140">
        <v>27.9</v>
      </c>
      <c r="M542" s="140">
        <v>21.9</v>
      </c>
      <c r="N542" s="99">
        <v>5</v>
      </c>
      <c r="O542" s="140">
        <v>6</v>
      </c>
      <c r="P542" s="123">
        <v>18</v>
      </c>
      <c r="Q542" s="123">
        <v>16.55</v>
      </c>
      <c r="R542" s="233">
        <f>YEAR(Tableau4[[#This Row],[Date]])</f>
        <v>2020</v>
      </c>
    </row>
    <row r="543" spans="1:18">
      <c r="A543" s="231">
        <v>43983</v>
      </c>
      <c r="B543" s="244" t="s">
        <v>689</v>
      </c>
      <c r="C543" s="99" t="s">
        <v>7</v>
      </c>
      <c r="D543" s="99"/>
      <c r="E543" s="99" t="s">
        <v>76</v>
      </c>
      <c r="F543" s="140">
        <v>32.9</v>
      </c>
      <c r="G543" s="140">
        <v>21.9</v>
      </c>
      <c r="H543" s="140">
        <v>11</v>
      </c>
      <c r="I543" s="123">
        <v>18</v>
      </c>
      <c r="J543" s="123">
        <v>16.55</v>
      </c>
      <c r="K543" s="145">
        <v>1</v>
      </c>
      <c r="L543" s="140">
        <v>32.9</v>
      </c>
      <c r="M543" s="140">
        <v>21.9</v>
      </c>
      <c r="N543" s="99"/>
      <c r="O543" s="140">
        <v>11</v>
      </c>
      <c r="P543" s="123">
        <v>18</v>
      </c>
      <c r="Q543" s="123">
        <v>16.55</v>
      </c>
      <c r="R543" s="233">
        <f>YEAR(Tableau4[[#This Row],[Date]])</f>
        <v>2020</v>
      </c>
    </row>
    <row r="544" spans="1:18">
      <c r="A544" s="231">
        <v>44013</v>
      </c>
      <c r="B544" s="244" t="s">
        <v>689</v>
      </c>
      <c r="C544" s="99" t="s">
        <v>51</v>
      </c>
      <c r="D544" s="99"/>
      <c r="E544" s="99"/>
      <c r="F544" s="140">
        <v>40</v>
      </c>
      <c r="G544" s="140">
        <v>19.899999999999999</v>
      </c>
      <c r="H544" s="140">
        <v>20.100000000000001</v>
      </c>
      <c r="I544" s="123">
        <v>20</v>
      </c>
      <c r="J544" s="123">
        <v>8</v>
      </c>
      <c r="K544" s="145">
        <v>1</v>
      </c>
      <c r="L544" s="140">
        <v>40</v>
      </c>
      <c r="M544" s="140">
        <v>19.899999999999999</v>
      </c>
      <c r="N544" s="99"/>
      <c r="O544" s="140">
        <v>20.100000000000001</v>
      </c>
      <c r="P544" s="123">
        <v>20</v>
      </c>
      <c r="Q544" s="123">
        <v>8</v>
      </c>
      <c r="R544" s="233">
        <f>YEAR(Tableau4[[#This Row],[Date]])</f>
        <v>2020</v>
      </c>
    </row>
    <row r="545" spans="1:18">
      <c r="A545" s="241">
        <v>43556</v>
      </c>
      <c r="B545" s="244" t="s">
        <v>690</v>
      </c>
      <c r="C545" s="99" t="s">
        <v>9</v>
      </c>
      <c r="D545" s="99"/>
      <c r="E545" s="99"/>
      <c r="F545" s="140">
        <v>10.9</v>
      </c>
      <c r="G545" s="140">
        <v>7.8</v>
      </c>
      <c r="H545" s="140">
        <v>3.1000000000000005</v>
      </c>
      <c r="I545" s="123">
        <v>6</v>
      </c>
      <c r="J545" s="123">
        <v>3.28</v>
      </c>
      <c r="K545" s="145">
        <v>1</v>
      </c>
      <c r="L545" s="140">
        <v>10.9</v>
      </c>
      <c r="M545" s="140">
        <v>7.8</v>
      </c>
      <c r="N545" s="99"/>
      <c r="O545" s="140">
        <v>3.1000000000000005</v>
      </c>
      <c r="P545" s="123">
        <v>8</v>
      </c>
      <c r="Q545" s="123">
        <v>3.28</v>
      </c>
      <c r="R545" s="233">
        <f>YEAR(Tableau4[[#This Row],[Date]])</f>
        <v>2019</v>
      </c>
    </row>
    <row r="546" spans="1:18">
      <c r="A546" s="241">
        <v>43556</v>
      </c>
      <c r="B546" s="244" t="s">
        <v>690</v>
      </c>
      <c r="C546" s="99" t="s">
        <v>7</v>
      </c>
      <c r="D546" s="99"/>
      <c r="E546" s="99">
        <v>100</v>
      </c>
      <c r="F546" s="140">
        <v>29.9</v>
      </c>
      <c r="G546" s="140">
        <v>19.899999999999999</v>
      </c>
      <c r="H546" s="140">
        <v>10</v>
      </c>
      <c r="I546" s="123">
        <v>16</v>
      </c>
      <c r="J546" s="123">
        <v>16.55</v>
      </c>
      <c r="K546" s="145">
        <v>1</v>
      </c>
      <c r="L546" s="140">
        <v>29.9</v>
      </c>
      <c r="M546" s="140">
        <v>19.899999999999999</v>
      </c>
      <c r="N546" s="99"/>
      <c r="O546" s="140">
        <v>10</v>
      </c>
      <c r="P546" s="123">
        <v>16</v>
      </c>
      <c r="Q546" s="123">
        <v>16.55</v>
      </c>
      <c r="R546" s="233">
        <f>YEAR(Tableau4[[#This Row],[Date]])</f>
        <v>2019</v>
      </c>
    </row>
    <row r="547" spans="1:18">
      <c r="A547" s="241">
        <v>43556</v>
      </c>
      <c r="B547" s="244" t="s">
        <v>690</v>
      </c>
      <c r="C547" s="99" t="s">
        <v>7</v>
      </c>
      <c r="D547" s="99"/>
      <c r="E547" s="99">
        <v>100</v>
      </c>
      <c r="F547" s="140">
        <v>29.9</v>
      </c>
      <c r="G547" s="140">
        <v>19.899999999999999</v>
      </c>
      <c r="H547" s="140">
        <v>10</v>
      </c>
      <c r="I547" s="123">
        <v>16</v>
      </c>
      <c r="J547" s="123">
        <v>16.55</v>
      </c>
      <c r="K547" s="145">
        <v>1</v>
      </c>
      <c r="L547" s="140">
        <v>29.9</v>
      </c>
      <c r="M547" s="140">
        <v>19.899999999999999</v>
      </c>
      <c r="N547" s="99"/>
      <c r="O547" s="140">
        <v>10</v>
      </c>
      <c r="P547" s="123">
        <v>16</v>
      </c>
      <c r="Q547" s="123">
        <v>16.55</v>
      </c>
      <c r="R547" s="233">
        <f>YEAR(Tableau4[[#This Row],[Date]])</f>
        <v>2019</v>
      </c>
    </row>
    <row r="548" spans="1:18">
      <c r="A548" s="241">
        <v>43556</v>
      </c>
      <c r="B548" s="244" t="s">
        <v>690</v>
      </c>
      <c r="C548" s="99" t="s">
        <v>7</v>
      </c>
      <c r="D548" s="99"/>
      <c r="E548" s="99">
        <v>10</v>
      </c>
      <c r="F548" s="140">
        <v>9.9</v>
      </c>
      <c r="G548" s="140">
        <v>6.9</v>
      </c>
      <c r="H548" s="140">
        <v>3</v>
      </c>
      <c r="I548" s="123">
        <v>4.5999999999999996</v>
      </c>
      <c r="J548" s="123">
        <v>2.9</v>
      </c>
      <c r="K548" s="145">
        <v>1</v>
      </c>
      <c r="L548" s="140">
        <v>9.9</v>
      </c>
      <c r="M548" s="140">
        <v>6.9</v>
      </c>
      <c r="N548" s="99"/>
      <c r="O548" s="140">
        <v>3</v>
      </c>
      <c r="P548" s="123">
        <v>4.5999999999999996</v>
      </c>
      <c r="Q548" s="123">
        <v>2.9</v>
      </c>
      <c r="R548" s="233">
        <f>YEAR(Tableau4[[#This Row],[Date]])</f>
        <v>2019</v>
      </c>
    </row>
    <row r="549" spans="1:18">
      <c r="A549" s="241">
        <v>43556</v>
      </c>
      <c r="B549" s="244" t="s">
        <v>690</v>
      </c>
      <c r="C549" s="99" t="s">
        <v>7</v>
      </c>
      <c r="D549" s="99"/>
      <c r="E549" s="99">
        <v>10</v>
      </c>
      <c r="F549" s="140">
        <v>9.9</v>
      </c>
      <c r="G549" s="140">
        <v>6.9</v>
      </c>
      <c r="H549" s="140">
        <v>3</v>
      </c>
      <c r="I549" s="123">
        <v>4.5999999999999996</v>
      </c>
      <c r="J549" s="123">
        <v>2.9</v>
      </c>
      <c r="K549" s="145">
        <v>1</v>
      </c>
      <c r="L549" s="140">
        <v>9.9</v>
      </c>
      <c r="M549" s="140">
        <v>6.9</v>
      </c>
      <c r="N549" s="99"/>
      <c r="O549" s="140">
        <v>3</v>
      </c>
      <c r="P549" s="123">
        <v>4.5999999999999996</v>
      </c>
      <c r="Q549" s="123">
        <v>2.9</v>
      </c>
      <c r="R549" s="233">
        <f>YEAR(Tableau4[[#This Row],[Date]])</f>
        <v>2019</v>
      </c>
    </row>
    <row r="550" spans="1:18">
      <c r="A550" s="241">
        <v>43586</v>
      </c>
      <c r="B550" s="244" t="s">
        <v>690</v>
      </c>
      <c r="C550" s="99" t="s">
        <v>9</v>
      </c>
      <c r="D550" s="99"/>
      <c r="E550" s="99"/>
      <c r="F550" s="140">
        <v>10.9</v>
      </c>
      <c r="G550" s="140">
        <v>7.8</v>
      </c>
      <c r="H550" s="140">
        <v>3.1000000000000005</v>
      </c>
      <c r="I550" s="123">
        <v>6</v>
      </c>
      <c r="J550" s="123">
        <v>3.28</v>
      </c>
      <c r="K550" s="145">
        <v>1</v>
      </c>
      <c r="L550" s="140">
        <v>10.9</v>
      </c>
      <c r="M550" s="140">
        <v>7.8</v>
      </c>
      <c r="N550" s="99"/>
      <c r="O550" s="140">
        <v>3.1000000000000005</v>
      </c>
      <c r="P550" s="123">
        <v>8</v>
      </c>
      <c r="Q550" s="123">
        <v>3.28</v>
      </c>
      <c r="R550" s="233">
        <f>YEAR(Tableau4[[#This Row],[Date]])</f>
        <v>2019</v>
      </c>
    </row>
    <row r="551" spans="1:18">
      <c r="A551" s="241">
        <v>43586</v>
      </c>
      <c r="B551" s="244" t="s">
        <v>690</v>
      </c>
      <c r="C551" s="99" t="s">
        <v>9</v>
      </c>
      <c r="D551" s="99"/>
      <c r="E551" s="99"/>
      <c r="F551" s="140">
        <v>14.9</v>
      </c>
      <c r="G551" s="140">
        <v>10.65</v>
      </c>
      <c r="H551" s="140">
        <v>4.25</v>
      </c>
      <c r="I551" s="123">
        <v>9</v>
      </c>
      <c r="J551" s="123">
        <v>5.5</v>
      </c>
      <c r="K551" s="145">
        <v>1</v>
      </c>
      <c r="L551" s="140">
        <v>14.9</v>
      </c>
      <c r="M551" s="140">
        <v>10.65</v>
      </c>
      <c r="N551" s="99"/>
      <c r="O551" s="140">
        <v>4.25</v>
      </c>
      <c r="P551" s="123">
        <v>10</v>
      </c>
      <c r="Q551" s="123">
        <v>5.5</v>
      </c>
      <c r="R551" s="233">
        <f>YEAR(Tableau4[[#This Row],[Date]])</f>
        <v>2019</v>
      </c>
    </row>
    <row r="552" spans="1:18">
      <c r="A552" s="241">
        <v>43647</v>
      </c>
      <c r="B552" s="244" t="s">
        <v>690</v>
      </c>
      <c r="C552" s="99" t="s">
        <v>9</v>
      </c>
      <c r="D552" s="99"/>
      <c r="E552" s="99"/>
      <c r="F552" s="140">
        <v>10.9</v>
      </c>
      <c r="G552" s="140">
        <v>7.8</v>
      </c>
      <c r="H552" s="140">
        <v>3.1000000000000005</v>
      </c>
      <c r="I552" s="123">
        <v>6</v>
      </c>
      <c r="J552" s="123">
        <v>3.28</v>
      </c>
      <c r="K552" s="145">
        <v>1</v>
      </c>
      <c r="L552" s="140">
        <v>10.9</v>
      </c>
      <c r="M552" s="140">
        <v>7.8</v>
      </c>
      <c r="N552" s="99"/>
      <c r="O552" s="140">
        <v>3.1000000000000005</v>
      </c>
      <c r="P552" s="123">
        <v>8</v>
      </c>
      <c r="Q552" s="123">
        <v>3.28</v>
      </c>
      <c r="R552" s="233">
        <f>YEAR(Tableau4[[#This Row],[Date]])</f>
        <v>2019</v>
      </c>
    </row>
    <row r="553" spans="1:18">
      <c r="A553" s="241">
        <v>43647</v>
      </c>
      <c r="B553" s="244" t="s">
        <v>690</v>
      </c>
      <c r="C553" s="99" t="s">
        <v>9</v>
      </c>
      <c r="D553" s="99"/>
      <c r="E553" s="99"/>
      <c r="F553" s="140">
        <v>14.9</v>
      </c>
      <c r="G553" s="140">
        <v>10.65</v>
      </c>
      <c r="H553" s="140">
        <v>4.25</v>
      </c>
      <c r="I553" s="123">
        <v>9</v>
      </c>
      <c r="J553" s="123">
        <v>5.5</v>
      </c>
      <c r="K553" s="145">
        <v>1</v>
      </c>
      <c r="L553" s="140">
        <v>14.9</v>
      </c>
      <c r="M553" s="140">
        <v>10.65</v>
      </c>
      <c r="N553" s="99"/>
      <c r="O553" s="140">
        <v>4.25</v>
      </c>
      <c r="P553" s="123">
        <v>10</v>
      </c>
      <c r="Q553" s="123">
        <v>5.5</v>
      </c>
      <c r="R553" s="233">
        <f>YEAR(Tableau4[[#This Row],[Date]])</f>
        <v>2019</v>
      </c>
    </row>
    <row r="554" spans="1:18">
      <c r="A554" s="241">
        <v>43739</v>
      </c>
      <c r="B554" s="244" t="s">
        <v>690</v>
      </c>
      <c r="C554" s="99" t="s">
        <v>9</v>
      </c>
      <c r="D554" s="99"/>
      <c r="E554" s="99"/>
      <c r="F554" s="140">
        <v>9.9</v>
      </c>
      <c r="G554" s="140">
        <v>7</v>
      </c>
      <c r="H554" s="140">
        <v>2.9000000000000004</v>
      </c>
      <c r="I554" s="123">
        <v>5</v>
      </c>
      <c r="J554" s="123">
        <v>2.94</v>
      </c>
      <c r="K554" s="145">
        <v>2</v>
      </c>
      <c r="L554" s="140">
        <v>19.8</v>
      </c>
      <c r="M554" s="140">
        <v>14</v>
      </c>
      <c r="N554" s="99"/>
      <c r="O554" s="140">
        <v>5.8000000000000007</v>
      </c>
      <c r="P554" s="123">
        <v>10</v>
      </c>
      <c r="Q554" s="123">
        <v>5.88</v>
      </c>
      <c r="R554" s="233">
        <f>YEAR(Tableau4[[#This Row],[Date]])</f>
        <v>2019</v>
      </c>
    </row>
    <row r="555" spans="1:18">
      <c r="A555" s="241">
        <v>43739</v>
      </c>
      <c r="B555" s="244" t="s">
        <v>690</v>
      </c>
      <c r="C555" s="99" t="s">
        <v>9</v>
      </c>
      <c r="D555" s="99"/>
      <c r="E555" s="99"/>
      <c r="F555" s="140">
        <v>20.5</v>
      </c>
      <c r="G555" s="140">
        <v>14.6</v>
      </c>
      <c r="H555" s="140">
        <v>5.9</v>
      </c>
      <c r="I555" s="123">
        <v>11.5</v>
      </c>
      <c r="J555" s="123">
        <v>12.27</v>
      </c>
      <c r="K555" s="145">
        <v>1</v>
      </c>
      <c r="L555" s="140">
        <v>20.5</v>
      </c>
      <c r="M555" s="140">
        <v>14.6</v>
      </c>
      <c r="N555" s="99"/>
      <c r="O555" s="140">
        <v>5.9</v>
      </c>
      <c r="P555" s="123">
        <v>12.5</v>
      </c>
      <c r="Q555" s="123">
        <v>12.27</v>
      </c>
      <c r="R555" s="233">
        <f>YEAR(Tableau4[[#This Row],[Date]])</f>
        <v>2019</v>
      </c>
    </row>
    <row r="556" spans="1:18">
      <c r="A556" s="241">
        <v>43739</v>
      </c>
      <c r="B556" s="244" t="s">
        <v>690</v>
      </c>
      <c r="C556" s="99" t="s">
        <v>9</v>
      </c>
      <c r="D556" s="99"/>
      <c r="E556" s="99"/>
      <c r="F556" s="140">
        <v>10.9</v>
      </c>
      <c r="G556" s="140">
        <v>7.8</v>
      </c>
      <c r="H556" s="140">
        <v>3.1000000000000005</v>
      </c>
      <c r="I556" s="123">
        <v>6</v>
      </c>
      <c r="J556" s="123">
        <v>3.28</v>
      </c>
      <c r="K556" s="145">
        <v>2</v>
      </c>
      <c r="L556" s="140">
        <v>21.8</v>
      </c>
      <c r="M556" s="140">
        <v>15.6</v>
      </c>
      <c r="N556" s="99"/>
      <c r="O556" s="140">
        <v>6.2000000000000011</v>
      </c>
      <c r="P556" s="123">
        <v>16</v>
      </c>
      <c r="Q556" s="123">
        <v>6.56</v>
      </c>
      <c r="R556" s="233">
        <f>YEAR(Tableau4[[#This Row],[Date]])</f>
        <v>2019</v>
      </c>
    </row>
    <row r="557" spans="1:18">
      <c r="A557" s="241">
        <v>43739</v>
      </c>
      <c r="B557" s="244" t="s">
        <v>690</v>
      </c>
      <c r="C557" s="99" t="s">
        <v>7</v>
      </c>
      <c r="D557" s="99"/>
      <c r="E557" s="99">
        <v>100</v>
      </c>
      <c r="F557" s="140">
        <v>29.9</v>
      </c>
      <c r="G557" s="140">
        <v>19.899999999999999</v>
      </c>
      <c r="H557" s="140">
        <v>10</v>
      </c>
      <c r="I557" s="123">
        <v>16</v>
      </c>
      <c r="J557" s="123">
        <v>16.55</v>
      </c>
      <c r="K557" s="145">
        <v>1</v>
      </c>
      <c r="L557" s="140">
        <v>29.9</v>
      </c>
      <c r="M557" s="140">
        <v>19.899999999999999</v>
      </c>
      <c r="N557" s="99"/>
      <c r="O557" s="140">
        <v>10</v>
      </c>
      <c r="P557" s="123">
        <v>16</v>
      </c>
      <c r="Q557" s="123">
        <v>16.55</v>
      </c>
      <c r="R557" s="233">
        <f>YEAR(Tableau4[[#This Row],[Date]])</f>
        <v>2019</v>
      </c>
    </row>
    <row r="558" spans="1:18">
      <c r="A558" s="241">
        <v>43739</v>
      </c>
      <c r="B558" s="244" t="s">
        <v>690</v>
      </c>
      <c r="C558" s="99" t="s">
        <v>7</v>
      </c>
      <c r="D558" s="99"/>
      <c r="E558" s="99">
        <v>100</v>
      </c>
      <c r="F558" s="140">
        <v>29.9</v>
      </c>
      <c r="G558" s="140">
        <v>19.899999999999999</v>
      </c>
      <c r="H558" s="140">
        <v>10</v>
      </c>
      <c r="I558" s="123">
        <v>16</v>
      </c>
      <c r="J558" s="123">
        <v>16.55</v>
      </c>
      <c r="K558" s="145">
        <v>1</v>
      </c>
      <c r="L558" s="140">
        <v>29.9</v>
      </c>
      <c r="M558" s="140">
        <v>19.899999999999999</v>
      </c>
      <c r="N558" s="99"/>
      <c r="O558" s="140">
        <v>10</v>
      </c>
      <c r="P558" s="123">
        <v>16</v>
      </c>
      <c r="Q558" s="123">
        <v>16.55</v>
      </c>
      <c r="R558" s="233">
        <f>YEAR(Tableau4[[#This Row],[Date]])</f>
        <v>2019</v>
      </c>
    </row>
    <row r="559" spans="1:18">
      <c r="A559" s="241">
        <v>43739</v>
      </c>
      <c r="B559" s="244" t="s">
        <v>690</v>
      </c>
      <c r="C559" s="99" t="s">
        <v>9</v>
      </c>
      <c r="D559" s="99"/>
      <c r="E559" s="99"/>
      <c r="F559" s="140">
        <v>14.9</v>
      </c>
      <c r="G559" s="140">
        <v>10.65</v>
      </c>
      <c r="H559" s="140">
        <v>4.25</v>
      </c>
      <c r="I559" s="123">
        <v>9</v>
      </c>
      <c r="J559" s="123">
        <v>5.5</v>
      </c>
      <c r="K559" s="145">
        <v>1</v>
      </c>
      <c r="L559" s="140">
        <v>14.9</v>
      </c>
      <c r="M559" s="140">
        <v>10.65</v>
      </c>
      <c r="N559" s="99"/>
      <c r="O559" s="140">
        <v>4.25</v>
      </c>
      <c r="P559" s="123">
        <v>10</v>
      </c>
      <c r="Q559" s="123">
        <v>5.5</v>
      </c>
      <c r="R559" s="233">
        <f>YEAR(Tableau4[[#This Row],[Date]])</f>
        <v>2019</v>
      </c>
    </row>
    <row r="560" spans="1:18">
      <c r="A560" s="241">
        <v>43739</v>
      </c>
      <c r="B560" s="244" t="s">
        <v>690</v>
      </c>
      <c r="C560" s="99" t="s">
        <v>7</v>
      </c>
      <c r="D560" s="99"/>
      <c r="E560" s="99" t="s">
        <v>53</v>
      </c>
      <c r="F560" s="140">
        <v>5</v>
      </c>
      <c r="G560" s="140">
        <v>2.9</v>
      </c>
      <c r="H560" s="140">
        <v>2.1</v>
      </c>
      <c r="I560" s="123">
        <v>1.5</v>
      </c>
      <c r="J560" s="123">
        <v>1</v>
      </c>
      <c r="K560" s="145">
        <v>1</v>
      </c>
      <c r="L560" s="140">
        <v>0</v>
      </c>
      <c r="M560" s="140">
        <v>2.9</v>
      </c>
      <c r="N560" s="99">
        <v>5</v>
      </c>
      <c r="O560" s="140">
        <v>-2.9</v>
      </c>
      <c r="P560" s="123">
        <v>1.5</v>
      </c>
      <c r="Q560" s="123">
        <v>1</v>
      </c>
      <c r="R560" s="233">
        <f>YEAR(Tableau4[[#This Row],[Date]])</f>
        <v>2019</v>
      </c>
    </row>
    <row r="561" spans="1:18">
      <c r="A561" s="241">
        <v>43739</v>
      </c>
      <c r="B561" s="244" t="s">
        <v>690</v>
      </c>
      <c r="C561" s="99" t="s">
        <v>7</v>
      </c>
      <c r="D561" s="99"/>
      <c r="E561" s="99" t="s">
        <v>53</v>
      </c>
      <c r="F561" s="140">
        <v>5</v>
      </c>
      <c r="G561" s="140">
        <v>2.9</v>
      </c>
      <c r="H561" s="140">
        <v>2.1</v>
      </c>
      <c r="I561" s="123">
        <v>1.5</v>
      </c>
      <c r="J561" s="123">
        <v>1</v>
      </c>
      <c r="K561" s="145">
        <v>1</v>
      </c>
      <c r="L561" s="140">
        <v>0</v>
      </c>
      <c r="M561" s="140">
        <v>2.9</v>
      </c>
      <c r="N561" s="99">
        <v>5</v>
      </c>
      <c r="O561" s="140">
        <v>-2.9</v>
      </c>
      <c r="P561" s="123">
        <v>1.5</v>
      </c>
      <c r="Q561" s="123">
        <v>1</v>
      </c>
      <c r="R561" s="233">
        <f>YEAR(Tableau4[[#This Row],[Date]])</f>
        <v>2019</v>
      </c>
    </row>
    <row r="562" spans="1:18">
      <c r="A562" s="231">
        <v>43831</v>
      </c>
      <c r="B562" s="244" t="s">
        <v>690</v>
      </c>
      <c r="C562" s="99" t="s">
        <v>9</v>
      </c>
      <c r="D562" s="99"/>
      <c r="E562" s="99"/>
      <c r="F562" s="140">
        <v>16.899999999999999</v>
      </c>
      <c r="G562" s="140">
        <v>12.7</v>
      </c>
      <c r="H562" s="140">
        <v>4.1999999999999993</v>
      </c>
      <c r="I562" s="123">
        <v>9</v>
      </c>
      <c r="J562" s="123">
        <v>5.5</v>
      </c>
      <c r="K562" s="145">
        <v>2</v>
      </c>
      <c r="L562" s="140">
        <v>33.799999999999997</v>
      </c>
      <c r="M562" s="140">
        <v>25.4</v>
      </c>
      <c r="N562" s="99"/>
      <c r="O562" s="140">
        <v>8.3999999999999986</v>
      </c>
      <c r="P562" s="123">
        <v>20</v>
      </c>
      <c r="Q562" s="123">
        <v>11</v>
      </c>
      <c r="R562" s="233">
        <f>YEAR(Tableau4[[#This Row],[Date]])</f>
        <v>2020</v>
      </c>
    </row>
    <row r="563" spans="1:18">
      <c r="A563" s="231">
        <v>43831</v>
      </c>
      <c r="B563" s="244" t="s">
        <v>690</v>
      </c>
      <c r="C563" s="99" t="s">
        <v>7</v>
      </c>
      <c r="D563" s="99"/>
      <c r="E563" s="99" t="s">
        <v>76</v>
      </c>
      <c r="F563" s="140">
        <v>32.9</v>
      </c>
      <c r="G563" s="140">
        <v>21.9</v>
      </c>
      <c r="H563" s="140">
        <v>11</v>
      </c>
      <c r="I563" s="123">
        <v>18</v>
      </c>
      <c r="J563" s="123">
        <v>16.55</v>
      </c>
      <c r="K563" s="145">
        <v>1</v>
      </c>
      <c r="L563" s="140">
        <v>32.9</v>
      </c>
      <c r="M563" s="140">
        <v>21.9</v>
      </c>
      <c r="N563" s="99"/>
      <c r="O563" s="140">
        <v>11</v>
      </c>
      <c r="P563" s="123">
        <v>18</v>
      </c>
      <c r="Q563" s="123">
        <v>16.55</v>
      </c>
      <c r="R563" s="233">
        <f>YEAR(Tableau4[[#This Row],[Date]])</f>
        <v>2020</v>
      </c>
    </row>
    <row r="564" spans="1:18">
      <c r="A564" s="241">
        <v>43678</v>
      </c>
      <c r="B564" s="246" t="s">
        <v>691</v>
      </c>
      <c r="C564" s="99" t="s">
        <v>7</v>
      </c>
      <c r="D564" s="99"/>
      <c r="E564" s="99">
        <v>100</v>
      </c>
      <c r="F564" s="140">
        <v>29.9</v>
      </c>
      <c r="G564" s="140">
        <v>19.899999999999999</v>
      </c>
      <c r="H564" s="140">
        <v>10</v>
      </c>
      <c r="I564" s="123">
        <v>16</v>
      </c>
      <c r="J564" s="123">
        <v>16.55</v>
      </c>
      <c r="K564" s="145">
        <v>1</v>
      </c>
      <c r="L564" s="140">
        <v>29.9</v>
      </c>
      <c r="M564" s="140">
        <v>19.899999999999999</v>
      </c>
      <c r="N564" s="99"/>
      <c r="O564" s="140">
        <v>10</v>
      </c>
      <c r="P564" s="123">
        <v>16</v>
      </c>
      <c r="Q564" s="123">
        <v>16.55</v>
      </c>
      <c r="R564" s="233">
        <f>YEAR(Tableau4[[#This Row],[Date]])</f>
        <v>2019</v>
      </c>
    </row>
    <row r="565" spans="1:18">
      <c r="A565" s="241">
        <v>43709</v>
      </c>
      <c r="B565" s="246" t="s">
        <v>691</v>
      </c>
      <c r="C565" s="99" t="s">
        <v>7</v>
      </c>
      <c r="D565" s="99"/>
      <c r="E565" s="99">
        <v>50</v>
      </c>
      <c r="F565" s="140">
        <v>19.899999999999999</v>
      </c>
      <c r="G565" s="140">
        <v>13.3</v>
      </c>
      <c r="H565" s="140">
        <v>6.5999999999999979</v>
      </c>
      <c r="I565" s="123">
        <v>11</v>
      </c>
      <c r="J565" s="123">
        <v>9</v>
      </c>
      <c r="K565" s="145">
        <v>1</v>
      </c>
      <c r="L565" s="140">
        <v>19.899999999999999</v>
      </c>
      <c r="M565" s="140">
        <v>13.3</v>
      </c>
      <c r="N565" s="99"/>
      <c r="O565" s="140">
        <v>6.5999999999999979</v>
      </c>
      <c r="P565" s="123">
        <v>11</v>
      </c>
      <c r="Q565" s="123">
        <v>9</v>
      </c>
      <c r="R565" s="233">
        <f>YEAR(Tableau4[[#This Row],[Date]])</f>
        <v>2019</v>
      </c>
    </row>
    <row r="566" spans="1:18">
      <c r="A566" s="241">
        <v>43709</v>
      </c>
      <c r="B566" s="246" t="s">
        <v>691</v>
      </c>
      <c r="C566" s="99" t="s">
        <v>7</v>
      </c>
      <c r="D566" s="99"/>
      <c r="E566" s="99">
        <v>50</v>
      </c>
      <c r="F566" s="140">
        <v>19.899999999999999</v>
      </c>
      <c r="G566" s="140">
        <v>13.3</v>
      </c>
      <c r="H566" s="140">
        <v>6.5999999999999979</v>
      </c>
      <c r="I566" s="123">
        <v>11</v>
      </c>
      <c r="J566" s="123">
        <v>9</v>
      </c>
      <c r="K566" s="145">
        <v>1</v>
      </c>
      <c r="L566" s="140">
        <v>19.899999999999999</v>
      </c>
      <c r="M566" s="140">
        <v>13.3</v>
      </c>
      <c r="N566" s="99"/>
      <c r="O566" s="140">
        <v>6.5999999999999979</v>
      </c>
      <c r="P566" s="123">
        <v>11</v>
      </c>
      <c r="Q566" s="123">
        <v>9</v>
      </c>
      <c r="R566" s="233">
        <f>YEAR(Tableau4[[#This Row],[Date]])</f>
        <v>2019</v>
      </c>
    </row>
    <row r="567" spans="1:18">
      <c r="A567" s="241">
        <v>43709</v>
      </c>
      <c r="B567" s="246" t="s">
        <v>691</v>
      </c>
      <c r="C567" s="99" t="s">
        <v>7</v>
      </c>
      <c r="D567" s="99"/>
      <c r="E567" s="99" t="s">
        <v>53</v>
      </c>
      <c r="F567" s="140">
        <v>5</v>
      </c>
      <c r="G567" s="140">
        <v>2.9</v>
      </c>
      <c r="H567" s="140">
        <v>2.1</v>
      </c>
      <c r="I567" s="123">
        <v>1.5</v>
      </c>
      <c r="J567" s="123">
        <v>1</v>
      </c>
      <c r="K567" s="145">
        <v>1</v>
      </c>
      <c r="L567" s="140">
        <v>5</v>
      </c>
      <c r="M567" s="140">
        <v>2.9</v>
      </c>
      <c r="N567" s="99"/>
      <c r="O567" s="140">
        <v>2.1</v>
      </c>
      <c r="P567" s="123">
        <v>1.5</v>
      </c>
      <c r="Q567" s="123">
        <v>1</v>
      </c>
      <c r="R567" s="233">
        <f>YEAR(Tableau4[[#This Row],[Date]])</f>
        <v>2019</v>
      </c>
    </row>
    <row r="568" spans="1:18">
      <c r="A568" s="241">
        <v>43709</v>
      </c>
      <c r="B568" s="246" t="s">
        <v>691</v>
      </c>
      <c r="C568" s="99" t="s">
        <v>7</v>
      </c>
      <c r="D568" s="99"/>
      <c r="E568" s="99" t="s">
        <v>53</v>
      </c>
      <c r="F568" s="140">
        <v>5</v>
      </c>
      <c r="G568" s="140">
        <v>2.9</v>
      </c>
      <c r="H568" s="140">
        <v>2.1</v>
      </c>
      <c r="I568" s="123">
        <v>1.5</v>
      </c>
      <c r="J568" s="123">
        <v>1</v>
      </c>
      <c r="K568" s="145">
        <v>1</v>
      </c>
      <c r="L568" s="140">
        <v>5</v>
      </c>
      <c r="M568" s="140">
        <v>2.9</v>
      </c>
      <c r="N568" s="99"/>
      <c r="O568" s="140">
        <v>2.1</v>
      </c>
      <c r="P568" s="123">
        <v>1.5</v>
      </c>
      <c r="Q568" s="123">
        <v>1</v>
      </c>
      <c r="R568" s="233">
        <f>YEAR(Tableau4[[#This Row],[Date]])</f>
        <v>2019</v>
      </c>
    </row>
    <row r="569" spans="1:18">
      <c r="A569" s="231">
        <v>43831</v>
      </c>
      <c r="B569" s="244" t="s">
        <v>691</v>
      </c>
      <c r="C569" s="99" t="s">
        <v>7</v>
      </c>
      <c r="D569" s="99"/>
      <c r="E569" s="99" t="s">
        <v>53</v>
      </c>
      <c r="F569" s="140">
        <v>5</v>
      </c>
      <c r="G569" s="140">
        <v>2.9</v>
      </c>
      <c r="H569" s="140">
        <v>2.1</v>
      </c>
      <c r="I569" s="123">
        <v>1.5</v>
      </c>
      <c r="J569" s="123">
        <v>1</v>
      </c>
      <c r="K569" s="145">
        <v>1</v>
      </c>
      <c r="L569" s="140">
        <v>5</v>
      </c>
      <c r="M569" s="140">
        <v>2.9</v>
      </c>
      <c r="N569" s="99"/>
      <c r="O569" s="140">
        <v>2.1</v>
      </c>
      <c r="P569" s="123">
        <v>1.5</v>
      </c>
      <c r="Q569" s="123">
        <v>1</v>
      </c>
      <c r="R569" s="233">
        <f>YEAR(Tableau4[[#This Row],[Date]])</f>
        <v>2020</v>
      </c>
    </row>
    <row r="570" spans="1:18">
      <c r="A570" s="231">
        <v>43831</v>
      </c>
      <c r="B570" s="244" t="s">
        <v>691</v>
      </c>
      <c r="C570" s="99" t="s">
        <v>7</v>
      </c>
      <c r="D570" s="99"/>
      <c r="E570" s="99" t="s">
        <v>53</v>
      </c>
      <c r="F570" s="140">
        <v>5</v>
      </c>
      <c r="G570" s="140">
        <v>2.9</v>
      </c>
      <c r="H570" s="140">
        <v>2.1</v>
      </c>
      <c r="I570" s="123">
        <v>1.5</v>
      </c>
      <c r="J570" s="123">
        <v>1</v>
      </c>
      <c r="K570" s="145">
        <v>1</v>
      </c>
      <c r="L570" s="140">
        <v>5</v>
      </c>
      <c r="M570" s="140">
        <v>2.9</v>
      </c>
      <c r="N570" s="99"/>
      <c r="O570" s="140">
        <v>2.1</v>
      </c>
      <c r="P570" s="123">
        <v>1.5</v>
      </c>
      <c r="Q570" s="123">
        <v>1</v>
      </c>
      <c r="R570" s="233">
        <f>YEAR(Tableau4[[#This Row],[Date]])</f>
        <v>2020</v>
      </c>
    </row>
    <row r="571" spans="1:18">
      <c r="A571" s="231">
        <v>43831</v>
      </c>
      <c r="B571" s="244" t="s">
        <v>691</v>
      </c>
      <c r="C571" s="99" t="s">
        <v>7</v>
      </c>
      <c r="D571" s="99"/>
      <c r="E571" s="99" t="s">
        <v>53</v>
      </c>
      <c r="F571" s="140">
        <v>5</v>
      </c>
      <c r="G571" s="140">
        <v>2.9</v>
      </c>
      <c r="H571" s="140">
        <v>2.1</v>
      </c>
      <c r="I571" s="123">
        <v>1.5</v>
      </c>
      <c r="J571" s="123">
        <v>1</v>
      </c>
      <c r="K571" s="145">
        <v>1</v>
      </c>
      <c r="L571" s="140">
        <v>5</v>
      </c>
      <c r="M571" s="140">
        <v>2.9</v>
      </c>
      <c r="N571" s="99"/>
      <c r="O571" s="140">
        <v>2.1</v>
      </c>
      <c r="P571" s="123">
        <v>1.5</v>
      </c>
      <c r="Q571" s="123">
        <v>1</v>
      </c>
      <c r="R571" s="233">
        <f>YEAR(Tableau4[[#This Row],[Date]])</f>
        <v>2020</v>
      </c>
    </row>
    <row r="572" spans="1:18">
      <c r="A572" s="231">
        <v>43831</v>
      </c>
      <c r="B572" s="244" t="s">
        <v>691</v>
      </c>
      <c r="C572" s="99" t="s">
        <v>7</v>
      </c>
      <c r="D572" s="99"/>
      <c r="E572" s="99" t="s">
        <v>78</v>
      </c>
      <c r="F572" s="140">
        <v>15</v>
      </c>
      <c r="G572" s="140">
        <v>6.9</v>
      </c>
      <c r="H572" s="140">
        <v>8.1</v>
      </c>
      <c r="I572" s="123">
        <v>4</v>
      </c>
      <c r="J572" s="123">
        <v>3</v>
      </c>
      <c r="K572" s="145">
        <v>1</v>
      </c>
      <c r="L572" s="140">
        <v>15</v>
      </c>
      <c r="M572" s="140">
        <v>6.9</v>
      </c>
      <c r="N572" s="99"/>
      <c r="O572" s="140">
        <v>8.1</v>
      </c>
      <c r="P572" s="123">
        <v>4</v>
      </c>
      <c r="Q572" s="123">
        <v>3</v>
      </c>
      <c r="R572" s="233">
        <f>YEAR(Tableau4[[#This Row],[Date]])</f>
        <v>2020</v>
      </c>
    </row>
    <row r="573" spans="1:18">
      <c r="A573" s="231">
        <v>43831</v>
      </c>
      <c r="B573" s="244" t="s">
        <v>691</v>
      </c>
      <c r="C573" s="99" t="s">
        <v>7</v>
      </c>
      <c r="D573" s="99"/>
      <c r="E573" s="99" t="s">
        <v>53</v>
      </c>
      <c r="F573" s="140">
        <v>5</v>
      </c>
      <c r="G573" s="140">
        <v>2.9</v>
      </c>
      <c r="H573" s="140">
        <v>2.1</v>
      </c>
      <c r="I573" s="123">
        <v>1.5</v>
      </c>
      <c r="J573" s="123">
        <v>1</v>
      </c>
      <c r="K573" s="145">
        <v>1</v>
      </c>
      <c r="L573" s="140">
        <v>5</v>
      </c>
      <c r="M573" s="140">
        <v>2.9</v>
      </c>
      <c r="N573" s="99"/>
      <c r="O573" s="140">
        <v>2.1</v>
      </c>
      <c r="P573" s="123">
        <v>1.5</v>
      </c>
      <c r="Q573" s="123">
        <v>1</v>
      </c>
      <c r="R573" s="233">
        <f>YEAR(Tableau4[[#This Row],[Date]])</f>
        <v>2020</v>
      </c>
    </row>
    <row r="574" spans="1:18">
      <c r="A574" s="241">
        <v>43770</v>
      </c>
      <c r="B574" s="244" t="s">
        <v>679</v>
      </c>
      <c r="C574" s="99" t="s">
        <v>9</v>
      </c>
      <c r="D574" s="99"/>
      <c r="E574" s="99"/>
      <c r="F574" s="140">
        <v>89.8</v>
      </c>
      <c r="G574" s="140">
        <v>65.5</v>
      </c>
      <c r="H574" s="140">
        <v>24.299999999999997</v>
      </c>
      <c r="I574" s="123">
        <v>60</v>
      </c>
      <c r="J574" s="123">
        <v>35</v>
      </c>
      <c r="K574" s="145">
        <v>1</v>
      </c>
      <c r="L574" s="140">
        <v>89.8</v>
      </c>
      <c r="M574" s="140">
        <v>65.5</v>
      </c>
      <c r="N574" s="99"/>
      <c r="O574" s="140">
        <v>24.299999999999997</v>
      </c>
      <c r="P574" s="123">
        <v>60</v>
      </c>
      <c r="Q574" s="123">
        <v>35</v>
      </c>
      <c r="R574" s="233">
        <f>YEAR(Tableau4[[#This Row],[Date]])</f>
        <v>2019</v>
      </c>
    </row>
  </sheetData>
  <pageMargins left="0.19685039370078741" right="0.19685039370078741" top="0.19685039370078741" bottom="0.19685039370078741" header="0.19685039370078741" footer="0.19685039370078741"/>
  <pageSetup paperSize="9" scale="65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F576"/>
  <sheetViews>
    <sheetView zoomScaleNormal="100" workbookViewId="0">
      <pane ySplit="1" topLeftCell="A2" activePane="bottomLeft" state="frozen"/>
      <selection pane="bottomLeft" activeCell="B118" sqref="B118"/>
    </sheetView>
  </sheetViews>
  <sheetFormatPr baseColWidth="10" defaultColWidth="11.5546875" defaultRowHeight="14.4"/>
  <cols>
    <col min="1" max="1" width="14.77734375" style="260" bestFit="1" customWidth="1"/>
    <col min="2" max="2" width="24" style="98" bestFit="1" customWidth="1"/>
    <col min="3" max="3" width="19.109375" style="98" bestFit="1" customWidth="1"/>
    <col min="4" max="4" width="37.77734375" style="98" bestFit="1" customWidth="1"/>
    <col min="5" max="5" width="34.33203125" style="98" bestFit="1" customWidth="1"/>
    <col min="6" max="6" width="11.33203125" style="98" bestFit="1" customWidth="1"/>
    <col min="7" max="7" width="11.6640625" style="7" bestFit="1" customWidth="1"/>
    <col min="8" max="8" width="10" style="7" bestFit="1" customWidth="1"/>
    <col min="9" max="9" width="12.109375" style="7" bestFit="1" customWidth="1"/>
    <col min="10" max="10" width="8.6640625" style="7" bestFit="1" customWidth="1"/>
    <col min="11" max="11" width="9.44140625" style="7" bestFit="1" customWidth="1"/>
    <col min="12" max="16384" width="11.5546875" style="7"/>
  </cols>
  <sheetData>
    <row r="1" spans="1:6">
      <c r="A1" s="257" t="s">
        <v>34</v>
      </c>
      <c r="B1" s="96" t="s">
        <v>18</v>
      </c>
      <c r="C1" s="96" t="s">
        <v>19</v>
      </c>
      <c r="D1" s="96" t="s">
        <v>0</v>
      </c>
      <c r="E1" s="92" t="s">
        <v>6</v>
      </c>
      <c r="F1" s="96" t="s">
        <v>1</v>
      </c>
    </row>
    <row r="2" spans="1:6" ht="15" customHeight="1">
      <c r="A2" s="258">
        <v>43556</v>
      </c>
      <c r="B2" s="97" t="s">
        <v>800</v>
      </c>
      <c r="C2" s="97" t="s">
        <v>7</v>
      </c>
      <c r="D2" s="97"/>
      <c r="E2" s="97">
        <v>100</v>
      </c>
      <c r="F2" s="97">
        <v>1</v>
      </c>
    </row>
    <row r="3" spans="1:6" ht="15" customHeight="1">
      <c r="A3" s="258">
        <v>43556</v>
      </c>
      <c r="B3" s="97" t="s">
        <v>800</v>
      </c>
      <c r="C3" s="97" t="s">
        <v>7</v>
      </c>
      <c r="D3" s="97"/>
      <c r="E3" s="97">
        <v>100</v>
      </c>
      <c r="F3" s="97">
        <v>1</v>
      </c>
    </row>
    <row r="4" spans="1:6" ht="15" customHeight="1">
      <c r="A4" s="258">
        <v>43556</v>
      </c>
      <c r="B4" s="97" t="s">
        <v>800</v>
      </c>
      <c r="C4" s="97" t="s">
        <v>7</v>
      </c>
      <c r="D4" s="97"/>
      <c r="E4" s="97">
        <v>50</v>
      </c>
      <c r="F4" s="97">
        <v>1</v>
      </c>
    </row>
    <row r="5" spans="1:6" ht="15" customHeight="1">
      <c r="A5" s="258">
        <v>43556</v>
      </c>
      <c r="B5" s="97" t="s">
        <v>800</v>
      </c>
      <c r="C5" s="97" t="s">
        <v>7</v>
      </c>
      <c r="D5" s="97"/>
      <c r="E5" s="97">
        <v>100</v>
      </c>
      <c r="F5" s="97">
        <v>2</v>
      </c>
    </row>
    <row r="6" spans="1:6" ht="15" customHeight="1">
      <c r="A6" s="258">
        <v>43556</v>
      </c>
      <c r="B6" s="97" t="s">
        <v>800</v>
      </c>
      <c r="C6" s="97" t="s">
        <v>7</v>
      </c>
      <c r="D6" s="97"/>
      <c r="E6" s="97">
        <v>50</v>
      </c>
      <c r="F6" s="97">
        <v>1</v>
      </c>
    </row>
    <row r="7" spans="1:6" ht="15" customHeight="1">
      <c r="A7" s="258">
        <v>43556</v>
      </c>
      <c r="B7" s="97" t="s">
        <v>800</v>
      </c>
      <c r="C7" s="97" t="s">
        <v>7</v>
      </c>
      <c r="D7" s="97"/>
      <c r="E7" s="97">
        <v>50</v>
      </c>
      <c r="F7" s="97">
        <v>1</v>
      </c>
    </row>
    <row r="8" spans="1:6" ht="15" customHeight="1">
      <c r="A8" s="258">
        <v>43556</v>
      </c>
      <c r="B8" s="97" t="s">
        <v>800</v>
      </c>
      <c r="C8" s="97" t="s">
        <v>7</v>
      </c>
      <c r="D8" s="97"/>
      <c r="E8" s="97">
        <v>50</v>
      </c>
      <c r="F8" s="97">
        <v>1</v>
      </c>
    </row>
    <row r="9" spans="1:6" ht="15" customHeight="1">
      <c r="A9" s="258">
        <v>43556</v>
      </c>
      <c r="B9" s="97" t="s">
        <v>800</v>
      </c>
      <c r="C9" s="97" t="s">
        <v>7</v>
      </c>
      <c r="D9" s="97"/>
      <c r="E9" s="97">
        <v>50</v>
      </c>
      <c r="F9" s="97">
        <v>1</v>
      </c>
    </row>
    <row r="10" spans="1:6" ht="15" customHeight="1">
      <c r="A10" s="258">
        <v>43556</v>
      </c>
      <c r="B10" s="97" t="s">
        <v>800</v>
      </c>
      <c r="C10" s="97" t="s">
        <v>7</v>
      </c>
      <c r="D10" s="97"/>
      <c r="E10" s="97">
        <v>50</v>
      </c>
      <c r="F10" s="97">
        <v>1</v>
      </c>
    </row>
    <row r="11" spans="1:6">
      <c r="A11" s="258">
        <v>43556</v>
      </c>
      <c r="B11" s="97" t="s">
        <v>808</v>
      </c>
      <c r="C11" s="97" t="s">
        <v>7</v>
      </c>
      <c r="D11" s="97"/>
      <c r="E11" s="97">
        <v>50</v>
      </c>
      <c r="F11" s="97">
        <v>1</v>
      </c>
    </row>
    <row r="12" spans="1:6" ht="15" customHeight="1">
      <c r="A12" s="258">
        <v>43556</v>
      </c>
      <c r="B12" s="97" t="s">
        <v>808</v>
      </c>
      <c r="C12" s="97" t="s">
        <v>7</v>
      </c>
      <c r="D12" s="97"/>
      <c r="E12" s="97">
        <v>100</v>
      </c>
      <c r="F12" s="97">
        <v>1</v>
      </c>
    </row>
    <row r="13" spans="1:6">
      <c r="A13" s="258">
        <v>43556</v>
      </c>
      <c r="B13" s="97" t="s">
        <v>690</v>
      </c>
      <c r="C13" s="97" t="s">
        <v>9</v>
      </c>
      <c r="D13" s="97"/>
      <c r="E13" s="97"/>
      <c r="F13" s="97">
        <v>1</v>
      </c>
    </row>
    <row r="14" spans="1:6" ht="15" customHeight="1">
      <c r="A14" s="258">
        <v>43556</v>
      </c>
      <c r="B14" s="97" t="s">
        <v>690</v>
      </c>
      <c r="C14" s="97" t="s">
        <v>7</v>
      </c>
      <c r="D14" s="97"/>
      <c r="E14" s="97">
        <v>10</v>
      </c>
      <c r="F14" s="97">
        <v>1</v>
      </c>
    </row>
    <row r="15" spans="1:6" ht="15" customHeight="1">
      <c r="A15" s="258">
        <v>43556</v>
      </c>
      <c r="B15" s="97" t="s">
        <v>690</v>
      </c>
      <c r="C15" s="97" t="s">
        <v>7</v>
      </c>
      <c r="D15" s="97"/>
      <c r="E15" s="97">
        <v>10</v>
      </c>
      <c r="F15" s="97">
        <v>1</v>
      </c>
    </row>
    <row r="16" spans="1:6" ht="15" customHeight="1">
      <c r="A16" s="258">
        <v>43556</v>
      </c>
      <c r="B16" s="97" t="s">
        <v>690</v>
      </c>
      <c r="C16" s="97" t="s">
        <v>7</v>
      </c>
      <c r="D16" s="97"/>
      <c r="E16" s="97">
        <v>100</v>
      </c>
      <c r="F16" s="97">
        <v>1</v>
      </c>
    </row>
    <row r="17" spans="1:6">
      <c r="A17" s="258">
        <v>43556</v>
      </c>
      <c r="B17" s="97" t="s">
        <v>690</v>
      </c>
      <c r="C17" s="97" t="s">
        <v>7</v>
      </c>
      <c r="D17" s="97"/>
      <c r="E17" s="97">
        <v>100</v>
      </c>
      <c r="F17" s="97">
        <v>1</v>
      </c>
    </row>
    <row r="18" spans="1:6">
      <c r="A18" s="258">
        <v>43556</v>
      </c>
      <c r="B18" s="97" t="s">
        <v>662</v>
      </c>
      <c r="C18" s="97" t="s">
        <v>7</v>
      </c>
      <c r="D18" s="97"/>
      <c r="E18" s="97">
        <v>10</v>
      </c>
      <c r="F18" s="97">
        <v>2</v>
      </c>
    </row>
    <row r="19" spans="1:6" ht="15" customHeight="1">
      <c r="A19" s="258">
        <v>43556</v>
      </c>
      <c r="B19" s="97" t="s">
        <v>662</v>
      </c>
      <c r="C19" s="97" t="s">
        <v>7</v>
      </c>
      <c r="D19" s="97"/>
      <c r="E19" s="97">
        <v>10</v>
      </c>
      <c r="F19" s="97">
        <v>1</v>
      </c>
    </row>
    <row r="20" spans="1:6" ht="15" customHeight="1">
      <c r="A20" s="258">
        <v>43556</v>
      </c>
      <c r="B20" s="97" t="s">
        <v>662</v>
      </c>
      <c r="C20" s="97" t="s">
        <v>9</v>
      </c>
      <c r="D20" s="97"/>
      <c r="E20" s="97"/>
      <c r="F20" s="97">
        <v>1</v>
      </c>
    </row>
    <row r="21" spans="1:6" ht="15" customHeight="1">
      <c r="A21" s="258">
        <v>43556</v>
      </c>
      <c r="B21" s="97" t="s">
        <v>662</v>
      </c>
      <c r="C21" s="97" t="s">
        <v>9</v>
      </c>
      <c r="D21" s="97"/>
      <c r="E21" s="97"/>
      <c r="F21" s="97">
        <v>1</v>
      </c>
    </row>
    <row r="22" spans="1:6" ht="15" customHeight="1">
      <c r="A22" s="258">
        <v>43556</v>
      </c>
      <c r="B22" s="97" t="s">
        <v>666</v>
      </c>
      <c r="C22" s="97" t="s">
        <v>7</v>
      </c>
      <c r="D22" s="97"/>
      <c r="E22" s="97">
        <v>50</v>
      </c>
      <c r="F22" s="97">
        <v>1</v>
      </c>
    </row>
    <row r="23" spans="1:6" ht="15" customHeight="1">
      <c r="A23" s="258">
        <v>43556</v>
      </c>
      <c r="B23" s="97" t="s">
        <v>669</v>
      </c>
      <c r="C23" s="97" t="s">
        <v>7</v>
      </c>
      <c r="D23" s="97"/>
      <c r="E23" s="97">
        <v>100</v>
      </c>
      <c r="F23" s="97">
        <v>1</v>
      </c>
    </row>
    <row r="24" spans="1:6" ht="15" customHeight="1">
      <c r="A24" s="258">
        <v>43556</v>
      </c>
      <c r="B24" s="97" t="s">
        <v>649</v>
      </c>
      <c r="C24" s="97" t="s">
        <v>7</v>
      </c>
      <c r="D24" s="97"/>
      <c r="E24" s="97">
        <v>50</v>
      </c>
      <c r="F24" s="97">
        <v>1</v>
      </c>
    </row>
    <row r="25" spans="1:6" ht="15" customHeight="1">
      <c r="A25" s="258">
        <v>43556</v>
      </c>
      <c r="B25" s="97" t="s">
        <v>832</v>
      </c>
      <c r="C25" s="97" t="s">
        <v>7</v>
      </c>
      <c r="D25" s="97"/>
      <c r="E25" s="97">
        <v>50</v>
      </c>
      <c r="F25" s="97">
        <v>1</v>
      </c>
    </row>
    <row r="26" spans="1:6" ht="15" customHeight="1">
      <c r="A26" s="258">
        <v>43556</v>
      </c>
      <c r="B26" s="97" t="s">
        <v>832</v>
      </c>
      <c r="C26" s="97" t="s">
        <v>7</v>
      </c>
      <c r="D26" s="97"/>
      <c r="E26" s="97">
        <v>10</v>
      </c>
      <c r="F26" s="97">
        <v>1</v>
      </c>
    </row>
    <row r="27" spans="1:6" ht="15" customHeight="1">
      <c r="A27" s="258">
        <v>43556</v>
      </c>
      <c r="B27" s="97" t="s">
        <v>832</v>
      </c>
      <c r="C27" s="97" t="s">
        <v>7</v>
      </c>
      <c r="D27" s="97"/>
      <c r="E27" s="97">
        <v>10</v>
      </c>
      <c r="F27" s="97">
        <v>1</v>
      </c>
    </row>
    <row r="28" spans="1:6" ht="15" customHeight="1">
      <c r="A28" s="258">
        <v>43556</v>
      </c>
      <c r="B28" s="97" t="s">
        <v>832</v>
      </c>
      <c r="C28" s="97" t="s">
        <v>7</v>
      </c>
      <c r="D28" s="97"/>
      <c r="E28" s="97">
        <v>10</v>
      </c>
      <c r="F28" s="97">
        <v>1</v>
      </c>
    </row>
    <row r="29" spans="1:6" ht="15" customHeight="1">
      <c r="A29" s="258">
        <v>43556</v>
      </c>
      <c r="B29" s="97" t="s">
        <v>832</v>
      </c>
      <c r="C29" s="97" t="s">
        <v>7</v>
      </c>
      <c r="D29" s="97"/>
      <c r="E29" s="97">
        <v>10</v>
      </c>
      <c r="F29" s="97">
        <v>1</v>
      </c>
    </row>
    <row r="30" spans="1:6" ht="15" customHeight="1">
      <c r="A30" s="258">
        <v>43556</v>
      </c>
      <c r="B30" s="97" t="s">
        <v>677</v>
      </c>
      <c r="C30" s="97" t="s">
        <v>7</v>
      </c>
      <c r="D30" s="97"/>
      <c r="E30" s="97">
        <v>50</v>
      </c>
      <c r="F30" s="97">
        <v>1</v>
      </c>
    </row>
    <row r="31" spans="1:6" ht="15" customHeight="1">
      <c r="A31" s="258">
        <v>43556</v>
      </c>
      <c r="B31" s="97" t="s">
        <v>678</v>
      </c>
      <c r="C31" s="97" t="s">
        <v>7</v>
      </c>
      <c r="D31" s="97"/>
      <c r="E31" s="97">
        <v>100</v>
      </c>
      <c r="F31" s="97">
        <v>1</v>
      </c>
    </row>
    <row r="32" spans="1:6" ht="15" customHeight="1">
      <c r="A32" s="258">
        <v>43556</v>
      </c>
      <c r="B32" s="97" t="s">
        <v>678</v>
      </c>
      <c r="C32" s="97" t="s">
        <v>7</v>
      </c>
      <c r="D32" s="97"/>
      <c r="E32" s="97">
        <v>100</v>
      </c>
      <c r="F32" s="97">
        <v>1</v>
      </c>
    </row>
    <row r="33" spans="1:6" ht="15" customHeight="1">
      <c r="A33" s="258">
        <v>43556</v>
      </c>
      <c r="B33" s="97" t="s">
        <v>678</v>
      </c>
      <c r="C33" s="97" t="s">
        <v>10</v>
      </c>
      <c r="D33" s="97"/>
      <c r="E33" s="97"/>
      <c r="F33" s="97">
        <v>1</v>
      </c>
    </row>
    <row r="34" spans="1:6" ht="15" customHeight="1">
      <c r="A34" s="258">
        <v>43556</v>
      </c>
      <c r="B34" s="97" t="s">
        <v>650</v>
      </c>
      <c r="C34" s="97" t="s">
        <v>7</v>
      </c>
      <c r="D34" s="97"/>
      <c r="E34" s="97">
        <v>100</v>
      </c>
      <c r="F34" s="97">
        <v>1</v>
      </c>
    </row>
    <row r="35" spans="1:6">
      <c r="A35" s="258">
        <v>43556</v>
      </c>
      <c r="B35" s="97" t="s">
        <v>685</v>
      </c>
      <c r="C35" s="97" t="s">
        <v>7</v>
      </c>
      <c r="D35" s="97"/>
      <c r="E35" s="97">
        <v>50</v>
      </c>
      <c r="F35" s="97">
        <v>1</v>
      </c>
    </row>
    <row r="36" spans="1:6" ht="15" customHeight="1">
      <c r="A36" s="258">
        <v>43556</v>
      </c>
      <c r="B36" s="97" t="s">
        <v>685</v>
      </c>
      <c r="C36" s="97" t="s">
        <v>7</v>
      </c>
      <c r="D36" s="97"/>
      <c r="E36" s="97">
        <v>50</v>
      </c>
      <c r="F36" s="97">
        <v>1</v>
      </c>
    </row>
    <row r="37" spans="1:6" ht="15" customHeight="1">
      <c r="A37" s="258">
        <v>43556</v>
      </c>
      <c r="B37" s="97" t="s">
        <v>685</v>
      </c>
      <c r="C37" s="97" t="s">
        <v>7</v>
      </c>
      <c r="D37" s="97"/>
      <c r="E37" s="97">
        <v>50</v>
      </c>
      <c r="F37" s="97">
        <v>1</v>
      </c>
    </row>
    <row r="38" spans="1:6" ht="15" customHeight="1">
      <c r="A38" s="258">
        <v>43556</v>
      </c>
      <c r="B38" s="97" t="s">
        <v>845</v>
      </c>
      <c r="C38" s="97" t="s">
        <v>9</v>
      </c>
      <c r="D38" s="97"/>
      <c r="E38" s="97"/>
      <c r="F38" s="97">
        <v>1</v>
      </c>
    </row>
    <row r="39" spans="1:6" ht="15" customHeight="1">
      <c r="A39" s="258">
        <v>43556</v>
      </c>
      <c r="B39" s="97" t="s">
        <v>847</v>
      </c>
      <c r="C39" s="97" t="s">
        <v>7</v>
      </c>
      <c r="D39" s="97"/>
      <c r="E39" s="97">
        <v>100</v>
      </c>
      <c r="F39" s="97">
        <v>1</v>
      </c>
    </row>
    <row r="40" spans="1:6" ht="15" customHeight="1">
      <c r="A40" s="258">
        <v>43556</v>
      </c>
      <c r="B40" s="97" t="s">
        <v>847</v>
      </c>
      <c r="C40" s="97" t="s">
        <v>9</v>
      </c>
      <c r="D40" s="97"/>
      <c r="E40" s="97"/>
      <c r="F40" s="97">
        <v>1</v>
      </c>
    </row>
    <row r="41" spans="1:6" ht="15" customHeight="1">
      <c r="A41" s="258">
        <v>43556</v>
      </c>
      <c r="B41" s="97" t="s">
        <v>852</v>
      </c>
      <c r="C41" s="97" t="s">
        <v>7</v>
      </c>
      <c r="D41" s="97"/>
      <c r="E41" s="97">
        <v>50</v>
      </c>
      <c r="F41" s="97">
        <v>1</v>
      </c>
    </row>
    <row r="42" spans="1:6" ht="15" customHeight="1">
      <c r="A42" s="258">
        <v>43556</v>
      </c>
      <c r="B42" s="97" t="s">
        <v>856</v>
      </c>
      <c r="C42" s="97" t="s">
        <v>7</v>
      </c>
      <c r="D42" s="97"/>
      <c r="E42" s="97">
        <v>50</v>
      </c>
      <c r="F42" s="97">
        <v>1</v>
      </c>
    </row>
    <row r="43" spans="1:6" ht="15" customHeight="1">
      <c r="A43" s="258">
        <v>43556</v>
      </c>
      <c r="B43" s="97" t="s">
        <v>856</v>
      </c>
      <c r="C43" s="97" t="s">
        <v>7</v>
      </c>
      <c r="D43" s="97"/>
      <c r="E43" s="97">
        <v>50</v>
      </c>
      <c r="F43" s="97">
        <v>1</v>
      </c>
    </row>
    <row r="44" spans="1:6">
      <c r="A44" s="258">
        <v>43556</v>
      </c>
      <c r="B44" s="97" t="s">
        <v>856</v>
      </c>
      <c r="C44" s="97" t="s">
        <v>7</v>
      </c>
      <c r="D44" s="97"/>
      <c r="E44" s="97">
        <v>10</v>
      </c>
      <c r="F44" s="97">
        <v>1</v>
      </c>
    </row>
    <row r="45" spans="1:6" ht="15" customHeight="1">
      <c r="A45" s="258">
        <v>43556</v>
      </c>
      <c r="B45" s="97" t="s">
        <v>857</v>
      </c>
      <c r="C45" s="97" t="s">
        <v>7</v>
      </c>
      <c r="D45" s="97"/>
      <c r="E45" s="97">
        <v>10</v>
      </c>
      <c r="F45" s="97">
        <v>1</v>
      </c>
    </row>
    <row r="46" spans="1:6">
      <c r="A46" s="258">
        <v>43556</v>
      </c>
      <c r="B46" s="97" t="s">
        <v>857</v>
      </c>
      <c r="C46" s="97" t="s">
        <v>7</v>
      </c>
      <c r="D46" s="97"/>
      <c r="E46" s="97">
        <v>10</v>
      </c>
      <c r="F46" s="97">
        <v>1</v>
      </c>
    </row>
    <row r="47" spans="1:6" ht="15" customHeight="1">
      <c r="A47" s="258">
        <v>43556</v>
      </c>
      <c r="B47" s="97" t="s">
        <v>857</v>
      </c>
      <c r="C47" s="97" t="s">
        <v>7</v>
      </c>
      <c r="D47" s="97"/>
      <c r="E47" s="97">
        <v>50</v>
      </c>
      <c r="F47" s="97">
        <v>1</v>
      </c>
    </row>
    <row r="48" spans="1:6" ht="15" customHeight="1">
      <c r="A48" s="258">
        <v>43556</v>
      </c>
      <c r="B48" s="97" t="s">
        <v>857</v>
      </c>
      <c r="C48" s="97" t="s">
        <v>7</v>
      </c>
      <c r="D48" s="97"/>
      <c r="E48" s="97">
        <v>50</v>
      </c>
      <c r="F48" s="97">
        <v>1</v>
      </c>
    </row>
    <row r="49" spans="1:6" ht="15" customHeight="1">
      <c r="A49" s="258">
        <v>43556</v>
      </c>
      <c r="B49" s="97" t="s">
        <v>857</v>
      </c>
      <c r="C49" s="97" t="s">
        <v>7</v>
      </c>
      <c r="D49" s="97"/>
      <c r="E49" s="97">
        <v>50</v>
      </c>
      <c r="F49" s="97">
        <v>2</v>
      </c>
    </row>
    <row r="50" spans="1:6">
      <c r="A50" s="258">
        <v>43556</v>
      </c>
      <c r="B50" s="97" t="s">
        <v>857</v>
      </c>
      <c r="C50" s="97" t="s">
        <v>7</v>
      </c>
      <c r="D50" s="97"/>
      <c r="E50" s="97">
        <v>10</v>
      </c>
      <c r="F50" s="97">
        <v>1</v>
      </c>
    </row>
    <row r="51" spans="1:6" ht="15" customHeight="1">
      <c r="A51" s="258">
        <v>43556</v>
      </c>
      <c r="B51" s="97" t="s">
        <v>860</v>
      </c>
      <c r="C51" s="97" t="s">
        <v>7</v>
      </c>
      <c r="D51" s="97"/>
      <c r="E51" s="97">
        <v>100</v>
      </c>
      <c r="F51" s="97">
        <v>1</v>
      </c>
    </row>
    <row r="52" spans="1:6" ht="15" customHeight="1">
      <c r="A52" s="258">
        <v>43556</v>
      </c>
      <c r="B52" s="97" t="s">
        <v>861</v>
      </c>
      <c r="C52" s="97" t="s">
        <v>9</v>
      </c>
      <c r="D52" s="97"/>
      <c r="E52" s="97"/>
      <c r="F52" s="97">
        <v>1</v>
      </c>
    </row>
    <row r="53" spans="1:6" ht="15" customHeight="1">
      <c r="A53" s="258">
        <v>43556</v>
      </c>
      <c r="B53" s="97" t="s">
        <v>861</v>
      </c>
      <c r="C53" s="97" t="s">
        <v>9</v>
      </c>
      <c r="D53" s="97"/>
      <c r="E53" s="97"/>
      <c r="F53" s="97">
        <v>1</v>
      </c>
    </row>
    <row r="54" spans="1:6">
      <c r="A54" s="258">
        <v>43556</v>
      </c>
      <c r="B54" s="97" t="s">
        <v>861</v>
      </c>
      <c r="C54" s="97" t="s">
        <v>9</v>
      </c>
      <c r="D54" s="97"/>
      <c r="E54" s="97"/>
      <c r="F54" s="97">
        <v>1</v>
      </c>
    </row>
    <row r="55" spans="1:6">
      <c r="A55" s="258">
        <v>43556</v>
      </c>
      <c r="B55" s="97" t="s">
        <v>861</v>
      </c>
      <c r="C55" s="97" t="s">
        <v>7</v>
      </c>
      <c r="D55" s="97"/>
      <c r="E55" s="97"/>
      <c r="F55" s="97">
        <v>1</v>
      </c>
    </row>
    <row r="56" spans="1:6" ht="15" customHeight="1">
      <c r="A56" s="258">
        <v>43556</v>
      </c>
      <c r="B56" s="97" t="s">
        <v>866</v>
      </c>
      <c r="C56" s="97" t="s">
        <v>7</v>
      </c>
      <c r="D56" s="97"/>
      <c r="E56" s="97">
        <v>50</v>
      </c>
      <c r="F56" s="97">
        <v>1</v>
      </c>
    </row>
    <row r="57" spans="1:6" ht="15" customHeight="1">
      <c r="A57" s="258">
        <v>43556</v>
      </c>
      <c r="B57" s="97" t="s">
        <v>866</v>
      </c>
      <c r="C57" s="97" t="s">
        <v>7</v>
      </c>
      <c r="D57" s="97"/>
      <c r="E57" s="97">
        <v>50</v>
      </c>
      <c r="F57" s="97">
        <v>1</v>
      </c>
    </row>
    <row r="58" spans="1:6" ht="15" customHeight="1">
      <c r="A58" s="258">
        <v>43556</v>
      </c>
      <c r="B58" s="97" t="s">
        <v>869</v>
      </c>
      <c r="C58" s="97" t="s">
        <v>7</v>
      </c>
      <c r="D58" s="97"/>
      <c r="E58" s="97">
        <v>100</v>
      </c>
      <c r="F58" s="97">
        <v>1</v>
      </c>
    </row>
    <row r="59" spans="1:6" ht="15" customHeight="1">
      <c r="A59" s="258">
        <v>43556</v>
      </c>
      <c r="B59" s="97" t="s">
        <v>874</v>
      </c>
      <c r="C59" s="97" t="s">
        <v>7</v>
      </c>
      <c r="D59" s="97"/>
      <c r="E59" s="97">
        <v>50</v>
      </c>
      <c r="F59" s="97">
        <v>1</v>
      </c>
    </row>
    <row r="60" spans="1:6" ht="15" customHeight="1">
      <c r="A60" s="258">
        <v>43556</v>
      </c>
      <c r="B60" s="97" t="s">
        <v>874</v>
      </c>
      <c r="C60" s="97" t="s">
        <v>7</v>
      </c>
      <c r="D60" s="97"/>
      <c r="E60" s="97" t="s">
        <v>50</v>
      </c>
      <c r="F60" s="97">
        <v>1</v>
      </c>
    </row>
    <row r="61" spans="1:6">
      <c r="A61" s="258">
        <v>43556</v>
      </c>
      <c r="B61" s="97" t="s">
        <v>878</v>
      </c>
      <c r="C61" s="97" t="s">
        <v>7</v>
      </c>
      <c r="D61" s="97"/>
      <c r="E61" s="97">
        <v>50</v>
      </c>
      <c r="F61" s="97">
        <v>1</v>
      </c>
    </row>
    <row r="62" spans="1:6" ht="15" customHeight="1">
      <c r="A62" s="258">
        <v>43556</v>
      </c>
      <c r="B62" s="97" t="s">
        <v>881</v>
      </c>
      <c r="C62" s="97" t="s">
        <v>7</v>
      </c>
      <c r="D62" s="97"/>
      <c r="E62" s="97">
        <v>10</v>
      </c>
      <c r="F62" s="97">
        <v>1</v>
      </c>
    </row>
    <row r="63" spans="1:6" ht="15" customHeight="1">
      <c r="A63" s="258">
        <v>43556</v>
      </c>
      <c r="B63" s="97" t="s">
        <v>881</v>
      </c>
      <c r="C63" s="97" t="s">
        <v>7</v>
      </c>
      <c r="D63" s="97"/>
      <c r="E63" s="97">
        <v>10</v>
      </c>
      <c r="F63" s="97">
        <v>1</v>
      </c>
    </row>
    <row r="64" spans="1:6" ht="15" customHeight="1">
      <c r="A64" s="258">
        <v>43556</v>
      </c>
      <c r="B64" s="97" t="s">
        <v>881</v>
      </c>
      <c r="C64" s="97" t="s">
        <v>7</v>
      </c>
      <c r="D64" s="97"/>
      <c r="E64" s="97">
        <v>10</v>
      </c>
      <c r="F64" s="97">
        <v>1</v>
      </c>
    </row>
    <row r="65" spans="1:6" ht="15" customHeight="1">
      <c r="A65" s="258">
        <v>43556</v>
      </c>
      <c r="B65" s="97" t="s">
        <v>884</v>
      </c>
      <c r="C65" s="97" t="s">
        <v>7</v>
      </c>
      <c r="D65" s="97"/>
      <c r="E65" s="97">
        <v>50</v>
      </c>
      <c r="F65" s="97">
        <v>1</v>
      </c>
    </row>
    <row r="66" spans="1:6" ht="15" customHeight="1">
      <c r="A66" s="258">
        <v>43556</v>
      </c>
      <c r="B66" s="97" t="s">
        <v>892</v>
      </c>
      <c r="C66" s="97" t="s">
        <v>7</v>
      </c>
      <c r="D66" s="97"/>
      <c r="E66" s="97">
        <v>100</v>
      </c>
      <c r="F66" s="97">
        <v>1</v>
      </c>
    </row>
    <row r="67" spans="1:6" ht="15" customHeight="1">
      <c r="A67" s="258">
        <v>43556</v>
      </c>
      <c r="B67" s="97" t="s">
        <v>892</v>
      </c>
      <c r="C67" s="97" t="s">
        <v>51</v>
      </c>
      <c r="D67" s="97"/>
      <c r="E67" s="97">
        <v>100</v>
      </c>
      <c r="F67" s="97">
        <v>1</v>
      </c>
    </row>
    <row r="68" spans="1:6">
      <c r="A68" s="258">
        <v>43556</v>
      </c>
      <c r="B68" s="97" t="s">
        <v>892</v>
      </c>
      <c r="C68" s="97" t="s">
        <v>7</v>
      </c>
      <c r="D68" s="97"/>
      <c r="E68" s="97">
        <v>50</v>
      </c>
      <c r="F68" s="97">
        <v>1</v>
      </c>
    </row>
    <row r="69" spans="1:6">
      <c r="A69" s="258">
        <v>43556</v>
      </c>
      <c r="B69" s="97" t="s">
        <v>894</v>
      </c>
      <c r="C69" s="97" t="s">
        <v>7</v>
      </c>
      <c r="D69" s="97"/>
      <c r="E69" s="97">
        <v>50</v>
      </c>
      <c r="F69" s="97">
        <v>1</v>
      </c>
    </row>
    <row r="70" spans="1:6">
      <c r="A70" s="258">
        <v>43556</v>
      </c>
      <c r="B70" s="97" t="s">
        <v>895</v>
      </c>
      <c r="C70" s="97" t="s">
        <v>7</v>
      </c>
      <c r="D70" s="97"/>
      <c r="E70" s="97">
        <v>100</v>
      </c>
      <c r="F70" s="97">
        <v>1</v>
      </c>
    </row>
    <row r="71" spans="1:6" ht="15" customHeight="1">
      <c r="A71" s="258">
        <v>43556</v>
      </c>
      <c r="B71" s="97" t="s">
        <v>897</v>
      </c>
      <c r="C71" s="97" t="s">
        <v>7</v>
      </c>
      <c r="D71" s="97"/>
      <c r="E71" s="97">
        <v>50</v>
      </c>
      <c r="F71" s="97">
        <v>1</v>
      </c>
    </row>
    <row r="72" spans="1:6" ht="15" customHeight="1">
      <c r="A72" s="258">
        <v>43556</v>
      </c>
      <c r="B72" s="97" t="s">
        <v>897</v>
      </c>
      <c r="C72" s="97" t="s">
        <v>7</v>
      </c>
      <c r="D72" s="97"/>
      <c r="E72" s="97">
        <v>50</v>
      </c>
      <c r="F72" s="97">
        <v>1</v>
      </c>
    </row>
    <row r="73" spans="1:6">
      <c r="A73" s="258">
        <v>43586</v>
      </c>
      <c r="B73" s="97" t="s">
        <v>690</v>
      </c>
      <c r="C73" s="97" t="s">
        <v>9</v>
      </c>
      <c r="D73" s="97"/>
      <c r="E73" s="97"/>
      <c r="F73" s="97">
        <v>1</v>
      </c>
    </row>
    <row r="74" spans="1:6" ht="15" customHeight="1">
      <c r="A74" s="258">
        <v>43586</v>
      </c>
      <c r="B74" s="97" t="s">
        <v>690</v>
      </c>
      <c r="C74" s="97" t="s">
        <v>9</v>
      </c>
      <c r="D74" s="97"/>
      <c r="E74" s="97"/>
      <c r="F74" s="97">
        <v>1</v>
      </c>
    </row>
    <row r="75" spans="1:6" ht="15" customHeight="1">
      <c r="A75" s="258">
        <v>43586</v>
      </c>
      <c r="B75" s="97" t="s">
        <v>669</v>
      </c>
      <c r="C75" s="97" t="s">
        <v>9</v>
      </c>
      <c r="D75" s="97"/>
      <c r="E75" s="97"/>
      <c r="F75" s="97">
        <v>1</v>
      </c>
    </row>
    <row r="76" spans="1:6" ht="15" customHeight="1">
      <c r="A76" s="258">
        <v>43586</v>
      </c>
      <c r="B76" s="97" t="s">
        <v>831</v>
      </c>
      <c r="C76" s="97" t="s">
        <v>7</v>
      </c>
      <c r="D76" s="97"/>
      <c r="E76" s="97">
        <v>10</v>
      </c>
      <c r="F76" s="97">
        <v>1</v>
      </c>
    </row>
    <row r="77" spans="1:6">
      <c r="A77" s="258">
        <v>43586</v>
      </c>
      <c r="B77" s="97" t="s">
        <v>831</v>
      </c>
      <c r="C77" s="97" t="s">
        <v>9</v>
      </c>
      <c r="D77" s="97"/>
      <c r="E77" s="97"/>
      <c r="F77" s="97">
        <v>1</v>
      </c>
    </row>
    <row r="78" spans="1:6" ht="15" customHeight="1">
      <c r="A78" s="258">
        <v>43586</v>
      </c>
      <c r="B78" s="97" t="s">
        <v>831</v>
      </c>
      <c r="C78" s="97" t="s">
        <v>9</v>
      </c>
      <c r="D78" s="97"/>
      <c r="E78" s="97"/>
      <c r="F78" s="97">
        <v>1</v>
      </c>
    </row>
    <row r="79" spans="1:6" ht="15" customHeight="1">
      <c r="A79" s="258">
        <v>43586</v>
      </c>
      <c r="B79" s="97" t="s">
        <v>847</v>
      </c>
      <c r="C79" s="97" t="s">
        <v>9</v>
      </c>
      <c r="D79" s="97"/>
      <c r="E79" s="97"/>
      <c r="F79" s="97">
        <v>1</v>
      </c>
    </row>
    <row r="80" spans="1:6">
      <c r="A80" s="258">
        <v>43586</v>
      </c>
      <c r="B80" s="97" t="s">
        <v>847</v>
      </c>
      <c r="C80" s="97" t="s">
        <v>8</v>
      </c>
      <c r="D80" s="97"/>
      <c r="E80" s="97"/>
      <c r="F80" s="97">
        <v>1</v>
      </c>
    </row>
    <row r="81" spans="1:6">
      <c r="A81" s="258">
        <v>43586</v>
      </c>
      <c r="B81" s="97" t="s">
        <v>847</v>
      </c>
      <c r="C81" s="97" t="s">
        <v>9</v>
      </c>
      <c r="D81" s="97"/>
      <c r="E81" s="97"/>
      <c r="F81" s="97">
        <v>1</v>
      </c>
    </row>
    <row r="82" spans="1:6" ht="15" customHeight="1">
      <c r="A82" s="258">
        <v>43586</v>
      </c>
      <c r="B82" s="97" t="s">
        <v>851</v>
      </c>
      <c r="C82" s="97" t="s">
        <v>9</v>
      </c>
      <c r="D82" s="97"/>
      <c r="E82" s="97"/>
      <c r="F82" s="97">
        <v>1</v>
      </c>
    </row>
    <row r="83" spans="1:6" ht="15" customHeight="1">
      <c r="A83" s="258">
        <v>43586</v>
      </c>
      <c r="B83" s="97" t="s">
        <v>857</v>
      </c>
      <c r="C83" s="97" t="s">
        <v>7</v>
      </c>
      <c r="D83" s="97"/>
      <c r="E83" s="97">
        <v>50</v>
      </c>
      <c r="F83" s="97">
        <v>1</v>
      </c>
    </row>
    <row r="84" spans="1:6">
      <c r="A84" s="258">
        <v>43586</v>
      </c>
      <c r="B84" s="97" t="s">
        <v>857</v>
      </c>
      <c r="C84" s="97" t="s">
        <v>9</v>
      </c>
      <c r="D84" s="97"/>
      <c r="E84" s="97"/>
      <c r="F84" s="97">
        <v>1</v>
      </c>
    </row>
    <row r="85" spans="1:6" ht="15" customHeight="1">
      <c r="A85" s="258">
        <v>43586</v>
      </c>
      <c r="B85" s="97" t="s">
        <v>652</v>
      </c>
      <c r="C85" s="97" t="s">
        <v>51</v>
      </c>
      <c r="D85" s="97"/>
      <c r="E85" s="97"/>
      <c r="F85" s="97">
        <v>1</v>
      </c>
    </row>
    <row r="86" spans="1:6" ht="15" customHeight="1">
      <c r="A86" s="258">
        <v>43586</v>
      </c>
      <c r="B86" s="97" t="s">
        <v>858</v>
      </c>
      <c r="C86" s="97" t="s">
        <v>7</v>
      </c>
      <c r="D86" s="97"/>
      <c r="E86" s="97">
        <v>10</v>
      </c>
      <c r="F86" s="97">
        <v>1</v>
      </c>
    </row>
    <row r="87" spans="1:6" ht="15" customHeight="1">
      <c r="A87" s="258">
        <v>43586</v>
      </c>
      <c r="B87" s="97" t="s">
        <v>858</v>
      </c>
      <c r="C87" s="97" t="s">
        <v>7</v>
      </c>
      <c r="D87" s="97"/>
      <c r="E87" s="97">
        <v>10</v>
      </c>
      <c r="F87" s="97">
        <v>1</v>
      </c>
    </row>
    <row r="88" spans="1:6" ht="15" customHeight="1">
      <c r="A88" s="258">
        <v>43586</v>
      </c>
      <c r="B88" s="97" t="s">
        <v>858</v>
      </c>
      <c r="C88" s="97" t="s">
        <v>7</v>
      </c>
      <c r="D88" s="97"/>
      <c r="E88" s="97">
        <v>10</v>
      </c>
      <c r="F88" s="97">
        <v>1</v>
      </c>
    </row>
    <row r="89" spans="1:6" ht="15" customHeight="1">
      <c r="A89" s="258">
        <v>43586</v>
      </c>
      <c r="B89" s="97" t="s">
        <v>858</v>
      </c>
      <c r="C89" s="97" t="s">
        <v>7</v>
      </c>
      <c r="D89" s="97"/>
      <c r="E89" s="97">
        <v>10</v>
      </c>
      <c r="F89" s="97">
        <v>1</v>
      </c>
    </row>
    <row r="90" spans="1:6" ht="15" customHeight="1">
      <c r="A90" s="258">
        <v>43586</v>
      </c>
      <c r="B90" s="97" t="s">
        <v>858</v>
      </c>
      <c r="C90" s="97" t="s">
        <v>7</v>
      </c>
      <c r="D90" s="97"/>
      <c r="E90" s="97">
        <v>100</v>
      </c>
      <c r="F90" s="97">
        <v>1</v>
      </c>
    </row>
    <row r="91" spans="1:6" ht="15" customHeight="1">
      <c r="A91" s="258">
        <v>43586</v>
      </c>
      <c r="B91" s="97" t="s">
        <v>861</v>
      </c>
      <c r="C91" s="97" t="s">
        <v>7</v>
      </c>
      <c r="D91" s="97"/>
      <c r="E91" s="97">
        <v>100</v>
      </c>
      <c r="F91" s="97">
        <v>1</v>
      </c>
    </row>
    <row r="92" spans="1:6" ht="15" customHeight="1">
      <c r="A92" s="258">
        <v>43586</v>
      </c>
      <c r="B92" s="97" t="s">
        <v>865</v>
      </c>
      <c r="C92" s="97" t="s">
        <v>7</v>
      </c>
      <c r="D92" s="97"/>
      <c r="E92" s="97">
        <v>100</v>
      </c>
      <c r="F92" s="97">
        <v>1</v>
      </c>
    </row>
    <row r="93" spans="1:6" ht="15" customHeight="1">
      <c r="A93" s="258">
        <v>43586</v>
      </c>
      <c r="B93" s="97" t="s">
        <v>866</v>
      </c>
      <c r="C93" s="97" t="s">
        <v>9</v>
      </c>
      <c r="D93" s="97"/>
      <c r="E93" s="97"/>
      <c r="F93" s="97">
        <v>1</v>
      </c>
    </row>
    <row r="94" spans="1:6" ht="15" customHeight="1">
      <c r="A94" s="258">
        <v>43586</v>
      </c>
      <c r="B94" s="97" t="s">
        <v>866</v>
      </c>
      <c r="C94" s="97" t="s">
        <v>9</v>
      </c>
      <c r="D94" s="97"/>
      <c r="E94" s="97"/>
      <c r="F94" s="97">
        <v>1</v>
      </c>
    </row>
    <row r="95" spans="1:6" ht="15" customHeight="1">
      <c r="A95" s="258">
        <v>43586</v>
      </c>
      <c r="B95" s="97" t="s">
        <v>894</v>
      </c>
      <c r="C95" s="97" t="s">
        <v>7</v>
      </c>
      <c r="D95" s="97"/>
      <c r="E95" s="97">
        <v>50</v>
      </c>
      <c r="F95" s="97">
        <v>1</v>
      </c>
    </row>
    <row r="96" spans="1:6" ht="15" customHeight="1">
      <c r="A96" s="258">
        <v>43617</v>
      </c>
      <c r="B96" s="97" t="s">
        <v>689</v>
      </c>
      <c r="C96" s="97" t="s">
        <v>9</v>
      </c>
      <c r="D96" s="97"/>
      <c r="E96" s="97"/>
      <c r="F96" s="97">
        <v>1</v>
      </c>
    </row>
    <row r="97" spans="1:6" ht="15" customHeight="1">
      <c r="A97" s="258">
        <v>43617</v>
      </c>
      <c r="B97" s="97" t="s">
        <v>689</v>
      </c>
      <c r="C97" s="97" t="s">
        <v>9</v>
      </c>
      <c r="D97" s="97"/>
      <c r="E97" s="97"/>
      <c r="F97" s="97">
        <v>3</v>
      </c>
    </row>
    <row r="98" spans="1:6" ht="15" customHeight="1">
      <c r="A98" s="258">
        <v>43617</v>
      </c>
      <c r="B98" s="97" t="s">
        <v>659</v>
      </c>
      <c r="C98" s="97" t="s">
        <v>7</v>
      </c>
      <c r="D98" s="97"/>
      <c r="E98" s="97" t="s">
        <v>50</v>
      </c>
      <c r="F98" s="97">
        <v>1</v>
      </c>
    </row>
    <row r="99" spans="1:6" ht="15" customHeight="1">
      <c r="A99" s="258">
        <v>43617</v>
      </c>
      <c r="B99" s="97" t="s">
        <v>659</v>
      </c>
      <c r="C99" s="97" t="s">
        <v>9</v>
      </c>
      <c r="D99" s="97"/>
      <c r="E99" s="97"/>
      <c r="F99" s="97">
        <v>1</v>
      </c>
    </row>
    <row r="100" spans="1:6" ht="15" customHeight="1">
      <c r="A100" s="258">
        <v>43617</v>
      </c>
      <c r="B100" s="97" t="s">
        <v>676</v>
      </c>
      <c r="C100" s="97" t="s">
        <v>7</v>
      </c>
      <c r="D100" s="97"/>
      <c r="E100" s="97">
        <v>100</v>
      </c>
      <c r="F100" s="97">
        <v>1</v>
      </c>
    </row>
    <row r="101" spans="1:6" ht="15" customHeight="1">
      <c r="A101" s="258">
        <v>43617</v>
      </c>
      <c r="B101" s="97" t="s">
        <v>676</v>
      </c>
      <c r="C101" s="97" t="s">
        <v>7</v>
      </c>
      <c r="D101" s="97"/>
      <c r="E101" s="97">
        <v>50</v>
      </c>
      <c r="F101" s="97">
        <v>1</v>
      </c>
    </row>
    <row r="102" spans="1:6" ht="15" customHeight="1">
      <c r="A102" s="258">
        <v>43617</v>
      </c>
      <c r="B102" s="97" t="s">
        <v>829</v>
      </c>
      <c r="C102" s="97" t="s">
        <v>7</v>
      </c>
      <c r="D102" s="97"/>
      <c r="E102" s="97" t="s">
        <v>54</v>
      </c>
      <c r="F102" s="97">
        <v>1</v>
      </c>
    </row>
    <row r="103" spans="1:6" ht="15" customHeight="1">
      <c r="A103" s="258">
        <v>43617</v>
      </c>
      <c r="B103" s="97" t="s">
        <v>829</v>
      </c>
      <c r="C103" s="97" t="s">
        <v>7</v>
      </c>
      <c r="D103" s="97"/>
      <c r="E103" s="97" t="s">
        <v>54</v>
      </c>
      <c r="F103" s="97">
        <v>1</v>
      </c>
    </row>
    <row r="104" spans="1:6" ht="15" customHeight="1">
      <c r="A104" s="258">
        <v>43617</v>
      </c>
      <c r="B104" s="97" t="s">
        <v>829</v>
      </c>
      <c r="C104" s="97" t="s">
        <v>7</v>
      </c>
      <c r="D104" s="97"/>
      <c r="E104" s="97" t="s">
        <v>54</v>
      </c>
      <c r="F104" s="97">
        <v>1</v>
      </c>
    </row>
    <row r="105" spans="1:6" ht="15" customHeight="1">
      <c r="A105" s="258">
        <v>43617</v>
      </c>
      <c r="B105" s="97" t="s">
        <v>829</v>
      </c>
      <c r="C105" s="97" t="s">
        <v>7</v>
      </c>
      <c r="D105" s="97"/>
      <c r="E105" s="97" t="s">
        <v>54</v>
      </c>
      <c r="F105" s="97">
        <v>1</v>
      </c>
    </row>
    <row r="106" spans="1:6" ht="15" customHeight="1">
      <c r="A106" s="258">
        <v>43617</v>
      </c>
      <c r="B106" s="97" t="s">
        <v>829</v>
      </c>
      <c r="C106" s="97" t="s">
        <v>7</v>
      </c>
      <c r="D106" s="97"/>
      <c r="E106" s="97" t="s">
        <v>54</v>
      </c>
      <c r="F106" s="97">
        <v>2</v>
      </c>
    </row>
    <row r="107" spans="1:6" ht="15" customHeight="1">
      <c r="A107" s="258">
        <v>43617</v>
      </c>
      <c r="B107" s="97" t="s">
        <v>829</v>
      </c>
      <c r="C107" s="97" t="s">
        <v>7</v>
      </c>
      <c r="D107" s="97"/>
      <c r="E107" s="97" t="s">
        <v>54</v>
      </c>
      <c r="F107" s="97">
        <v>1</v>
      </c>
    </row>
    <row r="108" spans="1:6" ht="15" customHeight="1">
      <c r="A108" s="258">
        <v>43617</v>
      </c>
      <c r="B108" s="97" t="s">
        <v>829</v>
      </c>
      <c r="C108" s="97" t="s">
        <v>7</v>
      </c>
      <c r="D108" s="97"/>
      <c r="E108" s="97" t="s">
        <v>54</v>
      </c>
      <c r="F108" s="97">
        <v>1</v>
      </c>
    </row>
    <row r="109" spans="1:6" ht="15" customHeight="1">
      <c r="A109" s="258">
        <v>43617</v>
      </c>
      <c r="B109" s="97" t="s">
        <v>829</v>
      </c>
      <c r="C109" s="97" t="s">
        <v>7</v>
      </c>
      <c r="D109" s="97"/>
      <c r="E109" s="97" t="s">
        <v>54</v>
      </c>
      <c r="F109" s="97">
        <v>1</v>
      </c>
    </row>
    <row r="110" spans="1:6" ht="15" customHeight="1">
      <c r="A110" s="258">
        <v>43617</v>
      </c>
      <c r="B110" s="97" t="s">
        <v>829</v>
      </c>
      <c r="C110" s="97" t="s">
        <v>7</v>
      </c>
      <c r="D110" s="97"/>
      <c r="E110" s="97" t="s">
        <v>54</v>
      </c>
      <c r="F110" s="97">
        <v>1</v>
      </c>
    </row>
    <row r="111" spans="1:6">
      <c r="A111" s="258">
        <v>43617</v>
      </c>
      <c r="B111" s="97" t="s">
        <v>829</v>
      </c>
      <c r="C111" s="97" t="s">
        <v>7</v>
      </c>
      <c r="D111" s="97"/>
      <c r="E111" s="97" t="s">
        <v>54</v>
      </c>
      <c r="F111" s="97">
        <v>1</v>
      </c>
    </row>
    <row r="112" spans="1:6" ht="15" customHeight="1">
      <c r="A112" s="258">
        <v>43617</v>
      </c>
      <c r="B112" s="97" t="s">
        <v>829</v>
      </c>
      <c r="C112" s="97" t="s">
        <v>7</v>
      </c>
      <c r="D112" s="97"/>
      <c r="E112" s="97" t="s">
        <v>54</v>
      </c>
      <c r="F112" s="97">
        <v>1</v>
      </c>
    </row>
    <row r="113" spans="1:6">
      <c r="A113" s="258">
        <v>43617</v>
      </c>
      <c r="B113" s="97" t="s">
        <v>829</v>
      </c>
      <c r="C113" s="97" t="s">
        <v>7</v>
      </c>
      <c r="D113" s="97"/>
      <c r="E113" s="97" t="s">
        <v>55</v>
      </c>
      <c r="F113" s="97">
        <v>1</v>
      </c>
    </row>
    <row r="114" spans="1:6">
      <c r="A114" s="258">
        <v>43617</v>
      </c>
      <c r="B114" s="97" t="s">
        <v>829</v>
      </c>
      <c r="C114" s="97" t="s">
        <v>7</v>
      </c>
      <c r="D114" s="97"/>
      <c r="E114" s="97" t="s">
        <v>55</v>
      </c>
      <c r="F114" s="97">
        <v>1</v>
      </c>
    </row>
    <row r="115" spans="1:6" ht="15" customHeight="1">
      <c r="A115" s="258">
        <v>43617</v>
      </c>
      <c r="B115" s="97" t="s">
        <v>829</v>
      </c>
      <c r="C115" s="97" t="s">
        <v>7</v>
      </c>
      <c r="D115" s="97"/>
      <c r="E115" s="97" t="s">
        <v>55</v>
      </c>
      <c r="F115" s="97">
        <v>3</v>
      </c>
    </row>
    <row r="116" spans="1:6" ht="15" customHeight="1">
      <c r="A116" s="258">
        <v>43617</v>
      </c>
      <c r="B116" s="97" t="s">
        <v>829</v>
      </c>
      <c r="C116" s="97" t="s">
        <v>7</v>
      </c>
      <c r="D116" s="97"/>
      <c r="E116" s="97" t="s">
        <v>55</v>
      </c>
      <c r="F116" s="97">
        <v>1</v>
      </c>
    </row>
    <row r="117" spans="1:6" ht="15" customHeight="1">
      <c r="A117" s="258">
        <v>43617</v>
      </c>
      <c r="B117" s="97" t="s">
        <v>829</v>
      </c>
      <c r="C117" s="97" t="s">
        <v>7</v>
      </c>
      <c r="D117" s="97"/>
      <c r="E117" s="97" t="s">
        <v>55</v>
      </c>
      <c r="F117" s="97">
        <v>1</v>
      </c>
    </row>
    <row r="118" spans="1:6" ht="15" customHeight="1">
      <c r="A118" s="258">
        <v>43617</v>
      </c>
      <c r="B118" s="97" t="s">
        <v>829</v>
      </c>
      <c r="C118" s="97" t="s">
        <v>7</v>
      </c>
      <c r="D118" s="97"/>
      <c r="E118" s="97" t="s">
        <v>55</v>
      </c>
      <c r="F118" s="97">
        <v>1</v>
      </c>
    </row>
    <row r="119" spans="1:6" ht="15" customHeight="1">
      <c r="A119" s="258">
        <v>43617</v>
      </c>
      <c r="B119" s="97" t="s">
        <v>829</v>
      </c>
      <c r="C119" s="97" t="s">
        <v>7</v>
      </c>
      <c r="D119" s="97"/>
      <c r="E119" s="97" t="s">
        <v>55</v>
      </c>
      <c r="F119" s="97">
        <v>1</v>
      </c>
    </row>
    <row r="120" spans="1:6" ht="15" customHeight="1">
      <c r="A120" s="258">
        <v>43617</v>
      </c>
      <c r="B120" s="97" t="s">
        <v>829</v>
      </c>
      <c r="C120" s="97" t="s">
        <v>7</v>
      </c>
      <c r="D120" s="97"/>
      <c r="E120" s="97" t="s">
        <v>55</v>
      </c>
      <c r="F120" s="97">
        <v>1</v>
      </c>
    </row>
    <row r="121" spans="1:6">
      <c r="A121" s="258">
        <v>43617</v>
      </c>
      <c r="B121" s="97" t="s">
        <v>829</v>
      </c>
      <c r="C121" s="97" t="s">
        <v>7</v>
      </c>
      <c r="D121" s="97"/>
      <c r="E121" s="97" t="s">
        <v>55</v>
      </c>
      <c r="F121" s="97">
        <v>3</v>
      </c>
    </row>
    <row r="122" spans="1:6">
      <c r="A122" s="258">
        <v>43617</v>
      </c>
      <c r="B122" s="97" t="s">
        <v>829</v>
      </c>
      <c r="C122" s="97" t="s">
        <v>7</v>
      </c>
      <c r="D122" s="97"/>
      <c r="E122" s="97" t="s">
        <v>55</v>
      </c>
      <c r="F122" s="97">
        <v>1</v>
      </c>
    </row>
    <row r="123" spans="1:6" ht="15" customHeight="1">
      <c r="A123" s="258">
        <v>43617</v>
      </c>
      <c r="B123" s="97" t="s">
        <v>829</v>
      </c>
      <c r="C123" s="97" t="s">
        <v>7</v>
      </c>
      <c r="D123" s="97"/>
      <c r="E123" s="97" t="s">
        <v>55</v>
      </c>
      <c r="F123" s="97">
        <v>1</v>
      </c>
    </row>
    <row r="124" spans="1:6" ht="15" customHeight="1">
      <c r="A124" s="258">
        <v>43617</v>
      </c>
      <c r="B124" s="97" t="s">
        <v>830</v>
      </c>
      <c r="C124" s="97" t="s">
        <v>7</v>
      </c>
      <c r="D124" s="97"/>
      <c r="E124" s="97" t="s">
        <v>50</v>
      </c>
      <c r="F124" s="97">
        <v>1</v>
      </c>
    </row>
    <row r="125" spans="1:6" ht="15" customHeight="1">
      <c r="A125" s="258">
        <v>43617</v>
      </c>
      <c r="B125" s="97" t="s">
        <v>830</v>
      </c>
      <c r="C125" s="97" t="s">
        <v>9</v>
      </c>
      <c r="D125" s="97"/>
      <c r="E125" s="97"/>
      <c r="F125" s="97">
        <v>1</v>
      </c>
    </row>
    <row r="126" spans="1:6" ht="15" customHeight="1">
      <c r="A126" s="258">
        <v>43617</v>
      </c>
      <c r="B126" s="97" t="s">
        <v>678</v>
      </c>
      <c r="C126" s="97" t="s">
        <v>7</v>
      </c>
      <c r="D126" s="97"/>
      <c r="E126" s="97">
        <v>100</v>
      </c>
      <c r="F126" s="97">
        <v>1</v>
      </c>
    </row>
    <row r="127" spans="1:6" ht="15" customHeight="1">
      <c r="A127" s="258">
        <v>43617</v>
      </c>
      <c r="B127" s="97" t="s">
        <v>650</v>
      </c>
      <c r="C127" s="97" t="s">
        <v>51</v>
      </c>
      <c r="D127" s="97"/>
      <c r="E127" s="97"/>
      <c r="F127" s="97">
        <v>1</v>
      </c>
    </row>
    <row r="128" spans="1:6" ht="15" customHeight="1">
      <c r="A128" s="258">
        <v>43617</v>
      </c>
      <c r="B128" s="97" t="s">
        <v>683</v>
      </c>
      <c r="C128" s="97" t="s">
        <v>9</v>
      </c>
      <c r="D128" s="97"/>
      <c r="E128" s="97"/>
      <c r="F128" s="97">
        <v>1</v>
      </c>
    </row>
    <row r="129" spans="1:6" ht="15" customHeight="1">
      <c r="A129" s="258">
        <v>43617</v>
      </c>
      <c r="B129" s="97" t="s">
        <v>685</v>
      </c>
      <c r="C129" s="97" t="s">
        <v>9</v>
      </c>
      <c r="D129" s="97"/>
      <c r="E129" s="97"/>
      <c r="F129" s="97">
        <v>1</v>
      </c>
    </row>
    <row r="130" spans="1:6">
      <c r="A130" s="258">
        <v>43617</v>
      </c>
      <c r="B130" s="97" t="s">
        <v>651</v>
      </c>
      <c r="C130" s="97" t="s">
        <v>7</v>
      </c>
      <c r="D130" s="97"/>
      <c r="E130" s="97" t="s">
        <v>53</v>
      </c>
      <c r="F130" s="97">
        <v>1</v>
      </c>
    </row>
    <row r="131" spans="1:6" ht="15" customHeight="1">
      <c r="A131" s="258">
        <v>43617</v>
      </c>
      <c r="B131" s="97" t="s">
        <v>651</v>
      </c>
      <c r="C131" s="97" t="s">
        <v>7</v>
      </c>
      <c r="D131" s="97"/>
      <c r="E131" s="97">
        <v>100</v>
      </c>
      <c r="F131" s="97">
        <v>1</v>
      </c>
    </row>
    <row r="132" spans="1:6" ht="15" customHeight="1">
      <c r="A132" s="258">
        <v>43617</v>
      </c>
      <c r="B132" s="97" t="s">
        <v>651</v>
      </c>
      <c r="C132" s="97" t="s">
        <v>7</v>
      </c>
      <c r="D132" s="97"/>
      <c r="E132" s="97">
        <v>100</v>
      </c>
      <c r="F132" s="97">
        <v>1</v>
      </c>
    </row>
    <row r="133" spans="1:6" ht="15" customHeight="1">
      <c r="A133" s="258">
        <v>43617</v>
      </c>
      <c r="B133" s="97" t="s">
        <v>651</v>
      </c>
      <c r="C133" s="97" t="s">
        <v>7</v>
      </c>
      <c r="D133" s="97"/>
      <c r="E133" s="97">
        <v>50</v>
      </c>
      <c r="F133" s="97">
        <v>1</v>
      </c>
    </row>
    <row r="134" spans="1:6" ht="15" customHeight="1">
      <c r="A134" s="258">
        <v>43617</v>
      </c>
      <c r="B134" s="97" t="s">
        <v>651</v>
      </c>
      <c r="C134" s="97" t="s">
        <v>7</v>
      </c>
      <c r="D134" s="97"/>
      <c r="E134" s="97">
        <v>100</v>
      </c>
      <c r="F134" s="97">
        <v>1</v>
      </c>
    </row>
    <row r="135" spans="1:6">
      <c r="A135" s="258">
        <v>43617</v>
      </c>
      <c r="B135" s="97" t="s">
        <v>651</v>
      </c>
      <c r="C135" s="97" t="s">
        <v>7</v>
      </c>
      <c r="D135" s="97"/>
      <c r="E135" s="97">
        <v>50</v>
      </c>
      <c r="F135" s="97">
        <v>1</v>
      </c>
    </row>
    <row r="136" spans="1:6">
      <c r="A136" s="258">
        <v>43617</v>
      </c>
      <c r="B136" s="97" t="s">
        <v>651</v>
      </c>
      <c r="C136" s="97" t="s">
        <v>7</v>
      </c>
      <c r="D136" s="97"/>
      <c r="E136" s="97">
        <v>100</v>
      </c>
      <c r="F136" s="97">
        <v>1</v>
      </c>
    </row>
    <row r="137" spans="1:6" ht="15" customHeight="1">
      <c r="A137" s="258">
        <v>43617</v>
      </c>
      <c r="B137" s="97" t="s">
        <v>848</v>
      </c>
      <c r="C137" s="97" t="s">
        <v>9</v>
      </c>
      <c r="D137" s="97"/>
      <c r="E137" s="97"/>
      <c r="F137" s="97">
        <v>1</v>
      </c>
    </row>
    <row r="138" spans="1:6" ht="15" customHeight="1">
      <c r="A138" s="258">
        <v>43617</v>
      </c>
      <c r="B138" s="97" t="s">
        <v>848</v>
      </c>
      <c r="C138" s="97" t="s">
        <v>9</v>
      </c>
      <c r="D138" s="97"/>
      <c r="E138" s="97"/>
      <c r="F138" s="97">
        <v>1</v>
      </c>
    </row>
    <row r="139" spans="1:6" ht="15" customHeight="1">
      <c r="A139" s="258">
        <v>43617</v>
      </c>
      <c r="B139" s="97" t="s">
        <v>848</v>
      </c>
      <c r="C139" s="97" t="s">
        <v>9</v>
      </c>
      <c r="D139" s="97"/>
      <c r="E139" s="97"/>
      <c r="F139" s="97">
        <v>1</v>
      </c>
    </row>
    <row r="140" spans="1:6">
      <c r="A140" s="258">
        <v>43617</v>
      </c>
      <c r="B140" s="97" t="s">
        <v>856</v>
      </c>
      <c r="C140" s="97" t="s">
        <v>9</v>
      </c>
      <c r="D140" s="97"/>
      <c r="E140" s="97"/>
      <c r="F140" s="97">
        <v>1</v>
      </c>
    </row>
    <row r="141" spans="1:6">
      <c r="A141" s="258">
        <v>43617</v>
      </c>
      <c r="B141" s="97" t="s">
        <v>856</v>
      </c>
      <c r="C141" s="97" t="s">
        <v>7</v>
      </c>
      <c r="D141" s="97"/>
      <c r="E141" s="97" t="s">
        <v>53</v>
      </c>
      <c r="F141" s="97">
        <v>1</v>
      </c>
    </row>
    <row r="142" spans="1:6" ht="15" customHeight="1">
      <c r="A142" s="258">
        <v>43617</v>
      </c>
      <c r="B142" s="97" t="s">
        <v>856</v>
      </c>
      <c r="C142" s="97" t="s">
        <v>7</v>
      </c>
      <c r="D142" s="97"/>
      <c r="E142" s="97" t="s">
        <v>53</v>
      </c>
      <c r="F142" s="97">
        <v>1</v>
      </c>
    </row>
    <row r="143" spans="1:6" ht="15" customHeight="1">
      <c r="A143" s="258">
        <v>43617</v>
      </c>
      <c r="B143" s="97" t="s">
        <v>856</v>
      </c>
      <c r="C143" s="97" t="s">
        <v>7</v>
      </c>
      <c r="D143" s="97"/>
      <c r="E143" s="97" t="s">
        <v>53</v>
      </c>
      <c r="F143" s="97">
        <v>1</v>
      </c>
    </row>
    <row r="144" spans="1:6" ht="15" customHeight="1">
      <c r="A144" s="258">
        <v>43617</v>
      </c>
      <c r="B144" s="97" t="s">
        <v>856</v>
      </c>
      <c r="C144" s="97" t="s">
        <v>7</v>
      </c>
      <c r="D144" s="97"/>
      <c r="E144" s="97" t="s">
        <v>53</v>
      </c>
      <c r="F144" s="97">
        <v>1</v>
      </c>
    </row>
    <row r="145" spans="1:6">
      <c r="A145" s="258">
        <v>43617</v>
      </c>
      <c r="B145" s="97" t="s">
        <v>856</v>
      </c>
      <c r="C145" s="97" t="s">
        <v>9</v>
      </c>
      <c r="D145" s="97"/>
      <c r="E145" s="97"/>
      <c r="F145" s="97">
        <v>1</v>
      </c>
    </row>
    <row r="146" spans="1:6" ht="15" customHeight="1">
      <c r="A146" s="258">
        <v>43617</v>
      </c>
      <c r="B146" s="97" t="s">
        <v>856</v>
      </c>
      <c r="C146" s="97" t="s">
        <v>9</v>
      </c>
      <c r="D146" s="97"/>
      <c r="E146" s="97"/>
      <c r="F146" s="97">
        <v>1</v>
      </c>
    </row>
    <row r="147" spans="1:6" ht="15" customHeight="1">
      <c r="A147" s="258">
        <v>43617</v>
      </c>
      <c r="B147" s="97" t="s">
        <v>652</v>
      </c>
      <c r="C147" s="97" t="s">
        <v>51</v>
      </c>
      <c r="D147" s="97"/>
      <c r="E147" s="97"/>
      <c r="F147" s="97">
        <v>1</v>
      </c>
    </row>
    <row r="148" spans="1:6" ht="15" customHeight="1">
      <c r="A148" s="258">
        <v>43617</v>
      </c>
      <c r="B148" s="97" t="s">
        <v>861</v>
      </c>
      <c r="C148" s="97" t="s">
        <v>9</v>
      </c>
      <c r="D148" s="97"/>
      <c r="E148" s="97"/>
      <c r="F148" s="97">
        <v>1</v>
      </c>
    </row>
    <row r="149" spans="1:6" ht="15" customHeight="1">
      <c r="A149" s="258">
        <v>43617</v>
      </c>
      <c r="B149" s="97" t="s">
        <v>861</v>
      </c>
      <c r="C149" s="97" t="s">
        <v>9</v>
      </c>
      <c r="D149" s="97"/>
      <c r="E149" s="97"/>
      <c r="F149" s="97">
        <v>1</v>
      </c>
    </row>
    <row r="150" spans="1:6" ht="15" customHeight="1">
      <c r="A150" s="258">
        <v>43617</v>
      </c>
      <c r="B150" s="97" t="s">
        <v>861</v>
      </c>
      <c r="C150" s="97" t="s">
        <v>7</v>
      </c>
      <c r="D150" s="97"/>
      <c r="E150" s="97" t="s">
        <v>53</v>
      </c>
      <c r="F150" s="97">
        <v>1</v>
      </c>
    </row>
    <row r="151" spans="1:6" ht="15" customHeight="1">
      <c r="A151" s="258">
        <v>43617</v>
      </c>
      <c r="B151" s="97" t="s">
        <v>861</v>
      </c>
      <c r="C151" s="97" t="s">
        <v>7</v>
      </c>
      <c r="D151" s="97"/>
      <c r="E151" s="97" t="s">
        <v>53</v>
      </c>
      <c r="F151" s="97">
        <v>1</v>
      </c>
    </row>
    <row r="152" spans="1:6">
      <c r="A152" s="258">
        <v>43617</v>
      </c>
      <c r="B152" s="97" t="s">
        <v>861</v>
      </c>
      <c r="C152" s="97" t="s">
        <v>7</v>
      </c>
      <c r="D152" s="97"/>
      <c r="E152" s="97" t="s">
        <v>53</v>
      </c>
      <c r="F152" s="97">
        <v>1</v>
      </c>
    </row>
    <row r="153" spans="1:6">
      <c r="A153" s="258">
        <v>43617</v>
      </c>
      <c r="B153" s="97" t="s">
        <v>866</v>
      </c>
      <c r="C153" s="97" t="s">
        <v>7</v>
      </c>
      <c r="D153" s="97"/>
      <c r="E153" s="97">
        <v>50</v>
      </c>
      <c r="F153" s="97">
        <v>1</v>
      </c>
    </row>
    <row r="154" spans="1:6">
      <c r="A154" s="258">
        <v>43617</v>
      </c>
      <c r="B154" s="97" t="s">
        <v>866</v>
      </c>
      <c r="C154" s="97" t="s">
        <v>7</v>
      </c>
      <c r="D154" s="97"/>
      <c r="E154" s="97" t="s">
        <v>52</v>
      </c>
      <c r="F154" s="97">
        <v>1</v>
      </c>
    </row>
    <row r="155" spans="1:6" ht="15" customHeight="1">
      <c r="A155" s="258">
        <v>43617</v>
      </c>
      <c r="B155" s="97" t="s">
        <v>866</v>
      </c>
      <c r="C155" s="97" t="s">
        <v>7</v>
      </c>
      <c r="D155" s="97"/>
      <c r="E155" s="97">
        <v>100</v>
      </c>
      <c r="F155" s="97">
        <v>1</v>
      </c>
    </row>
    <row r="156" spans="1:6">
      <c r="A156" s="258">
        <v>43617</v>
      </c>
      <c r="B156" s="97" t="s">
        <v>869</v>
      </c>
      <c r="C156" s="97" t="s">
        <v>51</v>
      </c>
      <c r="D156" s="97"/>
      <c r="E156" s="97"/>
      <c r="F156" s="97">
        <v>1</v>
      </c>
    </row>
    <row r="157" spans="1:6">
      <c r="A157" s="258">
        <v>43617</v>
      </c>
      <c r="B157" s="97" t="s">
        <v>873</v>
      </c>
      <c r="C157" s="97" t="s">
        <v>9</v>
      </c>
      <c r="D157" s="97"/>
      <c r="E157" s="97"/>
      <c r="F157" s="97">
        <v>1</v>
      </c>
    </row>
    <row r="158" spans="1:6">
      <c r="A158" s="258">
        <v>43617</v>
      </c>
      <c r="B158" s="97" t="s">
        <v>873</v>
      </c>
      <c r="C158" s="97" t="s">
        <v>9</v>
      </c>
      <c r="D158" s="97"/>
      <c r="E158" s="97"/>
      <c r="F158" s="97">
        <v>1</v>
      </c>
    </row>
    <row r="159" spans="1:6" ht="15" customHeight="1">
      <c r="A159" s="258">
        <v>43617</v>
      </c>
      <c r="B159" s="97" t="s">
        <v>884</v>
      </c>
      <c r="C159" s="97" t="s">
        <v>7</v>
      </c>
      <c r="D159" s="97"/>
      <c r="E159" s="97">
        <v>50</v>
      </c>
      <c r="F159" s="97">
        <v>1</v>
      </c>
    </row>
    <row r="160" spans="1:6" ht="15" customHeight="1">
      <c r="A160" s="258">
        <v>43617</v>
      </c>
      <c r="B160" s="97" t="s">
        <v>884</v>
      </c>
      <c r="C160" s="97" t="s">
        <v>7</v>
      </c>
      <c r="D160" s="97"/>
      <c r="E160" s="97">
        <v>100</v>
      </c>
      <c r="F160" s="97">
        <v>1</v>
      </c>
    </row>
    <row r="161" spans="1:6" ht="15" customHeight="1">
      <c r="A161" s="258">
        <v>43617</v>
      </c>
      <c r="B161" s="97" t="s">
        <v>885</v>
      </c>
      <c r="C161" s="97" t="s">
        <v>7</v>
      </c>
      <c r="D161" s="97"/>
      <c r="E161" s="97" t="s">
        <v>52</v>
      </c>
      <c r="F161" s="97">
        <v>1</v>
      </c>
    </row>
    <row r="162" spans="1:6" ht="15" customHeight="1">
      <c r="A162" s="258">
        <v>43617</v>
      </c>
      <c r="B162" s="97" t="s">
        <v>885</v>
      </c>
      <c r="C162" s="97" t="s">
        <v>7</v>
      </c>
      <c r="D162" s="97"/>
      <c r="E162" s="97" t="s">
        <v>52</v>
      </c>
      <c r="F162" s="97">
        <v>1</v>
      </c>
    </row>
    <row r="163" spans="1:6" ht="15" customHeight="1">
      <c r="A163" s="258">
        <v>43617</v>
      </c>
      <c r="B163" s="97" t="s">
        <v>885</v>
      </c>
      <c r="C163" s="97" t="s">
        <v>7</v>
      </c>
      <c r="D163" s="97"/>
      <c r="E163" s="97" t="s">
        <v>52</v>
      </c>
      <c r="F163" s="97">
        <v>1</v>
      </c>
    </row>
    <row r="164" spans="1:6">
      <c r="A164" s="258">
        <v>43617</v>
      </c>
      <c r="B164" s="97" t="s">
        <v>894</v>
      </c>
      <c r="C164" s="97" t="s">
        <v>9</v>
      </c>
      <c r="D164" s="97"/>
      <c r="E164" s="97"/>
      <c r="F164" s="97">
        <v>1</v>
      </c>
    </row>
    <row r="165" spans="1:6" ht="15" customHeight="1">
      <c r="A165" s="258">
        <v>43617</v>
      </c>
      <c r="B165" s="97" t="s">
        <v>894</v>
      </c>
      <c r="C165" s="97" t="s">
        <v>7</v>
      </c>
      <c r="D165" s="97"/>
      <c r="E165" s="97" t="s">
        <v>53</v>
      </c>
      <c r="F165" s="97">
        <v>1</v>
      </c>
    </row>
    <row r="166" spans="1:6">
      <c r="A166" s="258">
        <v>43647</v>
      </c>
      <c r="B166" s="97" t="s">
        <v>656</v>
      </c>
      <c r="C166" s="97" t="s">
        <v>7</v>
      </c>
      <c r="D166" s="97"/>
      <c r="E166" s="97" t="s">
        <v>53</v>
      </c>
      <c r="F166" s="97">
        <v>1</v>
      </c>
    </row>
    <row r="167" spans="1:6">
      <c r="A167" s="258">
        <v>43647</v>
      </c>
      <c r="B167" s="97" t="s">
        <v>689</v>
      </c>
      <c r="C167" s="97" t="s">
        <v>9</v>
      </c>
      <c r="D167" s="97"/>
      <c r="E167" s="97"/>
      <c r="F167" s="97">
        <v>1</v>
      </c>
    </row>
    <row r="168" spans="1:6">
      <c r="A168" s="258">
        <v>43647</v>
      </c>
      <c r="B168" s="97" t="s">
        <v>689</v>
      </c>
      <c r="C168" s="97" t="s">
        <v>9</v>
      </c>
      <c r="D168" s="97"/>
      <c r="E168" s="97"/>
      <c r="F168" s="97">
        <v>1</v>
      </c>
    </row>
    <row r="169" spans="1:6" ht="15" customHeight="1">
      <c r="A169" s="258">
        <v>43647</v>
      </c>
      <c r="B169" s="97" t="s">
        <v>689</v>
      </c>
      <c r="C169" s="97" t="s">
        <v>7</v>
      </c>
      <c r="D169" s="97"/>
      <c r="E169" s="97" t="s">
        <v>50</v>
      </c>
      <c r="F169" s="97">
        <v>1</v>
      </c>
    </row>
    <row r="170" spans="1:6">
      <c r="A170" s="258">
        <v>43647</v>
      </c>
      <c r="B170" s="97" t="s">
        <v>689</v>
      </c>
      <c r="C170" s="97" t="s">
        <v>7</v>
      </c>
      <c r="D170" s="97"/>
      <c r="E170" s="97">
        <v>50</v>
      </c>
      <c r="F170" s="97">
        <v>1</v>
      </c>
    </row>
    <row r="171" spans="1:6" ht="15" customHeight="1">
      <c r="A171" s="258">
        <v>43647</v>
      </c>
      <c r="B171" s="97" t="s">
        <v>689</v>
      </c>
      <c r="C171" s="97" t="s">
        <v>7</v>
      </c>
      <c r="D171" s="97"/>
      <c r="E171" s="97">
        <v>50</v>
      </c>
      <c r="F171" s="97">
        <v>1</v>
      </c>
    </row>
    <row r="172" spans="1:6">
      <c r="A172" s="258">
        <v>43647</v>
      </c>
      <c r="B172" s="97" t="s">
        <v>690</v>
      </c>
      <c r="C172" s="97" t="s">
        <v>9</v>
      </c>
      <c r="D172" s="97"/>
      <c r="E172" s="97"/>
      <c r="F172" s="97">
        <v>1</v>
      </c>
    </row>
    <row r="173" spans="1:6">
      <c r="A173" s="258">
        <v>43647</v>
      </c>
      <c r="B173" s="97" t="s">
        <v>690</v>
      </c>
      <c r="C173" s="97" t="s">
        <v>9</v>
      </c>
      <c r="D173" s="97"/>
      <c r="E173" s="97"/>
      <c r="F173" s="97">
        <v>1</v>
      </c>
    </row>
    <row r="174" spans="1:6" ht="15" customHeight="1">
      <c r="A174" s="258">
        <v>43647</v>
      </c>
      <c r="B174" s="97" t="s">
        <v>662</v>
      </c>
      <c r="C174" s="97" t="s">
        <v>10</v>
      </c>
      <c r="D174" s="97"/>
      <c r="E174" s="97"/>
      <c r="F174" s="97">
        <v>1</v>
      </c>
    </row>
    <row r="175" spans="1:6">
      <c r="A175" s="258">
        <v>43647</v>
      </c>
      <c r="B175" s="97" t="s">
        <v>668</v>
      </c>
      <c r="C175" s="97" t="s">
        <v>9</v>
      </c>
      <c r="D175" s="97"/>
      <c r="E175" s="97"/>
      <c r="F175" s="97">
        <v>1</v>
      </c>
    </row>
    <row r="176" spans="1:6">
      <c r="A176" s="258">
        <v>43647</v>
      </c>
      <c r="B176" s="97" t="s">
        <v>832</v>
      </c>
      <c r="C176" s="97" t="s">
        <v>9</v>
      </c>
      <c r="D176" s="97"/>
      <c r="E176" s="97"/>
      <c r="F176" s="97">
        <v>1</v>
      </c>
    </row>
    <row r="177" spans="1:6">
      <c r="A177" s="258">
        <v>43647</v>
      </c>
      <c r="B177" s="97" t="s">
        <v>681</v>
      </c>
      <c r="C177" s="97" t="s">
        <v>7</v>
      </c>
      <c r="D177" s="97"/>
      <c r="E177" s="97">
        <v>100</v>
      </c>
      <c r="F177" s="97">
        <v>1</v>
      </c>
    </row>
    <row r="178" spans="1:6" ht="15" customHeight="1">
      <c r="A178" s="258">
        <v>43647</v>
      </c>
      <c r="B178" s="97" t="s">
        <v>844</v>
      </c>
      <c r="C178" s="97" t="s">
        <v>7</v>
      </c>
      <c r="D178" s="97"/>
      <c r="E178" s="97">
        <v>50</v>
      </c>
      <c r="F178" s="97">
        <v>1</v>
      </c>
    </row>
    <row r="179" spans="1:6" ht="15" customHeight="1">
      <c r="A179" s="258">
        <v>43647</v>
      </c>
      <c r="B179" s="97" t="s">
        <v>844</v>
      </c>
      <c r="C179" s="97" t="s">
        <v>7</v>
      </c>
      <c r="D179" s="97"/>
      <c r="E179" s="97">
        <v>50</v>
      </c>
      <c r="F179" s="97">
        <v>1</v>
      </c>
    </row>
    <row r="180" spans="1:6" ht="15" customHeight="1">
      <c r="A180" s="258">
        <v>43647</v>
      </c>
      <c r="B180" s="97" t="s">
        <v>844</v>
      </c>
      <c r="C180" s="97" t="s">
        <v>7</v>
      </c>
      <c r="D180" s="97"/>
      <c r="E180" s="97">
        <v>50</v>
      </c>
      <c r="F180" s="97">
        <v>1</v>
      </c>
    </row>
    <row r="181" spans="1:6">
      <c r="A181" s="258">
        <v>43647</v>
      </c>
      <c r="B181" s="97" t="s">
        <v>651</v>
      </c>
      <c r="C181" s="97" t="s">
        <v>7</v>
      </c>
      <c r="D181" s="97"/>
      <c r="E181" s="97">
        <v>50</v>
      </c>
      <c r="F181" s="97">
        <v>1</v>
      </c>
    </row>
    <row r="182" spans="1:6" ht="15" customHeight="1">
      <c r="A182" s="258">
        <v>43647</v>
      </c>
      <c r="B182" s="97" t="s">
        <v>651</v>
      </c>
      <c r="C182" s="97" t="s">
        <v>7</v>
      </c>
      <c r="D182" s="97"/>
      <c r="E182" s="97">
        <v>50</v>
      </c>
      <c r="F182" s="97">
        <v>1</v>
      </c>
    </row>
    <row r="183" spans="1:6" ht="15" customHeight="1">
      <c r="A183" s="258">
        <v>43647</v>
      </c>
      <c r="B183" s="97" t="s">
        <v>651</v>
      </c>
      <c r="C183" s="97" t="s">
        <v>7</v>
      </c>
      <c r="D183" s="97"/>
      <c r="E183" s="97">
        <v>50</v>
      </c>
      <c r="F183" s="97">
        <v>1</v>
      </c>
    </row>
    <row r="184" spans="1:6" ht="15" customHeight="1">
      <c r="A184" s="258">
        <v>43647</v>
      </c>
      <c r="B184" s="97" t="s">
        <v>848</v>
      </c>
      <c r="C184" s="97" t="s">
        <v>10</v>
      </c>
      <c r="D184" s="97"/>
      <c r="E184" s="97"/>
      <c r="F184" s="97">
        <v>1</v>
      </c>
    </row>
    <row r="185" spans="1:6">
      <c r="A185" s="258">
        <v>43647</v>
      </c>
      <c r="B185" s="246" t="s">
        <v>853</v>
      </c>
      <c r="C185" s="97" t="s">
        <v>9</v>
      </c>
      <c r="D185" s="97"/>
      <c r="E185" s="97"/>
      <c r="F185" s="97">
        <v>1</v>
      </c>
    </row>
    <row r="186" spans="1:6">
      <c r="A186" s="258">
        <v>43647</v>
      </c>
      <c r="B186" s="246" t="s">
        <v>853</v>
      </c>
      <c r="C186" s="97" t="s">
        <v>9</v>
      </c>
      <c r="D186" s="97"/>
      <c r="E186" s="97"/>
      <c r="F186" s="97">
        <v>1</v>
      </c>
    </row>
    <row r="187" spans="1:6">
      <c r="A187" s="258">
        <v>43647</v>
      </c>
      <c r="B187" s="97" t="s">
        <v>857</v>
      </c>
      <c r="C187" s="97" t="s">
        <v>9</v>
      </c>
      <c r="D187" s="97"/>
      <c r="E187" s="97"/>
      <c r="F187" s="97">
        <v>1</v>
      </c>
    </row>
    <row r="188" spans="1:6" ht="15" customHeight="1">
      <c r="A188" s="258">
        <v>43647</v>
      </c>
      <c r="B188" s="97" t="s">
        <v>860</v>
      </c>
      <c r="C188" s="97" t="s">
        <v>7</v>
      </c>
      <c r="D188" s="97"/>
      <c r="E188" s="97" t="s">
        <v>53</v>
      </c>
      <c r="F188" s="97">
        <v>1</v>
      </c>
    </row>
    <row r="189" spans="1:6" ht="15" customHeight="1">
      <c r="A189" s="258">
        <v>43647</v>
      </c>
      <c r="B189" s="97" t="s">
        <v>861</v>
      </c>
      <c r="C189" s="97" t="s">
        <v>7</v>
      </c>
      <c r="D189" s="97"/>
      <c r="E189" s="97" t="s">
        <v>53</v>
      </c>
      <c r="F189" s="97">
        <v>1</v>
      </c>
    </row>
    <row r="190" spans="1:6" ht="15" customHeight="1">
      <c r="A190" s="258">
        <v>43647</v>
      </c>
      <c r="B190" s="97" t="s">
        <v>861</v>
      </c>
      <c r="C190" s="97" t="s">
        <v>7</v>
      </c>
      <c r="D190" s="97"/>
      <c r="E190" s="97">
        <v>100</v>
      </c>
      <c r="F190" s="97">
        <v>1</v>
      </c>
    </row>
    <row r="191" spans="1:6" ht="15" customHeight="1">
      <c r="A191" s="258">
        <v>43647</v>
      </c>
      <c r="B191" s="97" t="s">
        <v>861</v>
      </c>
      <c r="C191" s="97" t="s">
        <v>7</v>
      </c>
      <c r="D191" s="97"/>
      <c r="E191" s="97">
        <v>50</v>
      </c>
      <c r="F191" s="97">
        <v>1</v>
      </c>
    </row>
    <row r="192" spans="1:6" ht="15" customHeight="1">
      <c r="A192" s="258">
        <v>43647</v>
      </c>
      <c r="B192" s="97" t="s">
        <v>863</v>
      </c>
      <c r="C192" s="97" t="s">
        <v>9</v>
      </c>
      <c r="D192" s="97"/>
      <c r="E192" s="97"/>
      <c r="F192" s="97">
        <v>1</v>
      </c>
    </row>
    <row r="193" spans="1:6">
      <c r="A193" s="258">
        <v>43647</v>
      </c>
      <c r="B193" s="97" t="s">
        <v>863</v>
      </c>
      <c r="C193" s="97" t="s">
        <v>9</v>
      </c>
      <c r="D193" s="97"/>
      <c r="E193" s="97"/>
      <c r="F193" s="97">
        <v>1</v>
      </c>
    </row>
    <row r="194" spans="1:6" ht="15" customHeight="1">
      <c r="A194" s="258">
        <v>43647</v>
      </c>
      <c r="B194" s="97" t="s">
        <v>863</v>
      </c>
      <c r="C194" s="97" t="s">
        <v>9</v>
      </c>
      <c r="D194" s="97"/>
      <c r="E194" s="97"/>
      <c r="F194" s="97">
        <v>1</v>
      </c>
    </row>
    <row r="195" spans="1:6">
      <c r="A195" s="258">
        <v>43647</v>
      </c>
      <c r="B195" s="97" t="s">
        <v>863</v>
      </c>
      <c r="C195" s="97" t="s">
        <v>9</v>
      </c>
      <c r="D195" s="97"/>
      <c r="E195" s="97"/>
      <c r="F195" s="97">
        <v>1</v>
      </c>
    </row>
    <row r="196" spans="1:6">
      <c r="A196" s="258">
        <v>43647</v>
      </c>
      <c r="B196" s="97" t="s">
        <v>863</v>
      </c>
      <c r="C196" s="97" t="s">
        <v>7</v>
      </c>
      <c r="D196" s="97"/>
      <c r="E196" s="97">
        <v>100</v>
      </c>
      <c r="F196" s="97">
        <v>1</v>
      </c>
    </row>
    <row r="197" spans="1:6" ht="15" customHeight="1">
      <c r="A197" s="258">
        <v>43647</v>
      </c>
      <c r="B197" s="97" t="s">
        <v>863</v>
      </c>
      <c r="C197" s="97" t="s">
        <v>9</v>
      </c>
      <c r="D197" s="97"/>
      <c r="E197" s="97"/>
      <c r="F197" s="97">
        <v>1</v>
      </c>
    </row>
    <row r="198" spans="1:6" ht="15" customHeight="1">
      <c r="A198" s="258">
        <v>43647</v>
      </c>
      <c r="B198" s="97" t="s">
        <v>864</v>
      </c>
      <c r="C198" s="97" t="s">
        <v>7</v>
      </c>
      <c r="D198" s="97"/>
      <c r="E198" s="97">
        <v>50</v>
      </c>
      <c r="F198" s="97">
        <v>1</v>
      </c>
    </row>
    <row r="199" spans="1:6" ht="15" customHeight="1">
      <c r="A199" s="258">
        <v>43647</v>
      </c>
      <c r="B199" s="97" t="s">
        <v>864</v>
      </c>
      <c r="C199" s="97" t="s">
        <v>7</v>
      </c>
      <c r="D199" s="97"/>
      <c r="E199" s="97">
        <v>50</v>
      </c>
      <c r="F199" s="97">
        <v>1</v>
      </c>
    </row>
    <row r="200" spans="1:6" ht="15" customHeight="1">
      <c r="A200" s="258">
        <v>43647</v>
      </c>
      <c r="B200" s="97" t="s">
        <v>864</v>
      </c>
      <c r="C200" s="97" t="s">
        <v>7</v>
      </c>
      <c r="D200" s="97"/>
      <c r="E200" s="97">
        <v>50</v>
      </c>
      <c r="F200" s="97">
        <v>1</v>
      </c>
    </row>
    <row r="201" spans="1:6">
      <c r="A201" s="258">
        <v>43647</v>
      </c>
      <c r="B201" s="97" t="s">
        <v>871</v>
      </c>
      <c r="C201" s="97" t="s">
        <v>9</v>
      </c>
      <c r="D201" s="97"/>
      <c r="E201" s="97"/>
      <c r="F201" s="97">
        <v>1</v>
      </c>
    </row>
    <row r="202" spans="1:6">
      <c r="A202" s="258">
        <v>43647</v>
      </c>
      <c r="B202" s="97" t="s">
        <v>877</v>
      </c>
      <c r="C202" s="97" t="s">
        <v>9</v>
      </c>
      <c r="D202" s="97"/>
      <c r="E202" s="97"/>
      <c r="F202" s="97">
        <v>1</v>
      </c>
    </row>
    <row r="203" spans="1:6">
      <c r="A203" s="258">
        <v>43647</v>
      </c>
      <c r="B203" s="97" t="s">
        <v>877</v>
      </c>
      <c r="C203" s="97" t="s">
        <v>7</v>
      </c>
      <c r="D203" s="97"/>
      <c r="E203" s="97">
        <v>50</v>
      </c>
      <c r="F203" s="97">
        <v>1</v>
      </c>
    </row>
    <row r="204" spans="1:6" ht="15" customHeight="1">
      <c r="A204" s="258">
        <v>43647</v>
      </c>
      <c r="B204" s="97" t="s">
        <v>882</v>
      </c>
      <c r="C204" s="97" t="s">
        <v>7</v>
      </c>
      <c r="D204" s="97"/>
      <c r="E204" s="97">
        <v>50</v>
      </c>
      <c r="F204" s="97">
        <v>1</v>
      </c>
    </row>
    <row r="205" spans="1:6" ht="15" customHeight="1">
      <c r="A205" s="258">
        <v>43647</v>
      </c>
      <c r="B205" s="97" t="s">
        <v>883</v>
      </c>
      <c r="C205" s="97" t="s">
        <v>7</v>
      </c>
      <c r="D205" s="97"/>
      <c r="E205" s="97">
        <v>100</v>
      </c>
      <c r="F205" s="97">
        <v>1</v>
      </c>
    </row>
    <row r="206" spans="1:6" ht="15" customHeight="1">
      <c r="A206" s="258">
        <v>43647</v>
      </c>
      <c r="B206" s="97" t="s">
        <v>883</v>
      </c>
      <c r="C206" s="97" t="s">
        <v>9</v>
      </c>
      <c r="D206" s="97"/>
      <c r="E206" s="97"/>
      <c r="F206" s="97">
        <v>1</v>
      </c>
    </row>
    <row r="207" spans="1:6" ht="15" customHeight="1">
      <c r="A207" s="258">
        <v>43647</v>
      </c>
      <c r="B207" s="97" t="s">
        <v>885</v>
      </c>
      <c r="C207" s="97" t="s">
        <v>9</v>
      </c>
      <c r="D207" s="97"/>
      <c r="E207" s="97"/>
      <c r="F207" s="97">
        <v>1</v>
      </c>
    </row>
    <row r="208" spans="1:6" ht="15" customHeight="1">
      <c r="A208" s="258">
        <v>43647</v>
      </c>
      <c r="B208" s="97" t="s">
        <v>885</v>
      </c>
      <c r="C208" s="97" t="s">
        <v>7</v>
      </c>
      <c r="D208" s="97"/>
      <c r="E208" s="97">
        <v>100</v>
      </c>
      <c r="F208" s="97">
        <v>1</v>
      </c>
    </row>
    <row r="209" spans="1:6">
      <c r="A209" s="258">
        <v>43647</v>
      </c>
      <c r="B209" s="97" t="s">
        <v>885</v>
      </c>
      <c r="C209" s="97" t="s">
        <v>10</v>
      </c>
      <c r="D209" s="97"/>
      <c r="E209" s="97"/>
      <c r="F209" s="97">
        <v>1</v>
      </c>
    </row>
    <row r="210" spans="1:6" ht="15" customHeight="1">
      <c r="A210" s="258">
        <v>43647</v>
      </c>
      <c r="B210" s="97" t="s">
        <v>885</v>
      </c>
      <c r="C210" s="97" t="s">
        <v>9</v>
      </c>
      <c r="D210" s="97"/>
      <c r="E210" s="97"/>
      <c r="F210" s="97">
        <v>1</v>
      </c>
    </row>
    <row r="211" spans="1:6" ht="15" customHeight="1">
      <c r="A211" s="258">
        <v>43678</v>
      </c>
      <c r="B211" s="246" t="s">
        <v>691</v>
      </c>
      <c r="C211" s="97" t="s">
        <v>7</v>
      </c>
      <c r="D211" s="97"/>
      <c r="E211" s="97">
        <v>100</v>
      </c>
      <c r="F211" s="97">
        <v>1</v>
      </c>
    </row>
    <row r="212" spans="1:6" ht="15" customHeight="1">
      <c r="A212" s="258">
        <v>43678</v>
      </c>
      <c r="B212" s="97" t="s">
        <v>661</v>
      </c>
      <c r="C212" s="97" t="s">
        <v>7</v>
      </c>
      <c r="D212" s="97"/>
      <c r="E212" s="97">
        <v>50</v>
      </c>
      <c r="F212" s="97">
        <v>1</v>
      </c>
    </row>
    <row r="213" spans="1:6" ht="15" customHeight="1">
      <c r="A213" s="258">
        <v>43678</v>
      </c>
      <c r="B213" s="97" t="s">
        <v>661</v>
      </c>
      <c r="C213" s="97" t="s">
        <v>9</v>
      </c>
      <c r="D213" s="97"/>
      <c r="E213" s="97"/>
      <c r="F213" s="97">
        <v>1</v>
      </c>
    </row>
    <row r="214" spans="1:6" ht="15" customHeight="1">
      <c r="A214" s="258">
        <v>43678</v>
      </c>
      <c r="B214" s="97" t="s">
        <v>648</v>
      </c>
      <c r="C214" s="97" t="s">
        <v>9</v>
      </c>
      <c r="D214" s="97"/>
      <c r="E214" s="97"/>
      <c r="F214" s="97">
        <v>1</v>
      </c>
    </row>
    <row r="215" spans="1:6" ht="15" customHeight="1">
      <c r="A215" s="258">
        <v>43678</v>
      </c>
      <c r="B215" s="97" t="s">
        <v>675</v>
      </c>
      <c r="C215" s="97" t="s">
        <v>7</v>
      </c>
      <c r="D215" s="97"/>
      <c r="E215" s="97">
        <v>100</v>
      </c>
      <c r="F215" s="97">
        <v>1</v>
      </c>
    </row>
    <row r="216" spans="1:6" ht="15" customHeight="1">
      <c r="A216" s="258">
        <v>43678</v>
      </c>
      <c r="B216" s="97" t="s">
        <v>675</v>
      </c>
      <c r="C216" s="97" t="s">
        <v>7</v>
      </c>
      <c r="D216" s="97"/>
      <c r="E216" s="97">
        <v>100</v>
      </c>
      <c r="F216" s="97">
        <v>1</v>
      </c>
    </row>
    <row r="217" spans="1:6">
      <c r="A217" s="258">
        <v>43678</v>
      </c>
      <c r="B217" s="97" t="s">
        <v>675</v>
      </c>
      <c r="C217" s="97" t="s">
        <v>9</v>
      </c>
      <c r="D217" s="97"/>
      <c r="E217" s="97"/>
      <c r="F217" s="97">
        <v>1</v>
      </c>
    </row>
    <row r="218" spans="1:6">
      <c r="A218" s="258">
        <v>43678</v>
      </c>
      <c r="B218" s="97" t="s">
        <v>680</v>
      </c>
      <c r="C218" s="97" t="s">
        <v>9</v>
      </c>
      <c r="D218" s="97"/>
      <c r="E218" s="97"/>
      <c r="F218" s="97">
        <v>1</v>
      </c>
    </row>
    <row r="219" spans="1:6" ht="15" customHeight="1">
      <c r="A219" s="258">
        <v>43678</v>
      </c>
      <c r="B219" s="97" t="s">
        <v>680</v>
      </c>
      <c r="C219" s="97" t="s">
        <v>9</v>
      </c>
      <c r="D219" s="97"/>
      <c r="E219" s="97"/>
      <c r="F219" s="97">
        <v>1</v>
      </c>
    </row>
    <row r="220" spans="1:6" ht="15" customHeight="1">
      <c r="A220" s="258">
        <v>43678</v>
      </c>
      <c r="B220" s="97" t="s">
        <v>687</v>
      </c>
      <c r="C220" s="97" t="s">
        <v>9</v>
      </c>
      <c r="D220" s="97"/>
      <c r="E220" s="97"/>
      <c r="F220" s="97">
        <v>1</v>
      </c>
    </row>
    <row r="221" spans="1:6" ht="15" customHeight="1">
      <c r="A221" s="258">
        <v>43678</v>
      </c>
      <c r="B221" s="97" t="s">
        <v>687</v>
      </c>
      <c r="C221" s="97" t="s">
        <v>10</v>
      </c>
      <c r="D221" s="97"/>
      <c r="E221" s="97"/>
      <c r="F221" s="97">
        <v>1</v>
      </c>
    </row>
    <row r="222" spans="1:6" ht="15" customHeight="1">
      <c r="A222" s="258">
        <v>43678</v>
      </c>
      <c r="B222" s="97" t="s">
        <v>861</v>
      </c>
      <c r="C222" s="97" t="s">
        <v>7</v>
      </c>
      <c r="D222" s="97"/>
      <c r="E222" s="97">
        <v>100</v>
      </c>
      <c r="F222" s="97">
        <v>1</v>
      </c>
    </row>
    <row r="223" spans="1:6" ht="15" customHeight="1">
      <c r="A223" s="258">
        <v>43678</v>
      </c>
      <c r="B223" s="97" t="s">
        <v>869</v>
      </c>
      <c r="C223" s="97" t="s">
        <v>7</v>
      </c>
      <c r="D223" s="97"/>
      <c r="E223" s="97">
        <v>50</v>
      </c>
      <c r="F223" s="97">
        <v>1</v>
      </c>
    </row>
    <row r="224" spans="1:6" ht="15" customHeight="1">
      <c r="A224" s="258">
        <v>43678</v>
      </c>
      <c r="B224" s="97" t="s">
        <v>880</v>
      </c>
      <c r="C224" s="97" t="s">
        <v>9</v>
      </c>
      <c r="D224" s="97"/>
      <c r="E224" s="97"/>
      <c r="F224" s="97">
        <v>1</v>
      </c>
    </row>
    <row r="225" spans="1:6" ht="15" customHeight="1">
      <c r="A225" s="258">
        <v>43678</v>
      </c>
      <c r="B225" s="97" t="s">
        <v>880</v>
      </c>
      <c r="C225" s="97" t="s">
        <v>7</v>
      </c>
      <c r="D225" s="97"/>
      <c r="E225" s="97">
        <v>50</v>
      </c>
      <c r="F225" s="97">
        <v>1</v>
      </c>
    </row>
    <row r="226" spans="1:6">
      <c r="A226" s="258">
        <v>43678</v>
      </c>
      <c r="B226" s="97" t="s">
        <v>880</v>
      </c>
      <c r="C226" s="97" t="s">
        <v>7</v>
      </c>
      <c r="D226" s="97"/>
      <c r="E226" s="97">
        <v>50</v>
      </c>
      <c r="F226" s="97">
        <v>1</v>
      </c>
    </row>
    <row r="227" spans="1:6" ht="15" customHeight="1">
      <c r="A227" s="258">
        <v>43678</v>
      </c>
      <c r="B227" s="97" t="s">
        <v>880</v>
      </c>
      <c r="C227" s="97" t="s">
        <v>7</v>
      </c>
      <c r="D227" s="97"/>
      <c r="E227" s="97">
        <v>50</v>
      </c>
      <c r="F227" s="97">
        <v>1</v>
      </c>
    </row>
    <row r="228" spans="1:6" ht="15" customHeight="1">
      <c r="A228" s="258">
        <v>43678</v>
      </c>
      <c r="B228" s="97" t="s">
        <v>880</v>
      </c>
      <c r="C228" s="97" t="s">
        <v>7</v>
      </c>
      <c r="D228" s="97"/>
      <c r="E228" s="97">
        <v>50</v>
      </c>
      <c r="F228" s="97">
        <v>1</v>
      </c>
    </row>
    <row r="229" spans="1:6" ht="15" customHeight="1">
      <c r="A229" s="258">
        <v>43678</v>
      </c>
      <c r="B229" s="97" t="s">
        <v>880</v>
      </c>
      <c r="C229" s="97" t="s">
        <v>7</v>
      </c>
      <c r="D229" s="97"/>
      <c r="E229" s="97">
        <v>50</v>
      </c>
      <c r="F229" s="97">
        <v>1</v>
      </c>
    </row>
    <row r="230" spans="1:6" ht="15" customHeight="1">
      <c r="A230" s="258">
        <v>43678</v>
      </c>
      <c r="B230" s="97" t="s">
        <v>881</v>
      </c>
      <c r="C230" s="97" t="s">
        <v>9</v>
      </c>
      <c r="D230" s="97"/>
      <c r="E230" s="97"/>
      <c r="F230" s="97">
        <v>1</v>
      </c>
    </row>
    <row r="231" spans="1:6" ht="15" customHeight="1">
      <c r="A231" s="258">
        <v>43678</v>
      </c>
      <c r="B231" s="97" t="s">
        <v>881</v>
      </c>
      <c r="C231" s="97" t="s">
        <v>7</v>
      </c>
      <c r="D231" s="97"/>
      <c r="E231" s="97">
        <v>50</v>
      </c>
      <c r="F231" s="97">
        <v>1</v>
      </c>
    </row>
    <row r="232" spans="1:6">
      <c r="A232" s="258">
        <v>43678</v>
      </c>
      <c r="B232" s="97" t="s">
        <v>881</v>
      </c>
      <c r="C232" s="97" t="s">
        <v>12</v>
      </c>
      <c r="D232" s="97"/>
      <c r="E232" s="97"/>
      <c r="F232" s="97">
        <v>1</v>
      </c>
    </row>
    <row r="233" spans="1:6">
      <c r="A233" s="258">
        <v>43678</v>
      </c>
      <c r="B233" s="97" t="s">
        <v>881</v>
      </c>
      <c r="C233" s="97" t="s">
        <v>9</v>
      </c>
      <c r="D233" s="97"/>
      <c r="E233" s="97"/>
      <c r="F233" s="97">
        <v>1</v>
      </c>
    </row>
    <row r="234" spans="1:6">
      <c r="A234" s="258">
        <v>43678</v>
      </c>
      <c r="B234" s="97" t="s">
        <v>884</v>
      </c>
      <c r="C234" s="97" t="s">
        <v>7</v>
      </c>
      <c r="D234" s="97"/>
      <c r="E234" s="97">
        <v>100</v>
      </c>
      <c r="F234" s="97">
        <v>1</v>
      </c>
    </row>
    <row r="235" spans="1:6" ht="15" customHeight="1">
      <c r="A235" s="258">
        <v>43678</v>
      </c>
      <c r="B235" s="97" t="s">
        <v>884</v>
      </c>
      <c r="C235" s="97" t="s">
        <v>7</v>
      </c>
      <c r="D235" s="97"/>
      <c r="E235" s="97">
        <v>100</v>
      </c>
      <c r="F235" s="97">
        <v>1</v>
      </c>
    </row>
    <row r="236" spans="1:6" ht="15" customHeight="1">
      <c r="A236" s="258">
        <v>43678</v>
      </c>
      <c r="B236" s="97" t="s">
        <v>884</v>
      </c>
      <c r="C236" s="97" t="s">
        <v>7</v>
      </c>
      <c r="D236" s="97"/>
      <c r="E236" s="97">
        <v>50</v>
      </c>
      <c r="F236" s="97">
        <v>1</v>
      </c>
    </row>
    <row r="237" spans="1:6" ht="15" customHeight="1">
      <c r="A237" s="258">
        <v>43678</v>
      </c>
      <c r="B237" s="97" t="s">
        <v>894</v>
      </c>
      <c r="C237" s="97" t="s">
        <v>7</v>
      </c>
      <c r="D237" s="97"/>
      <c r="E237" s="97">
        <v>50</v>
      </c>
      <c r="F237" s="97">
        <v>1</v>
      </c>
    </row>
    <row r="238" spans="1:6" ht="15" customHeight="1">
      <c r="A238" s="258">
        <v>43709</v>
      </c>
      <c r="B238" s="97" t="s">
        <v>689</v>
      </c>
      <c r="C238" s="97" t="s">
        <v>9</v>
      </c>
      <c r="D238" s="97"/>
      <c r="E238" s="97"/>
      <c r="F238" s="97">
        <v>1</v>
      </c>
    </row>
    <row r="239" spans="1:6" ht="15" customHeight="1">
      <c r="A239" s="258">
        <v>43709</v>
      </c>
      <c r="B239" s="246" t="s">
        <v>691</v>
      </c>
      <c r="C239" s="97" t="s">
        <v>7</v>
      </c>
      <c r="D239" s="97"/>
      <c r="E239" s="97">
        <v>50</v>
      </c>
      <c r="F239" s="97">
        <v>1</v>
      </c>
    </row>
    <row r="240" spans="1:6">
      <c r="A240" s="258">
        <v>43709</v>
      </c>
      <c r="B240" s="246" t="s">
        <v>691</v>
      </c>
      <c r="C240" s="97" t="s">
        <v>7</v>
      </c>
      <c r="D240" s="97"/>
      <c r="E240" s="97">
        <v>50</v>
      </c>
      <c r="F240" s="97">
        <v>1</v>
      </c>
    </row>
    <row r="241" spans="1:6">
      <c r="A241" s="258">
        <v>43709</v>
      </c>
      <c r="B241" s="246" t="s">
        <v>691</v>
      </c>
      <c r="C241" s="97" t="s">
        <v>7</v>
      </c>
      <c r="D241" s="97"/>
      <c r="E241" s="97" t="s">
        <v>53</v>
      </c>
      <c r="F241" s="97">
        <v>1</v>
      </c>
    </row>
    <row r="242" spans="1:6" ht="15" customHeight="1">
      <c r="A242" s="258">
        <v>43709</v>
      </c>
      <c r="B242" s="246" t="s">
        <v>691</v>
      </c>
      <c r="C242" s="97" t="s">
        <v>7</v>
      </c>
      <c r="D242" s="97"/>
      <c r="E242" s="97" t="s">
        <v>53</v>
      </c>
      <c r="F242" s="97">
        <v>1</v>
      </c>
    </row>
    <row r="243" spans="1:6" ht="15" customHeight="1">
      <c r="A243" s="258">
        <v>43709</v>
      </c>
      <c r="B243" s="97" t="s">
        <v>662</v>
      </c>
      <c r="C243" s="97" t="s">
        <v>7</v>
      </c>
      <c r="D243" s="97"/>
      <c r="E243" s="97" t="s">
        <v>53</v>
      </c>
      <c r="F243" s="97">
        <v>1</v>
      </c>
    </row>
    <row r="244" spans="1:6" ht="15" customHeight="1">
      <c r="A244" s="258">
        <v>43709</v>
      </c>
      <c r="B244" s="97" t="s">
        <v>662</v>
      </c>
      <c r="C244" s="97" t="s">
        <v>7</v>
      </c>
      <c r="D244" s="97"/>
      <c r="E244" s="97" t="s">
        <v>53</v>
      </c>
      <c r="F244" s="97">
        <v>1</v>
      </c>
    </row>
    <row r="245" spans="1:6" ht="15" customHeight="1">
      <c r="A245" s="258">
        <v>43709</v>
      </c>
      <c r="B245" s="97" t="s">
        <v>662</v>
      </c>
      <c r="C245" s="97" t="s">
        <v>7</v>
      </c>
      <c r="D245" s="97"/>
      <c r="E245" s="97" t="s">
        <v>53</v>
      </c>
      <c r="F245" s="97">
        <v>1</v>
      </c>
    </row>
    <row r="246" spans="1:6">
      <c r="A246" s="258">
        <v>43709</v>
      </c>
      <c r="B246" s="97" t="s">
        <v>662</v>
      </c>
      <c r="C246" s="97" t="s">
        <v>7</v>
      </c>
      <c r="D246" s="97"/>
      <c r="E246" s="97" t="s">
        <v>53</v>
      </c>
      <c r="F246" s="97">
        <v>1</v>
      </c>
    </row>
    <row r="247" spans="1:6" ht="15" customHeight="1">
      <c r="A247" s="258">
        <v>43709</v>
      </c>
      <c r="B247" s="97" t="s">
        <v>662</v>
      </c>
      <c r="C247" s="97" t="s">
        <v>7</v>
      </c>
      <c r="D247" s="97"/>
      <c r="E247" s="97" t="s">
        <v>53</v>
      </c>
      <c r="F247" s="97">
        <v>1</v>
      </c>
    </row>
    <row r="248" spans="1:6" ht="15" customHeight="1">
      <c r="A248" s="258">
        <v>43709</v>
      </c>
      <c r="B248" s="97" t="s">
        <v>662</v>
      </c>
      <c r="C248" s="97" t="s">
        <v>9</v>
      </c>
      <c r="D248" s="97"/>
      <c r="E248" s="97"/>
      <c r="F248" s="97">
        <v>1</v>
      </c>
    </row>
    <row r="249" spans="1:6" ht="15" customHeight="1">
      <c r="A249" s="258">
        <v>43709</v>
      </c>
      <c r="B249" s="97" t="s">
        <v>667</v>
      </c>
      <c r="C249" s="97" t="s">
        <v>7</v>
      </c>
      <c r="D249" s="97"/>
      <c r="E249" s="97" t="s">
        <v>53</v>
      </c>
      <c r="F249" s="97">
        <v>1</v>
      </c>
    </row>
    <row r="250" spans="1:6" ht="15" customHeight="1">
      <c r="A250" s="258">
        <v>43709</v>
      </c>
      <c r="B250" s="97" t="s">
        <v>667</v>
      </c>
      <c r="C250" s="97" t="s">
        <v>9</v>
      </c>
      <c r="D250" s="97"/>
      <c r="E250" s="97"/>
      <c r="F250" s="97">
        <v>1</v>
      </c>
    </row>
    <row r="251" spans="1:6" ht="15" customHeight="1">
      <c r="A251" s="258">
        <v>43709</v>
      </c>
      <c r="B251" s="97" t="s">
        <v>667</v>
      </c>
      <c r="C251" s="97" t="s">
        <v>9</v>
      </c>
      <c r="D251" s="97"/>
      <c r="E251" s="97"/>
      <c r="F251" s="97">
        <v>1</v>
      </c>
    </row>
    <row r="252" spans="1:6" ht="15" customHeight="1">
      <c r="A252" s="258">
        <v>43709</v>
      </c>
      <c r="B252" s="97" t="s">
        <v>667</v>
      </c>
      <c r="C252" s="97" t="s">
        <v>9</v>
      </c>
      <c r="D252" s="97"/>
      <c r="E252" s="97"/>
      <c r="F252" s="97">
        <v>1</v>
      </c>
    </row>
    <row r="253" spans="1:6">
      <c r="A253" s="258">
        <v>43709</v>
      </c>
      <c r="B253" s="97" t="s">
        <v>649</v>
      </c>
      <c r="C253" s="97" t="s">
        <v>7</v>
      </c>
      <c r="D253" s="97"/>
      <c r="E253" s="97" t="s">
        <v>50</v>
      </c>
      <c r="F253" s="97">
        <v>1</v>
      </c>
    </row>
    <row r="254" spans="1:6">
      <c r="A254" s="258">
        <v>43709</v>
      </c>
      <c r="B254" s="97" t="s">
        <v>649</v>
      </c>
      <c r="C254" s="97" t="s">
        <v>9</v>
      </c>
      <c r="D254" s="97"/>
      <c r="E254" s="97"/>
      <c r="F254" s="97">
        <v>1</v>
      </c>
    </row>
    <row r="255" spans="1:6">
      <c r="A255" s="258">
        <v>43709</v>
      </c>
      <c r="B255" s="97" t="s">
        <v>650</v>
      </c>
      <c r="C255" s="97" t="s">
        <v>9</v>
      </c>
      <c r="D255" s="97"/>
      <c r="E255" s="97"/>
      <c r="F255" s="97">
        <v>1</v>
      </c>
    </row>
    <row r="256" spans="1:6">
      <c r="A256" s="258">
        <v>43709</v>
      </c>
      <c r="B256" s="97" t="s">
        <v>650</v>
      </c>
      <c r="C256" s="97" t="s">
        <v>9</v>
      </c>
      <c r="D256" s="97"/>
      <c r="E256" s="97"/>
      <c r="F256" s="97">
        <v>1</v>
      </c>
    </row>
    <row r="257" spans="1:6">
      <c r="A257" s="258">
        <v>43709</v>
      </c>
      <c r="B257" s="97" t="s">
        <v>682</v>
      </c>
      <c r="C257" s="97" t="s">
        <v>9</v>
      </c>
      <c r="D257" s="97"/>
      <c r="E257" s="97"/>
      <c r="F257" s="97">
        <v>1</v>
      </c>
    </row>
    <row r="258" spans="1:6" ht="15" customHeight="1">
      <c r="A258" s="258">
        <v>43709</v>
      </c>
      <c r="B258" s="97" t="s">
        <v>682</v>
      </c>
      <c r="C258" s="97" t="s">
        <v>7</v>
      </c>
      <c r="D258" s="97"/>
      <c r="E258" s="97">
        <v>100</v>
      </c>
      <c r="F258" s="97">
        <v>1</v>
      </c>
    </row>
    <row r="259" spans="1:6" ht="15" customHeight="1">
      <c r="A259" s="258">
        <v>43709</v>
      </c>
      <c r="B259" s="97" t="s">
        <v>682</v>
      </c>
      <c r="C259" s="97" t="s">
        <v>9</v>
      </c>
      <c r="D259" s="97"/>
      <c r="E259" s="97"/>
      <c r="F259" s="97">
        <v>1</v>
      </c>
    </row>
    <row r="260" spans="1:6" ht="15" customHeight="1">
      <c r="A260" s="258">
        <v>43709</v>
      </c>
      <c r="B260" s="97" t="s">
        <v>687</v>
      </c>
      <c r="C260" s="97" t="s">
        <v>7</v>
      </c>
      <c r="D260" s="97"/>
      <c r="E260" s="97" t="s">
        <v>53</v>
      </c>
      <c r="F260" s="97">
        <v>1</v>
      </c>
    </row>
    <row r="261" spans="1:6" ht="15" customHeight="1">
      <c r="A261" s="258">
        <v>43709</v>
      </c>
      <c r="B261" s="97" t="s">
        <v>687</v>
      </c>
      <c r="C261" s="97" t="s">
        <v>7</v>
      </c>
      <c r="D261" s="97"/>
      <c r="E261" s="97" t="s">
        <v>53</v>
      </c>
      <c r="F261" s="97">
        <v>1</v>
      </c>
    </row>
    <row r="262" spans="1:6">
      <c r="A262" s="258">
        <v>43709</v>
      </c>
      <c r="B262" s="97" t="s">
        <v>687</v>
      </c>
      <c r="C262" s="97" t="s">
        <v>9</v>
      </c>
      <c r="D262" s="97"/>
      <c r="E262" s="97"/>
      <c r="F262" s="97">
        <v>1</v>
      </c>
    </row>
    <row r="263" spans="1:6">
      <c r="A263" s="258">
        <v>43709</v>
      </c>
      <c r="B263" s="97" t="s">
        <v>687</v>
      </c>
      <c r="C263" s="97" t="s">
        <v>9</v>
      </c>
      <c r="D263" s="97"/>
      <c r="E263" s="97"/>
      <c r="F263" s="97">
        <v>1</v>
      </c>
    </row>
    <row r="264" spans="1:6" ht="15" customHeight="1">
      <c r="A264" s="258">
        <v>43709</v>
      </c>
      <c r="B264" s="97" t="s">
        <v>846</v>
      </c>
      <c r="C264" s="97" t="s">
        <v>9</v>
      </c>
      <c r="D264" s="97"/>
      <c r="E264" s="97"/>
      <c r="F264" s="97">
        <v>1</v>
      </c>
    </row>
    <row r="265" spans="1:6">
      <c r="A265" s="258">
        <v>43709</v>
      </c>
      <c r="B265" s="97" t="s">
        <v>846</v>
      </c>
      <c r="C265" s="97" t="s">
        <v>12</v>
      </c>
      <c r="D265" s="97"/>
      <c r="E265" s="97"/>
      <c r="F265" s="97">
        <v>1</v>
      </c>
    </row>
    <row r="266" spans="1:6" ht="15" customHeight="1">
      <c r="A266" s="258">
        <v>43709</v>
      </c>
      <c r="B266" s="97" t="s">
        <v>846</v>
      </c>
      <c r="C266" s="97" t="s">
        <v>9</v>
      </c>
      <c r="D266" s="97"/>
      <c r="E266" s="97"/>
      <c r="F266" s="97">
        <v>1</v>
      </c>
    </row>
    <row r="267" spans="1:6" ht="15" customHeight="1">
      <c r="A267" s="258">
        <v>43709</v>
      </c>
      <c r="B267" s="97" t="s">
        <v>847</v>
      </c>
      <c r="C267" s="97" t="s">
        <v>9</v>
      </c>
      <c r="D267" s="97"/>
      <c r="E267" s="97"/>
      <c r="F267" s="97">
        <v>1</v>
      </c>
    </row>
    <row r="268" spans="1:6" ht="15" customHeight="1">
      <c r="A268" s="258">
        <v>43709</v>
      </c>
      <c r="B268" s="97" t="s">
        <v>847</v>
      </c>
      <c r="C268" s="97" t="s">
        <v>7</v>
      </c>
      <c r="D268" s="97"/>
      <c r="E268" s="97" t="s">
        <v>53</v>
      </c>
      <c r="F268" s="97">
        <v>1</v>
      </c>
    </row>
    <row r="269" spans="1:6" ht="15" customHeight="1">
      <c r="A269" s="258">
        <v>43709</v>
      </c>
      <c r="B269" s="97" t="s">
        <v>847</v>
      </c>
      <c r="C269" s="97" t="s">
        <v>7</v>
      </c>
      <c r="D269" s="97"/>
      <c r="E269" s="97" t="s">
        <v>53</v>
      </c>
      <c r="F269" s="97">
        <v>1</v>
      </c>
    </row>
    <row r="270" spans="1:6">
      <c r="A270" s="258">
        <v>43709</v>
      </c>
      <c r="B270" s="97" t="s">
        <v>847</v>
      </c>
      <c r="C270" s="97" t="s">
        <v>7</v>
      </c>
      <c r="D270" s="97"/>
      <c r="E270" s="97" t="s">
        <v>53</v>
      </c>
      <c r="F270" s="97">
        <v>1</v>
      </c>
    </row>
    <row r="271" spans="1:6">
      <c r="A271" s="258">
        <v>43709</v>
      </c>
      <c r="B271" s="97" t="s">
        <v>858</v>
      </c>
      <c r="C271" s="97" t="s">
        <v>7</v>
      </c>
      <c r="D271" s="97"/>
      <c r="E271" s="97">
        <v>100</v>
      </c>
      <c r="F271" s="97">
        <v>1</v>
      </c>
    </row>
    <row r="272" spans="1:6" ht="15" customHeight="1">
      <c r="A272" s="258">
        <v>43709</v>
      </c>
      <c r="B272" s="97" t="s">
        <v>858</v>
      </c>
      <c r="C272" s="97" t="s">
        <v>7</v>
      </c>
      <c r="D272" s="97"/>
      <c r="E272" s="97" t="s">
        <v>53</v>
      </c>
      <c r="F272" s="97">
        <v>1</v>
      </c>
    </row>
    <row r="273" spans="1:6" ht="15" customHeight="1">
      <c r="A273" s="258">
        <v>43709</v>
      </c>
      <c r="B273" s="97" t="s">
        <v>858</v>
      </c>
      <c r="C273" s="97" t="s">
        <v>9</v>
      </c>
      <c r="D273" s="97"/>
      <c r="E273" s="97"/>
      <c r="F273" s="97">
        <v>1</v>
      </c>
    </row>
    <row r="274" spans="1:6" ht="15" customHeight="1">
      <c r="A274" s="258">
        <v>43709</v>
      </c>
      <c r="B274" s="97" t="s">
        <v>861</v>
      </c>
      <c r="C274" s="97" t="s">
        <v>9</v>
      </c>
      <c r="D274" s="97"/>
      <c r="E274" s="97"/>
      <c r="F274" s="97">
        <v>1</v>
      </c>
    </row>
    <row r="275" spans="1:6">
      <c r="A275" s="258">
        <v>43709</v>
      </c>
      <c r="B275" s="97" t="s">
        <v>864</v>
      </c>
      <c r="C275" s="97" t="s">
        <v>9</v>
      </c>
      <c r="D275" s="97"/>
      <c r="E275" s="97"/>
      <c r="F275" s="97">
        <v>1</v>
      </c>
    </row>
    <row r="276" spans="1:6" ht="15" customHeight="1">
      <c r="A276" s="258">
        <v>43709</v>
      </c>
      <c r="B276" s="97" t="s">
        <v>864</v>
      </c>
      <c r="C276" s="97" t="s">
        <v>9</v>
      </c>
      <c r="D276" s="97"/>
      <c r="E276" s="97"/>
      <c r="F276" s="97">
        <v>1</v>
      </c>
    </row>
    <row r="277" spans="1:6" ht="15" customHeight="1">
      <c r="A277" s="258">
        <v>43709</v>
      </c>
      <c r="B277" s="97" t="s">
        <v>864</v>
      </c>
      <c r="C277" s="97" t="s">
        <v>7</v>
      </c>
      <c r="D277" s="97"/>
      <c r="E277" s="97">
        <v>100</v>
      </c>
      <c r="F277" s="97">
        <v>1</v>
      </c>
    </row>
    <row r="278" spans="1:6" ht="15" customHeight="1">
      <c r="A278" s="258">
        <v>43709</v>
      </c>
      <c r="B278" s="97" t="s">
        <v>864</v>
      </c>
      <c r="C278" s="97" t="s">
        <v>7</v>
      </c>
      <c r="D278" s="97"/>
      <c r="E278" s="97" t="s">
        <v>53</v>
      </c>
      <c r="F278" s="97">
        <v>1</v>
      </c>
    </row>
    <row r="279" spans="1:6" ht="15" customHeight="1">
      <c r="A279" s="258">
        <v>43709</v>
      </c>
      <c r="B279" s="97" t="s">
        <v>864</v>
      </c>
      <c r="C279" s="97" t="s">
        <v>9</v>
      </c>
      <c r="D279" s="97"/>
      <c r="E279" s="97"/>
      <c r="F279" s="97">
        <v>1</v>
      </c>
    </row>
    <row r="280" spans="1:6" ht="15" customHeight="1">
      <c r="A280" s="258">
        <v>43709</v>
      </c>
      <c r="B280" s="97" t="s">
        <v>874</v>
      </c>
      <c r="C280" s="97" t="s">
        <v>7</v>
      </c>
      <c r="D280" s="97"/>
      <c r="E280" s="97" t="s">
        <v>53</v>
      </c>
      <c r="F280" s="97">
        <v>1</v>
      </c>
    </row>
    <row r="281" spans="1:6">
      <c r="A281" s="258">
        <v>43709</v>
      </c>
      <c r="B281" s="97" t="s">
        <v>889</v>
      </c>
      <c r="C281" s="97" t="s">
        <v>9</v>
      </c>
      <c r="D281" s="97"/>
      <c r="E281" s="97"/>
      <c r="F281" s="97">
        <v>1</v>
      </c>
    </row>
    <row r="282" spans="1:6" ht="15" customHeight="1">
      <c r="A282" s="258">
        <v>43709</v>
      </c>
      <c r="B282" s="97" t="s">
        <v>889</v>
      </c>
      <c r="C282" s="97" t="s">
        <v>7</v>
      </c>
      <c r="D282" s="97"/>
      <c r="E282" s="97" t="s">
        <v>53</v>
      </c>
      <c r="F282" s="97">
        <v>1</v>
      </c>
    </row>
    <row r="283" spans="1:6" ht="15" customHeight="1">
      <c r="A283" s="258">
        <v>43709</v>
      </c>
      <c r="B283" s="97" t="s">
        <v>889</v>
      </c>
      <c r="C283" s="97" t="s">
        <v>7</v>
      </c>
      <c r="D283" s="97"/>
      <c r="E283" s="97" t="s">
        <v>53</v>
      </c>
      <c r="F283" s="97">
        <v>3</v>
      </c>
    </row>
    <row r="284" spans="1:6" ht="15" customHeight="1">
      <c r="A284" s="258">
        <v>43709</v>
      </c>
      <c r="B284" s="97" t="s">
        <v>889</v>
      </c>
      <c r="C284" s="97" t="s">
        <v>7</v>
      </c>
      <c r="D284" s="97"/>
      <c r="E284" s="97" t="s">
        <v>53</v>
      </c>
      <c r="F284" s="97">
        <v>1</v>
      </c>
    </row>
    <row r="285" spans="1:6" ht="15" customHeight="1">
      <c r="A285" s="258">
        <v>43709</v>
      </c>
      <c r="B285" s="97" t="s">
        <v>889</v>
      </c>
      <c r="C285" s="97" t="s">
        <v>7</v>
      </c>
      <c r="D285" s="97"/>
      <c r="E285" s="97" t="s">
        <v>53</v>
      </c>
      <c r="F285" s="97">
        <v>1</v>
      </c>
    </row>
    <row r="286" spans="1:6" ht="15" customHeight="1">
      <c r="A286" s="258">
        <v>43709</v>
      </c>
      <c r="B286" s="97" t="s">
        <v>889</v>
      </c>
      <c r="C286" s="97" t="s">
        <v>7</v>
      </c>
      <c r="D286" s="97"/>
      <c r="E286" s="97" t="s">
        <v>53</v>
      </c>
      <c r="F286" s="97">
        <v>2</v>
      </c>
    </row>
    <row r="287" spans="1:6">
      <c r="A287" s="258">
        <v>43709</v>
      </c>
      <c r="B287" s="97" t="s">
        <v>889</v>
      </c>
      <c r="C287" s="97" t="s">
        <v>9</v>
      </c>
      <c r="D287" s="97"/>
      <c r="E287" s="97"/>
      <c r="F287" s="97">
        <v>1</v>
      </c>
    </row>
    <row r="288" spans="1:6">
      <c r="A288" s="258">
        <v>43709</v>
      </c>
      <c r="B288" s="97" t="s">
        <v>897</v>
      </c>
      <c r="C288" s="97" t="s">
        <v>7</v>
      </c>
      <c r="D288" s="97"/>
      <c r="E288" s="97" t="s">
        <v>53</v>
      </c>
      <c r="F288" s="97">
        <v>1</v>
      </c>
    </row>
    <row r="289" spans="1:6">
      <c r="A289" s="258">
        <v>43709</v>
      </c>
      <c r="B289" s="97" t="s">
        <v>897</v>
      </c>
      <c r="C289" s="97" t="s">
        <v>10</v>
      </c>
      <c r="D289" s="97"/>
      <c r="E289" s="97"/>
      <c r="F289" s="97">
        <v>1</v>
      </c>
    </row>
    <row r="290" spans="1:6" ht="15" customHeight="1">
      <c r="A290" s="258">
        <v>43709</v>
      </c>
      <c r="B290" s="97" t="s">
        <v>897</v>
      </c>
      <c r="C290" s="97" t="s">
        <v>7</v>
      </c>
      <c r="D290" s="97"/>
      <c r="E290" s="97">
        <v>50</v>
      </c>
      <c r="F290" s="97">
        <v>1</v>
      </c>
    </row>
    <row r="291" spans="1:6" ht="15" customHeight="1">
      <c r="A291" s="258">
        <v>43739</v>
      </c>
      <c r="B291" s="97" t="s">
        <v>689</v>
      </c>
      <c r="C291" s="97" t="s">
        <v>9</v>
      </c>
      <c r="D291" s="97"/>
      <c r="E291" s="97"/>
      <c r="F291" s="97">
        <v>1</v>
      </c>
    </row>
    <row r="292" spans="1:6" ht="15" customHeight="1">
      <c r="A292" s="258">
        <v>43739</v>
      </c>
      <c r="B292" s="97" t="s">
        <v>689</v>
      </c>
      <c r="C292" s="97" t="s">
        <v>7</v>
      </c>
      <c r="D292" s="97"/>
      <c r="E292" s="97" t="s">
        <v>53</v>
      </c>
      <c r="F292" s="97">
        <v>2</v>
      </c>
    </row>
    <row r="293" spans="1:6" ht="15" customHeight="1">
      <c r="A293" s="258">
        <v>43739</v>
      </c>
      <c r="B293" s="97" t="s">
        <v>689</v>
      </c>
      <c r="C293" s="97" t="s">
        <v>7</v>
      </c>
      <c r="D293" s="97"/>
      <c r="E293" s="97" t="s">
        <v>53</v>
      </c>
      <c r="F293" s="97">
        <v>1</v>
      </c>
    </row>
    <row r="294" spans="1:6">
      <c r="A294" s="258">
        <v>43739</v>
      </c>
      <c r="B294" s="97" t="s">
        <v>689</v>
      </c>
      <c r="C294" s="97" t="s">
        <v>7</v>
      </c>
      <c r="D294" s="97"/>
      <c r="E294" s="97" t="s">
        <v>53</v>
      </c>
      <c r="F294" s="97">
        <v>1</v>
      </c>
    </row>
    <row r="295" spans="1:6" ht="15" customHeight="1">
      <c r="A295" s="258">
        <v>43739</v>
      </c>
      <c r="B295" s="97" t="s">
        <v>689</v>
      </c>
      <c r="C295" s="97" t="s">
        <v>7</v>
      </c>
      <c r="D295" s="97"/>
      <c r="E295" s="97" t="s">
        <v>53</v>
      </c>
      <c r="F295" s="97">
        <v>1</v>
      </c>
    </row>
    <row r="296" spans="1:6" ht="15" customHeight="1">
      <c r="A296" s="258">
        <v>43739</v>
      </c>
      <c r="B296" s="97" t="s">
        <v>689</v>
      </c>
      <c r="C296" s="97" t="s">
        <v>7</v>
      </c>
      <c r="D296" s="97"/>
      <c r="E296" s="97" t="s">
        <v>53</v>
      </c>
      <c r="F296" s="97">
        <v>1</v>
      </c>
    </row>
    <row r="297" spans="1:6">
      <c r="A297" s="258">
        <v>43739</v>
      </c>
      <c r="B297" s="97" t="s">
        <v>689</v>
      </c>
      <c r="C297" s="97" t="s">
        <v>7</v>
      </c>
      <c r="D297" s="97"/>
      <c r="E297" s="97" t="s">
        <v>53</v>
      </c>
      <c r="F297" s="97">
        <v>1</v>
      </c>
    </row>
    <row r="298" spans="1:6" ht="15" customHeight="1">
      <c r="A298" s="258">
        <v>43739</v>
      </c>
      <c r="B298" s="97" t="s">
        <v>689</v>
      </c>
      <c r="C298" s="97" t="s">
        <v>7</v>
      </c>
      <c r="D298" s="97"/>
      <c r="E298" s="97" t="s">
        <v>53</v>
      </c>
      <c r="F298" s="97">
        <v>1</v>
      </c>
    </row>
    <row r="299" spans="1:6" ht="15" customHeight="1">
      <c r="A299" s="258">
        <v>43739</v>
      </c>
      <c r="B299" s="97" t="s">
        <v>690</v>
      </c>
      <c r="C299" s="97" t="s">
        <v>9</v>
      </c>
      <c r="D299" s="97"/>
      <c r="E299" s="97"/>
      <c r="F299" s="97">
        <v>2</v>
      </c>
    </row>
    <row r="300" spans="1:6" ht="15" customHeight="1">
      <c r="A300" s="258">
        <v>43739</v>
      </c>
      <c r="B300" s="97" t="s">
        <v>690</v>
      </c>
      <c r="C300" s="97" t="s">
        <v>9</v>
      </c>
      <c r="D300" s="97"/>
      <c r="E300" s="97"/>
      <c r="F300" s="97">
        <v>1</v>
      </c>
    </row>
    <row r="301" spans="1:6" ht="15" customHeight="1">
      <c r="A301" s="258">
        <v>43739</v>
      </c>
      <c r="B301" s="97" t="s">
        <v>690</v>
      </c>
      <c r="C301" s="97" t="s">
        <v>9</v>
      </c>
      <c r="D301" s="97"/>
      <c r="E301" s="97"/>
      <c r="F301" s="97">
        <v>2</v>
      </c>
    </row>
    <row r="302" spans="1:6" ht="15" customHeight="1">
      <c r="A302" s="258">
        <v>43739</v>
      </c>
      <c r="B302" s="97" t="s">
        <v>690</v>
      </c>
      <c r="C302" s="97" t="s">
        <v>9</v>
      </c>
      <c r="D302" s="97"/>
      <c r="E302" s="97"/>
      <c r="F302" s="97">
        <v>1</v>
      </c>
    </row>
    <row r="303" spans="1:6" ht="15" customHeight="1">
      <c r="A303" s="258">
        <v>43739</v>
      </c>
      <c r="B303" s="97" t="s">
        <v>690</v>
      </c>
      <c r="C303" s="97" t="s">
        <v>7</v>
      </c>
      <c r="D303" s="97"/>
      <c r="E303" s="97" t="s">
        <v>53</v>
      </c>
      <c r="F303" s="97">
        <v>1</v>
      </c>
    </row>
    <row r="304" spans="1:6" ht="15" customHeight="1">
      <c r="A304" s="258">
        <v>43739</v>
      </c>
      <c r="B304" s="97" t="s">
        <v>690</v>
      </c>
      <c r="C304" s="97" t="s">
        <v>7</v>
      </c>
      <c r="D304" s="97"/>
      <c r="E304" s="97">
        <v>100</v>
      </c>
      <c r="F304" s="97">
        <v>1</v>
      </c>
    </row>
    <row r="305" spans="1:6">
      <c r="A305" s="258">
        <v>43739</v>
      </c>
      <c r="B305" s="97" t="s">
        <v>690</v>
      </c>
      <c r="C305" s="97" t="s">
        <v>7</v>
      </c>
      <c r="D305" s="97"/>
      <c r="E305" s="97" t="s">
        <v>53</v>
      </c>
      <c r="F305" s="97">
        <v>1</v>
      </c>
    </row>
    <row r="306" spans="1:6" ht="15" customHeight="1">
      <c r="A306" s="258">
        <v>43739</v>
      </c>
      <c r="B306" s="97" t="s">
        <v>690</v>
      </c>
      <c r="C306" s="97" t="s">
        <v>7</v>
      </c>
      <c r="D306" s="97"/>
      <c r="E306" s="97">
        <v>100</v>
      </c>
      <c r="F306" s="97">
        <v>1</v>
      </c>
    </row>
    <row r="307" spans="1:6" ht="15" customHeight="1">
      <c r="A307" s="258">
        <v>43739</v>
      </c>
      <c r="B307" s="97" t="s">
        <v>660</v>
      </c>
      <c r="C307" s="97" t="s">
        <v>7</v>
      </c>
      <c r="D307" s="97"/>
      <c r="E307" s="97" t="s">
        <v>53</v>
      </c>
      <c r="F307" s="97">
        <v>1</v>
      </c>
    </row>
    <row r="308" spans="1:6" ht="15" customHeight="1">
      <c r="A308" s="258">
        <v>43739</v>
      </c>
      <c r="B308" s="97" t="s">
        <v>660</v>
      </c>
      <c r="C308" s="97" t="s">
        <v>7</v>
      </c>
      <c r="D308" s="97"/>
      <c r="E308" s="97" t="s">
        <v>53</v>
      </c>
      <c r="F308" s="97">
        <v>1</v>
      </c>
    </row>
    <row r="309" spans="1:6">
      <c r="A309" s="258">
        <v>43739</v>
      </c>
      <c r="B309" s="97" t="s">
        <v>665</v>
      </c>
      <c r="C309" s="97" t="s">
        <v>7</v>
      </c>
      <c r="D309" s="97"/>
      <c r="E309" s="97">
        <v>100</v>
      </c>
      <c r="F309" s="97">
        <v>1</v>
      </c>
    </row>
    <row r="310" spans="1:6">
      <c r="A310" s="258">
        <v>43739</v>
      </c>
      <c r="B310" s="97" t="s">
        <v>665</v>
      </c>
      <c r="C310" s="97" t="s">
        <v>7</v>
      </c>
      <c r="D310" s="97"/>
      <c r="E310" s="97">
        <v>100</v>
      </c>
      <c r="F310" s="97">
        <v>1</v>
      </c>
    </row>
    <row r="311" spans="1:6" ht="15" customHeight="1">
      <c r="A311" s="258">
        <v>43739</v>
      </c>
      <c r="B311" s="97" t="s">
        <v>667</v>
      </c>
      <c r="C311" s="97" t="s">
        <v>7</v>
      </c>
      <c r="D311" s="97"/>
      <c r="E311" s="97" t="s">
        <v>53</v>
      </c>
      <c r="F311" s="97">
        <v>1</v>
      </c>
    </row>
    <row r="312" spans="1:6" ht="15" customHeight="1">
      <c r="A312" s="258">
        <v>43739</v>
      </c>
      <c r="B312" s="97" t="s">
        <v>668</v>
      </c>
      <c r="C312" s="97" t="s">
        <v>7</v>
      </c>
      <c r="D312" s="97"/>
      <c r="E312" s="97">
        <v>100</v>
      </c>
      <c r="F312" s="97">
        <v>1</v>
      </c>
    </row>
    <row r="313" spans="1:6" ht="15" customHeight="1">
      <c r="A313" s="258">
        <v>43739</v>
      </c>
      <c r="B313" s="97" t="s">
        <v>668</v>
      </c>
      <c r="C313" s="97" t="s">
        <v>7</v>
      </c>
      <c r="D313" s="97"/>
      <c r="E313" s="97">
        <v>100</v>
      </c>
      <c r="F313" s="97">
        <v>1</v>
      </c>
    </row>
    <row r="314" spans="1:6" ht="15" customHeight="1">
      <c r="A314" s="258">
        <v>43739</v>
      </c>
      <c r="B314" s="97" t="s">
        <v>675</v>
      </c>
      <c r="C314" s="97" t="s">
        <v>7</v>
      </c>
      <c r="D314" s="97"/>
      <c r="E314" s="97">
        <v>100</v>
      </c>
      <c r="F314" s="97">
        <v>1</v>
      </c>
    </row>
    <row r="315" spans="1:6" ht="15" customHeight="1">
      <c r="A315" s="258">
        <v>43739</v>
      </c>
      <c r="B315" s="97" t="s">
        <v>686</v>
      </c>
      <c r="C315" s="97" t="s">
        <v>7</v>
      </c>
      <c r="D315" s="97"/>
      <c r="E315" s="97" t="s">
        <v>53</v>
      </c>
      <c r="F315" s="97">
        <v>1</v>
      </c>
    </row>
    <row r="316" spans="1:6">
      <c r="A316" s="258">
        <v>43739</v>
      </c>
      <c r="B316" s="97" t="s">
        <v>686</v>
      </c>
      <c r="C316" s="97" t="s">
        <v>7</v>
      </c>
      <c r="D316" s="97"/>
      <c r="E316" s="97" t="s">
        <v>53</v>
      </c>
      <c r="F316" s="97">
        <v>1</v>
      </c>
    </row>
    <row r="317" spans="1:6" ht="15" customHeight="1">
      <c r="A317" s="258">
        <v>43739</v>
      </c>
      <c r="B317" s="97" t="s">
        <v>685</v>
      </c>
      <c r="C317" s="97" t="s">
        <v>9</v>
      </c>
      <c r="D317" s="97"/>
      <c r="E317" s="97"/>
      <c r="F317" s="97">
        <v>1</v>
      </c>
    </row>
    <row r="318" spans="1:6" ht="15" customHeight="1">
      <c r="A318" s="258">
        <v>43739</v>
      </c>
      <c r="B318" s="97" t="s">
        <v>685</v>
      </c>
      <c r="C318" s="97" t="s">
        <v>9</v>
      </c>
      <c r="D318" s="97"/>
      <c r="E318" s="97"/>
      <c r="F318" s="97">
        <v>1</v>
      </c>
    </row>
    <row r="319" spans="1:6" ht="15" customHeight="1">
      <c r="A319" s="258">
        <v>43739</v>
      </c>
      <c r="B319" s="97" t="s">
        <v>847</v>
      </c>
      <c r="C319" s="97" t="s">
        <v>7</v>
      </c>
      <c r="D319" s="97"/>
      <c r="E319" s="97">
        <v>100</v>
      </c>
      <c r="F319" s="97">
        <v>1</v>
      </c>
    </row>
    <row r="320" spans="1:6" ht="15" customHeight="1">
      <c r="A320" s="258">
        <v>43739</v>
      </c>
      <c r="B320" s="97" t="s">
        <v>651</v>
      </c>
      <c r="C320" s="97" t="s">
        <v>7</v>
      </c>
      <c r="D320" s="97"/>
      <c r="E320" s="97">
        <v>100</v>
      </c>
      <c r="F320" s="97">
        <v>1</v>
      </c>
    </row>
    <row r="321" spans="1:6" ht="15" customHeight="1">
      <c r="A321" s="258">
        <v>43739</v>
      </c>
      <c r="B321" s="97" t="s">
        <v>651</v>
      </c>
      <c r="C321" s="97" t="s">
        <v>7</v>
      </c>
      <c r="D321" s="97"/>
      <c r="E321" s="97">
        <v>100</v>
      </c>
      <c r="F321" s="97">
        <v>1</v>
      </c>
    </row>
    <row r="322" spans="1:6" ht="15" customHeight="1">
      <c r="A322" s="258">
        <v>43739</v>
      </c>
      <c r="B322" s="97" t="s">
        <v>651</v>
      </c>
      <c r="C322" s="97" t="s">
        <v>7</v>
      </c>
      <c r="D322" s="97"/>
      <c r="E322" s="97">
        <v>50</v>
      </c>
      <c r="F322" s="97">
        <v>1</v>
      </c>
    </row>
    <row r="323" spans="1:6" ht="15" customHeight="1">
      <c r="A323" s="258">
        <v>43739</v>
      </c>
      <c r="B323" s="246" t="s">
        <v>854</v>
      </c>
      <c r="C323" s="97" t="s">
        <v>7</v>
      </c>
      <c r="D323" s="97"/>
      <c r="E323" s="97">
        <v>50</v>
      </c>
      <c r="F323" s="97">
        <v>1</v>
      </c>
    </row>
    <row r="324" spans="1:6" ht="15" customHeight="1">
      <c r="A324" s="258">
        <v>43739</v>
      </c>
      <c r="B324" s="97" t="s">
        <v>860</v>
      </c>
      <c r="C324" s="97" t="s">
        <v>7</v>
      </c>
      <c r="D324" s="97"/>
      <c r="E324" s="97">
        <v>100</v>
      </c>
      <c r="F324" s="97">
        <v>1</v>
      </c>
    </row>
    <row r="325" spans="1:6" ht="15" customHeight="1">
      <c r="A325" s="258">
        <v>43739</v>
      </c>
      <c r="B325" s="97" t="s">
        <v>862</v>
      </c>
      <c r="C325" s="97" t="s">
        <v>7</v>
      </c>
      <c r="D325" s="97"/>
      <c r="E325" s="97" t="s">
        <v>53</v>
      </c>
      <c r="F325" s="97">
        <v>1</v>
      </c>
    </row>
    <row r="326" spans="1:6">
      <c r="A326" s="258">
        <v>43739</v>
      </c>
      <c r="B326" s="97" t="s">
        <v>862</v>
      </c>
      <c r="C326" s="97" t="s">
        <v>7</v>
      </c>
      <c r="D326" s="97"/>
      <c r="E326" s="97" t="s">
        <v>53</v>
      </c>
      <c r="F326" s="97">
        <v>1</v>
      </c>
    </row>
    <row r="327" spans="1:6">
      <c r="A327" s="258">
        <v>43739</v>
      </c>
      <c r="B327" s="97" t="s">
        <v>862</v>
      </c>
      <c r="C327" s="97" t="s">
        <v>7</v>
      </c>
      <c r="D327" s="97"/>
      <c r="E327" s="97" t="s">
        <v>53</v>
      </c>
      <c r="F327" s="97">
        <v>1</v>
      </c>
    </row>
    <row r="328" spans="1:6" ht="15" customHeight="1">
      <c r="A328" s="258">
        <v>43739</v>
      </c>
      <c r="B328" s="97" t="s">
        <v>862</v>
      </c>
      <c r="C328" s="97" t="s">
        <v>7</v>
      </c>
      <c r="D328" s="97"/>
      <c r="E328" s="97" t="s">
        <v>53</v>
      </c>
      <c r="F328" s="97">
        <v>1</v>
      </c>
    </row>
    <row r="329" spans="1:6" ht="15" customHeight="1">
      <c r="A329" s="258">
        <v>43739</v>
      </c>
      <c r="B329" s="97" t="s">
        <v>868</v>
      </c>
      <c r="C329" s="97" t="s">
        <v>7</v>
      </c>
      <c r="D329" s="97"/>
      <c r="E329" s="97" t="s">
        <v>53</v>
      </c>
      <c r="F329" s="97">
        <v>1</v>
      </c>
    </row>
    <row r="330" spans="1:6">
      <c r="A330" s="258">
        <v>43739</v>
      </c>
      <c r="B330" s="97" t="s">
        <v>870</v>
      </c>
      <c r="C330" s="97" t="s">
        <v>7</v>
      </c>
      <c r="D330" s="97"/>
      <c r="E330" s="97">
        <v>50</v>
      </c>
      <c r="F330" s="97">
        <v>1</v>
      </c>
    </row>
    <row r="331" spans="1:6" ht="15" customHeight="1">
      <c r="A331" s="258">
        <v>43739</v>
      </c>
      <c r="B331" s="246" t="s">
        <v>876</v>
      </c>
      <c r="C331" s="97" t="s">
        <v>9</v>
      </c>
      <c r="D331" s="97"/>
      <c r="E331" s="97"/>
      <c r="F331" s="97">
        <v>1</v>
      </c>
    </row>
    <row r="332" spans="1:6" ht="15" customHeight="1">
      <c r="A332" s="258">
        <v>43739</v>
      </c>
      <c r="B332" s="97" t="s">
        <v>896</v>
      </c>
      <c r="C332" s="97" t="s">
        <v>7</v>
      </c>
      <c r="D332" s="97"/>
      <c r="E332" s="97">
        <v>100</v>
      </c>
      <c r="F332" s="97">
        <v>1</v>
      </c>
    </row>
    <row r="333" spans="1:6" ht="15" customHeight="1">
      <c r="A333" s="258">
        <v>43739</v>
      </c>
      <c r="B333" s="97" t="s">
        <v>896</v>
      </c>
      <c r="C333" s="97" t="s">
        <v>7</v>
      </c>
      <c r="D333" s="97"/>
      <c r="E333" s="97" t="s">
        <v>53</v>
      </c>
      <c r="F333" s="97">
        <v>1</v>
      </c>
    </row>
    <row r="334" spans="1:6" ht="15" customHeight="1">
      <c r="A334" s="258">
        <v>43739</v>
      </c>
      <c r="B334" s="97" t="s">
        <v>896</v>
      </c>
      <c r="C334" s="97" t="s">
        <v>7</v>
      </c>
      <c r="D334" s="97"/>
      <c r="E334" s="97" t="s">
        <v>53</v>
      </c>
      <c r="F334" s="97">
        <v>1</v>
      </c>
    </row>
    <row r="335" spans="1:6" ht="15" customHeight="1">
      <c r="A335" s="258">
        <v>43739</v>
      </c>
      <c r="B335" s="97" t="s">
        <v>896</v>
      </c>
      <c r="C335" s="97" t="s">
        <v>7</v>
      </c>
      <c r="D335" s="97"/>
      <c r="E335" s="97" t="s">
        <v>53</v>
      </c>
      <c r="F335" s="97">
        <v>1</v>
      </c>
    </row>
    <row r="336" spans="1:6">
      <c r="A336" s="258">
        <v>43739</v>
      </c>
      <c r="B336" s="97" t="s">
        <v>896</v>
      </c>
      <c r="C336" s="97" t="s">
        <v>7</v>
      </c>
      <c r="D336" s="97"/>
      <c r="E336" s="97" t="s">
        <v>53</v>
      </c>
      <c r="F336" s="97">
        <v>1</v>
      </c>
    </row>
    <row r="337" spans="1:6">
      <c r="A337" s="258">
        <v>43739</v>
      </c>
      <c r="B337" s="97" t="s">
        <v>896</v>
      </c>
      <c r="C337" s="97" t="s">
        <v>7</v>
      </c>
      <c r="D337" s="97"/>
      <c r="E337" s="97" t="s">
        <v>53</v>
      </c>
      <c r="F337" s="97">
        <v>1</v>
      </c>
    </row>
    <row r="338" spans="1:6" ht="15" customHeight="1">
      <c r="A338" s="258">
        <v>43739</v>
      </c>
      <c r="B338" s="97" t="s">
        <v>896</v>
      </c>
      <c r="C338" s="97" t="s">
        <v>7</v>
      </c>
      <c r="D338" s="97"/>
      <c r="E338" s="97" t="s">
        <v>53</v>
      </c>
      <c r="F338" s="97">
        <v>1</v>
      </c>
    </row>
    <row r="339" spans="1:6" ht="15" customHeight="1">
      <c r="A339" s="258">
        <v>43739</v>
      </c>
      <c r="B339" s="97" t="s">
        <v>896</v>
      </c>
      <c r="C339" s="97" t="s">
        <v>7</v>
      </c>
      <c r="D339" s="97"/>
      <c r="E339" s="97" t="s">
        <v>53</v>
      </c>
      <c r="F339" s="97">
        <v>1</v>
      </c>
    </row>
    <row r="340" spans="1:6" ht="15" customHeight="1">
      <c r="A340" s="258">
        <v>43739</v>
      </c>
      <c r="B340" s="97" t="s">
        <v>896</v>
      </c>
      <c r="C340" s="97" t="s">
        <v>7</v>
      </c>
      <c r="D340" s="97"/>
      <c r="E340" s="97" t="s">
        <v>53</v>
      </c>
      <c r="F340" s="97">
        <v>1</v>
      </c>
    </row>
    <row r="341" spans="1:6" ht="15" customHeight="1">
      <c r="A341" s="258">
        <v>43739</v>
      </c>
      <c r="B341" s="97" t="s">
        <v>896</v>
      </c>
      <c r="C341" s="97" t="s">
        <v>7</v>
      </c>
      <c r="D341" s="97"/>
      <c r="E341" s="97" t="s">
        <v>53</v>
      </c>
      <c r="F341" s="97">
        <v>1</v>
      </c>
    </row>
    <row r="342" spans="1:6" ht="15" customHeight="1">
      <c r="A342" s="258">
        <v>43739</v>
      </c>
      <c r="B342" s="255" t="s">
        <v>896</v>
      </c>
      <c r="C342" s="97" t="s">
        <v>7</v>
      </c>
      <c r="D342" s="97"/>
      <c r="E342" s="97" t="s">
        <v>53</v>
      </c>
      <c r="F342" s="97">
        <v>1</v>
      </c>
    </row>
    <row r="343" spans="1:6">
      <c r="A343" s="258">
        <v>43739</v>
      </c>
      <c r="B343" s="97" t="s">
        <v>896</v>
      </c>
      <c r="C343" s="97" t="s">
        <v>7</v>
      </c>
      <c r="D343" s="97"/>
      <c r="E343" s="97" t="s">
        <v>53</v>
      </c>
      <c r="F343" s="97">
        <v>1</v>
      </c>
    </row>
    <row r="344" spans="1:6" ht="15" customHeight="1">
      <c r="A344" s="258">
        <v>43739</v>
      </c>
      <c r="B344" s="97" t="s">
        <v>896</v>
      </c>
      <c r="C344" s="97" t="s">
        <v>7</v>
      </c>
      <c r="D344" s="97"/>
      <c r="E344" s="97">
        <v>100</v>
      </c>
      <c r="F344" s="97">
        <v>1</v>
      </c>
    </row>
    <row r="345" spans="1:6" ht="15" customHeight="1">
      <c r="A345" s="258">
        <v>43739</v>
      </c>
      <c r="B345" s="97" t="s">
        <v>896</v>
      </c>
      <c r="C345" s="97" t="s">
        <v>7</v>
      </c>
      <c r="D345" s="97"/>
      <c r="E345" s="97">
        <v>100</v>
      </c>
      <c r="F345" s="97">
        <v>1</v>
      </c>
    </row>
    <row r="346" spans="1:6" ht="15" customHeight="1">
      <c r="A346" s="258">
        <v>43770</v>
      </c>
      <c r="B346" s="97" t="s">
        <v>688</v>
      </c>
      <c r="C346" s="97" t="s">
        <v>7</v>
      </c>
      <c r="D346" s="97"/>
      <c r="E346" s="97">
        <v>50</v>
      </c>
      <c r="F346" s="97">
        <v>1</v>
      </c>
    </row>
    <row r="347" spans="1:6" ht="15" customHeight="1">
      <c r="A347" s="258">
        <v>43770</v>
      </c>
      <c r="B347" s="97" t="s">
        <v>689</v>
      </c>
      <c r="C347" s="97" t="s">
        <v>9</v>
      </c>
      <c r="D347" s="97"/>
      <c r="E347" s="97"/>
      <c r="F347" s="97">
        <v>1</v>
      </c>
    </row>
    <row r="348" spans="1:6" ht="15" customHeight="1">
      <c r="A348" s="258">
        <v>43770</v>
      </c>
      <c r="B348" s="97" t="s">
        <v>657</v>
      </c>
      <c r="C348" s="97" t="s">
        <v>7</v>
      </c>
      <c r="D348" s="97"/>
      <c r="E348" s="97">
        <v>50</v>
      </c>
      <c r="F348" s="97">
        <v>1</v>
      </c>
    </row>
    <row r="349" spans="1:6" ht="15" customHeight="1">
      <c r="A349" s="258">
        <v>43770</v>
      </c>
      <c r="B349" s="97" t="s">
        <v>657</v>
      </c>
      <c r="C349" s="97" t="s">
        <v>7</v>
      </c>
      <c r="D349" s="97"/>
      <c r="E349" s="97">
        <v>50</v>
      </c>
      <c r="F349" s="97">
        <v>1</v>
      </c>
    </row>
    <row r="350" spans="1:6" ht="15" customHeight="1">
      <c r="A350" s="258">
        <v>43770</v>
      </c>
      <c r="B350" s="97" t="s">
        <v>657</v>
      </c>
      <c r="C350" s="97" t="s">
        <v>7</v>
      </c>
      <c r="D350" s="97"/>
      <c r="E350" s="97">
        <v>50</v>
      </c>
      <c r="F350" s="97">
        <v>1</v>
      </c>
    </row>
    <row r="351" spans="1:6" ht="15" customHeight="1">
      <c r="A351" s="258">
        <v>43770</v>
      </c>
      <c r="B351" s="97" t="s">
        <v>657</v>
      </c>
      <c r="C351" s="97" t="s">
        <v>7</v>
      </c>
      <c r="D351" s="97"/>
      <c r="E351" s="97">
        <v>50</v>
      </c>
      <c r="F351" s="97">
        <v>1</v>
      </c>
    </row>
    <row r="352" spans="1:6" ht="15" customHeight="1">
      <c r="A352" s="258">
        <v>43770</v>
      </c>
      <c r="B352" s="97" t="s">
        <v>658</v>
      </c>
      <c r="C352" s="97" t="s">
        <v>9</v>
      </c>
      <c r="D352" s="97"/>
      <c r="E352" s="97"/>
      <c r="F352" s="97">
        <v>1</v>
      </c>
    </row>
    <row r="353" spans="1:6" ht="15" customHeight="1">
      <c r="A353" s="258">
        <v>43770</v>
      </c>
      <c r="B353" s="97" t="s">
        <v>662</v>
      </c>
      <c r="C353" s="97" t="s">
        <v>51</v>
      </c>
      <c r="D353" s="97"/>
      <c r="E353" s="97"/>
      <c r="F353" s="97">
        <v>1</v>
      </c>
    </row>
    <row r="354" spans="1:6" ht="15" customHeight="1">
      <c r="A354" s="258">
        <v>43770</v>
      </c>
      <c r="B354" s="97" t="s">
        <v>671</v>
      </c>
      <c r="C354" s="97" t="s">
        <v>7</v>
      </c>
      <c r="D354" s="97"/>
      <c r="E354" s="97">
        <v>50</v>
      </c>
      <c r="F354" s="97">
        <v>1</v>
      </c>
    </row>
    <row r="355" spans="1:6" ht="15" customHeight="1">
      <c r="A355" s="258">
        <v>43770</v>
      </c>
      <c r="B355" s="97" t="s">
        <v>672</v>
      </c>
      <c r="C355" s="97" t="s">
        <v>9</v>
      </c>
      <c r="D355" s="97"/>
      <c r="E355" s="97"/>
      <c r="F355" s="97">
        <v>1</v>
      </c>
    </row>
    <row r="356" spans="1:6" ht="15" customHeight="1">
      <c r="A356" s="258">
        <v>43770</v>
      </c>
      <c r="B356" s="97" t="s">
        <v>674</v>
      </c>
      <c r="C356" s="97" t="s">
        <v>9</v>
      </c>
      <c r="D356" s="97"/>
      <c r="E356" s="97"/>
      <c r="F356" s="97">
        <v>1</v>
      </c>
    </row>
    <row r="357" spans="1:6" ht="15" customHeight="1">
      <c r="A357" s="258">
        <v>43770</v>
      </c>
      <c r="B357" s="97" t="s">
        <v>673</v>
      </c>
      <c r="C357" s="97" t="s">
        <v>7</v>
      </c>
      <c r="D357" s="97"/>
      <c r="E357" s="97">
        <v>100</v>
      </c>
      <c r="F357" s="97">
        <v>1</v>
      </c>
    </row>
    <row r="358" spans="1:6" ht="15" customHeight="1">
      <c r="A358" s="258">
        <v>43770</v>
      </c>
      <c r="B358" s="97" t="s">
        <v>678</v>
      </c>
      <c r="C358" s="97" t="s">
        <v>9</v>
      </c>
      <c r="D358" s="97"/>
      <c r="E358" s="97"/>
      <c r="F358" s="97">
        <v>1</v>
      </c>
    </row>
    <row r="359" spans="1:6" ht="15" customHeight="1">
      <c r="A359" s="258">
        <v>43770</v>
      </c>
      <c r="B359" s="97" t="s">
        <v>678</v>
      </c>
      <c r="C359" s="97" t="s">
        <v>7</v>
      </c>
      <c r="D359" s="97"/>
      <c r="E359" s="97" t="s">
        <v>53</v>
      </c>
      <c r="F359" s="97">
        <v>1</v>
      </c>
    </row>
    <row r="360" spans="1:6" ht="15" customHeight="1">
      <c r="A360" s="258">
        <v>43770</v>
      </c>
      <c r="B360" s="97" t="s">
        <v>678</v>
      </c>
      <c r="C360" s="97" t="s">
        <v>7</v>
      </c>
      <c r="D360" s="97"/>
      <c r="E360" s="97" t="s">
        <v>53</v>
      </c>
      <c r="F360" s="97">
        <v>1</v>
      </c>
    </row>
    <row r="361" spans="1:6" ht="15" customHeight="1">
      <c r="A361" s="258">
        <v>43770</v>
      </c>
      <c r="B361" s="97" t="s">
        <v>678</v>
      </c>
      <c r="C361" s="97" t="s">
        <v>7</v>
      </c>
      <c r="D361" s="97"/>
      <c r="E361" s="97">
        <v>100</v>
      </c>
      <c r="F361" s="97">
        <v>1</v>
      </c>
    </row>
    <row r="362" spans="1:6" ht="15" customHeight="1">
      <c r="A362" s="258">
        <v>43770</v>
      </c>
      <c r="B362" s="97" t="s">
        <v>678</v>
      </c>
      <c r="C362" s="97" t="s">
        <v>7</v>
      </c>
      <c r="D362" s="97"/>
      <c r="E362" s="97">
        <v>100</v>
      </c>
      <c r="F362" s="97">
        <v>1</v>
      </c>
    </row>
    <row r="363" spans="1:6" ht="15" customHeight="1">
      <c r="A363" s="258">
        <v>43770</v>
      </c>
      <c r="B363" s="97" t="s">
        <v>678</v>
      </c>
      <c r="C363" s="97" t="s">
        <v>7</v>
      </c>
      <c r="D363" s="97"/>
      <c r="E363" s="97">
        <v>100</v>
      </c>
      <c r="F363" s="97">
        <v>1</v>
      </c>
    </row>
    <row r="364" spans="1:6" ht="15" customHeight="1">
      <c r="A364" s="258">
        <v>43770</v>
      </c>
      <c r="B364" s="97" t="s">
        <v>678</v>
      </c>
      <c r="C364" s="97" t="s">
        <v>51</v>
      </c>
      <c r="D364" s="97"/>
      <c r="E364" s="97"/>
      <c r="F364" s="97">
        <v>1</v>
      </c>
    </row>
    <row r="365" spans="1:6" ht="15" customHeight="1">
      <c r="A365" s="258">
        <v>43770</v>
      </c>
      <c r="B365" s="97" t="s">
        <v>650</v>
      </c>
      <c r="C365" s="97" t="s">
        <v>51</v>
      </c>
      <c r="D365" s="97"/>
      <c r="E365" s="97"/>
      <c r="F365" s="97">
        <v>1</v>
      </c>
    </row>
    <row r="366" spans="1:6" ht="15" customHeight="1">
      <c r="A366" s="258">
        <v>43770</v>
      </c>
      <c r="B366" s="97" t="s">
        <v>682</v>
      </c>
      <c r="C366" s="97" t="s">
        <v>7</v>
      </c>
      <c r="D366" s="97"/>
      <c r="E366" s="97">
        <v>50</v>
      </c>
      <c r="F366" s="97">
        <v>1</v>
      </c>
    </row>
    <row r="367" spans="1:6" ht="15" customHeight="1">
      <c r="A367" s="258">
        <v>43770</v>
      </c>
      <c r="B367" s="97" t="s">
        <v>682</v>
      </c>
      <c r="C367" s="97" t="s">
        <v>58</v>
      </c>
      <c r="D367" s="97"/>
      <c r="E367" s="97"/>
      <c r="F367" s="97">
        <v>1</v>
      </c>
    </row>
    <row r="368" spans="1:6" ht="15" customHeight="1">
      <c r="A368" s="258">
        <v>43770</v>
      </c>
      <c r="B368" s="211" t="s">
        <v>846</v>
      </c>
      <c r="C368" s="97" t="s">
        <v>51</v>
      </c>
      <c r="D368" s="97"/>
      <c r="E368" s="97"/>
      <c r="F368" s="97">
        <v>1</v>
      </c>
    </row>
    <row r="369" spans="1:6" ht="15" customHeight="1">
      <c r="A369" s="258">
        <v>43770</v>
      </c>
      <c r="B369" s="211" t="s">
        <v>846</v>
      </c>
      <c r="C369" s="97" t="s">
        <v>12</v>
      </c>
      <c r="D369" s="97"/>
      <c r="E369" s="97"/>
      <c r="F369" s="97">
        <v>1</v>
      </c>
    </row>
    <row r="370" spans="1:6">
      <c r="A370" s="258">
        <v>43770</v>
      </c>
      <c r="B370" s="211" t="s">
        <v>846</v>
      </c>
      <c r="C370" s="97" t="s">
        <v>9</v>
      </c>
      <c r="D370" s="97"/>
      <c r="E370" s="97"/>
      <c r="F370" s="97">
        <v>1</v>
      </c>
    </row>
    <row r="371" spans="1:6">
      <c r="A371" s="258">
        <v>43770</v>
      </c>
      <c r="B371" s="211" t="s">
        <v>846</v>
      </c>
      <c r="C371" s="97" t="s">
        <v>9</v>
      </c>
      <c r="D371" s="97"/>
      <c r="E371" s="97"/>
      <c r="F371" s="97">
        <v>1</v>
      </c>
    </row>
    <row r="372" spans="1:6" ht="15" customHeight="1">
      <c r="A372" s="258">
        <v>43770</v>
      </c>
      <c r="B372" s="97" t="s">
        <v>847</v>
      </c>
      <c r="C372" s="97" t="s">
        <v>51</v>
      </c>
      <c r="D372" s="97"/>
      <c r="E372" s="97"/>
      <c r="F372" s="97">
        <v>1</v>
      </c>
    </row>
    <row r="373" spans="1:6" ht="15" customHeight="1">
      <c r="A373" s="258">
        <v>43770</v>
      </c>
      <c r="B373" s="97" t="s">
        <v>850</v>
      </c>
      <c r="C373" s="97" t="s">
        <v>7</v>
      </c>
      <c r="D373" s="97"/>
      <c r="E373" s="97">
        <v>50</v>
      </c>
      <c r="F373" s="97">
        <v>1</v>
      </c>
    </row>
    <row r="374" spans="1:6">
      <c r="A374" s="258">
        <v>43770</v>
      </c>
      <c r="B374" s="97" t="s">
        <v>856</v>
      </c>
      <c r="C374" s="97" t="s">
        <v>51</v>
      </c>
      <c r="D374" s="97"/>
      <c r="E374" s="97"/>
      <c r="F374" s="97">
        <v>1</v>
      </c>
    </row>
    <row r="375" spans="1:6" ht="15" customHeight="1">
      <c r="A375" s="258">
        <v>43770</v>
      </c>
      <c r="B375" s="97" t="s">
        <v>856</v>
      </c>
      <c r="C375" s="97" t="s">
        <v>9</v>
      </c>
      <c r="D375" s="97"/>
      <c r="E375" s="97"/>
      <c r="F375" s="97">
        <v>1</v>
      </c>
    </row>
    <row r="376" spans="1:6">
      <c r="A376" s="258">
        <v>43770</v>
      </c>
      <c r="B376" s="97" t="s">
        <v>860</v>
      </c>
      <c r="C376" s="97" t="s">
        <v>7</v>
      </c>
      <c r="D376" s="97"/>
      <c r="E376" s="97">
        <v>100</v>
      </c>
      <c r="F376" s="97">
        <v>1</v>
      </c>
    </row>
    <row r="377" spans="1:6">
      <c r="A377" s="258">
        <v>43770</v>
      </c>
      <c r="B377" s="97" t="s">
        <v>860</v>
      </c>
      <c r="C377" s="97" t="s">
        <v>7</v>
      </c>
      <c r="D377" s="97"/>
      <c r="E377" s="97" t="s">
        <v>53</v>
      </c>
      <c r="F377" s="97">
        <v>1</v>
      </c>
    </row>
    <row r="378" spans="1:6" ht="15" customHeight="1">
      <c r="A378" s="258">
        <v>43770</v>
      </c>
      <c r="B378" s="97" t="s">
        <v>861</v>
      </c>
      <c r="C378" s="97" t="s">
        <v>12</v>
      </c>
      <c r="D378" s="97"/>
      <c r="E378" s="97"/>
      <c r="F378" s="97">
        <v>1</v>
      </c>
    </row>
    <row r="379" spans="1:6" ht="15" customHeight="1">
      <c r="A379" s="258">
        <v>43770</v>
      </c>
      <c r="B379" s="97" t="s">
        <v>861</v>
      </c>
      <c r="C379" s="97" t="s">
        <v>12</v>
      </c>
      <c r="D379" s="97"/>
      <c r="E379" s="97"/>
      <c r="F379" s="97">
        <v>1</v>
      </c>
    </row>
    <row r="380" spans="1:6" ht="15" customHeight="1">
      <c r="A380" s="258">
        <v>43770</v>
      </c>
      <c r="B380" s="97" t="s">
        <v>866</v>
      </c>
      <c r="C380" s="97" t="s">
        <v>9</v>
      </c>
      <c r="D380" s="97"/>
      <c r="E380" s="97"/>
      <c r="F380" s="97">
        <v>1</v>
      </c>
    </row>
    <row r="381" spans="1:6" ht="15" customHeight="1">
      <c r="A381" s="258">
        <v>43770</v>
      </c>
      <c r="B381" s="246" t="s">
        <v>876</v>
      </c>
      <c r="C381" s="97" t="s">
        <v>51</v>
      </c>
      <c r="D381" s="97"/>
      <c r="E381" s="97"/>
      <c r="F381" s="97">
        <v>1</v>
      </c>
    </row>
    <row r="382" spans="1:6" ht="15" customHeight="1">
      <c r="A382" s="258">
        <v>43770</v>
      </c>
      <c r="B382" s="97" t="s">
        <v>654</v>
      </c>
      <c r="C382" s="97" t="s">
        <v>7</v>
      </c>
      <c r="D382" s="97"/>
      <c r="E382" s="97" t="s">
        <v>53</v>
      </c>
      <c r="F382" s="97">
        <v>1</v>
      </c>
    </row>
    <row r="383" spans="1:6">
      <c r="A383" s="258">
        <v>43770</v>
      </c>
      <c r="B383" s="97" t="s">
        <v>654</v>
      </c>
      <c r="C383" s="97" t="s">
        <v>9</v>
      </c>
      <c r="D383" s="97"/>
      <c r="E383" s="97"/>
      <c r="F383" s="97">
        <v>1</v>
      </c>
    </row>
    <row r="384" spans="1:6" ht="15" customHeight="1">
      <c r="A384" s="258">
        <v>43770</v>
      </c>
      <c r="B384" s="97" t="s">
        <v>879</v>
      </c>
      <c r="C384" s="97" t="s">
        <v>7</v>
      </c>
      <c r="D384" s="97"/>
      <c r="E384" s="97" t="s">
        <v>53</v>
      </c>
      <c r="F384" s="97">
        <v>2</v>
      </c>
    </row>
    <row r="385" spans="1:6" ht="15" customHeight="1">
      <c r="A385" s="258">
        <v>43770</v>
      </c>
      <c r="B385" s="97" t="s">
        <v>888</v>
      </c>
      <c r="C385" s="97" t="s">
        <v>9</v>
      </c>
      <c r="D385" s="97"/>
      <c r="E385" s="97"/>
      <c r="F385" s="97">
        <v>1</v>
      </c>
    </row>
    <row r="386" spans="1:6">
      <c r="A386" s="258">
        <v>43770</v>
      </c>
      <c r="B386" s="97" t="s">
        <v>888</v>
      </c>
      <c r="C386" s="97" t="s">
        <v>7</v>
      </c>
      <c r="D386" s="97"/>
      <c r="E386" s="97" t="s">
        <v>53</v>
      </c>
      <c r="F386" s="97">
        <v>1</v>
      </c>
    </row>
    <row r="387" spans="1:6" ht="15" customHeight="1">
      <c r="A387" s="258">
        <v>43770</v>
      </c>
      <c r="B387" s="97" t="s">
        <v>894</v>
      </c>
      <c r="C387" s="97" t="s">
        <v>7</v>
      </c>
      <c r="D387" s="97"/>
      <c r="E387" s="97">
        <v>50</v>
      </c>
      <c r="F387" s="97">
        <v>1</v>
      </c>
    </row>
    <row r="388" spans="1:6" ht="15" customHeight="1">
      <c r="A388" s="258">
        <v>43800</v>
      </c>
      <c r="B388" s="97" t="s">
        <v>689</v>
      </c>
      <c r="C388" s="97" t="s">
        <v>7</v>
      </c>
      <c r="D388" s="97"/>
      <c r="E388" s="97">
        <v>100</v>
      </c>
      <c r="F388" s="97">
        <v>1</v>
      </c>
    </row>
    <row r="389" spans="1:6" ht="15" customHeight="1">
      <c r="A389" s="258">
        <v>43800</v>
      </c>
      <c r="B389" s="97" t="s">
        <v>689</v>
      </c>
      <c r="C389" s="97" t="s">
        <v>7</v>
      </c>
      <c r="D389" s="97"/>
      <c r="E389" s="97">
        <v>100</v>
      </c>
      <c r="F389" s="97">
        <v>1</v>
      </c>
    </row>
    <row r="390" spans="1:6" ht="15" customHeight="1">
      <c r="A390" s="258">
        <v>43800</v>
      </c>
      <c r="B390" s="97" t="s">
        <v>689</v>
      </c>
      <c r="C390" s="97" t="s">
        <v>7</v>
      </c>
      <c r="D390" s="97"/>
      <c r="E390" s="97" t="s">
        <v>53</v>
      </c>
      <c r="F390" s="97">
        <v>1</v>
      </c>
    </row>
    <row r="391" spans="1:6" ht="15" customHeight="1">
      <c r="A391" s="258">
        <v>43800</v>
      </c>
      <c r="B391" s="97" t="s">
        <v>663</v>
      </c>
      <c r="C391" s="97" t="s">
        <v>51</v>
      </c>
      <c r="D391" s="97"/>
      <c r="E391" s="97"/>
      <c r="F391" s="97">
        <v>1</v>
      </c>
    </row>
    <row r="392" spans="1:6" ht="15" customHeight="1">
      <c r="A392" s="258">
        <v>43800</v>
      </c>
      <c r="B392" s="97" t="s">
        <v>664</v>
      </c>
      <c r="C392" s="97" t="s">
        <v>7</v>
      </c>
      <c r="D392" s="97"/>
      <c r="E392" s="97">
        <v>100</v>
      </c>
      <c r="F392" s="97">
        <v>1</v>
      </c>
    </row>
    <row r="393" spans="1:6" ht="15" customHeight="1">
      <c r="A393" s="258">
        <v>43800</v>
      </c>
      <c r="B393" s="97" t="s">
        <v>670</v>
      </c>
      <c r="C393" s="97" t="s">
        <v>7</v>
      </c>
      <c r="D393" s="97"/>
      <c r="E393" s="97">
        <v>100</v>
      </c>
      <c r="F393" s="97">
        <v>1</v>
      </c>
    </row>
    <row r="394" spans="1:6">
      <c r="A394" s="258">
        <v>43800</v>
      </c>
      <c r="B394" s="97" t="s">
        <v>832</v>
      </c>
      <c r="C394" s="97" t="s">
        <v>9</v>
      </c>
      <c r="D394" s="97"/>
      <c r="E394" s="97"/>
      <c r="F394" s="97">
        <v>1</v>
      </c>
    </row>
    <row r="395" spans="1:6">
      <c r="A395" s="258">
        <v>43800</v>
      </c>
      <c r="B395" s="97" t="s">
        <v>681</v>
      </c>
      <c r="C395" s="97" t="s">
        <v>7</v>
      </c>
      <c r="D395" s="97"/>
      <c r="E395" s="97">
        <v>100</v>
      </c>
      <c r="F395" s="97">
        <v>1</v>
      </c>
    </row>
    <row r="396" spans="1:6">
      <c r="A396" s="258">
        <v>43800</v>
      </c>
      <c r="B396" s="97" t="s">
        <v>681</v>
      </c>
      <c r="C396" s="97" t="s">
        <v>7</v>
      </c>
      <c r="D396" s="97"/>
      <c r="E396" s="97">
        <v>100</v>
      </c>
      <c r="F396" s="97">
        <v>1</v>
      </c>
    </row>
    <row r="397" spans="1:6">
      <c r="A397" s="258">
        <v>43800</v>
      </c>
      <c r="B397" s="97" t="s">
        <v>684</v>
      </c>
      <c r="C397" s="97" t="s">
        <v>7</v>
      </c>
      <c r="D397" s="97"/>
      <c r="E397" s="97">
        <v>100</v>
      </c>
      <c r="F397" s="97">
        <v>1</v>
      </c>
    </row>
    <row r="398" spans="1:6">
      <c r="A398" s="258">
        <v>43800</v>
      </c>
      <c r="B398" s="97" t="s">
        <v>846</v>
      </c>
      <c r="C398" s="97" t="s">
        <v>9</v>
      </c>
      <c r="D398" s="97"/>
      <c r="E398" s="97"/>
      <c r="F398" s="97">
        <v>1</v>
      </c>
    </row>
    <row r="399" spans="1:6" ht="15" customHeight="1">
      <c r="A399" s="258">
        <v>43800</v>
      </c>
      <c r="B399" s="97" t="s">
        <v>846</v>
      </c>
      <c r="C399" s="97" t="s">
        <v>9</v>
      </c>
      <c r="D399" s="97"/>
      <c r="E399" s="97"/>
      <c r="F399" s="97">
        <v>1</v>
      </c>
    </row>
    <row r="400" spans="1:6">
      <c r="A400" s="258">
        <v>43800</v>
      </c>
      <c r="B400" s="97" t="s">
        <v>848</v>
      </c>
      <c r="C400" s="97" t="s">
        <v>7</v>
      </c>
      <c r="D400" s="97"/>
      <c r="E400" s="97">
        <v>100</v>
      </c>
      <c r="F400" s="97">
        <v>1</v>
      </c>
    </row>
    <row r="401" spans="1:6">
      <c r="A401" s="258">
        <v>43800</v>
      </c>
      <c r="B401" s="97" t="s">
        <v>848</v>
      </c>
      <c r="C401" s="97" t="s">
        <v>7</v>
      </c>
      <c r="D401" s="97"/>
      <c r="E401" s="97">
        <v>100</v>
      </c>
      <c r="F401" s="97">
        <v>1</v>
      </c>
    </row>
    <row r="402" spans="1:6" ht="15" customHeight="1">
      <c r="A402" s="258">
        <v>43800</v>
      </c>
      <c r="B402" s="97" t="s">
        <v>848</v>
      </c>
      <c r="C402" s="97" t="s">
        <v>7</v>
      </c>
      <c r="D402" s="97"/>
      <c r="E402" s="97">
        <v>100</v>
      </c>
      <c r="F402" s="97">
        <v>1</v>
      </c>
    </row>
    <row r="403" spans="1:6" ht="15" customHeight="1">
      <c r="A403" s="258">
        <v>43800</v>
      </c>
      <c r="B403" s="97" t="s">
        <v>866</v>
      </c>
      <c r="C403" s="97" t="s">
        <v>9</v>
      </c>
      <c r="D403" s="97"/>
      <c r="E403" s="97"/>
      <c r="F403" s="97">
        <v>1</v>
      </c>
    </row>
    <row r="404" spans="1:6">
      <c r="A404" s="258">
        <v>43800</v>
      </c>
      <c r="B404" s="97" t="s">
        <v>866</v>
      </c>
      <c r="C404" s="97" t="s">
        <v>7</v>
      </c>
      <c r="D404" s="97"/>
      <c r="E404" s="97">
        <v>50</v>
      </c>
      <c r="F404" s="97">
        <v>1</v>
      </c>
    </row>
    <row r="405" spans="1:6">
      <c r="A405" s="258">
        <v>43800</v>
      </c>
      <c r="B405" s="97" t="s">
        <v>866</v>
      </c>
      <c r="C405" s="97" t="s">
        <v>7</v>
      </c>
      <c r="D405" s="97"/>
      <c r="E405" s="97" t="s">
        <v>53</v>
      </c>
      <c r="F405" s="97">
        <v>1</v>
      </c>
    </row>
    <row r="406" spans="1:6" ht="15" customHeight="1">
      <c r="A406" s="258">
        <v>43800</v>
      </c>
      <c r="B406" s="97" t="s">
        <v>866</v>
      </c>
      <c r="C406" s="97" t="s">
        <v>7</v>
      </c>
      <c r="D406" s="97"/>
      <c r="E406" s="97" t="s">
        <v>53</v>
      </c>
      <c r="F406" s="97">
        <v>1</v>
      </c>
    </row>
    <row r="407" spans="1:6" ht="15" customHeight="1">
      <c r="A407" s="258">
        <v>43800</v>
      </c>
      <c r="B407" s="97" t="s">
        <v>866</v>
      </c>
      <c r="C407" s="97" t="s">
        <v>7</v>
      </c>
      <c r="D407" s="97"/>
      <c r="E407" s="97" t="s">
        <v>53</v>
      </c>
      <c r="F407" s="97">
        <v>1</v>
      </c>
    </row>
    <row r="408" spans="1:6" ht="15" customHeight="1">
      <c r="A408" s="258">
        <v>43800</v>
      </c>
      <c r="B408" s="97" t="s">
        <v>866</v>
      </c>
      <c r="C408" s="97" t="s">
        <v>7</v>
      </c>
      <c r="D408" s="97"/>
      <c r="E408" s="97" t="s">
        <v>53</v>
      </c>
      <c r="F408" s="97">
        <v>1</v>
      </c>
    </row>
    <row r="409" spans="1:6" ht="15" customHeight="1">
      <c r="A409" s="258">
        <v>43800</v>
      </c>
      <c r="B409" s="255" t="s">
        <v>875</v>
      </c>
      <c r="C409" s="97" t="s">
        <v>7</v>
      </c>
      <c r="D409" s="97"/>
      <c r="E409" s="97">
        <v>100</v>
      </c>
      <c r="F409" s="97">
        <v>1</v>
      </c>
    </row>
    <row r="410" spans="1:6" ht="15" customHeight="1">
      <c r="A410" s="258">
        <v>43800</v>
      </c>
      <c r="B410" s="255" t="s">
        <v>881</v>
      </c>
      <c r="C410" s="97" t="s">
        <v>7</v>
      </c>
      <c r="D410" s="97"/>
      <c r="E410" s="97">
        <v>100</v>
      </c>
      <c r="F410" s="97">
        <v>1</v>
      </c>
    </row>
    <row r="411" spans="1:6" ht="15" customHeight="1">
      <c r="A411" s="258">
        <v>43800</v>
      </c>
      <c r="B411" s="243" t="s">
        <v>893</v>
      </c>
      <c r="C411" s="97" t="s">
        <v>7</v>
      </c>
      <c r="D411" s="97"/>
      <c r="E411" s="97">
        <v>100</v>
      </c>
      <c r="F411" s="97">
        <v>1</v>
      </c>
    </row>
    <row r="412" spans="1:6" ht="15" customHeight="1">
      <c r="A412" s="258">
        <v>43831</v>
      </c>
      <c r="B412" s="97" t="s">
        <v>690</v>
      </c>
      <c r="C412" s="97" t="s">
        <v>9</v>
      </c>
      <c r="D412" s="97"/>
      <c r="E412" s="97"/>
      <c r="F412" s="97">
        <v>2</v>
      </c>
    </row>
    <row r="413" spans="1:6" ht="15" customHeight="1">
      <c r="A413" s="258">
        <v>43831</v>
      </c>
      <c r="B413" s="97" t="s">
        <v>690</v>
      </c>
      <c r="C413" s="97" t="s">
        <v>7</v>
      </c>
      <c r="D413" s="97"/>
      <c r="E413" s="97" t="s">
        <v>76</v>
      </c>
      <c r="F413" s="97">
        <v>1</v>
      </c>
    </row>
    <row r="414" spans="1:6" ht="15" customHeight="1">
      <c r="A414" s="258">
        <v>43831</v>
      </c>
      <c r="B414" s="97" t="s">
        <v>691</v>
      </c>
      <c r="C414" s="97" t="s">
        <v>7</v>
      </c>
      <c r="D414" s="97"/>
      <c r="E414" s="97" t="s">
        <v>53</v>
      </c>
      <c r="F414" s="97">
        <v>1</v>
      </c>
    </row>
    <row r="415" spans="1:6" ht="15" customHeight="1">
      <c r="A415" s="258">
        <v>43831</v>
      </c>
      <c r="B415" s="97" t="s">
        <v>691</v>
      </c>
      <c r="C415" s="97" t="s">
        <v>7</v>
      </c>
      <c r="D415" s="97"/>
      <c r="E415" s="97" t="s">
        <v>53</v>
      </c>
      <c r="F415" s="97">
        <v>1</v>
      </c>
    </row>
    <row r="416" spans="1:6" ht="15" customHeight="1">
      <c r="A416" s="258">
        <v>43831</v>
      </c>
      <c r="B416" s="97" t="s">
        <v>691</v>
      </c>
      <c r="C416" s="97" t="s">
        <v>7</v>
      </c>
      <c r="D416" s="97"/>
      <c r="E416" s="97" t="s">
        <v>53</v>
      </c>
      <c r="F416" s="97">
        <v>1</v>
      </c>
    </row>
    <row r="417" spans="1:6">
      <c r="A417" s="258">
        <v>43831</v>
      </c>
      <c r="B417" s="97" t="s">
        <v>691</v>
      </c>
      <c r="C417" s="97" t="s">
        <v>7</v>
      </c>
      <c r="D417" s="97"/>
      <c r="E417" s="97" t="s">
        <v>78</v>
      </c>
      <c r="F417" s="97">
        <v>1</v>
      </c>
    </row>
    <row r="418" spans="1:6" ht="15" customHeight="1">
      <c r="A418" s="258">
        <v>43831</v>
      </c>
      <c r="B418" s="97" t="s">
        <v>691</v>
      </c>
      <c r="C418" s="97" t="s">
        <v>7</v>
      </c>
      <c r="D418" s="97"/>
      <c r="E418" s="97" t="s">
        <v>53</v>
      </c>
      <c r="F418" s="97">
        <v>1</v>
      </c>
    </row>
    <row r="419" spans="1:6" ht="15" customHeight="1">
      <c r="A419" s="258">
        <v>43831</v>
      </c>
      <c r="B419" s="97" t="s">
        <v>669</v>
      </c>
      <c r="C419" s="97" t="s">
        <v>58</v>
      </c>
      <c r="D419" s="97"/>
      <c r="E419" s="97"/>
      <c r="F419" s="97">
        <v>1</v>
      </c>
    </row>
    <row r="420" spans="1:6" ht="15" customHeight="1">
      <c r="A420" s="258">
        <v>43831</v>
      </c>
      <c r="B420" s="97" t="s">
        <v>861</v>
      </c>
      <c r="C420" s="97" t="s">
        <v>9</v>
      </c>
      <c r="D420" s="97"/>
      <c r="E420" s="97"/>
      <c r="F420" s="97">
        <v>1</v>
      </c>
    </row>
    <row r="421" spans="1:6" ht="15" customHeight="1">
      <c r="A421" s="258">
        <v>43831</v>
      </c>
      <c r="B421" s="97" t="s">
        <v>861</v>
      </c>
      <c r="C421" s="97" t="s">
        <v>51</v>
      </c>
      <c r="D421" s="97"/>
      <c r="E421" s="97"/>
      <c r="F421" s="97">
        <v>1</v>
      </c>
    </row>
    <row r="422" spans="1:6" ht="15" customHeight="1">
      <c r="A422" s="258">
        <v>43831</v>
      </c>
      <c r="B422" s="97" t="s">
        <v>892</v>
      </c>
      <c r="C422" s="97" t="s">
        <v>7</v>
      </c>
      <c r="D422" s="97"/>
      <c r="E422" s="97" t="s">
        <v>53</v>
      </c>
      <c r="F422" s="97">
        <v>1</v>
      </c>
    </row>
    <row r="423" spans="1:6" ht="15" customHeight="1">
      <c r="A423" s="258">
        <v>43831</v>
      </c>
      <c r="B423" s="97" t="s">
        <v>892</v>
      </c>
      <c r="C423" s="97" t="s">
        <v>7</v>
      </c>
      <c r="D423" s="97"/>
      <c r="E423" s="97" t="s">
        <v>53</v>
      </c>
      <c r="F423" s="97">
        <v>1</v>
      </c>
    </row>
    <row r="424" spans="1:6" ht="15" customHeight="1">
      <c r="A424" s="258">
        <v>43831</v>
      </c>
      <c r="B424" s="97" t="s">
        <v>892</v>
      </c>
      <c r="C424" s="97" t="s">
        <v>7</v>
      </c>
      <c r="D424" s="97"/>
      <c r="E424" s="97" t="s">
        <v>53</v>
      </c>
      <c r="F424" s="97">
        <v>1</v>
      </c>
    </row>
    <row r="425" spans="1:6" ht="15" customHeight="1">
      <c r="A425" s="258">
        <v>43831</v>
      </c>
      <c r="B425" s="97" t="s">
        <v>892</v>
      </c>
      <c r="C425" s="97" t="s">
        <v>7</v>
      </c>
      <c r="D425" s="97"/>
      <c r="E425" s="97" t="s">
        <v>53</v>
      </c>
      <c r="F425" s="97">
        <v>1</v>
      </c>
    </row>
    <row r="426" spans="1:6" ht="15" customHeight="1">
      <c r="A426" s="258">
        <v>43831</v>
      </c>
      <c r="B426" s="97" t="s">
        <v>892</v>
      </c>
      <c r="C426" s="97" t="s">
        <v>7</v>
      </c>
      <c r="D426" s="97"/>
      <c r="E426" s="97" t="s">
        <v>53</v>
      </c>
      <c r="F426" s="97">
        <v>1</v>
      </c>
    </row>
    <row r="427" spans="1:6" ht="15" customHeight="1">
      <c r="A427" s="258">
        <v>43831</v>
      </c>
      <c r="B427" s="97" t="s">
        <v>893</v>
      </c>
      <c r="C427" s="97" t="s">
        <v>7</v>
      </c>
      <c r="D427" s="97"/>
      <c r="E427" s="97" t="s">
        <v>76</v>
      </c>
      <c r="F427" s="97">
        <v>1</v>
      </c>
    </row>
    <row r="428" spans="1:6" ht="15" customHeight="1">
      <c r="A428" s="258">
        <v>43831</v>
      </c>
      <c r="B428" s="97" t="s">
        <v>893</v>
      </c>
      <c r="C428" s="97" t="s">
        <v>58</v>
      </c>
      <c r="D428" s="97"/>
      <c r="E428" s="97"/>
      <c r="F428" s="97">
        <v>1</v>
      </c>
    </row>
    <row r="429" spans="1:6">
      <c r="A429" s="258">
        <v>43831</v>
      </c>
      <c r="B429" s="97" t="s">
        <v>893</v>
      </c>
      <c r="C429" s="97" t="s">
        <v>7</v>
      </c>
      <c r="D429" s="97"/>
      <c r="E429" s="97" t="s">
        <v>53</v>
      </c>
      <c r="F429" s="97">
        <v>1</v>
      </c>
    </row>
    <row r="430" spans="1:6" ht="15" customHeight="1">
      <c r="A430" s="258">
        <v>43831</v>
      </c>
      <c r="B430" s="97" t="s">
        <v>894</v>
      </c>
      <c r="C430" s="97" t="s">
        <v>7</v>
      </c>
      <c r="D430" s="97"/>
      <c r="E430" s="97" t="s">
        <v>79</v>
      </c>
      <c r="F430" s="97">
        <v>1</v>
      </c>
    </row>
    <row r="431" spans="1:6" ht="15" customHeight="1">
      <c r="A431" s="258">
        <v>43862</v>
      </c>
      <c r="B431" s="97" t="s">
        <v>673</v>
      </c>
      <c r="C431" s="97" t="s">
        <v>7</v>
      </c>
      <c r="D431" s="97"/>
      <c r="E431" s="97" t="s">
        <v>76</v>
      </c>
      <c r="F431" s="97">
        <v>1</v>
      </c>
    </row>
    <row r="432" spans="1:6" ht="15" customHeight="1">
      <c r="A432" s="258">
        <v>43862</v>
      </c>
      <c r="B432" s="97" t="s">
        <v>673</v>
      </c>
      <c r="C432" s="97" t="s">
        <v>7</v>
      </c>
      <c r="D432" s="97"/>
      <c r="E432" s="97" t="s">
        <v>76</v>
      </c>
      <c r="F432" s="97">
        <v>1</v>
      </c>
    </row>
    <row r="433" spans="1:6">
      <c r="A433" s="258">
        <v>43862</v>
      </c>
      <c r="B433" s="97" t="s">
        <v>673</v>
      </c>
      <c r="C433" s="97" t="s">
        <v>7</v>
      </c>
      <c r="D433" s="97"/>
      <c r="E433" s="97" t="s">
        <v>76</v>
      </c>
      <c r="F433" s="97">
        <v>1</v>
      </c>
    </row>
    <row r="434" spans="1:6">
      <c r="A434" s="258">
        <v>43862</v>
      </c>
      <c r="B434" s="97" t="s">
        <v>685</v>
      </c>
      <c r="C434" s="97" t="s">
        <v>9</v>
      </c>
      <c r="D434" s="97"/>
      <c r="E434" s="97"/>
      <c r="F434" s="97">
        <v>1</v>
      </c>
    </row>
    <row r="435" spans="1:6">
      <c r="A435" s="258">
        <v>43862</v>
      </c>
      <c r="B435" s="97" t="s">
        <v>685</v>
      </c>
      <c r="C435" s="97" t="s">
        <v>9</v>
      </c>
      <c r="D435" s="97"/>
      <c r="E435" s="97"/>
      <c r="F435" s="97">
        <v>1</v>
      </c>
    </row>
    <row r="436" spans="1:6">
      <c r="A436" s="259">
        <v>43862</v>
      </c>
      <c r="B436" s="97" t="s">
        <v>844</v>
      </c>
      <c r="C436" s="97" t="s">
        <v>7</v>
      </c>
      <c r="D436" s="97"/>
      <c r="E436" s="97" t="s">
        <v>80</v>
      </c>
      <c r="F436" s="97">
        <v>1</v>
      </c>
    </row>
    <row r="437" spans="1:6">
      <c r="A437" s="259">
        <v>43862</v>
      </c>
      <c r="B437" s="97" t="s">
        <v>844</v>
      </c>
      <c r="C437" s="97" t="s">
        <v>7</v>
      </c>
      <c r="D437" s="97"/>
      <c r="E437" s="97" t="s">
        <v>81</v>
      </c>
      <c r="F437" s="97">
        <v>1</v>
      </c>
    </row>
    <row r="438" spans="1:6">
      <c r="A438" s="259">
        <v>43862</v>
      </c>
      <c r="B438" s="97" t="s">
        <v>844</v>
      </c>
      <c r="C438" s="97" t="s">
        <v>7</v>
      </c>
      <c r="D438" s="97"/>
      <c r="E438" s="97" t="s">
        <v>83</v>
      </c>
      <c r="F438" s="97">
        <v>1</v>
      </c>
    </row>
    <row r="439" spans="1:6">
      <c r="A439" s="258">
        <v>43862</v>
      </c>
      <c r="B439" s="97" t="s">
        <v>847</v>
      </c>
      <c r="C439" s="97" t="s">
        <v>7</v>
      </c>
      <c r="D439" s="97"/>
      <c r="E439" s="97" t="s">
        <v>76</v>
      </c>
      <c r="F439" s="97">
        <v>1</v>
      </c>
    </row>
    <row r="440" spans="1:6">
      <c r="A440" s="258">
        <v>43862</v>
      </c>
      <c r="B440" s="97" t="s">
        <v>847</v>
      </c>
      <c r="C440" s="97" t="s">
        <v>7</v>
      </c>
      <c r="D440" s="97"/>
      <c r="E440" s="97" t="s">
        <v>76</v>
      </c>
      <c r="F440" s="97">
        <v>1</v>
      </c>
    </row>
    <row r="441" spans="1:6">
      <c r="A441" s="258">
        <v>43862</v>
      </c>
      <c r="B441" s="97" t="s">
        <v>847</v>
      </c>
      <c r="C441" s="97" t="s">
        <v>7</v>
      </c>
      <c r="D441" s="97"/>
      <c r="E441" s="97" t="s">
        <v>83</v>
      </c>
      <c r="F441" s="97">
        <v>2</v>
      </c>
    </row>
    <row r="442" spans="1:6">
      <c r="A442" s="258">
        <v>43862</v>
      </c>
      <c r="B442" s="97" t="s">
        <v>855</v>
      </c>
      <c r="C442" s="97" t="s">
        <v>9</v>
      </c>
      <c r="D442" s="97"/>
      <c r="E442" s="97"/>
      <c r="F442" s="97">
        <v>1</v>
      </c>
    </row>
    <row r="443" spans="1:6">
      <c r="A443" s="258">
        <v>43862</v>
      </c>
      <c r="B443" s="97" t="s">
        <v>855</v>
      </c>
      <c r="C443" s="97" t="s">
        <v>9</v>
      </c>
      <c r="D443" s="97"/>
      <c r="E443" s="97"/>
      <c r="F443" s="97">
        <v>1</v>
      </c>
    </row>
    <row r="444" spans="1:6">
      <c r="A444" s="258">
        <v>43862</v>
      </c>
      <c r="B444" s="97" t="s">
        <v>855</v>
      </c>
      <c r="C444" s="97" t="s">
        <v>9</v>
      </c>
      <c r="D444" s="97"/>
      <c r="E444" s="97"/>
      <c r="F444" s="97">
        <v>1</v>
      </c>
    </row>
    <row r="445" spans="1:6">
      <c r="A445" s="258">
        <v>43862</v>
      </c>
      <c r="B445" s="97" t="s">
        <v>855</v>
      </c>
      <c r="C445" s="97" t="s">
        <v>9</v>
      </c>
      <c r="D445" s="97"/>
      <c r="E445" s="97"/>
      <c r="F445" s="97">
        <v>1</v>
      </c>
    </row>
    <row r="446" spans="1:6">
      <c r="A446" s="258">
        <v>43862</v>
      </c>
      <c r="B446" s="97" t="s">
        <v>855</v>
      </c>
      <c r="C446" s="97" t="s">
        <v>9</v>
      </c>
      <c r="D446" s="97"/>
      <c r="E446" s="97"/>
      <c r="F446" s="97">
        <v>1</v>
      </c>
    </row>
    <row r="447" spans="1:6">
      <c r="A447" s="258">
        <v>43862</v>
      </c>
      <c r="B447" s="97" t="s">
        <v>855</v>
      </c>
      <c r="C447" s="97" t="s">
        <v>7</v>
      </c>
      <c r="D447" s="97"/>
      <c r="E447" s="97" t="s">
        <v>53</v>
      </c>
      <c r="F447" s="97">
        <v>1</v>
      </c>
    </row>
    <row r="448" spans="1:6">
      <c r="A448" s="258">
        <v>43862</v>
      </c>
      <c r="B448" s="97" t="s">
        <v>855</v>
      </c>
      <c r="C448" s="97" t="s">
        <v>9</v>
      </c>
      <c r="D448" s="97"/>
      <c r="E448" s="97"/>
      <c r="F448" s="97">
        <v>1</v>
      </c>
    </row>
    <row r="449" spans="1:6">
      <c r="A449" s="258">
        <v>43862</v>
      </c>
      <c r="B449" s="97" t="s">
        <v>855</v>
      </c>
      <c r="C449" s="97" t="s">
        <v>9</v>
      </c>
      <c r="D449" s="97"/>
      <c r="E449" s="97"/>
      <c r="F449" s="97">
        <v>1</v>
      </c>
    </row>
    <row r="450" spans="1:6">
      <c r="A450" s="258">
        <v>43862</v>
      </c>
      <c r="B450" s="97" t="s">
        <v>855</v>
      </c>
      <c r="C450" s="97" t="s">
        <v>9</v>
      </c>
      <c r="D450" s="97"/>
      <c r="E450" s="97"/>
      <c r="F450" s="97">
        <v>1</v>
      </c>
    </row>
    <row r="451" spans="1:6">
      <c r="A451" s="258">
        <v>43862</v>
      </c>
      <c r="B451" s="97" t="s">
        <v>855</v>
      </c>
      <c r="C451" s="97" t="s">
        <v>9</v>
      </c>
      <c r="D451" s="97"/>
      <c r="E451" s="97"/>
      <c r="F451" s="97">
        <v>1</v>
      </c>
    </row>
    <row r="452" spans="1:6">
      <c r="A452" s="258">
        <v>43862</v>
      </c>
      <c r="B452" s="97" t="s">
        <v>855</v>
      </c>
      <c r="C452" s="97" t="s">
        <v>12</v>
      </c>
      <c r="D452" s="97"/>
      <c r="E452" s="97"/>
      <c r="F452" s="97">
        <v>1</v>
      </c>
    </row>
    <row r="453" spans="1:6">
      <c r="A453" s="258">
        <v>43862</v>
      </c>
      <c r="B453" s="97" t="s">
        <v>861</v>
      </c>
      <c r="C453" s="97" t="s">
        <v>7</v>
      </c>
      <c r="D453" s="97"/>
      <c r="E453" s="97" t="s">
        <v>76</v>
      </c>
      <c r="F453" s="97">
        <v>1</v>
      </c>
    </row>
    <row r="454" spans="1:6">
      <c r="A454" s="258">
        <v>43862</v>
      </c>
      <c r="B454" s="97" t="s">
        <v>867</v>
      </c>
      <c r="C454" s="97" t="s">
        <v>7</v>
      </c>
      <c r="D454" s="97"/>
      <c r="E454" s="97" t="s">
        <v>76</v>
      </c>
      <c r="F454" s="97">
        <v>1</v>
      </c>
    </row>
    <row r="455" spans="1:6">
      <c r="A455" s="258">
        <v>43862</v>
      </c>
      <c r="B455" s="97" t="s">
        <v>867</v>
      </c>
      <c r="C455" s="97" t="s">
        <v>9</v>
      </c>
      <c r="D455" s="97"/>
      <c r="E455" s="97"/>
      <c r="F455" s="97">
        <v>1</v>
      </c>
    </row>
    <row r="456" spans="1:6">
      <c r="A456" s="258">
        <v>43862</v>
      </c>
      <c r="B456" s="97" t="s">
        <v>869</v>
      </c>
      <c r="C456" s="97" t="s">
        <v>9</v>
      </c>
      <c r="D456" s="97"/>
      <c r="E456" s="97"/>
      <c r="F456" s="97">
        <v>1</v>
      </c>
    </row>
    <row r="457" spans="1:6">
      <c r="A457" s="258">
        <v>43862</v>
      </c>
      <c r="B457" s="97" t="s">
        <v>874</v>
      </c>
      <c r="C457" s="97" t="s">
        <v>12</v>
      </c>
      <c r="D457" s="97"/>
      <c r="E457" s="97"/>
      <c r="F457" s="97">
        <v>1</v>
      </c>
    </row>
    <row r="458" spans="1:6">
      <c r="A458" s="258">
        <v>43862</v>
      </c>
      <c r="B458" s="97" t="s">
        <v>874</v>
      </c>
      <c r="C458" s="97" t="s">
        <v>9</v>
      </c>
      <c r="D458" s="97"/>
      <c r="E458" s="97"/>
      <c r="F458" s="97">
        <v>1</v>
      </c>
    </row>
    <row r="459" spans="1:6">
      <c r="A459" s="258">
        <v>43862</v>
      </c>
      <c r="B459" s="97" t="s">
        <v>874</v>
      </c>
      <c r="C459" s="97" t="s">
        <v>7</v>
      </c>
      <c r="D459" s="97"/>
      <c r="E459" s="97" t="s">
        <v>76</v>
      </c>
      <c r="F459" s="97">
        <v>1</v>
      </c>
    </row>
    <row r="460" spans="1:6">
      <c r="A460" s="258">
        <v>43862</v>
      </c>
      <c r="B460" s="97" t="s">
        <v>654</v>
      </c>
      <c r="C460" s="97" t="s">
        <v>9</v>
      </c>
      <c r="D460" s="97"/>
      <c r="E460" s="97"/>
      <c r="F460" s="97">
        <v>1</v>
      </c>
    </row>
    <row r="461" spans="1:6">
      <c r="A461" s="258">
        <v>43862</v>
      </c>
      <c r="B461" s="97" t="s">
        <v>654</v>
      </c>
      <c r="C461" s="97" t="s">
        <v>12</v>
      </c>
      <c r="D461" s="97"/>
      <c r="E461" s="97"/>
      <c r="F461" s="97">
        <v>1</v>
      </c>
    </row>
    <row r="462" spans="1:6">
      <c r="A462" s="258">
        <v>43862</v>
      </c>
      <c r="B462" s="97" t="s">
        <v>654</v>
      </c>
      <c r="C462" s="97" t="s">
        <v>12</v>
      </c>
      <c r="D462" s="97"/>
      <c r="E462" s="97"/>
      <c r="F462" s="97">
        <v>1</v>
      </c>
    </row>
    <row r="463" spans="1:6">
      <c r="A463" s="258">
        <v>43862</v>
      </c>
      <c r="B463" s="97" t="s">
        <v>878</v>
      </c>
      <c r="C463" s="97" t="s">
        <v>7</v>
      </c>
      <c r="D463" s="97"/>
      <c r="E463" s="97" t="s">
        <v>76</v>
      </c>
      <c r="F463" s="97">
        <v>1</v>
      </c>
    </row>
    <row r="464" spans="1:6">
      <c r="A464" s="258">
        <v>43862</v>
      </c>
      <c r="B464" s="97" t="s">
        <v>885</v>
      </c>
      <c r="C464" s="97" t="s">
        <v>7</v>
      </c>
      <c r="D464" s="97"/>
      <c r="E464" s="97" t="s">
        <v>76</v>
      </c>
      <c r="F464" s="97">
        <v>1</v>
      </c>
    </row>
    <row r="465" spans="1:6">
      <c r="A465" s="258">
        <v>43862</v>
      </c>
      <c r="B465" s="97" t="s">
        <v>896</v>
      </c>
      <c r="C465" s="97" t="s">
        <v>7</v>
      </c>
      <c r="D465" s="97"/>
      <c r="E465" s="97" t="s">
        <v>81</v>
      </c>
      <c r="F465" s="97">
        <v>1</v>
      </c>
    </row>
    <row r="466" spans="1:6">
      <c r="A466" s="258">
        <v>43862</v>
      </c>
      <c r="B466" s="97" t="s">
        <v>896</v>
      </c>
      <c r="C466" s="97" t="s">
        <v>7</v>
      </c>
      <c r="D466" s="97"/>
      <c r="E466" s="97" t="s">
        <v>80</v>
      </c>
      <c r="F466" s="97">
        <v>1</v>
      </c>
    </row>
    <row r="467" spans="1:6">
      <c r="A467" s="258">
        <v>43862</v>
      </c>
      <c r="B467" s="97" t="s">
        <v>896</v>
      </c>
      <c r="C467" s="97" t="s">
        <v>7</v>
      </c>
      <c r="D467" s="97"/>
      <c r="E467" s="97" t="s">
        <v>76</v>
      </c>
      <c r="F467" s="97">
        <v>1</v>
      </c>
    </row>
    <row r="468" spans="1:6">
      <c r="A468" s="258">
        <v>43862</v>
      </c>
      <c r="B468" s="97" t="s">
        <v>896</v>
      </c>
      <c r="C468" s="97" t="s">
        <v>7</v>
      </c>
      <c r="D468" s="97"/>
      <c r="E468" s="97" t="s">
        <v>76</v>
      </c>
      <c r="F468" s="97">
        <v>1</v>
      </c>
    </row>
    <row r="469" spans="1:6">
      <c r="A469" s="258">
        <v>43891</v>
      </c>
      <c r="B469" s="97" t="s">
        <v>682</v>
      </c>
      <c r="C469" s="97" t="s">
        <v>7</v>
      </c>
      <c r="D469" s="97"/>
      <c r="E469" s="97" t="s">
        <v>76</v>
      </c>
      <c r="F469" s="97">
        <v>1</v>
      </c>
    </row>
    <row r="470" spans="1:6">
      <c r="A470" s="258">
        <v>43891</v>
      </c>
      <c r="B470" s="97" t="s">
        <v>855</v>
      </c>
      <c r="C470" s="97" t="s">
        <v>9</v>
      </c>
      <c r="D470" s="97"/>
      <c r="E470" s="97"/>
      <c r="F470" s="97">
        <v>1</v>
      </c>
    </row>
    <row r="471" spans="1:6">
      <c r="A471" s="258">
        <v>43891</v>
      </c>
      <c r="B471" s="97" t="s">
        <v>861</v>
      </c>
      <c r="C471" s="97" t="s">
        <v>58</v>
      </c>
      <c r="D471" s="97"/>
      <c r="E471" s="97"/>
      <c r="F471" s="97">
        <v>1</v>
      </c>
    </row>
    <row r="472" spans="1:6">
      <c r="A472" s="258">
        <v>43891</v>
      </c>
      <c r="B472" s="97" t="s">
        <v>861</v>
      </c>
      <c r="C472" s="97" t="s">
        <v>12</v>
      </c>
      <c r="D472" s="97"/>
      <c r="E472" s="97"/>
      <c r="F472" s="97">
        <v>1</v>
      </c>
    </row>
    <row r="473" spans="1:6">
      <c r="A473" s="258">
        <v>43891</v>
      </c>
      <c r="B473" s="97" t="s">
        <v>861</v>
      </c>
      <c r="C473" s="97" t="s">
        <v>12</v>
      </c>
      <c r="D473" s="97"/>
      <c r="E473" s="97"/>
      <c r="F473" s="97">
        <v>1</v>
      </c>
    </row>
    <row r="474" spans="1:6">
      <c r="A474" s="258">
        <v>43891</v>
      </c>
      <c r="B474" s="97" t="s">
        <v>861</v>
      </c>
      <c r="C474" s="97" t="s">
        <v>12</v>
      </c>
      <c r="D474" s="97"/>
      <c r="E474" s="97"/>
      <c r="F474" s="97">
        <v>1</v>
      </c>
    </row>
    <row r="475" spans="1:6">
      <c r="A475" s="258">
        <v>43891</v>
      </c>
      <c r="B475" s="97" t="s">
        <v>884</v>
      </c>
      <c r="C475" s="97" t="s">
        <v>7</v>
      </c>
      <c r="D475" s="97"/>
      <c r="E475" s="97" t="s">
        <v>83</v>
      </c>
      <c r="F475" s="97">
        <v>1</v>
      </c>
    </row>
    <row r="476" spans="1:6">
      <c r="A476" s="258">
        <v>43891</v>
      </c>
      <c r="B476" s="97" t="s">
        <v>887</v>
      </c>
      <c r="C476" s="97" t="s">
        <v>9</v>
      </c>
      <c r="D476" s="97"/>
      <c r="E476" s="97"/>
      <c r="F476" s="97">
        <v>1</v>
      </c>
    </row>
    <row r="477" spans="1:6">
      <c r="A477" s="258">
        <v>43891</v>
      </c>
      <c r="B477" s="97" t="s">
        <v>887</v>
      </c>
      <c r="C477" s="97" t="s">
        <v>9</v>
      </c>
      <c r="D477" s="97"/>
      <c r="E477" s="97"/>
      <c r="F477" s="97">
        <v>1</v>
      </c>
    </row>
    <row r="478" spans="1:6">
      <c r="A478" s="258">
        <v>43922</v>
      </c>
      <c r="B478" s="97" t="s">
        <v>682</v>
      </c>
      <c r="C478" s="97" t="s">
        <v>51</v>
      </c>
      <c r="D478" s="97"/>
      <c r="E478" s="97"/>
      <c r="F478" s="97">
        <v>1</v>
      </c>
    </row>
    <row r="479" spans="1:6">
      <c r="A479" s="258">
        <v>43922</v>
      </c>
      <c r="B479" s="97" t="s">
        <v>687</v>
      </c>
      <c r="C479" s="97" t="s">
        <v>51</v>
      </c>
      <c r="D479" s="97"/>
      <c r="E479" s="97"/>
      <c r="F479" s="97">
        <v>1</v>
      </c>
    </row>
    <row r="480" spans="1:6">
      <c r="A480" s="258">
        <v>43922</v>
      </c>
      <c r="B480" s="97" t="s">
        <v>687</v>
      </c>
      <c r="C480" s="97" t="s">
        <v>9</v>
      </c>
      <c r="D480" s="97"/>
      <c r="E480" s="97"/>
      <c r="F480" s="97">
        <v>1</v>
      </c>
    </row>
    <row r="481" spans="1:6">
      <c r="A481" s="258">
        <v>43922</v>
      </c>
      <c r="B481" s="97" t="s">
        <v>855</v>
      </c>
      <c r="C481" s="97" t="s">
        <v>51</v>
      </c>
      <c r="D481" s="97"/>
      <c r="E481" s="97"/>
      <c r="F481" s="97">
        <v>1</v>
      </c>
    </row>
    <row r="482" spans="1:6">
      <c r="A482" s="258">
        <v>43922</v>
      </c>
      <c r="B482" s="97" t="s">
        <v>858</v>
      </c>
      <c r="C482" s="97" t="s">
        <v>7</v>
      </c>
      <c r="D482" s="97"/>
      <c r="E482" s="97" t="s">
        <v>84</v>
      </c>
      <c r="F482" s="97">
        <v>1</v>
      </c>
    </row>
    <row r="483" spans="1:6">
      <c r="A483" s="258">
        <v>43922</v>
      </c>
      <c r="B483" s="97" t="s">
        <v>858</v>
      </c>
      <c r="C483" s="97" t="s">
        <v>9</v>
      </c>
      <c r="D483" s="97"/>
      <c r="E483" s="97"/>
      <c r="F483" s="97">
        <v>1</v>
      </c>
    </row>
    <row r="484" spans="1:6">
      <c r="A484" s="258">
        <v>43922</v>
      </c>
      <c r="B484" s="97" t="s">
        <v>861</v>
      </c>
      <c r="C484" s="97" t="s">
        <v>9</v>
      </c>
      <c r="D484" s="97"/>
      <c r="E484" s="97"/>
      <c r="F484" s="97">
        <v>1</v>
      </c>
    </row>
    <row r="485" spans="1:6">
      <c r="A485" s="258">
        <v>43922</v>
      </c>
      <c r="B485" s="97" t="s">
        <v>887</v>
      </c>
      <c r="C485" s="97" t="s">
        <v>58</v>
      </c>
      <c r="D485" s="97"/>
      <c r="E485" s="97"/>
      <c r="F485" s="97">
        <v>1</v>
      </c>
    </row>
    <row r="486" spans="1:6">
      <c r="A486" s="258">
        <v>43952</v>
      </c>
      <c r="B486" s="97" t="s">
        <v>689</v>
      </c>
      <c r="C486" s="97" t="s">
        <v>51</v>
      </c>
      <c r="D486" s="97"/>
      <c r="E486" s="97"/>
      <c r="F486" s="97">
        <v>1</v>
      </c>
    </row>
    <row r="487" spans="1:6">
      <c r="A487" s="258">
        <v>43952</v>
      </c>
      <c r="B487" s="97" t="s">
        <v>689</v>
      </c>
      <c r="C487" s="97" t="s">
        <v>9</v>
      </c>
      <c r="D487" s="97"/>
      <c r="E487" s="97"/>
      <c r="F487" s="97">
        <v>1</v>
      </c>
    </row>
    <row r="488" spans="1:6">
      <c r="A488" s="258">
        <v>43952</v>
      </c>
      <c r="B488" s="97" t="s">
        <v>687</v>
      </c>
      <c r="C488" s="97" t="s">
        <v>9</v>
      </c>
      <c r="D488" s="97"/>
      <c r="E488" s="97"/>
      <c r="F488" s="97">
        <v>1</v>
      </c>
    </row>
    <row r="489" spans="1:6">
      <c r="A489" s="258">
        <v>43952</v>
      </c>
      <c r="B489" s="97" t="s">
        <v>846</v>
      </c>
      <c r="C489" s="97" t="s">
        <v>9</v>
      </c>
      <c r="D489" s="97"/>
      <c r="E489" s="97"/>
      <c r="F489" s="97">
        <v>1</v>
      </c>
    </row>
    <row r="490" spans="1:6">
      <c r="A490" s="258">
        <v>43952</v>
      </c>
      <c r="B490" s="97" t="s">
        <v>846</v>
      </c>
      <c r="C490" s="97" t="s">
        <v>12</v>
      </c>
      <c r="D490" s="97"/>
      <c r="E490" s="97"/>
      <c r="F490" s="97">
        <v>1</v>
      </c>
    </row>
    <row r="491" spans="1:6">
      <c r="A491" s="258">
        <v>43952</v>
      </c>
      <c r="B491" s="97" t="s">
        <v>850</v>
      </c>
      <c r="C491" s="97" t="s">
        <v>7</v>
      </c>
      <c r="D491" s="97"/>
      <c r="E491" s="97" t="s">
        <v>76</v>
      </c>
      <c r="F491" s="97">
        <v>1</v>
      </c>
    </row>
    <row r="492" spans="1:6">
      <c r="A492" s="258">
        <v>43952</v>
      </c>
      <c r="B492" s="97" t="s">
        <v>859</v>
      </c>
      <c r="C492" s="97" t="s">
        <v>9</v>
      </c>
      <c r="D492" s="97"/>
      <c r="E492" s="97"/>
      <c r="F492" s="97">
        <v>1</v>
      </c>
    </row>
    <row r="493" spans="1:6">
      <c r="A493" s="258">
        <v>43952</v>
      </c>
      <c r="B493" s="97" t="s">
        <v>859</v>
      </c>
      <c r="C493" s="97" t="s">
        <v>58</v>
      </c>
      <c r="D493" s="97"/>
      <c r="E493" s="97"/>
      <c r="F493" s="97">
        <v>1</v>
      </c>
    </row>
    <row r="494" spans="1:6">
      <c r="A494" s="258">
        <v>43952</v>
      </c>
      <c r="B494" s="97" t="s">
        <v>861</v>
      </c>
      <c r="C494" s="97" t="s">
        <v>12</v>
      </c>
      <c r="D494" s="97"/>
      <c r="E494" s="97"/>
      <c r="F494" s="97">
        <v>1</v>
      </c>
    </row>
    <row r="495" spans="1:6">
      <c r="A495" s="258">
        <v>43952</v>
      </c>
      <c r="B495" s="97" t="s">
        <v>861</v>
      </c>
      <c r="C495" s="97" t="s">
        <v>12</v>
      </c>
      <c r="D495" s="97"/>
      <c r="E495" s="97"/>
      <c r="F495" s="97">
        <v>1</v>
      </c>
    </row>
    <row r="496" spans="1:6">
      <c r="A496" s="258">
        <v>43952</v>
      </c>
      <c r="B496" s="97" t="s">
        <v>874</v>
      </c>
      <c r="C496" s="97" t="s">
        <v>7</v>
      </c>
      <c r="D496" s="97"/>
      <c r="E496" s="97" t="s">
        <v>76</v>
      </c>
      <c r="F496" s="97">
        <v>1</v>
      </c>
    </row>
    <row r="497" spans="1:6">
      <c r="A497" s="258">
        <v>43952</v>
      </c>
      <c r="B497" s="97" t="s">
        <v>874</v>
      </c>
      <c r="C497" s="97" t="s">
        <v>7</v>
      </c>
      <c r="D497" s="97"/>
      <c r="E497" s="97" t="s">
        <v>76</v>
      </c>
      <c r="F497" s="97">
        <v>1</v>
      </c>
    </row>
    <row r="498" spans="1:6">
      <c r="A498" s="258">
        <v>43952</v>
      </c>
      <c r="B498" s="97" t="s">
        <v>893</v>
      </c>
      <c r="C498" s="97" t="s">
        <v>58</v>
      </c>
      <c r="D498" s="97"/>
      <c r="E498" s="97"/>
      <c r="F498" s="97">
        <v>1</v>
      </c>
    </row>
    <row r="499" spans="1:6">
      <c r="A499" s="258">
        <v>43952</v>
      </c>
      <c r="B499" s="97" t="s">
        <v>893</v>
      </c>
      <c r="C499" s="97" t="s">
        <v>7</v>
      </c>
      <c r="D499" s="97"/>
      <c r="E499" s="97" t="s">
        <v>76</v>
      </c>
      <c r="F499" s="97">
        <v>1</v>
      </c>
    </row>
    <row r="500" spans="1:6">
      <c r="A500" s="258">
        <v>43952</v>
      </c>
      <c r="B500" s="97" t="s">
        <v>894</v>
      </c>
      <c r="C500" s="97" t="s">
        <v>7</v>
      </c>
      <c r="D500" s="97"/>
      <c r="E500" s="97" t="s">
        <v>76</v>
      </c>
      <c r="F500" s="97">
        <v>1</v>
      </c>
    </row>
    <row r="501" spans="1:6">
      <c r="A501" s="258">
        <v>43952</v>
      </c>
      <c r="B501" s="97" t="s">
        <v>897</v>
      </c>
      <c r="C501" s="97" t="s">
        <v>12</v>
      </c>
      <c r="D501" s="97"/>
      <c r="E501" s="97"/>
      <c r="F501" s="97">
        <v>1</v>
      </c>
    </row>
    <row r="502" spans="1:6">
      <c r="A502" s="258">
        <v>43952</v>
      </c>
      <c r="B502" s="97" t="s">
        <v>897</v>
      </c>
      <c r="C502" s="97" t="s">
        <v>58</v>
      </c>
      <c r="D502" s="97"/>
      <c r="E502" s="97"/>
      <c r="F502" s="97">
        <v>1</v>
      </c>
    </row>
    <row r="503" spans="1:6">
      <c r="A503" s="258">
        <v>43952</v>
      </c>
      <c r="B503" s="97" t="s">
        <v>897</v>
      </c>
      <c r="C503" s="97" t="s">
        <v>12</v>
      </c>
      <c r="D503" s="97"/>
      <c r="E503" s="97"/>
      <c r="F503" s="97">
        <v>1</v>
      </c>
    </row>
    <row r="504" spans="1:6">
      <c r="A504" s="258">
        <v>43983</v>
      </c>
      <c r="B504" s="97" t="s">
        <v>689</v>
      </c>
      <c r="C504" s="97" t="s">
        <v>7</v>
      </c>
      <c r="D504" s="97"/>
      <c r="E504" s="97" t="s">
        <v>76</v>
      </c>
      <c r="F504" s="97">
        <v>1</v>
      </c>
    </row>
    <row r="505" spans="1:6">
      <c r="A505" s="258">
        <v>43983</v>
      </c>
      <c r="B505" s="97" t="s">
        <v>689</v>
      </c>
      <c r="C505" s="97" t="s">
        <v>7</v>
      </c>
      <c r="D505" s="97"/>
      <c r="E505" s="97" t="s">
        <v>76</v>
      </c>
      <c r="F505" s="97">
        <v>1</v>
      </c>
    </row>
    <row r="506" spans="1:6">
      <c r="A506" s="258">
        <v>43983</v>
      </c>
      <c r="B506" s="97" t="s">
        <v>673</v>
      </c>
      <c r="C506" s="97" t="s">
        <v>7</v>
      </c>
      <c r="D506" s="97"/>
      <c r="E506" s="97" t="s">
        <v>76</v>
      </c>
      <c r="F506" s="97">
        <v>1</v>
      </c>
    </row>
    <row r="507" spans="1:6">
      <c r="A507" s="258">
        <v>43983</v>
      </c>
      <c r="B507" s="97" t="s">
        <v>682</v>
      </c>
      <c r="C507" s="97" t="s">
        <v>9</v>
      </c>
      <c r="D507" s="97"/>
      <c r="E507" s="97"/>
      <c r="F507" s="97">
        <v>1</v>
      </c>
    </row>
    <row r="508" spans="1:6">
      <c r="A508" s="258">
        <v>43983</v>
      </c>
      <c r="B508" s="97" t="s">
        <v>682</v>
      </c>
      <c r="C508" s="97" t="s">
        <v>9</v>
      </c>
      <c r="D508" s="97"/>
      <c r="E508" s="97"/>
      <c r="F508" s="97">
        <v>1</v>
      </c>
    </row>
    <row r="509" spans="1:6">
      <c r="A509" s="258">
        <v>43983</v>
      </c>
      <c r="B509" s="97" t="s">
        <v>687</v>
      </c>
      <c r="C509" s="97" t="s">
        <v>9</v>
      </c>
      <c r="D509" s="97"/>
      <c r="E509" s="97"/>
      <c r="F509" s="97">
        <v>1</v>
      </c>
    </row>
    <row r="510" spans="1:6">
      <c r="A510" s="258">
        <v>43983</v>
      </c>
      <c r="B510" s="97" t="s">
        <v>687</v>
      </c>
      <c r="C510" s="97" t="s">
        <v>9</v>
      </c>
      <c r="D510" s="97"/>
      <c r="E510" s="97"/>
      <c r="F510" s="97">
        <v>2</v>
      </c>
    </row>
    <row r="511" spans="1:6">
      <c r="A511" s="258">
        <v>43983</v>
      </c>
      <c r="B511" s="97" t="s">
        <v>687</v>
      </c>
      <c r="C511" s="97" t="s">
        <v>58</v>
      </c>
      <c r="D511" s="97"/>
      <c r="E511" s="97"/>
      <c r="F511" s="97">
        <v>1</v>
      </c>
    </row>
    <row r="512" spans="1:6">
      <c r="A512" s="258">
        <v>43983</v>
      </c>
      <c r="B512" s="97" t="s">
        <v>847</v>
      </c>
      <c r="C512" s="97" t="s">
        <v>7</v>
      </c>
      <c r="D512" s="97"/>
      <c r="E512" s="97" t="s">
        <v>76</v>
      </c>
      <c r="F512" s="97">
        <v>1</v>
      </c>
    </row>
    <row r="513" spans="1:6">
      <c r="A513" s="258">
        <v>43983</v>
      </c>
      <c r="B513" s="97" t="s">
        <v>651</v>
      </c>
      <c r="C513" s="97" t="s">
        <v>7</v>
      </c>
      <c r="D513" s="97"/>
      <c r="E513" s="97" t="s">
        <v>76</v>
      </c>
      <c r="F513" s="97">
        <v>1</v>
      </c>
    </row>
    <row r="514" spans="1:6">
      <c r="A514" s="258">
        <v>43983</v>
      </c>
      <c r="B514" s="97" t="s">
        <v>651</v>
      </c>
      <c r="C514" s="97" t="s">
        <v>9</v>
      </c>
      <c r="D514" s="97"/>
      <c r="E514" s="97"/>
      <c r="F514" s="97">
        <v>2</v>
      </c>
    </row>
    <row r="515" spans="1:6">
      <c r="A515" s="258">
        <v>43983</v>
      </c>
      <c r="B515" s="97" t="s">
        <v>850</v>
      </c>
      <c r="C515" s="97" t="s">
        <v>9</v>
      </c>
      <c r="D515" s="97"/>
      <c r="E515" s="97"/>
      <c r="F515" s="97">
        <v>1</v>
      </c>
    </row>
    <row r="516" spans="1:6">
      <c r="A516" s="258">
        <v>43983</v>
      </c>
      <c r="B516" s="97" t="s">
        <v>850</v>
      </c>
      <c r="C516" s="97" t="s">
        <v>58</v>
      </c>
      <c r="D516" s="97"/>
      <c r="E516" s="97"/>
      <c r="F516" s="97">
        <v>1</v>
      </c>
    </row>
    <row r="517" spans="1:6">
      <c r="A517" s="258">
        <v>43983</v>
      </c>
      <c r="B517" s="97" t="s">
        <v>850</v>
      </c>
      <c r="C517" s="97" t="s">
        <v>9</v>
      </c>
      <c r="D517" s="97"/>
      <c r="E517" s="97"/>
      <c r="F517" s="97">
        <v>1</v>
      </c>
    </row>
    <row r="518" spans="1:6">
      <c r="A518" s="258">
        <v>43983</v>
      </c>
      <c r="B518" s="97" t="s">
        <v>850</v>
      </c>
      <c r="C518" s="97" t="s">
        <v>58</v>
      </c>
      <c r="D518" s="97"/>
      <c r="E518" s="97"/>
      <c r="F518" s="97">
        <v>1</v>
      </c>
    </row>
    <row r="519" spans="1:6">
      <c r="A519" s="258">
        <v>43983</v>
      </c>
      <c r="B519" s="97" t="s">
        <v>851</v>
      </c>
      <c r="C519" s="97" t="s">
        <v>9</v>
      </c>
      <c r="D519" s="97"/>
      <c r="E519" s="97"/>
      <c r="F519" s="97">
        <v>1</v>
      </c>
    </row>
    <row r="520" spans="1:6">
      <c r="A520" s="258">
        <v>43983</v>
      </c>
      <c r="B520" s="97" t="s">
        <v>861</v>
      </c>
      <c r="C520" s="97" t="s">
        <v>12</v>
      </c>
      <c r="D520" s="97"/>
      <c r="E520" s="97"/>
      <c r="F520" s="97">
        <v>1</v>
      </c>
    </row>
    <row r="521" spans="1:6">
      <c r="A521" s="258">
        <v>43983</v>
      </c>
      <c r="B521" s="97" t="s">
        <v>866</v>
      </c>
      <c r="C521" s="97" t="s">
        <v>7</v>
      </c>
      <c r="D521" s="97"/>
      <c r="E521" s="97" t="s">
        <v>76</v>
      </c>
      <c r="F521" s="97">
        <v>1</v>
      </c>
    </row>
    <row r="522" spans="1:6">
      <c r="A522" s="258">
        <v>43983</v>
      </c>
      <c r="B522" s="97" t="s">
        <v>868</v>
      </c>
      <c r="C522" s="97" t="s">
        <v>9</v>
      </c>
      <c r="D522" s="97"/>
      <c r="E522" s="97"/>
      <c r="F522" s="97">
        <v>1</v>
      </c>
    </row>
    <row r="523" spans="1:6">
      <c r="A523" s="258">
        <v>43983</v>
      </c>
      <c r="B523" s="97" t="s">
        <v>868</v>
      </c>
      <c r="C523" s="97" t="s">
        <v>9</v>
      </c>
      <c r="D523" s="97"/>
      <c r="E523" s="97"/>
      <c r="F523" s="97">
        <v>1</v>
      </c>
    </row>
    <row r="524" spans="1:6">
      <c r="A524" s="258">
        <v>43983</v>
      </c>
      <c r="B524" s="97" t="s">
        <v>869</v>
      </c>
      <c r="C524" s="97" t="s">
        <v>7</v>
      </c>
      <c r="D524" s="97"/>
      <c r="E524" s="97" t="s">
        <v>76</v>
      </c>
      <c r="F524" s="97">
        <v>1</v>
      </c>
    </row>
    <row r="525" spans="1:6">
      <c r="A525" s="258">
        <v>43983</v>
      </c>
      <c r="B525" s="97" t="s">
        <v>869</v>
      </c>
      <c r="C525" s="97" t="s">
        <v>9</v>
      </c>
      <c r="D525" s="97"/>
      <c r="E525" s="97"/>
      <c r="F525" s="97">
        <v>1</v>
      </c>
    </row>
    <row r="526" spans="1:6">
      <c r="A526" s="258">
        <v>43983</v>
      </c>
      <c r="B526" s="97" t="s">
        <v>872</v>
      </c>
      <c r="C526" s="97" t="s">
        <v>12</v>
      </c>
      <c r="D526" s="97"/>
      <c r="E526" s="97"/>
      <c r="F526" s="97">
        <v>1</v>
      </c>
    </row>
    <row r="527" spans="1:6">
      <c r="A527" s="258">
        <v>43983</v>
      </c>
      <c r="B527" s="97" t="s">
        <v>887</v>
      </c>
      <c r="C527" s="97" t="s">
        <v>9</v>
      </c>
      <c r="D527" s="97"/>
      <c r="E527" s="97"/>
      <c r="F527" s="97">
        <v>1</v>
      </c>
    </row>
    <row r="528" spans="1:6">
      <c r="A528" s="258">
        <v>43983</v>
      </c>
      <c r="B528" s="97" t="s">
        <v>887</v>
      </c>
      <c r="C528" s="97" t="s">
        <v>9</v>
      </c>
      <c r="D528" s="97"/>
      <c r="E528" s="97"/>
      <c r="F528" s="97">
        <v>1</v>
      </c>
    </row>
    <row r="529" spans="1:6">
      <c r="A529" s="258">
        <v>43983</v>
      </c>
      <c r="B529" s="97" t="s">
        <v>887</v>
      </c>
      <c r="C529" s="97" t="s">
        <v>9</v>
      </c>
      <c r="D529" s="97"/>
      <c r="E529" s="97"/>
      <c r="F529" s="97">
        <v>1</v>
      </c>
    </row>
    <row r="530" spans="1:6">
      <c r="A530" s="258">
        <v>43983</v>
      </c>
      <c r="B530" s="97" t="s">
        <v>889</v>
      </c>
      <c r="C530" s="97" t="s">
        <v>9</v>
      </c>
      <c r="D530" s="97"/>
      <c r="E530" s="97"/>
      <c r="F530" s="97">
        <v>1</v>
      </c>
    </row>
    <row r="531" spans="1:6">
      <c r="A531" s="258">
        <v>43983</v>
      </c>
      <c r="B531" s="97" t="s">
        <v>890</v>
      </c>
      <c r="C531" s="97" t="s">
        <v>7</v>
      </c>
      <c r="D531" s="97"/>
      <c r="E531" s="97" t="s">
        <v>76</v>
      </c>
      <c r="F531" s="97">
        <v>1</v>
      </c>
    </row>
    <row r="532" spans="1:6">
      <c r="A532" s="258">
        <v>43983</v>
      </c>
      <c r="B532" s="97" t="s">
        <v>891</v>
      </c>
      <c r="C532" s="97" t="s">
        <v>7</v>
      </c>
      <c r="D532" s="97"/>
      <c r="E532" s="97" t="s">
        <v>76</v>
      </c>
      <c r="F532" s="97">
        <v>1</v>
      </c>
    </row>
    <row r="533" spans="1:6">
      <c r="A533" s="258">
        <v>43983</v>
      </c>
      <c r="B533" s="97" t="s">
        <v>891</v>
      </c>
      <c r="C533" s="97" t="s">
        <v>7</v>
      </c>
      <c r="D533" s="97"/>
      <c r="E533" s="97" t="s">
        <v>76</v>
      </c>
      <c r="F533" s="97">
        <v>1</v>
      </c>
    </row>
    <row r="534" spans="1:6">
      <c r="A534" s="258">
        <v>43983</v>
      </c>
      <c r="B534" s="97" t="s">
        <v>891</v>
      </c>
      <c r="C534" s="97" t="s">
        <v>7</v>
      </c>
      <c r="D534" s="97"/>
      <c r="E534" s="97" t="s">
        <v>76</v>
      </c>
      <c r="F534" s="97">
        <v>1</v>
      </c>
    </row>
    <row r="535" spans="1:6">
      <c r="A535" s="258">
        <v>43983</v>
      </c>
      <c r="B535" s="97" t="s">
        <v>896</v>
      </c>
      <c r="C535" s="97" t="s">
        <v>7</v>
      </c>
      <c r="D535" s="97"/>
      <c r="E535" s="97" t="s">
        <v>76</v>
      </c>
      <c r="F535" s="97">
        <v>1</v>
      </c>
    </row>
    <row r="536" spans="1:6">
      <c r="A536" s="258">
        <v>43983</v>
      </c>
      <c r="B536" s="97" t="s">
        <v>896</v>
      </c>
      <c r="C536" s="97" t="s">
        <v>7</v>
      </c>
      <c r="D536" s="97"/>
      <c r="E536" s="97" t="s">
        <v>76</v>
      </c>
      <c r="F536" s="97">
        <v>1</v>
      </c>
    </row>
    <row r="537" spans="1:6">
      <c r="A537" s="258">
        <v>43983</v>
      </c>
      <c r="B537" s="97" t="s">
        <v>896</v>
      </c>
      <c r="C537" s="97" t="s">
        <v>7</v>
      </c>
      <c r="D537" s="97"/>
      <c r="E537" s="97" t="s">
        <v>76</v>
      </c>
      <c r="F537" s="97">
        <v>1</v>
      </c>
    </row>
    <row r="538" spans="1:6">
      <c r="A538" s="259">
        <v>44013</v>
      </c>
      <c r="B538" s="97" t="s">
        <v>689</v>
      </c>
      <c r="C538" s="97" t="s">
        <v>51</v>
      </c>
      <c r="D538" s="97"/>
      <c r="E538" s="97"/>
      <c r="F538" s="97">
        <v>1</v>
      </c>
    </row>
    <row r="539" spans="1:6">
      <c r="A539" s="259">
        <v>44013</v>
      </c>
      <c r="B539" s="97" t="s">
        <v>679</v>
      </c>
      <c r="C539" s="97" t="s">
        <v>9</v>
      </c>
      <c r="D539" s="97"/>
      <c r="E539" s="97"/>
      <c r="F539" s="97">
        <v>1</v>
      </c>
    </row>
    <row r="540" spans="1:6">
      <c r="A540" s="259">
        <v>44013</v>
      </c>
      <c r="B540" s="97" t="s">
        <v>679</v>
      </c>
      <c r="C540" s="97" t="s">
        <v>9</v>
      </c>
      <c r="D540" s="97"/>
      <c r="E540" s="97"/>
      <c r="F540" s="97">
        <v>1</v>
      </c>
    </row>
    <row r="541" spans="1:6">
      <c r="A541" s="259">
        <v>44013</v>
      </c>
      <c r="B541" s="97" t="s">
        <v>679</v>
      </c>
      <c r="C541" s="97" t="s">
        <v>9</v>
      </c>
      <c r="D541" s="97"/>
      <c r="E541" s="97"/>
      <c r="F541" s="97">
        <v>1</v>
      </c>
    </row>
    <row r="542" spans="1:6">
      <c r="A542" s="259">
        <v>44013</v>
      </c>
      <c r="B542" s="97" t="s">
        <v>679</v>
      </c>
      <c r="C542" s="97" t="s">
        <v>9</v>
      </c>
      <c r="D542" s="97"/>
      <c r="E542" s="97"/>
      <c r="F542" s="97">
        <v>1</v>
      </c>
    </row>
    <row r="543" spans="1:6">
      <c r="A543" s="259">
        <v>44013</v>
      </c>
      <c r="B543" s="97" t="s">
        <v>687</v>
      </c>
      <c r="C543" s="97" t="s">
        <v>9</v>
      </c>
      <c r="D543" s="97"/>
      <c r="E543" s="97"/>
      <c r="F543" s="97">
        <v>1</v>
      </c>
    </row>
    <row r="544" spans="1:6">
      <c r="A544" s="259">
        <v>44013</v>
      </c>
      <c r="B544" s="97" t="s">
        <v>687</v>
      </c>
      <c r="C544" s="97" t="s">
        <v>58</v>
      </c>
      <c r="D544" s="97"/>
      <c r="E544" s="97"/>
      <c r="F544" s="97">
        <v>1</v>
      </c>
    </row>
    <row r="545" spans="1:6">
      <c r="A545" s="259">
        <v>44013</v>
      </c>
      <c r="B545" s="97" t="s">
        <v>687</v>
      </c>
      <c r="C545" s="97" t="s">
        <v>9</v>
      </c>
      <c r="D545" s="97"/>
      <c r="E545" s="97"/>
      <c r="F545" s="97">
        <v>1</v>
      </c>
    </row>
    <row r="546" spans="1:6">
      <c r="A546" s="259">
        <v>44013</v>
      </c>
      <c r="B546" s="97" t="s">
        <v>687</v>
      </c>
      <c r="C546" s="97" t="s">
        <v>9</v>
      </c>
      <c r="D546" s="97"/>
      <c r="E546" s="97"/>
      <c r="F546" s="97">
        <v>1</v>
      </c>
    </row>
    <row r="547" spans="1:6">
      <c r="A547" s="259">
        <v>44013</v>
      </c>
      <c r="B547" s="97" t="s">
        <v>687</v>
      </c>
      <c r="C547" s="97" t="s">
        <v>58</v>
      </c>
      <c r="D547" s="97"/>
      <c r="E547" s="97"/>
      <c r="F547" s="97">
        <v>1</v>
      </c>
    </row>
    <row r="548" spans="1:6">
      <c r="A548" s="259">
        <v>44013</v>
      </c>
      <c r="B548" s="97" t="s">
        <v>687</v>
      </c>
      <c r="C548" s="97" t="s">
        <v>51</v>
      </c>
      <c r="D548" s="97"/>
      <c r="E548" s="97"/>
      <c r="F548" s="97">
        <v>1</v>
      </c>
    </row>
    <row r="549" spans="1:6">
      <c r="A549" s="259">
        <v>44013</v>
      </c>
      <c r="B549" s="97" t="s">
        <v>844</v>
      </c>
      <c r="C549" s="97" t="s">
        <v>7</v>
      </c>
      <c r="D549" s="97"/>
      <c r="E549" s="97" t="s">
        <v>76</v>
      </c>
      <c r="F549" s="97">
        <v>1</v>
      </c>
    </row>
    <row r="550" spans="1:6">
      <c r="A550" s="259">
        <v>44013</v>
      </c>
      <c r="B550" s="97" t="s">
        <v>844</v>
      </c>
      <c r="C550" s="97" t="s">
        <v>7</v>
      </c>
      <c r="D550" s="97"/>
      <c r="E550" s="97" t="s">
        <v>76</v>
      </c>
      <c r="F550" s="97">
        <v>1</v>
      </c>
    </row>
    <row r="551" spans="1:6">
      <c r="A551" s="259">
        <v>44013</v>
      </c>
      <c r="B551" s="97" t="s">
        <v>847</v>
      </c>
      <c r="C551" s="97" t="s">
        <v>51</v>
      </c>
      <c r="D551" s="97"/>
      <c r="E551" s="97"/>
      <c r="F551" s="97">
        <v>1</v>
      </c>
    </row>
    <row r="552" spans="1:6">
      <c r="A552" s="259">
        <v>44013</v>
      </c>
      <c r="B552" s="97" t="s">
        <v>849</v>
      </c>
      <c r="C552" s="97" t="s">
        <v>9</v>
      </c>
      <c r="D552" s="97"/>
      <c r="E552" s="97"/>
      <c r="F552" s="97">
        <v>1</v>
      </c>
    </row>
    <row r="553" spans="1:6">
      <c r="A553" s="259">
        <v>44013</v>
      </c>
      <c r="B553" s="97" t="s">
        <v>849</v>
      </c>
      <c r="C553" s="97" t="s">
        <v>9</v>
      </c>
      <c r="D553" s="97"/>
      <c r="E553" s="97"/>
      <c r="F553" s="97">
        <v>1</v>
      </c>
    </row>
    <row r="554" spans="1:6">
      <c r="A554" s="259">
        <v>44013</v>
      </c>
      <c r="B554" s="97" t="s">
        <v>849</v>
      </c>
      <c r="C554" s="97" t="s">
        <v>12</v>
      </c>
      <c r="D554" s="97"/>
      <c r="E554" s="97"/>
      <c r="F554" s="97">
        <v>1</v>
      </c>
    </row>
    <row r="555" spans="1:6">
      <c r="A555" s="259">
        <v>44013</v>
      </c>
      <c r="B555" s="97" t="s">
        <v>849</v>
      </c>
      <c r="C555" s="97" t="s">
        <v>7</v>
      </c>
      <c r="D555" s="97"/>
      <c r="E555" s="97" t="s">
        <v>76</v>
      </c>
      <c r="F555" s="97">
        <v>1</v>
      </c>
    </row>
    <row r="556" spans="1:6">
      <c r="A556" s="259">
        <v>44013</v>
      </c>
      <c r="B556" s="97" t="s">
        <v>861</v>
      </c>
      <c r="C556" s="97" t="s">
        <v>58</v>
      </c>
      <c r="D556" s="97"/>
      <c r="E556" s="97"/>
      <c r="F556" s="97">
        <v>1</v>
      </c>
    </row>
    <row r="557" spans="1:6">
      <c r="A557" s="259">
        <v>44013</v>
      </c>
      <c r="B557" s="97" t="s">
        <v>861</v>
      </c>
      <c r="C557" s="97" t="s">
        <v>58</v>
      </c>
      <c r="D557" s="97"/>
      <c r="E557" s="97"/>
      <c r="F557" s="97">
        <v>1</v>
      </c>
    </row>
    <row r="558" spans="1:6">
      <c r="A558" s="259">
        <v>44013</v>
      </c>
      <c r="B558" s="97" t="s">
        <v>653</v>
      </c>
      <c r="C558" s="97" t="s">
        <v>51</v>
      </c>
      <c r="D558" s="97"/>
      <c r="E558" s="97"/>
      <c r="F558" s="97">
        <v>1</v>
      </c>
    </row>
    <row r="559" spans="1:6">
      <c r="A559" s="259">
        <v>44013</v>
      </c>
      <c r="B559" s="97" t="s">
        <v>653</v>
      </c>
      <c r="C559" s="97" t="s">
        <v>9</v>
      </c>
      <c r="D559" s="97"/>
      <c r="E559" s="97"/>
      <c r="F559" s="97">
        <v>1</v>
      </c>
    </row>
    <row r="560" spans="1:6">
      <c r="A560" s="259">
        <v>44013</v>
      </c>
      <c r="B560" s="97" t="s">
        <v>653</v>
      </c>
      <c r="C560" s="97" t="s">
        <v>9</v>
      </c>
      <c r="D560" s="97"/>
      <c r="E560" s="97"/>
      <c r="F560" s="97">
        <v>1</v>
      </c>
    </row>
    <row r="561" spans="1:6">
      <c r="A561" s="259">
        <v>44013</v>
      </c>
      <c r="B561" s="97" t="s">
        <v>868</v>
      </c>
      <c r="C561" s="97" t="s">
        <v>51</v>
      </c>
      <c r="D561" s="97"/>
      <c r="E561" s="97"/>
      <c r="F561" s="97">
        <v>1</v>
      </c>
    </row>
    <row r="562" spans="1:6">
      <c r="A562" s="259">
        <v>44013</v>
      </c>
      <c r="B562" s="97" t="s">
        <v>868</v>
      </c>
      <c r="C562" s="97" t="s">
        <v>9</v>
      </c>
      <c r="D562" s="97"/>
      <c r="E562" s="97"/>
      <c r="F562" s="97">
        <v>1</v>
      </c>
    </row>
    <row r="563" spans="1:6">
      <c r="A563" s="259">
        <v>44013</v>
      </c>
      <c r="B563" s="97" t="s">
        <v>886</v>
      </c>
      <c r="C563" s="97" t="s">
        <v>9</v>
      </c>
      <c r="D563" s="97"/>
      <c r="E563" s="97"/>
      <c r="F563" s="97">
        <v>1</v>
      </c>
    </row>
    <row r="564" spans="1:6">
      <c r="A564" s="259">
        <v>44013</v>
      </c>
      <c r="B564" s="97" t="s">
        <v>886</v>
      </c>
      <c r="C564" s="97" t="s">
        <v>58</v>
      </c>
      <c r="D564" s="97"/>
      <c r="E564" s="97"/>
      <c r="F564" s="97">
        <v>1</v>
      </c>
    </row>
    <row r="565" spans="1:6">
      <c r="A565" s="259">
        <v>44013</v>
      </c>
      <c r="B565" s="97" t="s">
        <v>655</v>
      </c>
      <c r="C565" s="97" t="s">
        <v>58</v>
      </c>
      <c r="D565" s="97"/>
      <c r="E565" s="97"/>
      <c r="F565" s="97">
        <v>1</v>
      </c>
    </row>
    <row r="566" spans="1:6">
      <c r="A566" s="259">
        <v>44013</v>
      </c>
      <c r="B566" s="97" t="s">
        <v>655</v>
      </c>
      <c r="C566" s="97" t="s">
        <v>58</v>
      </c>
      <c r="D566" s="97"/>
      <c r="E566" s="97"/>
      <c r="F566" s="97">
        <v>1</v>
      </c>
    </row>
    <row r="567" spans="1:6">
      <c r="A567" s="259">
        <v>44013</v>
      </c>
      <c r="B567" s="97" t="s">
        <v>655</v>
      </c>
      <c r="C567" s="97" t="s">
        <v>58</v>
      </c>
      <c r="D567" s="97"/>
      <c r="E567" s="97"/>
      <c r="F567" s="97">
        <v>1</v>
      </c>
    </row>
    <row r="568" spans="1:6">
      <c r="A568" s="259">
        <v>44013</v>
      </c>
      <c r="B568" s="97" t="s">
        <v>655</v>
      </c>
      <c r="C568" s="97" t="s">
        <v>58</v>
      </c>
      <c r="D568" s="97"/>
      <c r="E568" s="97"/>
      <c r="F568" s="97">
        <v>1</v>
      </c>
    </row>
    <row r="569" spans="1:6">
      <c r="A569" s="259">
        <v>44013</v>
      </c>
      <c r="B569" s="97" t="s">
        <v>889</v>
      </c>
      <c r="C569" s="97" t="s">
        <v>7</v>
      </c>
      <c r="D569" s="97"/>
      <c r="E569" s="97" t="s">
        <v>53</v>
      </c>
      <c r="F569" s="97">
        <v>1</v>
      </c>
    </row>
    <row r="570" spans="1:6">
      <c r="A570" s="259">
        <v>44013</v>
      </c>
      <c r="B570" s="97" t="s">
        <v>889</v>
      </c>
      <c r="C570" s="97" t="s">
        <v>7</v>
      </c>
      <c r="D570" s="97"/>
      <c r="E570" s="97" t="s">
        <v>53</v>
      </c>
      <c r="F570" s="97">
        <v>2</v>
      </c>
    </row>
    <row r="571" spans="1:6">
      <c r="A571" s="259">
        <v>44013</v>
      </c>
      <c r="B571" s="97" t="s">
        <v>889</v>
      </c>
      <c r="C571" s="97" t="s">
        <v>7</v>
      </c>
      <c r="D571" s="97"/>
      <c r="E571" s="97" t="s">
        <v>76</v>
      </c>
      <c r="F571" s="97">
        <v>1</v>
      </c>
    </row>
    <row r="572" spans="1:6">
      <c r="A572" s="259">
        <v>44013</v>
      </c>
      <c r="B572" s="97" t="s">
        <v>889</v>
      </c>
      <c r="C572" s="97" t="s">
        <v>7</v>
      </c>
      <c r="D572" s="97"/>
      <c r="E572" s="97" t="s">
        <v>53</v>
      </c>
      <c r="F572" s="97">
        <v>1</v>
      </c>
    </row>
    <row r="573" spans="1:6">
      <c r="A573" s="259">
        <v>44013</v>
      </c>
      <c r="B573" s="97" t="s">
        <v>889</v>
      </c>
      <c r="C573" s="97" t="s">
        <v>7</v>
      </c>
      <c r="D573" s="97"/>
      <c r="E573" s="97" t="s">
        <v>53</v>
      </c>
      <c r="F573" s="97">
        <v>2</v>
      </c>
    </row>
    <row r="574" spans="1:6">
      <c r="A574" s="259">
        <v>44013</v>
      </c>
      <c r="B574" s="97" t="s">
        <v>893</v>
      </c>
      <c r="C574" s="97" t="s">
        <v>58</v>
      </c>
      <c r="D574" s="97"/>
      <c r="E574" s="97"/>
      <c r="F574" s="97">
        <v>1</v>
      </c>
    </row>
    <row r="575" spans="1:6">
      <c r="A575" s="258"/>
      <c r="B575" s="97"/>
      <c r="C575" s="97"/>
      <c r="D575" s="97"/>
      <c r="E575" s="97"/>
      <c r="F575" s="97"/>
    </row>
    <row r="576" spans="1:6">
      <c r="A576" s="258"/>
      <c r="B576" s="97"/>
      <c r="C576" s="97"/>
      <c r="D576" s="97"/>
      <c r="E576" s="97"/>
      <c r="F576" s="97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GG107"/>
  <sheetViews>
    <sheetView tabSelected="1" topLeftCell="I1" zoomScale="115" zoomScaleNormal="115" workbookViewId="0">
      <pane ySplit="1" topLeftCell="A2" activePane="bottomLeft" state="frozen"/>
      <selection pane="bottomLeft" activeCell="P2" sqref="P2"/>
    </sheetView>
  </sheetViews>
  <sheetFormatPr baseColWidth="10" defaultColWidth="23.44140625" defaultRowHeight="14.4"/>
  <cols>
    <col min="1" max="1" width="13.33203125" style="54" bestFit="1" customWidth="1"/>
    <col min="2" max="2" width="17.21875" style="54" bestFit="1" customWidth="1"/>
    <col min="3" max="3" width="12" style="54" bestFit="1" customWidth="1"/>
    <col min="4" max="4" width="14.88671875" style="54" bestFit="1" customWidth="1"/>
    <col min="5" max="5" width="9" style="54" bestFit="1" customWidth="1"/>
    <col min="6" max="6" width="14.33203125" style="54" bestFit="1" customWidth="1"/>
    <col min="7" max="7" width="10.77734375" style="134" bestFit="1" customWidth="1"/>
    <col min="8" max="8" width="17.6640625" style="146" bestFit="1" customWidth="1"/>
    <col min="9" max="9" width="14.5546875" style="144" bestFit="1" customWidth="1"/>
    <col min="10" max="10" width="21.88671875" style="237" bestFit="1" customWidth="1"/>
    <col min="11" max="11" width="15.5546875" style="237" bestFit="1" customWidth="1"/>
    <col min="12" max="12" width="23.5546875" style="236" bestFit="1" customWidth="1"/>
    <col min="13" max="13" width="6.109375" style="249" bestFit="1" customWidth="1"/>
    <col min="14" max="14" width="21.88671875" style="237" bestFit="1" customWidth="1"/>
    <col min="15" max="15" width="15.5546875" style="237" bestFit="1" customWidth="1"/>
    <col min="16" max="16" width="23.5546875" style="236" bestFit="1" customWidth="1"/>
    <col min="17" max="17" width="6.44140625" style="249" bestFit="1" customWidth="1"/>
    <col min="18" max="18" width="21.88671875" style="237" bestFit="1" customWidth="1"/>
    <col min="19" max="19" width="15.5546875" style="237" bestFit="1" customWidth="1"/>
    <col min="20" max="20" width="23.5546875" style="236" bestFit="1" customWidth="1"/>
    <col min="21" max="21" width="6.44140625" style="249" bestFit="1" customWidth="1"/>
    <col min="22" max="22" width="14.88671875" style="237" bestFit="1" customWidth="1"/>
    <col min="23" max="23" width="15.5546875" style="237" bestFit="1" customWidth="1"/>
    <col min="24" max="24" width="15.77734375" style="237" bestFit="1" customWidth="1"/>
    <col min="25" max="25" width="6" style="249" bestFit="1" customWidth="1"/>
    <col min="26" max="26" width="14.88671875" style="237" bestFit="1" customWidth="1"/>
    <col min="27" max="27" width="15.5546875" style="237" bestFit="1" customWidth="1"/>
    <col min="28" max="28" width="15.77734375" style="237" bestFit="1" customWidth="1"/>
    <col min="29" max="29" width="6.5546875" style="249" bestFit="1" customWidth="1"/>
    <col min="30" max="30" width="14.88671875" style="237" bestFit="1" customWidth="1"/>
    <col min="31" max="31" width="15.5546875" style="237" bestFit="1" customWidth="1"/>
    <col min="32" max="32" width="15.77734375" style="237" bestFit="1" customWidth="1"/>
    <col min="33" max="33" width="7" style="249" bestFit="1" customWidth="1"/>
    <col min="34" max="34" width="14.88671875" style="237" bestFit="1" customWidth="1"/>
    <col min="35" max="35" width="15.5546875" style="237" bestFit="1" customWidth="1"/>
    <col min="36" max="36" width="15.77734375" style="237" bestFit="1" customWidth="1"/>
    <col min="37" max="37" width="7.5546875" style="249" bestFit="1" customWidth="1"/>
    <col min="38" max="189" width="23.44140625" style="237"/>
    <col min="190" max="16384" width="23.44140625" style="54"/>
  </cols>
  <sheetData>
    <row r="1" spans="1:37" s="235" customFormat="1" ht="28.8">
      <c r="A1" s="239" t="s">
        <v>38</v>
      </c>
      <c r="B1" s="234" t="s">
        <v>18</v>
      </c>
      <c r="C1" s="234" t="s">
        <v>26</v>
      </c>
      <c r="D1" s="234" t="s">
        <v>31</v>
      </c>
      <c r="E1" s="234" t="s">
        <v>29</v>
      </c>
      <c r="F1" s="234" t="s">
        <v>28</v>
      </c>
      <c r="G1" s="240" t="s">
        <v>27</v>
      </c>
      <c r="H1" s="147" t="s">
        <v>63</v>
      </c>
      <c r="I1" s="273" t="s">
        <v>64</v>
      </c>
      <c r="J1" s="250" t="s">
        <v>111</v>
      </c>
      <c r="K1" s="234" t="s">
        <v>89</v>
      </c>
      <c r="L1" s="251" t="s">
        <v>112</v>
      </c>
      <c r="M1" s="248" t="s">
        <v>90</v>
      </c>
      <c r="N1" s="250" t="s">
        <v>113</v>
      </c>
      <c r="O1" s="234" t="s">
        <v>91</v>
      </c>
      <c r="P1" s="251" t="s">
        <v>114</v>
      </c>
      <c r="Q1" s="248" t="s">
        <v>92</v>
      </c>
      <c r="R1" s="250" t="s">
        <v>115</v>
      </c>
      <c r="S1" s="234" t="s">
        <v>93</v>
      </c>
      <c r="T1" s="251" t="s">
        <v>116</v>
      </c>
      <c r="U1" s="248" t="s">
        <v>94</v>
      </c>
      <c r="V1" s="234" t="s">
        <v>95</v>
      </c>
      <c r="W1" s="234" t="s">
        <v>96</v>
      </c>
      <c r="X1" s="234" t="s">
        <v>97</v>
      </c>
      <c r="Y1" s="248" t="s">
        <v>98</v>
      </c>
      <c r="Z1" s="234" t="s">
        <v>99</v>
      </c>
      <c r="AA1" s="234" t="s">
        <v>100</v>
      </c>
      <c r="AB1" s="234" t="s">
        <v>101</v>
      </c>
      <c r="AC1" s="248" t="s">
        <v>102</v>
      </c>
      <c r="AD1" s="234" t="s">
        <v>103</v>
      </c>
      <c r="AE1" s="234" t="s">
        <v>104</v>
      </c>
      <c r="AF1" s="234" t="s">
        <v>105</v>
      </c>
      <c r="AG1" s="248" t="s">
        <v>106</v>
      </c>
      <c r="AH1" s="234" t="s">
        <v>107</v>
      </c>
      <c r="AI1" s="234" t="s">
        <v>108</v>
      </c>
      <c r="AJ1" s="234" t="s">
        <v>109</v>
      </c>
      <c r="AK1" s="274" t="s">
        <v>110</v>
      </c>
    </row>
    <row r="2" spans="1:37">
      <c r="A2" s="148" t="s">
        <v>41</v>
      </c>
      <c r="B2" s="275" t="s">
        <v>800</v>
      </c>
      <c r="C2" s="242" t="s">
        <v>118</v>
      </c>
      <c r="D2" s="242" t="s">
        <v>119</v>
      </c>
      <c r="E2" s="86" t="s">
        <v>120</v>
      </c>
      <c r="F2" s="242" t="s">
        <v>121</v>
      </c>
      <c r="G2" s="149" t="s">
        <v>122</v>
      </c>
      <c r="H2" s="212">
        <f>SUMPRODUCT((Tableau4[Nom_prenom ]=B2)*(Tableau4[Quantités]))</f>
        <v>11</v>
      </c>
      <c r="I2" s="276">
        <f>SUMPRODUCT((Tableau4[Nom_prenom ]=$B2)*(Tableau4[Total_Client]))</f>
        <v>251.00000000000003</v>
      </c>
      <c r="J2" s="277">
        <f>SUMIFS(RECAP_VENTE_ANNUELLE!$P:$P,RECAP_VENTE_ANNUELLE!$R:$R,"2019",RECAP_VENTE_ANNUELLE!$B:$B,Tableau2[[#This Row],[Nom_prenom ]])</f>
        <v>130</v>
      </c>
      <c r="K2" s="277"/>
      <c r="L2" s="277">
        <f>Tableau2[[#This Row],[Total PV client 2019]]-Tableau2[[#This Row],[PV client 
utilisés 2019]]</f>
        <v>130</v>
      </c>
      <c r="M2" s="278"/>
      <c r="N2" s="277">
        <f>SUMIFS(RECAP_VENTE_ANNUELLE!$P:$P,RECAP_VENTE_ANNUELLE!$R:$R,"2020",RECAP_VENTE_ANNUELLE!$B:$B,Tableau2[[#This Row],[Nom_prenom ]])</f>
        <v>11</v>
      </c>
      <c r="O2" s="277"/>
      <c r="P2" s="277">
        <f>Tableau2[[#This Row],[Total PV client 2020]]-Tableau2[[#This Row],[PV client 
utilisés 2020]]</f>
        <v>11</v>
      </c>
      <c r="Q2" s="278"/>
      <c r="R2" s="277">
        <f>SUMIFS(RECAP_VENTE_ANNUELLE!$P:$P,RECAP_VENTE_ANNUELLE!$R:$R,"2021",RECAP_VENTE_ANNUELLE!$B:$B,Tableau2[[#This Row],[Nom_prenom ]])</f>
        <v>0</v>
      </c>
      <c r="S2" s="277"/>
      <c r="T2" s="277">
        <f>Tableau2[[#This Row],[Total PV client 2021]]-Tableau2[[#This Row],[PV client 
utilisés 2021]]</f>
        <v>0</v>
      </c>
      <c r="U2" s="278"/>
      <c r="V2" s="277">
        <f>SUMIFS(RECAP_VENTE_ANNUELLE!$P:$P,RECAP_VENTE_ANNUELLE!$R:$R,"2022",RECAP_VENTE_ANNUELLE!$B:$B,Tableau2[[#This Row],[Nom_prenom ]])</f>
        <v>0</v>
      </c>
      <c r="W2" s="277"/>
      <c r="X2" s="277">
        <f>Tableau2[[#This Row],[Total PV
 client 2022]]-Tableau2[[#This Row],[PV client 
utilisés 2022]]</f>
        <v>0</v>
      </c>
      <c r="Y2" s="278"/>
      <c r="Z2" s="277">
        <f>SUMIFS(RECAP_VENTE_ANNUELLE!$P:$P,RECAP_VENTE_ANNUELLE!$R:$R,"2023",RECAP_VENTE_ANNUELLE!$B:$B,Tableau2[[#This Row],[Nom_prenom ]])</f>
        <v>0</v>
      </c>
      <c r="AA2" s="277"/>
      <c r="AB2" s="277">
        <f>Tableau2[[#This Row],[Total PV
 client 2023]]-Tableau2[[#This Row],[PV client 
utilisés 2023]]</f>
        <v>0</v>
      </c>
      <c r="AC2" s="278"/>
      <c r="AD2" s="277">
        <f>SUMIFS(RECAP_VENTE_ANNUELLE!$P:$P,RECAP_VENTE_ANNUELLE!$R:$R,"2024",RECAP_VENTE_ANNUELLE!$B:$B,Tableau2[[#This Row],[Nom_prenom ]])</f>
        <v>0</v>
      </c>
      <c r="AE2" s="277"/>
      <c r="AF2" s="277">
        <f>Tableau2[[#This Row],[Total PV
 client 2024]]-Tableau2[[#This Row],[PV client 
utilisés 2024]]</f>
        <v>0</v>
      </c>
      <c r="AG2" s="278"/>
      <c r="AH2" s="277">
        <f>SUMIFS(RECAP_VENTE_ANNUELLE!$P:$P,RECAP_VENTE_ANNUELLE!$R:$R,"2025",RECAP_VENTE_ANNUELLE!$B:$B,Tableau2[[#This Row],[Nom_prenom ]])</f>
        <v>0</v>
      </c>
      <c r="AI2" s="277"/>
      <c r="AJ2" s="277">
        <f>Tableau2[[#This Row],[Total PV
 client 2025]]-Tableau2[[#This Row],[PV client 
utilisés 2025]]</f>
        <v>0</v>
      </c>
      <c r="AK2" s="279"/>
    </row>
    <row r="3" spans="1:37">
      <c r="A3" s="85" t="s">
        <v>41</v>
      </c>
      <c r="B3" s="275" t="s">
        <v>801</v>
      </c>
      <c r="C3" s="242" t="s">
        <v>123</v>
      </c>
      <c r="D3" s="242" t="s">
        <v>124</v>
      </c>
      <c r="E3" s="86" t="s">
        <v>125</v>
      </c>
      <c r="F3" s="242" t="s">
        <v>126</v>
      </c>
      <c r="G3" s="149" t="s">
        <v>127</v>
      </c>
      <c r="H3" s="150">
        <f>SUMPRODUCT((Tableau4[Nom_prenom ]=B3)*(Tableau4[Quantités]))</f>
        <v>1</v>
      </c>
      <c r="I3" s="71">
        <f>SUMPRODUCT((Tableau4[Nom_prenom ]=$B3)*(Tableau4[Total_Client]))</f>
        <v>14.9</v>
      </c>
      <c r="J3" s="277">
        <f>SUMIFS(RECAP_VENTE_ANNUELLE!$P:$P,RECAP_VENTE_ANNUELLE!$R:$R,"2019",RECAP_VENTE_ANNUELLE!$B:$B,Tableau2[[#This Row],[Nom_prenom ]])</f>
        <v>10</v>
      </c>
      <c r="K3" s="277"/>
      <c r="L3" s="277">
        <f>Tableau2[[#This Row],[Total PV client 2019]]-Tableau2[[#This Row],[PV client 
utilisés 2019]]</f>
        <v>10</v>
      </c>
      <c r="M3" s="278"/>
      <c r="N3" s="277">
        <f>SUMIFS(RECAP_VENTE_ANNUELLE!$P:$P,RECAP_VENTE_ANNUELLE!$R:$R,"2020",RECAP_VENTE_ANNUELLE!$B:$B,Tableau2[[#This Row],[Nom_prenom ]])</f>
        <v>0</v>
      </c>
      <c r="O3" s="277"/>
      <c r="P3" s="277">
        <f>Tableau2[[#This Row],[Total PV client 2020]]-Tableau2[[#This Row],[PV client 
utilisés 2020]]</f>
        <v>0</v>
      </c>
      <c r="Q3" s="278"/>
      <c r="R3" s="277">
        <f>SUMIFS(RECAP_VENTE_ANNUELLE!$P:$P,RECAP_VENTE_ANNUELLE!$R:$R,"2021",RECAP_VENTE_ANNUELLE!$B:$B,Tableau2[[#This Row],[Nom_prenom ]])</f>
        <v>0</v>
      </c>
      <c r="S3" s="277"/>
      <c r="T3" s="277">
        <f>Tableau2[[#This Row],[Total PV client 2021]]-Tableau2[[#This Row],[PV client 
utilisés 2021]]</f>
        <v>0</v>
      </c>
      <c r="U3" s="278"/>
      <c r="V3" s="277">
        <f>SUMIFS(RECAP_VENTE_ANNUELLE!$P:$P,RECAP_VENTE_ANNUELLE!$R:$R,"2022",RECAP_VENTE_ANNUELLE!$B:$B,Tableau2[[#This Row],[Nom_prenom ]])</f>
        <v>0</v>
      </c>
      <c r="W3" s="277"/>
      <c r="X3" s="277">
        <f>Tableau2[[#This Row],[Total PV
 client 2022]]-Tableau2[[#This Row],[PV client 
utilisés 2022]]</f>
        <v>0</v>
      </c>
      <c r="Y3" s="278"/>
      <c r="Z3" s="277">
        <f>SUMIFS(RECAP_VENTE_ANNUELLE!$P:$P,RECAP_VENTE_ANNUELLE!$R:$R,"2023",RECAP_VENTE_ANNUELLE!$B:$B,Tableau2[[#This Row],[Nom_prenom ]])</f>
        <v>0</v>
      </c>
      <c r="AA3" s="277"/>
      <c r="AB3" s="277">
        <f>Tableau2[[#This Row],[Total PV
 client 2023]]-Tableau2[[#This Row],[PV client 
utilisés 2023]]</f>
        <v>0</v>
      </c>
      <c r="AC3" s="278"/>
      <c r="AD3" s="277">
        <f>SUMIFS(RECAP_VENTE_ANNUELLE!$P:$P,RECAP_VENTE_ANNUELLE!$R:$R,"2024",RECAP_VENTE_ANNUELLE!$B:$B,Tableau2[[#This Row],[Nom_prenom ]])</f>
        <v>0</v>
      </c>
      <c r="AE3" s="277"/>
      <c r="AF3" s="277">
        <f>Tableau2[[#This Row],[Total PV
 client 2024]]-Tableau2[[#This Row],[PV client 
utilisés 2024]]</f>
        <v>0</v>
      </c>
      <c r="AG3" s="278"/>
      <c r="AH3" s="277">
        <f>SUMIFS(RECAP_VENTE_ANNUELLE!$P:$P,RECAP_VENTE_ANNUELLE!$R:$R,"2025",RECAP_VENTE_ANNUELLE!$B:$B,Tableau2[[#This Row],[Nom_prenom ]])</f>
        <v>0</v>
      </c>
      <c r="AI3" s="277"/>
      <c r="AJ3" s="277">
        <f>Tableau2[[#This Row],[Total PV
 client 2025]]-Tableau2[[#This Row],[PV client 
utilisés 2025]]</f>
        <v>0</v>
      </c>
      <c r="AK3" s="279"/>
    </row>
    <row r="4" spans="1:37">
      <c r="A4" s="148" t="s">
        <v>41</v>
      </c>
      <c r="B4" s="275" t="s">
        <v>802</v>
      </c>
      <c r="C4" s="242" t="s">
        <v>128</v>
      </c>
      <c r="D4" s="242" t="s">
        <v>129</v>
      </c>
      <c r="E4" s="86" t="s">
        <v>130</v>
      </c>
      <c r="F4" s="242" t="s">
        <v>131</v>
      </c>
      <c r="G4" s="149" t="s">
        <v>132</v>
      </c>
      <c r="H4" s="151">
        <f>SUMPRODUCT((Tableau4[Nom_prenom ]=B4)*(Tableau4[Quantités]))</f>
        <v>3</v>
      </c>
      <c r="I4" s="71">
        <f>SUMPRODUCT((Tableau4[Nom_prenom ]=$B4)*(Tableau4[Total_Client]))</f>
        <v>44.699999999999996</v>
      </c>
      <c r="J4" s="277">
        <f>SUMIFS(RECAP_VENTE_ANNUELLE!$P:$P,RECAP_VENTE_ANNUELLE!$R:$R,"2019",RECAP_VENTE_ANNUELLE!$B:$B,Tableau2[[#This Row],[Nom_prenom ]])</f>
        <v>27</v>
      </c>
      <c r="K4" s="277"/>
      <c r="L4" s="277">
        <f>Tableau2[[#This Row],[Total PV client 2019]]-Tableau2[[#This Row],[PV client 
utilisés 2019]]</f>
        <v>27</v>
      </c>
      <c r="M4" s="278"/>
      <c r="N4" s="277">
        <f>SUMIFS(RECAP_VENTE_ANNUELLE!$P:$P,RECAP_VENTE_ANNUELLE!$R:$R,"2020",RECAP_VENTE_ANNUELLE!$B:$B,Tableau2[[#This Row],[Nom_prenom ]])</f>
        <v>0</v>
      </c>
      <c r="O4" s="277"/>
      <c r="P4" s="277">
        <f>Tableau2[[#This Row],[Total PV client 2020]]-Tableau2[[#This Row],[PV client 
utilisés 2020]]</f>
        <v>0</v>
      </c>
      <c r="Q4" s="278"/>
      <c r="R4" s="277">
        <f>SUMIFS(RECAP_VENTE_ANNUELLE!$P:$P,RECAP_VENTE_ANNUELLE!$R:$R,"2021",RECAP_VENTE_ANNUELLE!$B:$B,Tableau2[[#This Row],[Nom_prenom ]])</f>
        <v>0</v>
      </c>
      <c r="S4" s="277"/>
      <c r="T4" s="277">
        <f>Tableau2[[#This Row],[Total PV client 2021]]-Tableau2[[#This Row],[PV client 
utilisés 2021]]</f>
        <v>0</v>
      </c>
      <c r="U4" s="278"/>
      <c r="V4" s="277">
        <f>SUMIFS(RECAP_VENTE_ANNUELLE!$P:$P,RECAP_VENTE_ANNUELLE!$R:$R,"2022",RECAP_VENTE_ANNUELLE!$B:$B,Tableau2[[#This Row],[Nom_prenom ]])</f>
        <v>0</v>
      </c>
      <c r="W4" s="277"/>
      <c r="X4" s="277">
        <f>Tableau2[[#This Row],[Total PV
 client 2022]]-Tableau2[[#This Row],[PV client 
utilisés 2022]]</f>
        <v>0</v>
      </c>
      <c r="Y4" s="278"/>
      <c r="Z4" s="277">
        <f>SUMIFS(RECAP_VENTE_ANNUELLE!$P:$P,RECAP_VENTE_ANNUELLE!$R:$R,"2023",RECAP_VENTE_ANNUELLE!$B:$B,Tableau2[[#This Row],[Nom_prenom ]])</f>
        <v>0</v>
      </c>
      <c r="AA4" s="277"/>
      <c r="AB4" s="277">
        <f>Tableau2[[#This Row],[Total PV
 client 2023]]-Tableau2[[#This Row],[PV client 
utilisés 2023]]</f>
        <v>0</v>
      </c>
      <c r="AC4" s="278"/>
      <c r="AD4" s="277">
        <f>SUMIFS(RECAP_VENTE_ANNUELLE!$P:$P,RECAP_VENTE_ANNUELLE!$R:$R,"2024",RECAP_VENTE_ANNUELLE!$B:$B,Tableau2[[#This Row],[Nom_prenom ]])</f>
        <v>0</v>
      </c>
      <c r="AE4" s="277"/>
      <c r="AF4" s="277">
        <f>Tableau2[[#This Row],[Total PV
 client 2024]]-Tableau2[[#This Row],[PV client 
utilisés 2024]]</f>
        <v>0</v>
      </c>
      <c r="AG4" s="278"/>
      <c r="AH4" s="277">
        <f>SUMIFS(RECAP_VENTE_ANNUELLE!$P:$P,RECAP_VENTE_ANNUELLE!$R:$R,"2025",RECAP_VENTE_ANNUELLE!$B:$B,Tableau2[[#This Row],[Nom_prenom ]])</f>
        <v>0</v>
      </c>
      <c r="AI4" s="277"/>
      <c r="AJ4" s="277">
        <f>Tableau2[[#This Row],[Total PV
 client 2025]]-Tableau2[[#This Row],[PV client 
utilisés 2025]]</f>
        <v>0</v>
      </c>
      <c r="AK4" s="279"/>
    </row>
    <row r="5" spans="1:37">
      <c r="A5" s="148" t="s">
        <v>41</v>
      </c>
      <c r="B5" s="275" t="s">
        <v>803</v>
      </c>
      <c r="C5" s="242" t="s">
        <v>133</v>
      </c>
      <c r="D5" s="242" t="s">
        <v>134</v>
      </c>
      <c r="E5" s="86" t="s">
        <v>135</v>
      </c>
      <c r="F5" s="242" t="s">
        <v>136</v>
      </c>
      <c r="G5" s="149" t="s">
        <v>137</v>
      </c>
      <c r="H5" s="151">
        <f>SUMPRODUCT((Tableau4[Nom_prenom ]=B5)*(Tableau4[Quantités]))</f>
        <v>5</v>
      </c>
      <c r="I5" s="71">
        <f>SUMPRODUCT((Tableau4[Nom_prenom ]=$B5)*(Tableau4[Total_Client]))</f>
        <v>140.25</v>
      </c>
      <c r="J5" s="277">
        <f>SUMIFS(RECAP_VENTE_ANNUELLE!$P:$P,RECAP_VENTE_ANNUELLE!$R:$R,"2019",RECAP_VENTE_ANNUELLE!$B:$B,Tableau2[[#This Row],[Nom_prenom ]])</f>
        <v>85</v>
      </c>
      <c r="K5" s="277"/>
      <c r="L5" s="277">
        <f>Tableau2[[#This Row],[Total PV client 2019]]-Tableau2[[#This Row],[PV client 
utilisés 2019]]</f>
        <v>85</v>
      </c>
      <c r="M5" s="278"/>
      <c r="N5" s="277">
        <f>SUMIFS(RECAP_VENTE_ANNUELLE!$P:$P,RECAP_VENTE_ANNUELLE!$R:$R,"2020",RECAP_VENTE_ANNUELLE!$B:$B,Tableau2[[#This Row],[Nom_prenom ]])</f>
        <v>0</v>
      </c>
      <c r="O5" s="277"/>
      <c r="P5" s="277">
        <f>Tableau2[[#This Row],[Total PV client 2020]]-Tableau2[[#This Row],[PV client 
utilisés 2020]]</f>
        <v>0</v>
      </c>
      <c r="Q5" s="278"/>
      <c r="R5" s="277">
        <f>SUMIFS(RECAP_VENTE_ANNUELLE!$P:$P,RECAP_VENTE_ANNUELLE!$R:$R,"2021",RECAP_VENTE_ANNUELLE!$B:$B,Tableau2[[#This Row],[Nom_prenom ]])</f>
        <v>0</v>
      </c>
      <c r="S5" s="277"/>
      <c r="T5" s="277">
        <f>Tableau2[[#This Row],[Total PV client 2021]]-Tableau2[[#This Row],[PV client 
utilisés 2021]]</f>
        <v>0</v>
      </c>
      <c r="U5" s="278"/>
      <c r="V5" s="277">
        <f>SUMIFS(RECAP_VENTE_ANNUELLE!$P:$P,RECAP_VENTE_ANNUELLE!$R:$R,"2022",RECAP_VENTE_ANNUELLE!$B:$B,Tableau2[[#This Row],[Nom_prenom ]])</f>
        <v>0</v>
      </c>
      <c r="W5" s="277"/>
      <c r="X5" s="277">
        <f>Tableau2[[#This Row],[Total PV
 client 2022]]-Tableau2[[#This Row],[PV client 
utilisés 2022]]</f>
        <v>0</v>
      </c>
      <c r="Y5" s="278"/>
      <c r="Z5" s="277">
        <f>SUMIFS(RECAP_VENTE_ANNUELLE!$P:$P,RECAP_VENTE_ANNUELLE!$R:$R,"2023",RECAP_VENTE_ANNUELLE!$B:$B,Tableau2[[#This Row],[Nom_prenom ]])</f>
        <v>0</v>
      </c>
      <c r="AA5" s="277"/>
      <c r="AB5" s="277">
        <f>Tableau2[[#This Row],[Total PV
 client 2023]]-Tableau2[[#This Row],[PV client 
utilisés 2023]]</f>
        <v>0</v>
      </c>
      <c r="AC5" s="278"/>
      <c r="AD5" s="277">
        <f>SUMIFS(RECAP_VENTE_ANNUELLE!$P:$P,RECAP_VENTE_ANNUELLE!$R:$R,"2024",RECAP_VENTE_ANNUELLE!$B:$B,Tableau2[[#This Row],[Nom_prenom ]])</f>
        <v>0</v>
      </c>
      <c r="AE5" s="277"/>
      <c r="AF5" s="277">
        <f>Tableau2[[#This Row],[Total PV
 client 2024]]-Tableau2[[#This Row],[PV client 
utilisés 2024]]</f>
        <v>0</v>
      </c>
      <c r="AG5" s="278"/>
      <c r="AH5" s="277">
        <f>SUMIFS(RECAP_VENTE_ANNUELLE!$P:$P,RECAP_VENTE_ANNUELLE!$R:$R,"2025",RECAP_VENTE_ANNUELLE!$B:$B,Tableau2[[#This Row],[Nom_prenom ]])</f>
        <v>0</v>
      </c>
      <c r="AI5" s="277"/>
      <c r="AJ5" s="277">
        <f>Tableau2[[#This Row],[Total PV
 client 2025]]-Tableau2[[#This Row],[PV client 
utilisés 2025]]</f>
        <v>0</v>
      </c>
      <c r="AK5" s="279"/>
    </row>
    <row r="6" spans="1:37">
      <c r="A6" s="85" t="s">
        <v>41</v>
      </c>
      <c r="B6" s="275" t="s">
        <v>804</v>
      </c>
      <c r="C6" s="242" t="s">
        <v>138</v>
      </c>
      <c r="D6" s="242" t="s">
        <v>139</v>
      </c>
      <c r="E6" s="86" t="s">
        <v>140</v>
      </c>
      <c r="F6" s="242" t="s">
        <v>141</v>
      </c>
      <c r="G6" s="149" t="s">
        <v>142</v>
      </c>
      <c r="H6" s="151">
        <f>SUMPRODUCT((Tableau4[Nom_prenom ]=B6)*(Tableau4[Quantités]))</f>
        <v>16</v>
      </c>
      <c r="I6" s="71">
        <f>SUMPRODUCT((Tableau4[Nom_prenom ]=$B6)*(Tableau4[Total_Client]))</f>
        <v>314.7</v>
      </c>
      <c r="J6" s="277">
        <f>SUMIFS(RECAP_VENTE_ANNUELLE!$P:$P,RECAP_VENTE_ANNUELLE!$R:$R,"2019",RECAP_VENTE_ANNUELLE!$B:$B,Tableau2[[#This Row],[Nom_prenom ]])</f>
        <v>163.5</v>
      </c>
      <c r="K6" s="277"/>
      <c r="L6" s="277">
        <f>Tableau2[[#This Row],[Total PV client 2019]]-Tableau2[[#This Row],[PV client 
utilisés 2019]]</f>
        <v>163.5</v>
      </c>
      <c r="M6" s="278"/>
      <c r="N6" s="277">
        <f>SUMIFS(RECAP_VENTE_ANNUELLE!$P:$P,RECAP_VENTE_ANNUELLE!$R:$R,"2020",RECAP_VENTE_ANNUELLE!$B:$B,Tableau2[[#This Row],[Nom_prenom ]])</f>
        <v>34</v>
      </c>
      <c r="O6" s="277"/>
      <c r="P6" s="277">
        <f>Tableau2[[#This Row],[Total PV client 2020]]-Tableau2[[#This Row],[PV client 
utilisés 2020]]</f>
        <v>34</v>
      </c>
      <c r="Q6" s="278"/>
      <c r="R6" s="277">
        <f>SUMIFS(RECAP_VENTE_ANNUELLE!$P:$P,RECAP_VENTE_ANNUELLE!$R:$R,"2021",RECAP_VENTE_ANNUELLE!$B:$B,Tableau2[[#This Row],[Nom_prenom ]])</f>
        <v>0</v>
      </c>
      <c r="S6" s="277"/>
      <c r="T6" s="277">
        <f>Tableau2[[#This Row],[Total PV client 2021]]-Tableau2[[#This Row],[PV client 
utilisés 2021]]</f>
        <v>0</v>
      </c>
      <c r="U6" s="278"/>
      <c r="V6" s="277">
        <f>SUMIFS(RECAP_VENTE_ANNUELLE!$P:$P,RECAP_VENTE_ANNUELLE!$R:$R,"2022",RECAP_VENTE_ANNUELLE!$B:$B,Tableau2[[#This Row],[Nom_prenom ]])</f>
        <v>0</v>
      </c>
      <c r="W6" s="277"/>
      <c r="X6" s="277">
        <f>Tableau2[[#This Row],[Total PV
 client 2022]]-Tableau2[[#This Row],[PV client 
utilisés 2022]]</f>
        <v>0</v>
      </c>
      <c r="Y6" s="278"/>
      <c r="Z6" s="277">
        <f>SUMIFS(RECAP_VENTE_ANNUELLE!$P:$P,RECAP_VENTE_ANNUELLE!$R:$R,"2023",RECAP_VENTE_ANNUELLE!$B:$B,Tableau2[[#This Row],[Nom_prenom ]])</f>
        <v>0</v>
      </c>
      <c r="AA6" s="277"/>
      <c r="AB6" s="277">
        <f>Tableau2[[#This Row],[Total PV
 client 2023]]-Tableau2[[#This Row],[PV client 
utilisés 2023]]</f>
        <v>0</v>
      </c>
      <c r="AC6" s="278"/>
      <c r="AD6" s="277">
        <f>SUMIFS(RECAP_VENTE_ANNUELLE!$P:$P,RECAP_VENTE_ANNUELLE!$R:$R,"2024",RECAP_VENTE_ANNUELLE!$B:$B,Tableau2[[#This Row],[Nom_prenom ]])</f>
        <v>0</v>
      </c>
      <c r="AE6" s="277"/>
      <c r="AF6" s="277">
        <f>Tableau2[[#This Row],[Total PV
 client 2024]]-Tableau2[[#This Row],[PV client 
utilisés 2024]]</f>
        <v>0</v>
      </c>
      <c r="AG6" s="278"/>
      <c r="AH6" s="277">
        <f>SUMIFS(RECAP_VENTE_ANNUELLE!$P:$P,RECAP_VENTE_ANNUELLE!$R:$R,"2025",RECAP_VENTE_ANNUELLE!$B:$B,Tableau2[[#This Row],[Nom_prenom ]])</f>
        <v>0</v>
      </c>
      <c r="AI6" s="277"/>
      <c r="AJ6" s="277">
        <f>Tableau2[[#This Row],[Total PV
 client 2025]]-Tableau2[[#This Row],[PV client 
utilisés 2025]]</f>
        <v>0</v>
      </c>
      <c r="AK6" s="279"/>
    </row>
    <row r="7" spans="1:37">
      <c r="A7" s="85" t="s">
        <v>41</v>
      </c>
      <c r="B7" s="275" t="s">
        <v>805</v>
      </c>
      <c r="C7" s="242" t="s">
        <v>143</v>
      </c>
      <c r="D7" s="242" t="s">
        <v>144</v>
      </c>
      <c r="E7" s="86" t="s">
        <v>145</v>
      </c>
      <c r="F7" s="242" t="s">
        <v>146</v>
      </c>
      <c r="G7" s="149" t="s">
        <v>147</v>
      </c>
      <c r="H7" s="151">
        <f>SUMPRODUCT((Tableau4[Nom_prenom ]=B7)*(Tableau4[Quantités]))</f>
        <v>2</v>
      </c>
      <c r="I7" s="71">
        <f>SUMPRODUCT((Tableau4[Nom_prenom ]=$B7)*(Tableau4[Total_Client]))</f>
        <v>81.849999999999994</v>
      </c>
      <c r="J7" s="277">
        <f>SUMIFS(RECAP_VENTE_ANNUELLE!$P:$P,RECAP_VENTE_ANNUELLE!$R:$R,"2019",RECAP_VENTE_ANNUELLE!$B:$B,Tableau2[[#This Row],[Nom_prenom ]])</f>
        <v>48</v>
      </c>
      <c r="K7" s="277"/>
      <c r="L7" s="277">
        <f>Tableau2[[#This Row],[Total PV client 2019]]-Tableau2[[#This Row],[PV client 
utilisés 2019]]</f>
        <v>48</v>
      </c>
      <c r="M7" s="278"/>
      <c r="N7" s="277">
        <f>SUMIFS(RECAP_VENTE_ANNUELLE!$P:$P,RECAP_VENTE_ANNUELLE!$R:$R,"2020",RECAP_VENTE_ANNUELLE!$B:$B,Tableau2[[#This Row],[Nom_prenom ]])</f>
        <v>0</v>
      </c>
      <c r="O7" s="277"/>
      <c r="P7" s="277">
        <f>Tableau2[[#This Row],[Total PV client 2020]]-Tableau2[[#This Row],[PV client 
utilisés 2020]]</f>
        <v>0</v>
      </c>
      <c r="Q7" s="278"/>
      <c r="R7" s="277">
        <f>SUMIFS(RECAP_VENTE_ANNUELLE!$P:$P,RECAP_VENTE_ANNUELLE!$R:$R,"2021",RECAP_VENTE_ANNUELLE!$B:$B,Tableau2[[#This Row],[Nom_prenom ]])</f>
        <v>0</v>
      </c>
      <c r="S7" s="277"/>
      <c r="T7" s="277">
        <f>Tableau2[[#This Row],[Total PV client 2021]]-Tableau2[[#This Row],[PV client 
utilisés 2021]]</f>
        <v>0</v>
      </c>
      <c r="U7" s="278"/>
      <c r="V7" s="277">
        <f>SUMIFS(RECAP_VENTE_ANNUELLE!$P:$P,RECAP_VENTE_ANNUELLE!$R:$R,"2022",RECAP_VENTE_ANNUELLE!$B:$B,Tableau2[[#This Row],[Nom_prenom ]])</f>
        <v>0</v>
      </c>
      <c r="W7" s="277"/>
      <c r="X7" s="277">
        <f>Tableau2[[#This Row],[Total PV
 client 2022]]-Tableau2[[#This Row],[PV client 
utilisés 2022]]</f>
        <v>0</v>
      </c>
      <c r="Y7" s="278"/>
      <c r="Z7" s="277">
        <f>SUMIFS(RECAP_VENTE_ANNUELLE!$P:$P,RECAP_VENTE_ANNUELLE!$R:$R,"2023",RECAP_VENTE_ANNUELLE!$B:$B,Tableau2[[#This Row],[Nom_prenom ]])</f>
        <v>0</v>
      </c>
      <c r="AA7" s="277"/>
      <c r="AB7" s="277">
        <f>Tableau2[[#This Row],[Total PV
 client 2023]]-Tableau2[[#This Row],[PV client 
utilisés 2023]]</f>
        <v>0</v>
      </c>
      <c r="AC7" s="278"/>
      <c r="AD7" s="277">
        <f>SUMIFS(RECAP_VENTE_ANNUELLE!$P:$P,RECAP_VENTE_ANNUELLE!$R:$R,"2024",RECAP_VENTE_ANNUELLE!$B:$B,Tableau2[[#This Row],[Nom_prenom ]])</f>
        <v>0</v>
      </c>
      <c r="AE7" s="277"/>
      <c r="AF7" s="277">
        <f>Tableau2[[#This Row],[Total PV
 client 2024]]-Tableau2[[#This Row],[PV client 
utilisés 2024]]</f>
        <v>0</v>
      </c>
      <c r="AG7" s="278"/>
      <c r="AH7" s="277">
        <f>SUMIFS(RECAP_VENTE_ANNUELLE!$P:$P,RECAP_VENTE_ANNUELLE!$R:$R,"2025",RECAP_VENTE_ANNUELLE!$B:$B,Tableau2[[#This Row],[Nom_prenom ]])</f>
        <v>0</v>
      </c>
      <c r="AI7" s="277"/>
      <c r="AJ7" s="277">
        <f>Tableau2[[#This Row],[Total PV
 client 2025]]-Tableau2[[#This Row],[PV client 
utilisés 2025]]</f>
        <v>0</v>
      </c>
      <c r="AK7" s="279"/>
    </row>
    <row r="8" spans="1:37">
      <c r="A8" s="85" t="s">
        <v>39</v>
      </c>
      <c r="B8" s="275" t="s">
        <v>806</v>
      </c>
      <c r="C8" s="242" t="s">
        <v>148</v>
      </c>
      <c r="D8" s="242" t="s">
        <v>149</v>
      </c>
      <c r="E8" s="86" t="s">
        <v>150</v>
      </c>
      <c r="F8" s="242" t="s">
        <v>151</v>
      </c>
      <c r="G8" s="149" t="s">
        <v>152</v>
      </c>
      <c r="H8" s="151">
        <f>SUMPRODUCT((Tableau4[Nom_prenom ]=B8)*(Tableau4[Quantités]))</f>
        <v>3</v>
      </c>
      <c r="I8" s="71">
        <f>SUMPRODUCT((Tableau4[Nom_prenom ]=$B8)*(Tableau4[Total_Client]))</f>
        <v>45.699999999999996</v>
      </c>
      <c r="J8" s="277">
        <f>SUMIFS(RECAP_VENTE_ANNUELLE!$P:$P,RECAP_VENTE_ANNUELLE!$R:$R,"2019",RECAP_VENTE_ANNUELLE!$B:$B,Tableau2[[#This Row],[Nom_prenom ]])</f>
        <v>0</v>
      </c>
      <c r="K8" s="277"/>
      <c r="L8" s="277">
        <f>Tableau2[[#This Row],[Total PV client 2019]]-Tableau2[[#This Row],[PV client 
utilisés 2019]]</f>
        <v>0</v>
      </c>
      <c r="M8" s="278"/>
      <c r="N8" s="277">
        <f>SUMIFS(RECAP_VENTE_ANNUELLE!$P:$P,RECAP_VENTE_ANNUELLE!$R:$R,"2020",RECAP_VENTE_ANNUELLE!$B:$B,Tableau2[[#This Row],[Nom_prenom ]])</f>
        <v>13</v>
      </c>
      <c r="O8" s="277"/>
      <c r="P8" s="277">
        <f>Tableau2[[#This Row],[Total PV client 2020]]-Tableau2[[#This Row],[PV client 
utilisés 2020]]</f>
        <v>13</v>
      </c>
      <c r="Q8" s="278"/>
      <c r="R8" s="277">
        <f>SUMIFS(RECAP_VENTE_ANNUELLE!$P:$P,RECAP_VENTE_ANNUELLE!$R:$R,"2021",RECAP_VENTE_ANNUELLE!$B:$B,Tableau2[[#This Row],[Nom_prenom ]])</f>
        <v>0</v>
      </c>
      <c r="S8" s="277"/>
      <c r="T8" s="277">
        <f>Tableau2[[#This Row],[Total PV client 2021]]-Tableau2[[#This Row],[PV client 
utilisés 2021]]</f>
        <v>0</v>
      </c>
      <c r="U8" s="278"/>
      <c r="V8" s="277">
        <f>SUMIFS(RECAP_VENTE_ANNUELLE!$P:$P,RECAP_VENTE_ANNUELLE!$R:$R,"2022",RECAP_VENTE_ANNUELLE!$B:$B,Tableau2[[#This Row],[Nom_prenom ]])</f>
        <v>0</v>
      </c>
      <c r="W8" s="277"/>
      <c r="X8" s="277">
        <f>Tableau2[[#This Row],[Total PV
 client 2022]]-Tableau2[[#This Row],[PV client 
utilisés 2022]]</f>
        <v>0</v>
      </c>
      <c r="Y8" s="278"/>
      <c r="Z8" s="277">
        <f>SUMIFS(RECAP_VENTE_ANNUELLE!$P:$P,RECAP_VENTE_ANNUELLE!$R:$R,"2023",RECAP_VENTE_ANNUELLE!$B:$B,Tableau2[[#This Row],[Nom_prenom ]])</f>
        <v>0</v>
      </c>
      <c r="AA8" s="277"/>
      <c r="AB8" s="277">
        <f>Tableau2[[#This Row],[Total PV
 client 2023]]-Tableau2[[#This Row],[PV client 
utilisés 2023]]</f>
        <v>0</v>
      </c>
      <c r="AC8" s="278"/>
      <c r="AD8" s="277">
        <f>SUMIFS(RECAP_VENTE_ANNUELLE!$P:$P,RECAP_VENTE_ANNUELLE!$R:$R,"2024",RECAP_VENTE_ANNUELLE!$B:$B,Tableau2[[#This Row],[Nom_prenom ]])</f>
        <v>0</v>
      </c>
      <c r="AE8" s="277"/>
      <c r="AF8" s="277">
        <f>Tableau2[[#This Row],[Total PV
 client 2024]]-Tableau2[[#This Row],[PV client 
utilisés 2024]]</f>
        <v>0</v>
      </c>
      <c r="AG8" s="278"/>
      <c r="AH8" s="277">
        <f>SUMIFS(RECAP_VENTE_ANNUELLE!$P:$P,RECAP_VENTE_ANNUELLE!$R:$R,"2025",RECAP_VENTE_ANNUELLE!$B:$B,Tableau2[[#This Row],[Nom_prenom ]])</f>
        <v>0</v>
      </c>
      <c r="AI8" s="277"/>
      <c r="AJ8" s="277">
        <f>Tableau2[[#This Row],[Total PV
 client 2025]]-Tableau2[[#This Row],[PV client 
utilisés 2025]]</f>
        <v>0</v>
      </c>
      <c r="AK8" s="279"/>
    </row>
    <row r="9" spans="1:37">
      <c r="A9" s="85" t="s">
        <v>41</v>
      </c>
      <c r="B9" s="275" t="s">
        <v>807</v>
      </c>
      <c r="C9" s="242" t="s">
        <v>153</v>
      </c>
      <c r="D9" s="242" t="s">
        <v>154</v>
      </c>
      <c r="E9" s="86" t="s">
        <v>155</v>
      </c>
      <c r="F9" s="242" t="s">
        <v>156</v>
      </c>
      <c r="G9" s="149" t="s">
        <v>157</v>
      </c>
      <c r="H9" s="151">
        <f>SUMPRODUCT((Tableau4[Nom_prenom ]=B9)*(Tableau4[Quantités]))</f>
        <v>5</v>
      </c>
      <c r="I9" s="71">
        <f>SUMPRODUCT((Tableau4[Nom_prenom ]=$B9)*(Tableau4[Total_Client]))</f>
        <v>25.7</v>
      </c>
      <c r="J9" s="277">
        <f>SUMIFS(RECAP_VENTE_ANNUELLE!$P:$P,RECAP_VENTE_ANNUELLE!$R:$R,"2019",RECAP_VENTE_ANNUELLE!$B:$B,Tableau2[[#This Row],[Nom_prenom ]])</f>
        <v>6.5</v>
      </c>
      <c r="K9" s="277"/>
      <c r="L9" s="277">
        <f>Tableau2[[#This Row],[Total PV client 2019]]-Tableau2[[#This Row],[PV client 
utilisés 2019]]</f>
        <v>6.5</v>
      </c>
      <c r="M9" s="278"/>
      <c r="N9" s="277">
        <f>SUMIFS(RECAP_VENTE_ANNUELLE!$P:$P,RECAP_VENTE_ANNUELLE!$R:$R,"2020",RECAP_VENTE_ANNUELLE!$B:$B,Tableau2[[#This Row],[Nom_prenom ]])</f>
        <v>15.5</v>
      </c>
      <c r="O9" s="277"/>
      <c r="P9" s="277">
        <f>Tableau2[[#This Row],[Total PV client 2020]]-Tableau2[[#This Row],[PV client 
utilisés 2020]]</f>
        <v>15.5</v>
      </c>
      <c r="Q9" s="278"/>
      <c r="R9" s="277">
        <f>SUMIFS(RECAP_VENTE_ANNUELLE!$P:$P,RECAP_VENTE_ANNUELLE!$R:$R,"2021",RECAP_VENTE_ANNUELLE!$B:$B,Tableau2[[#This Row],[Nom_prenom ]])</f>
        <v>0</v>
      </c>
      <c r="S9" s="277"/>
      <c r="T9" s="277">
        <f>Tableau2[[#This Row],[Total PV client 2021]]-Tableau2[[#This Row],[PV client 
utilisés 2021]]</f>
        <v>0</v>
      </c>
      <c r="U9" s="278"/>
      <c r="V9" s="277">
        <f>SUMIFS(RECAP_VENTE_ANNUELLE!$P:$P,RECAP_VENTE_ANNUELLE!$R:$R,"2022",RECAP_VENTE_ANNUELLE!$B:$B,Tableau2[[#This Row],[Nom_prenom ]])</f>
        <v>0</v>
      </c>
      <c r="W9" s="277"/>
      <c r="X9" s="277">
        <f>Tableau2[[#This Row],[Total PV
 client 2022]]-Tableau2[[#This Row],[PV client 
utilisés 2022]]</f>
        <v>0</v>
      </c>
      <c r="Y9" s="278"/>
      <c r="Z9" s="277">
        <f>SUMIFS(RECAP_VENTE_ANNUELLE!$P:$P,RECAP_VENTE_ANNUELLE!$R:$R,"2023",RECAP_VENTE_ANNUELLE!$B:$B,Tableau2[[#This Row],[Nom_prenom ]])</f>
        <v>0</v>
      </c>
      <c r="AA9" s="277"/>
      <c r="AB9" s="277">
        <f>Tableau2[[#This Row],[Total PV
 client 2023]]-Tableau2[[#This Row],[PV client 
utilisés 2023]]</f>
        <v>0</v>
      </c>
      <c r="AC9" s="278"/>
      <c r="AD9" s="277">
        <f>SUMIFS(RECAP_VENTE_ANNUELLE!$P:$P,RECAP_VENTE_ANNUELLE!$R:$R,"2024",RECAP_VENTE_ANNUELLE!$B:$B,Tableau2[[#This Row],[Nom_prenom ]])</f>
        <v>0</v>
      </c>
      <c r="AE9" s="277"/>
      <c r="AF9" s="277">
        <f>Tableau2[[#This Row],[Total PV
 client 2024]]-Tableau2[[#This Row],[PV client 
utilisés 2024]]</f>
        <v>0</v>
      </c>
      <c r="AG9" s="278"/>
      <c r="AH9" s="277">
        <f>SUMIFS(RECAP_VENTE_ANNUELLE!$P:$P,RECAP_VENTE_ANNUELLE!$R:$R,"2025",RECAP_VENTE_ANNUELLE!$B:$B,Tableau2[[#This Row],[Nom_prenom ]])</f>
        <v>0</v>
      </c>
      <c r="AI9" s="277"/>
      <c r="AJ9" s="277">
        <f>Tableau2[[#This Row],[Total PV
 client 2025]]-Tableau2[[#This Row],[PV client 
utilisés 2025]]</f>
        <v>0</v>
      </c>
      <c r="AK9" s="279"/>
    </row>
    <row r="10" spans="1:37">
      <c r="A10" s="148" t="s">
        <v>41</v>
      </c>
      <c r="B10" s="275" t="s">
        <v>898</v>
      </c>
      <c r="C10" s="242" t="s">
        <v>158</v>
      </c>
      <c r="D10" s="242" t="s">
        <v>159</v>
      </c>
      <c r="E10" s="86" t="s">
        <v>160</v>
      </c>
      <c r="F10" s="242" t="s">
        <v>161</v>
      </c>
      <c r="G10" s="149" t="s">
        <v>162</v>
      </c>
      <c r="H10" s="151">
        <f>SUMPRODUCT((Tableau4[Nom_prenom ]=B10)*(Tableau4[Quantités]))</f>
        <v>0</v>
      </c>
      <c r="I10" s="71">
        <f>SUMPRODUCT((Tableau4[Nom_prenom ]=$B10)*(Tableau4[Total_Client]))</f>
        <v>0</v>
      </c>
      <c r="J10" s="277">
        <f>SUMIFS(RECAP_VENTE_ANNUELLE!$P:$P,RECAP_VENTE_ANNUELLE!$R:$R,"2019",RECAP_VENTE_ANNUELLE!$B:$B,Tableau2[[#This Row],[Nom_prenom ]])</f>
        <v>0</v>
      </c>
      <c r="K10" s="277"/>
      <c r="L10" s="277">
        <f>Tableau2[[#This Row],[Total PV client 2019]]-Tableau2[[#This Row],[PV client 
utilisés 2019]]</f>
        <v>0</v>
      </c>
      <c r="M10" s="278"/>
      <c r="N10" s="277">
        <f>SUMIFS(RECAP_VENTE_ANNUELLE!$P:$P,RECAP_VENTE_ANNUELLE!$R:$R,"2020",RECAP_VENTE_ANNUELLE!$B:$B,Tableau2[[#This Row],[Nom_prenom ]])</f>
        <v>0</v>
      </c>
      <c r="O10" s="277"/>
      <c r="P10" s="277">
        <f>Tableau2[[#This Row],[Total PV client 2020]]-Tableau2[[#This Row],[PV client 
utilisés 2020]]</f>
        <v>0</v>
      </c>
      <c r="Q10" s="278"/>
      <c r="R10" s="277">
        <f>SUMIFS(RECAP_VENTE_ANNUELLE!$P:$P,RECAP_VENTE_ANNUELLE!$R:$R,"2021",RECAP_VENTE_ANNUELLE!$B:$B,Tableau2[[#This Row],[Nom_prenom ]])</f>
        <v>0</v>
      </c>
      <c r="S10" s="277"/>
      <c r="T10" s="277">
        <f>Tableau2[[#This Row],[Total PV client 2021]]-Tableau2[[#This Row],[PV client 
utilisés 2021]]</f>
        <v>0</v>
      </c>
      <c r="U10" s="278"/>
      <c r="V10" s="277">
        <f>SUMIFS(RECAP_VENTE_ANNUELLE!$P:$P,RECAP_VENTE_ANNUELLE!$R:$R,"2022",RECAP_VENTE_ANNUELLE!$B:$B,Tableau2[[#This Row],[Nom_prenom ]])</f>
        <v>0</v>
      </c>
      <c r="W10" s="277"/>
      <c r="X10" s="277">
        <f>Tableau2[[#This Row],[Total PV
 client 2022]]-Tableau2[[#This Row],[PV client 
utilisés 2022]]</f>
        <v>0</v>
      </c>
      <c r="Y10" s="278"/>
      <c r="Z10" s="277">
        <f>SUMIFS(RECAP_VENTE_ANNUELLE!$P:$P,RECAP_VENTE_ANNUELLE!$R:$R,"2023",RECAP_VENTE_ANNUELLE!$B:$B,Tableau2[[#This Row],[Nom_prenom ]])</f>
        <v>0</v>
      </c>
      <c r="AA10" s="277"/>
      <c r="AB10" s="277">
        <f>Tableau2[[#This Row],[Total PV
 client 2023]]-Tableau2[[#This Row],[PV client 
utilisés 2023]]</f>
        <v>0</v>
      </c>
      <c r="AC10" s="278"/>
      <c r="AD10" s="277">
        <f>SUMIFS(RECAP_VENTE_ANNUELLE!$P:$P,RECAP_VENTE_ANNUELLE!$R:$R,"2024",RECAP_VENTE_ANNUELLE!$B:$B,Tableau2[[#This Row],[Nom_prenom ]])</f>
        <v>0</v>
      </c>
      <c r="AE10" s="277"/>
      <c r="AF10" s="277">
        <f>Tableau2[[#This Row],[Total PV
 client 2024]]-Tableau2[[#This Row],[PV client 
utilisés 2024]]</f>
        <v>0</v>
      </c>
      <c r="AG10" s="278"/>
      <c r="AH10" s="277">
        <f>SUMIFS(RECAP_VENTE_ANNUELLE!$P:$P,RECAP_VENTE_ANNUELLE!$R:$R,"2025",RECAP_VENTE_ANNUELLE!$B:$B,Tableau2[[#This Row],[Nom_prenom ]])</f>
        <v>0</v>
      </c>
      <c r="AI10" s="277"/>
      <c r="AJ10" s="277">
        <f>Tableau2[[#This Row],[Total PV
 client 2025]]-Tableau2[[#This Row],[PV client 
utilisés 2025]]</f>
        <v>0</v>
      </c>
      <c r="AK10" s="279"/>
    </row>
    <row r="11" spans="1:37">
      <c r="A11" s="85" t="s">
        <v>41</v>
      </c>
      <c r="B11" s="275" t="s">
        <v>808</v>
      </c>
      <c r="C11" s="242" t="s">
        <v>163</v>
      </c>
      <c r="D11" s="242" t="s">
        <v>164</v>
      </c>
      <c r="E11" s="86" t="s">
        <v>165</v>
      </c>
      <c r="F11" s="242" t="s">
        <v>166</v>
      </c>
      <c r="G11" s="149" t="s">
        <v>167</v>
      </c>
      <c r="H11" s="151">
        <f>SUMPRODUCT((Tableau4[Nom_prenom ]=B11)*(Tableau4[Quantités]))</f>
        <v>3</v>
      </c>
      <c r="I11" s="71">
        <f>SUMPRODUCT((Tableau4[Nom_prenom ]=$B11)*(Tableau4[Total_Client]))</f>
        <v>38</v>
      </c>
      <c r="J11" s="277">
        <f>SUMIFS(RECAP_VENTE_ANNUELLE!$P:$P,RECAP_VENTE_ANNUELLE!$R:$R,"2019",RECAP_VENTE_ANNUELLE!$B:$B,Tableau2[[#This Row],[Nom_prenom ]])</f>
        <v>0</v>
      </c>
      <c r="K11" s="277"/>
      <c r="L11" s="277">
        <f>Tableau2[[#This Row],[Total PV client 2019]]-Tableau2[[#This Row],[PV client 
utilisés 2019]]</f>
        <v>0</v>
      </c>
      <c r="M11" s="278"/>
      <c r="N11" s="277">
        <f>SUMIFS(RECAP_VENTE_ANNUELLE!$P:$P,RECAP_VENTE_ANNUELLE!$R:$R,"2020",RECAP_VENTE_ANNUELLE!$B:$B,Tableau2[[#This Row],[Nom_prenom ]])</f>
        <v>34</v>
      </c>
      <c r="O11" s="277"/>
      <c r="P11" s="277">
        <f>Tableau2[[#This Row],[Total PV client 2020]]-Tableau2[[#This Row],[PV client 
utilisés 2020]]</f>
        <v>34</v>
      </c>
      <c r="Q11" s="278"/>
      <c r="R11" s="277">
        <f>SUMIFS(RECAP_VENTE_ANNUELLE!$P:$P,RECAP_VENTE_ANNUELLE!$R:$R,"2021",RECAP_VENTE_ANNUELLE!$B:$B,Tableau2[[#This Row],[Nom_prenom ]])</f>
        <v>0</v>
      </c>
      <c r="S11" s="277"/>
      <c r="T11" s="277">
        <f>Tableau2[[#This Row],[Total PV client 2021]]-Tableau2[[#This Row],[PV client 
utilisés 2021]]</f>
        <v>0</v>
      </c>
      <c r="U11" s="278"/>
      <c r="V11" s="277">
        <f>SUMIFS(RECAP_VENTE_ANNUELLE!$P:$P,RECAP_VENTE_ANNUELLE!$R:$R,"2022",RECAP_VENTE_ANNUELLE!$B:$B,Tableau2[[#This Row],[Nom_prenom ]])</f>
        <v>0</v>
      </c>
      <c r="W11" s="277"/>
      <c r="X11" s="277">
        <f>Tableau2[[#This Row],[Total PV
 client 2022]]-Tableau2[[#This Row],[PV client 
utilisés 2022]]</f>
        <v>0</v>
      </c>
      <c r="Y11" s="278"/>
      <c r="Z11" s="277">
        <f>SUMIFS(RECAP_VENTE_ANNUELLE!$P:$P,RECAP_VENTE_ANNUELLE!$R:$R,"2023",RECAP_VENTE_ANNUELLE!$B:$B,Tableau2[[#This Row],[Nom_prenom ]])</f>
        <v>0</v>
      </c>
      <c r="AA11" s="277"/>
      <c r="AB11" s="277">
        <f>Tableau2[[#This Row],[Total PV
 client 2023]]-Tableau2[[#This Row],[PV client 
utilisés 2023]]</f>
        <v>0</v>
      </c>
      <c r="AC11" s="278"/>
      <c r="AD11" s="277">
        <f>SUMIFS(RECAP_VENTE_ANNUELLE!$P:$P,RECAP_VENTE_ANNUELLE!$R:$R,"2024",RECAP_VENTE_ANNUELLE!$B:$B,Tableau2[[#This Row],[Nom_prenom ]])</f>
        <v>0</v>
      </c>
      <c r="AE11" s="277"/>
      <c r="AF11" s="277">
        <f>Tableau2[[#This Row],[Total PV
 client 2024]]-Tableau2[[#This Row],[PV client 
utilisés 2024]]</f>
        <v>0</v>
      </c>
      <c r="AG11" s="278"/>
      <c r="AH11" s="277">
        <f>SUMIFS(RECAP_VENTE_ANNUELLE!$P:$P,RECAP_VENTE_ANNUELLE!$R:$R,"2025",RECAP_VENTE_ANNUELLE!$B:$B,Tableau2[[#This Row],[Nom_prenom ]])</f>
        <v>0</v>
      </c>
      <c r="AI11" s="277"/>
      <c r="AJ11" s="277">
        <f>Tableau2[[#This Row],[Total PV
 client 2025]]-Tableau2[[#This Row],[PV client 
utilisés 2025]]</f>
        <v>0</v>
      </c>
      <c r="AK11" s="279"/>
    </row>
    <row r="12" spans="1:37">
      <c r="A12" s="85" t="s">
        <v>41</v>
      </c>
      <c r="B12" s="275" t="s">
        <v>809</v>
      </c>
      <c r="C12" s="242" t="s">
        <v>168</v>
      </c>
      <c r="D12" s="242" t="s">
        <v>169</v>
      </c>
      <c r="E12" s="86" t="s">
        <v>170</v>
      </c>
      <c r="F12" s="242" t="s">
        <v>171</v>
      </c>
      <c r="G12" s="149" t="s">
        <v>172</v>
      </c>
      <c r="H12" s="151">
        <f>SUMPRODUCT((Tableau4[Nom_prenom ]=B12)*(Tableau4[Quantités]))</f>
        <v>3</v>
      </c>
      <c r="I12" s="71">
        <f>SUMPRODUCT((Tableau4[Nom_prenom ]=$B12)*(Tableau4[Total_Client]))</f>
        <v>54.8</v>
      </c>
      <c r="J12" s="277">
        <f>SUMIFS(RECAP_VENTE_ANNUELLE!$P:$P,RECAP_VENTE_ANNUELLE!$R:$R,"2019",RECAP_VENTE_ANNUELLE!$B:$B,Tableau2[[#This Row],[Nom_prenom ]])</f>
        <v>28.5</v>
      </c>
      <c r="K12" s="277"/>
      <c r="L12" s="277">
        <f>Tableau2[[#This Row],[Total PV client 2019]]-Tableau2[[#This Row],[PV client 
utilisés 2019]]</f>
        <v>28.5</v>
      </c>
      <c r="M12" s="278"/>
      <c r="N12" s="277">
        <f>SUMIFS(RECAP_VENTE_ANNUELLE!$P:$P,RECAP_VENTE_ANNUELLE!$R:$R,"2020",RECAP_VENTE_ANNUELLE!$B:$B,Tableau2[[#This Row],[Nom_prenom ]])</f>
        <v>0</v>
      </c>
      <c r="O12" s="277"/>
      <c r="P12" s="277">
        <f>Tableau2[[#This Row],[Total PV client 2020]]-Tableau2[[#This Row],[PV client 
utilisés 2020]]</f>
        <v>0</v>
      </c>
      <c r="Q12" s="278"/>
      <c r="R12" s="277">
        <f>SUMIFS(RECAP_VENTE_ANNUELLE!$P:$P,RECAP_VENTE_ANNUELLE!$R:$R,"2021",RECAP_VENTE_ANNUELLE!$B:$B,Tableau2[[#This Row],[Nom_prenom ]])</f>
        <v>0</v>
      </c>
      <c r="S12" s="277"/>
      <c r="T12" s="277">
        <f>Tableau2[[#This Row],[Total PV client 2021]]-Tableau2[[#This Row],[PV client 
utilisés 2021]]</f>
        <v>0</v>
      </c>
      <c r="U12" s="278"/>
      <c r="V12" s="277">
        <f>SUMIFS(RECAP_VENTE_ANNUELLE!$P:$P,RECAP_VENTE_ANNUELLE!$R:$R,"2022",RECAP_VENTE_ANNUELLE!$B:$B,Tableau2[[#This Row],[Nom_prenom ]])</f>
        <v>0</v>
      </c>
      <c r="W12" s="277"/>
      <c r="X12" s="277">
        <f>Tableau2[[#This Row],[Total PV
 client 2022]]-Tableau2[[#This Row],[PV client 
utilisés 2022]]</f>
        <v>0</v>
      </c>
      <c r="Y12" s="278"/>
      <c r="Z12" s="277">
        <f>SUMIFS(RECAP_VENTE_ANNUELLE!$P:$P,RECAP_VENTE_ANNUELLE!$R:$R,"2023",RECAP_VENTE_ANNUELLE!$B:$B,Tableau2[[#This Row],[Nom_prenom ]])</f>
        <v>0</v>
      </c>
      <c r="AA12" s="277"/>
      <c r="AB12" s="277">
        <f>Tableau2[[#This Row],[Total PV
 client 2023]]-Tableau2[[#This Row],[PV client 
utilisés 2023]]</f>
        <v>0</v>
      </c>
      <c r="AC12" s="278"/>
      <c r="AD12" s="277">
        <f>SUMIFS(RECAP_VENTE_ANNUELLE!$P:$P,RECAP_VENTE_ANNUELLE!$R:$R,"2024",RECAP_VENTE_ANNUELLE!$B:$B,Tableau2[[#This Row],[Nom_prenom ]])</f>
        <v>0</v>
      </c>
      <c r="AE12" s="277"/>
      <c r="AF12" s="277">
        <f>Tableau2[[#This Row],[Total PV
 client 2024]]-Tableau2[[#This Row],[PV client 
utilisés 2024]]</f>
        <v>0</v>
      </c>
      <c r="AG12" s="278"/>
      <c r="AH12" s="277">
        <f>SUMIFS(RECAP_VENTE_ANNUELLE!$P:$P,RECAP_VENTE_ANNUELLE!$R:$R,"2025",RECAP_VENTE_ANNUELLE!$B:$B,Tableau2[[#This Row],[Nom_prenom ]])</f>
        <v>0</v>
      </c>
      <c r="AI12" s="277"/>
      <c r="AJ12" s="277">
        <f>Tableau2[[#This Row],[Total PV
 client 2025]]-Tableau2[[#This Row],[PV client 
utilisés 2025]]</f>
        <v>0</v>
      </c>
      <c r="AK12" s="279"/>
    </row>
    <row r="13" spans="1:37">
      <c r="A13" s="85" t="s">
        <v>41</v>
      </c>
      <c r="B13" s="275" t="s">
        <v>810</v>
      </c>
      <c r="C13" s="242" t="s">
        <v>173</v>
      </c>
      <c r="D13" s="242" t="s">
        <v>174</v>
      </c>
      <c r="E13" s="86" t="s">
        <v>175</v>
      </c>
      <c r="F13" s="242" t="s">
        <v>176</v>
      </c>
      <c r="G13" s="149" t="s">
        <v>177</v>
      </c>
      <c r="H13" s="151">
        <f>SUMPRODUCT((Tableau4[Nom_prenom ]=B13)*(Tableau4[Quantités]))</f>
        <v>4</v>
      </c>
      <c r="I13" s="71">
        <f>SUMPRODUCT((Tableau4[Nom_prenom ]=$B13)*(Tableau4[Total_Client]))</f>
        <v>79.599999999999994</v>
      </c>
      <c r="J13" s="277">
        <f>SUMIFS(RECAP_VENTE_ANNUELLE!$P:$P,RECAP_VENTE_ANNUELLE!$R:$R,"2019",RECAP_VENTE_ANNUELLE!$B:$B,Tableau2[[#This Row],[Nom_prenom ]])</f>
        <v>44</v>
      </c>
      <c r="K13" s="277"/>
      <c r="L13" s="277">
        <f>Tableau2[[#This Row],[Total PV client 2019]]-Tableau2[[#This Row],[PV client 
utilisés 2019]]</f>
        <v>44</v>
      </c>
      <c r="M13" s="278"/>
      <c r="N13" s="277">
        <f>SUMIFS(RECAP_VENTE_ANNUELLE!$P:$P,RECAP_VENTE_ANNUELLE!$R:$R,"2020",RECAP_VENTE_ANNUELLE!$B:$B,Tableau2[[#This Row],[Nom_prenom ]])</f>
        <v>0</v>
      </c>
      <c r="O13" s="277"/>
      <c r="P13" s="277">
        <f>Tableau2[[#This Row],[Total PV client 2020]]-Tableau2[[#This Row],[PV client 
utilisés 2020]]</f>
        <v>0</v>
      </c>
      <c r="Q13" s="278"/>
      <c r="R13" s="277">
        <f>SUMIFS(RECAP_VENTE_ANNUELLE!$P:$P,RECAP_VENTE_ANNUELLE!$R:$R,"2021",RECAP_VENTE_ANNUELLE!$B:$B,Tableau2[[#This Row],[Nom_prenom ]])</f>
        <v>0</v>
      </c>
      <c r="S13" s="277"/>
      <c r="T13" s="277">
        <f>Tableau2[[#This Row],[Total PV client 2021]]-Tableau2[[#This Row],[PV client 
utilisés 2021]]</f>
        <v>0</v>
      </c>
      <c r="U13" s="278"/>
      <c r="V13" s="277">
        <f>SUMIFS(RECAP_VENTE_ANNUELLE!$P:$P,RECAP_VENTE_ANNUELLE!$R:$R,"2022",RECAP_VENTE_ANNUELLE!$B:$B,Tableau2[[#This Row],[Nom_prenom ]])</f>
        <v>0</v>
      </c>
      <c r="W13" s="277"/>
      <c r="X13" s="277">
        <f>Tableau2[[#This Row],[Total PV
 client 2022]]-Tableau2[[#This Row],[PV client 
utilisés 2022]]</f>
        <v>0</v>
      </c>
      <c r="Y13" s="278"/>
      <c r="Z13" s="277">
        <f>SUMIFS(RECAP_VENTE_ANNUELLE!$P:$P,RECAP_VENTE_ANNUELLE!$R:$R,"2023",RECAP_VENTE_ANNUELLE!$B:$B,Tableau2[[#This Row],[Nom_prenom ]])</f>
        <v>0</v>
      </c>
      <c r="AA13" s="277"/>
      <c r="AB13" s="277">
        <f>Tableau2[[#This Row],[Total PV
 client 2023]]-Tableau2[[#This Row],[PV client 
utilisés 2023]]</f>
        <v>0</v>
      </c>
      <c r="AC13" s="278"/>
      <c r="AD13" s="277">
        <f>SUMIFS(RECAP_VENTE_ANNUELLE!$P:$P,RECAP_VENTE_ANNUELLE!$R:$R,"2024",RECAP_VENTE_ANNUELLE!$B:$B,Tableau2[[#This Row],[Nom_prenom ]])</f>
        <v>0</v>
      </c>
      <c r="AE13" s="277"/>
      <c r="AF13" s="277">
        <f>Tableau2[[#This Row],[Total PV
 client 2024]]-Tableau2[[#This Row],[PV client 
utilisés 2024]]</f>
        <v>0</v>
      </c>
      <c r="AG13" s="278"/>
      <c r="AH13" s="277">
        <f>SUMIFS(RECAP_VENTE_ANNUELLE!$P:$P,RECAP_VENTE_ANNUELLE!$R:$R,"2025",RECAP_VENTE_ANNUELLE!$B:$B,Tableau2[[#This Row],[Nom_prenom ]])</f>
        <v>0</v>
      </c>
      <c r="AI13" s="277"/>
      <c r="AJ13" s="277">
        <f>Tableau2[[#This Row],[Total PV
 client 2025]]-Tableau2[[#This Row],[PV client 
utilisés 2025]]</f>
        <v>0</v>
      </c>
      <c r="AK13" s="279"/>
    </row>
    <row r="14" spans="1:37">
      <c r="A14" s="85" t="s">
        <v>41</v>
      </c>
      <c r="B14" s="275" t="s">
        <v>811</v>
      </c>
      <c r="C14" s="242" t="s">
        <v>178</v>
      </c>
      <c r="D14" s="242" t="s">
        <v>179</v>
      </c>
      <c r="E14" s="86" t="s">
        <v>180</v>
      </c>
      <c r="F14" s="242" t="s">
        <v>181</v>
      </c>
      <c r="G14" s="149" t="s">
        <v>182</v>
      </c>
      <c r="H14" s="151">
        <f>SUMPRODUCT((Tableau4[Nom_prenom ]=B14)*(Tableau4[Quantités]))</f>
        <v>1</v>
      </c>
      <c r="I14" s="71">
        <f>SUMPRODUCT((Tableau4[Nom_prenom ]=$B14)*(Tableau4[Total_Client]))</f>
        <v>31.5</v>
      </c>
      <c r="J14" s="277">
        <f>SUMIFS(RECAP_VENTE_ANNUELLE!$P:$P,RECAP_VENTE_ANNUELLE!$R:$R,"2019",RECAP_VENTE_ANNUELLE!$B:$B,Tableau2[[#This Row],[Nom_prenom ]])</f>
        <v>20</v>
      </c>
      <c r="K14" s="277"/>
      <c r="L14" s="277">
        <f>Tableau2[[#This Row],[Total PV client 2019]]-Tableau2[[#This Row],[PV client 
utilisés 2019]]</f>
        <v>20</v>
      </c>
      <c r="M14" s="278"/>
      <c r="N14" s="277">
        <f>SUMIFS(RECAP_VENTE_ANNUELLE!$P:$P,RECAP_VENTE_ANNUELLE!$R:$R,"2020",RECAP_VENTE_ANNUELLE!$B:$B,Tableau2[[#This Row],[Nom_prenom ]])</f>
        <v>0</v>
      </c>
      <c r="O14" s="277"/>
      <c r="P14" s="277">
        <f>Tableau2[[#This Row],[Total PV client 2020]]-Tableau2[[#This Row],[PV client 
utilisés 2020]]</f>
        <v>0</v>
      </c>
      <c r="Q14" s="278"/>
      <c r="R14" s="277">
        <f>SUMIFS(RECAP_VENTE_ANNUELLE!$P:$P,RECAP_VENTE_ANNUELLE!$R:$R,"2021",RECAP_VENTE_ANNUELLE!$B:$B,Tableau2[[#This Row],[Nom_prenom ]])</f>
        <v>0</v>
      </c>
      <c r="S14" s="277"/>
      <c r="T14" s="277">
        <f>Tableau2[[#This Row],[Total PV client 2021]]-Tableau2[[#This Row],[PV client 
utilisés 2021]]</f>
        <v>0</v>
      </c>
      <c r="U14" s="278"/>
      <c r="V14" s="277">
        <f>SUMIFS(RECAP_VENTE_ANNUELLE!$P:$P,RECAP_VENTE_ANNUELLE!$R:$R,"2022",RECAP_VENTE_ANNUELLE!$B:$B,Tableau2[[#This Row],[Nom_prenom ]])</f>
        <v>0</v>
      </c>
      <c r="W14" s="277"/>
      <c r="X14" s="277">
        <f>Tableau2[[#This Row],[Total PV
 client 2022]]-Tableau2[[#This Row],[PV client 
utilisés 2022]]</f>
        <v>0</v>
      </c>
      <c r="Y14" s="278"/>
      <c r="Z14" s="277">
        <f>SUMIFS(RECAP_VENTE_ANNUELLE!$P:$P,RECAP_VENTE_ANNUELLE!$R:$R,"2023",RECAP_VENTE_ANNUELLE!$B:$B,Tableau2[[#This Row],[Nom_prenom ]])</f>
        <v>0</v>
      </c>
      <c r="AA14" s="277"/>
      <c r="AB14" s="277">
        <f>Tableau2[[#This Row],[Total PV
 client 2023]]-Tableau2[[#This Row],[PV client 
utilisés 2023]]</f>
        <v>0</v>
      </c>
      <c r="AC14" s="278"/>
      <c r="AD14" s="277">
        <f>SUMIFS(RECAP_VENTE_ANNUELLE!$P:$P,RECAP_VENTE_ANNUELLE!$R:$R,"2024",RECAP_VENTE_ANNUELLE!$B:$B,Tableau2[[#This Row],[Nom_prenom ]])</f>
        <v>0</v>
      </c>
      <c r="AE14" s="277"/>
      <c r="AF14" s="277">
        <f>Tableau2[[#This Row],[Total PV
 client 2024]]-Tableau2[[#This Row],[PV client 
utilisés 2024]]</f>
        <v>0</v>
      </c>
      <c r="AG14" s="278"/>
      <c r="AH14" s="277">
        <f>SUMIFS(RECAP_VENTE_ANNUELLE!$P:$P,RECAP_VENTE_ANNUELLE!$R:$R,"2025",RECAP_VENTE_ANNUELLE!$B:$B,Tableau2[[#This Row],[Nom_prenom ]])</f>
        <v>0</v>
      </c>
      <c r="AI14" s="277"/>
      <c r="AJ14" s="277">
        <f>Tableau2[[#This Row],[Total PV
 client 2025]]-Tableau2[[#This Row],[PV client 
utilisés 2025]]</f>
        <v>0</v>
      </c>
      <c r="AK14" s="279"/>
    </row>
    <row r="15" spans="1:37">
      <c r="A15" s="85" t="s">
        <v>41</v>
      </c>
      <c r="B15" s="275" t="s">
        <v>812</v>
      </c>
      <c r="C15" s="242" t="s">
        <v>183</v>
      </c>
      <c r="D15" s="242" t="s">
        <v>184</v>
      </c>
      <c r="E15" s="86" t="s">
        <v>185</v>
      </c>
      <c r="F15" s="242" t="s">
        <v>186</v>
      </c>
      <c r="G15" s="149" t="s">
        <v>187</v>
      </c>
      <c r="H15" s="151">
        <f>SUMPRODUCT((Tableau4[Nom_prenom ]=B15)*(Tableau4[Quantités]))</f>
        <v>2</v>
      </c>
      <c r="I15" s="71">
        <f>SUMPRODUCT((Tableau4[Nom_prenom ]=$B15)*(Tableau4[Total_Client]))</f>
        <v>24.8</v>
      </c>
      <c r="J15" s="277">
        <f>SUMIFS(RECAP_VENTE_ANNUELLE!$P:$P,RECAP_VENTE_ANNUELLE!$R:$R,"2019",RECAP_VENTE_ANNUELLE!$B:$B,Tableau2[[#This Row],[Nom_prenom ]])</f>
        <v>19.899999999999999</v>
      </c>
      <c r="K15" s="277"/>
      <c r="L15" s="277">
        <f>Tableau2[[#This Row],[Total PV client 2019]]-Tableau2[[#This Row],[PV client 
utilisés 2019]]</f>
        <v>19.899999999999999</v>
      </c>
      <c r="M15" s="278"/>
      <c r="N15" s="277">
        <f>SUMIFS(RECAP_VENTE_ANNUELLE!$P:$P,RECAP_VENTE_ANNUELLE!$R:$R,"2020",RECAP_VENTE_ANNUELLE!$B:$B,Tableau2[[#This Row],[Nom_prenom ]])</f>
        <v>0</v>
      </c>
      <c r="O15" s="277"/>
      <c r="P15" s="277">
        <f>Tableau2[[#This Row],[Total PV client 2020]]-Tableau2[[#This Row],[PV client 
utilisés 2020]]</f>
        <v>0</v>
      </c>
      <c r="Q15" s="278"/>
      <c r="R15" s="277">
        <f>SUMIFS(RECAP_VENTE_ANNUELLE!$P:$P,RECAP_VENTE_ANNUELLE!$R:$R,"2021",RECAP_VENTE_ANNUELLE!$B:$B,Tableau2[[#This Row],[Nom_prenom ]])</f>
        <v>0</v>
      </c>
      <c r="S15" s="277"/>
      <c r="T15" s="277">
        <f>Tableau2[[#This Row],[Total PV client 2021]]-Tableau2[[#This Row],[PV client 
utilisés 2021]]</f>
        <v>0</v>
      </c>
      <c r="U15" s="278"/>
      <c r="V15" s="277">
        <f>SUMIFS(RECAP_VENTE_ANNUELLE!$P:$P,RECAP_VENTE_ANNUELLE!$R:$R,"2022",RECAP_VENTE_ANNUELLE!$B:$B,Tableau2[[#This Row],[Nom_prenom ]])</f>
        <v>0</v>
      </c>
      <c r="W15" s="277"/>
      <c r="X15" s="277">
        <f>Tableau2[[#This Row],[Total PV
 client 2022]]-Tableau2[[#This Row],[PV client 
utilisés 2022]]</f>
        <v>0</v>
      </c>
      <c r="Y15" s="278"/>
      <c r="Z15" s="277">
        <f>SUMIFS(RECAP_VENTE_ANNUELLE!$P:$P,RECAP_VENTE_ANNUELLE!$R:$R,"2023",RECAP_VENTE_ANNUELLE!$B:$B,Tableau2[[#This Row],[Nom_prenom ]])</f>
        <v>0</v>
      </c>
      <c r="AA15" s="277"/>
      <c r="AB15" s="277">
        <f>Tableau2[[#This Row],[Total PV
 client 2023]]-Tableau2[[#This Row],[PV client 
utilisés 2023]]</f>
        <v>0</v>
      </c>
      <c r="AC15" s="278"/>
      <c r="AD15" s="277">
        <f>SUMIFS(RECAP_VENTE_ANNUELLE!$P:$P,RECAP_VENTE_ANNUELLE!$R:$R,"2024",RECAP_VENTE_ANNUELLE!$B:$B,Tableau2[[#This Row],[Nom_prenom ]])</f>
        <v>0</v>
      </c>
      <c r="AE15" s="277"/>
      <c r="AF15" s="277">
        <f>Tableau2[[#This Row],[Total PV
 client 2024]]-Tableau2[[#This Row],[PV client 
utilisés 2024]]</f>
        <v>0</v>
      </c>
      <c r="AG15" s="278"/>
      <c r="AH15" s="277">
        <f>SUMIFS(RECAP_VENTE_ANNUELLE!$P:$P,RECAP_VENTE_ANNUELLE!$R:$R,"2025",RECAP_VENTE_ANNUELLE!$B:$B,Tableau2[[#This Row],[Nom_prenom ]])</f>
        <v>0</v>
      </c>
      <c r="AI15" s="277"/>
      <c r="AJ15" s="277">
        <f>Tableau2[[#This Row],[Total PV
 client 2025]]-Tableau2[[#This Row],[PV client 
utilisés 2025]]</f>
        <v>0</v>
      </c>
      <c r="AK15" s="279"/>
    </row>
    <row r="16" spans="1:37">
      <c r="A16" s="148" t="s">
        <v>41</v>
      </c>
      <c r="B16" s="275" t="s">
        <v>813</v>
      </c>
      <c r="C16" s="242" t="s">
        <v>188</v>
      </c>
      <c r="D16" s="242" t="s">
        <v>189</v>
      </c>
      <c r="E16" s="86" t="s">
        <v>190</v>
      </c>
      <c r="F16" s="242" t="s">
        <v>191</v>
      </c>
      <c r="G16" s="149" t="s">
        <v>192</v>
      </c>
      <c r="H16" s="151">
        <f>SUMPRODUCT((Tableau4[Nom_prenom ]=B16)*(Tableau4[Quantités]))</f>
        <v>2</v>
      </c>
      <c r="I16" s="71">
        <f>SUMPRODUCT((Tableau4[Nom_prenom ]=$B16)*(Tableau4[Total_Client]))</f>
        <v>10</v>
      </c>
      <c r="J16" s="277">
        <f>SUMIFS(RECAP_VENTE_ANNUELLE!$P:$P,RECAP_VENTE_ANNUELLE!$R:$R,"2019",RECAP_VENTE_ANNUELLE!$B:$B,Tableau2[[#This Row],[Nom_prenom ]])</f>
        <v>3</v>
      </c>
      <c r="K16" s="277"/>
      <c r="L16" s="277">
        <f>Tableau2[[#This Row],[Total PV client 2019]]-Tableau2[[#This Row],[PV client 
utilisés 2019]]</f>
        <v>3</v>
      </c>
      <c r="M16" s="278"/>
      <c r="N16" s="277">
        <f>SUMIFS(RECAP_VENTE_ANNUELLE!$P:$P,RECAP_VENTE_ANNUELLE!$R:$R,"2020",RECAP_VENTE_ANNUELLE!$B:$B,Tableau2[[#This Row],[Nom_prenom ]])</f>
        <v>0</v>
      </c>
      <c r="O16" s="277"/>
      <c r="P16" s="277">
        <f>Tableau2[[#This Row],[Total PV client 2020]]-Tableau2[[#This Row],[PV client 
utilisés 2020]]</f>
        <v>0</v>
      </c>
      <c r="Q16" s="278"/>
      <c r="R16" s="277">
        <f>SUMIFS(RECAP_VENTE_ANNUELLE!$P:$P,RECAP_VENTE_ANNUELLE!$R:$R,"2021",RECAP_VENTE_ANNUELLE!$B:$B,Tableau2[[#This Row],[Nom_prenom ]])</f>
        <v>0</v>
      </c>
      <c r="S16" s="277"/>
      <c r="T16" s="277">
        <f>Tableau2[[#This Row],[Total PV client 2021]]-Tableau2[[#This Row],[PV client 
utilisés 2021]]</f>
        <v>0</v>
      </c>
      <c r="U16" s="278"/>
      <c r="V16" s="277">
        <f>SUMIFS(RECAP_VENTE_ANNUELLE!$P:$P,RECAP_VENTE_ANNUELLE!$R:$R,"2022",RECAP_VENTE_ANNUELLE!$B:$B,Tableau2[[#This Row],[Nom_prenom ]])</f>
        <v>0</v>
      </c>
      <c r="W16" s="277"/>
      <c r="X16" s="277">
        <f>Tableau2[[#This Row],[Total PV
 client 2022]]-Tableau2[[#This Row],[PV client 
utilisés 2022]]</f>
        <v>0</v>
      </c>
      <c r="Y16" s="278"/>
      <c r="Z16" s="277">
        <f>SUMIFS(RECAP_VENTE_ANNUELLE!$P:$P,RECAP_VENTE_ANNUELLE!$R:$R,"2023",RECAP_VENTE_ANNUELLE!$B:$B,Tableau2[[#This Row],[Nom_prenom ]])</f>
        <v>0</v>
      </c>
      <c r="AA16" s="277"/>
      <c r="AB16" s="277">
        <f>Tableau2[[#This Row],[Total PV
 client 2023]]-Tableau2[[#This Row],[PV client 
utilisés 2023]]</f>
        <v>0</v>
      </c>
      <c r="AC16" s="278"/>
      <c r="AD16" s="277">
        <f>SUMIFS(RECAP_VENTE_ANNUELLE!$P:$P,RECAP_VENTE_ANNUELLE!$R:$R,"2024",RECAP_VENTE_ANNUELLE!$B:$B,Tableau2[[#This Row],[Nom_prenom ]])</f>
        <v>0</v>
      </c>
      <c r="AE16" s="277"/>
      <c r="AF16" s="277">
        <f>Tableau2[[#This Row],[Total PV
 client 2024]]-Tableau2[[#This Row],[PV client 
utilisés 2024]]</f>
        <v>0</v>
      </c>
      <c r="AG16" s="278"/>
      <c r="AH16" s="277">
        <f>SUMIFS(RECAP_VENTE_ANNUELLE!$P:$P,RECAP_VENTE_ANNUELLE!$R:$R,"2025",RECAP_VENTE_ANNUELLE!$B:$B,Tableau2[[#This Row],[Nom_prenom ]])</f>
        <v>0</v>
      </c>
      <c r="AI16" s="277"/>
      <c r="AJ16" s="277">
        <f>Tableau2[[#This Row],[Total PV
 client 2025]]-Tableau2[[#This Row],[PV client 
utilisés 2025]]</f>
        <v>0</v>
      </c>
      <c r="AK16" s="279"/>
    </row>
    <row r="17" spans="1:37">
      <c r="A17" s="85" t="s">
        <v>41</v>
      </c>
      <c r="B17" s="275" t="s">
        <v>814</v>
      </c>
      <c r="C17" s="242" t="s">
        <v>193</v>
      </c>
      <c r="D17" s="242" t="s">
        <v>194</v>
      </c>
      <c r="E17" s="86" t="s">
        <v>195</v>
      </c>
      <c r="F17" s="242" t="s">
        <v>196</v>
      </c>
      <c r="G17" s="149" t="s">
        <v>197</v>
      </c>
      <c r="H17" s="151">
        <f>SUMPRODUCT((Tableau4[Nom_prenom ]=B17)*(Tableau4[Quantités]))</f>
        <v>2</v>
      </c>
      <c r="I17" s="71">
        <f>SUMPRODUCT((Tableau4[Nom_prenom ]=$B17)*(Tableau4[Total_Client]))</f>
        <v>34.799999999999997</v>
      </c>
      <c r="J17" s="277">
        <f>SUMIFS(RECAP_VENTE_ANNUELLE!$P:$P,RECAP_VENTE_ANNUELLE!$R:$R,"2019",RECAP_VENTE_ANNUELLE!$B:$B,Tableau2[[#This Row],[Nom_prenom ]])</f>
        <v>21</v>
      </c>
      <c r="K17" s="277"/>
      <c r="L17" s="277">
        <f>Tableau2[[#This Row],[Total PV client 2019]]-Tableau2[[#This Row],[PV client 
utilisés 2019]]</f>
        <v>21</v>
      </c>
      <c r="M17" s="278"/>
      <c r="N17" s="277">
        <f>SUMIFS(RECAP_VENTE_ANNUELLE!$P:$P,RECAP_VENTE_ANNUELLE!$R:$R,"2020",RECAP_VENTE_ANNUELLE!$B:$B,Tableau2[[#This Row],[Nom_prenom ]])</f>
        <v>0</v>
      </c>
      <c r="O17" s="277"/>
      <c r="P17" s="277">
        <f>Tableau2[[#This Row],[Total PV client 2020]]-Tableau2[[#This Row],[PV client 
utilisés 2020]]</f>
        <v>0</v>
      </c>
      <c r="Q17" s="278"/>
      <c r="R17" s="277">
        <f>SUMIFS(RECAP_VENTE_ANNUELLE!$P:$P,RECAP_VENTE_ANNUELLE!$R:$R,"2021",RECAP_VENTE_ANNUELLE!$B:$B,Tableau2[[#This Row],[Nom_prenom ]])</f>
        <v>0</v>
      </c>
      <c r="S17" s="277"/>
      <c r="T17" s="277">
        <f>Tableau2[[#This Row],[Total PV client 2021]]-Tableau2[[#This Row],[PV client 
utilisés 2021]]</f>
        <v>0</v>
      </c>
      <c r="U17" s="278"/>
      <c r="V17" s="277">
        <f>SUMIFS(RECAP_VENTE_ANNUELLE!$P:$P,RECAP_VENTE_ANNUELLE!$R:$R,"2022",RECAP_VENTE_ANNUELLE!$B:$B,Tableau2[[#This Row],[Nom_prenom ]])</f>
        <v>0</v>
      </c>
      <c r="W17" s="277"/>
      <c r="X17" s="277">
        <f>Tableau2[[#This Row],[Total PV
 client 2022]]-Tableau2[[#This Row],[PV client 
utilisés 2022]]</f>
        <v>0</v>
      </c>
      <c r="Y17" s="278"/>
      <c r="Z17" s="277">
        <f>SUMIFS(RECAP_VENTE_ANNUELLE!$P:$P,RECAP_VENTE_ANNUELLE!$R:$R,"2023",RECAP_VENTE_ANNUELLE!$B:$B,Tableau2[[#This Row],[Nom_prenom ]])</f>
        <v>0</v>
      </c>
      <c r="AA17" s="277"/>
      <c r="AB17" s="277">
        <f>Tableau2[[#This Row],[Total PV
 client 2023]]-Tableau2[[#This Row],[PV client 
utilisés 2023]]</f>
        <v>0</v>
      </c>
      <c r="AC17" s="278"/>
      <c r="AD17" s="277">
        <f>SUMIFS(RECAP_VENTE_ANNUELLE!$P:$P,RECAP_VENTE_ANNUELLE!$R:$R,"2024",RECAP_VENTE_ANNUELLE!$B:$B,Tableau2[[#This Row],[Nom_prenom ]])</f>
        <v>0</v>
      </c>
      <c r="AE17" s="277"/>
      <c r="AF17" s="277">
        <f>Tableau2[[#This Row],[Total PV
 client 2024]]-Tableau2[[#This Row],[PV client 
utilisés 2024]]</f>
        <v>0</v>
      </c>
      <c r="AG17" s="278"/>
      <c r="AH17" s="277">
        <f>SUMIFS(RECAP_VENTE_ANNUELLE!$P:$P,RECAP_VENTE_ANNUELLE!$R:$R,"2025",RECAP_VENTE_ANNUELLE!$B:$B,Tableau2[[#This Row],[Nom_prenom ]])</f>
        <v>0</v>
      </c>
      <c r="AI17" s="277"/>
      <c r="AJ17" s="277">
        <f>Tableau2[[#This Row],[Total PV
 client 2025]]-Tableau2[[#This Row],[PV client 
utilisés 2025]]</f>
        <v>0</v>
      </c>
      <c r="AK17" s="279"/>
    </row>
    <row r="18" spans="1:37">
      <c r="A18" s="85" t="s">
        <v>41</v>
      </c>
      <c r="B18" s="275" t="s">
        <v>815</v>
      </c>
      <c r="C18" s="242" t="s">
        <v>198</v>
      </c>
      <c r="D18" s="242" t="s">
        <v>199</v>
      </c>
      <c r="E18" s="86" t="s">
        <v>200</v>
      </c>
      <c r="F18" s="242" t="s">
        <v>201</v>
      </c>
      <c r="G18" s="149" t="s">
        <v>202</v>
      </c>
      <c r="H18" s="151">
        <f>SUMPRODUCT((Tableau4[Nom_prenom ]=B18)*(Tableau4[Quantités]))</f>
        <v>13</v>
      </c>
      <c r="I18" s="71">
        <f>SUMPRODUCT((Tableau4[Nom_prenom ]=$B18)*(Tableau4[Total_Client]))</f>
        <v>155</v>
      </c>
      <c r="J18" s="277">
        <f>SUMIFS(RECAP_VENTE_ANNUELLE!$P:$P,RECAP_VENTE_ANNUELLE!$R:$R,"2019",RECAP_VENTE_ANNUELLE!$B:$B,Tableau2[[#This Row],[Nom_prenom ]])</f>
        <v>81.8</v>
      </c>
      <c r="K18" s="277"/>
      <c r="L18" s="277">
        <f>Tableau2[[#This Row],[Total PV client 2019]]-Tableau2[[#This Row],[PV client 
utilisés 2019]]</f>
        <v>81.8</v>
      </c>
      <c r="M18" s="278"/>
      <c r="N18" s="277">
        <f>SUMIFS(RECAP_VENTE_ANNUELLE!$P:$P,RECAP_VENTE_ANNUELLE!$R:$R,"2020",RECAP_VENTE_ANNUELLE!$B:$B,Tableau2[[#This Row],[Nom_prenom ]])</f>
        <v>0</v>
      </c>
      <c r="O18" s="277"/>
      <c r="P18" s="277">
        <f>Tableau2[[#This Row],[Total PV client 2020]]-Tableau2[[#This Row],[PV client 
utilisés 2020]]</f>
        <v>0</v>
      </c>
      <c r="Q18" s="278"/>
      <c r="R18" s="277">
        <f>SUMIFS(RECAP_VENTE_ANNUELLE!$P:$P,RECAP_VENTE_ANNUELLE!$R:$R,"2021",RECAP_VENTE_ANNUELLE!$B:$B,Tableau2[[#This Row],[Nom_prenom ]])</f>
        <v>0</v>
      </c>
      <c r="S18" s="277"/>
      <c r="T18" s="277">
        <f>Tableau2[[#This Row],[Total PV client 2021]]-Tableau2[[#This Row],[PV client 
utilisés 2021]]</f>
        <v>0</v>
      </c>
      <c r="U18" s="278"/>
      <c r="V18" s="277">
        <f>SUMIFS(RECAP_VENTE_ANNUELLE!$P:$P,RECAP_VENTE_ANNUELLE!$R:$R,"2022",RECAP_VENTE_ANNUELLE!$B:$B,Tableau2[[#This Row],[Nom_prenom ]])</f>
        <v>0</v>
      </c>
      <c r="W18" s="277"/>
      <c r="X18" s="277">
        <f>Tableau2[[#This Row],[Total PV
 client 2022]]-Tableau2[[#This Row],[PV client 
utilisés 2022]]</f>
        <v>0</v>
      </c>
      <c r="Y18" s="278"/>
      <c r="Z18" s="277">
        <f>SUMIFS(RECAP_VENTE_ANNUELLE!$P:$P,RECAP_VENTE_ANNUELLE!$R:$R,"2023",RECAP_VENTE_ANNUELLE!$B:$B,Tableau2[[#This Row],[Nom_prenom ]])</f>
        <v>0</v>
      </c>
      <c r="AA18" s="277"/>
      <c r="AB18" s="277">
        <f>Tableau2[[#This Row],[Total PV
 client 2023]]-Tableau2[[#This Row],[PV client 
utilisés 2023]]</f>
        <v>0</v>
      </c>
      <c r="AC18" s="278"/>
      <c r="AD18" s="277">
        <f>SUMIFS(RECAP_VENTE_ANNUELLE!$P:$P,RECAP_VENTE_ANNUELLE!$R:$R,"2024",RECAP_VENTE_ANNUELLE!$B:$B,Tableau2[[#This Row],[Nom_prenom ]])</f>
        <v>0</v>
      </c>
      <c r="AE18" s="277"/>
      <c r="AF18" s="277">
        <f>Tableau2[[#This Row],[Total PV
 client 2024]]-Tableau2[[#This Row],[PV client 
utilisés 2024]]</f>
        <v>0</v>
      </c>
      <c r="AG18" s="278"/>
      <c r="AH18" s="277">
        <f>SUMIFS(RECAP_VENTE_ANNUELLE!$P:$P,RECAP_VENTE_ANNUELLE!$R:$R,"2025",RECAP_VENTE_ANNUELLE!$B:$B,Tableau2[[#This Row],[Nom_prenom ]])</f>
        <v>0</v>
      </c>
      <c r="AI18" s="277"/>
      <c r="AJ18" s="277">
        <f>Tableau2[[#This Row],[Total PV
 client 2025]]-Tableau2[[#This Row],[PV client 
utilisés 2025]]</f>
        <v>0</v>
      </c>
      <c r="AK18" s="279"/>
    </row>
    <row r="19" spans="1:37">
      <c r="A19" s="85" t="s">
        <v>41</v>
      </c>
      <c r="B19" s="275" t="s">
        <v>816</v>
      </c>
      <c r="C19" s="242" t="s">
        <v>203</v>
      </c>
      <c r="D19" s="242" t="s">
        <v>204</v>
      </c>
      <c r="E19" s="86" t="s">
        <v>205</v>
      </c>
      <c r="F19" s="242" t="s">
        <v>206</v>
      </c>
      <c r="G19" s="149" t="s">
        <v>207</v>
      </c>
      <c r="H19" s="151">
        <f>SUMPRODUCT((Tableau4[Nom_prenom ]=B19)*(Tableau4[Quantités]))</f>
        <v>1</v>
      </c>
      <c r="I19" s="71">
        <f>SUMPRODUCT((Tableau4[Nom_prenom ]=$B19)*(Tableau4[Total_Client]))</f>
        <v>15</v>
      </c>
      <c r="J19" s="277">
        <f>SUMIFS(RECAP_VENTE_ANNUELLE!$P:$P,RECAP_VENTE_ANNUELLE!$R:$R,"2019",RECAP_VENTE_ANNUELLE!$B:$B,Tableau2[[#This Row],[Nom_prenom ]])</f>
        <v>4</v>
      </c>
      <c r="K19" s="277"/>
      <c r="L19" s="277">
        <f>Tableau2[[#This Row],[Total PV client 2019]]-Tableau2[[#This Row],[PV client 
utilisés 2019]]</f>
        <v>4</v>
      </c>
      <c r="M19" s="278"/>
      <c r="N19" s="277">
        <f>SUMIFS(RECAP_VENTE_ANNUELLE!$P:$P,RECAP_VENTE_ANNUELLE!$R:$R,"2020",RECAP_VENTE_ANNUELLE!$B:$B,Tableau2[[#This Row],[Nom_prenom ]])</f>
        <v>0</v>
      </c>
      <c r="O19" s="277"/>
      <c r="P19" s="277">
        <f>Tableau2[[#This Row],[Total PV client 2020]]-Tableau2[[#This Row],[PV client 
utilisés 2020]]</f>
        <v>0</v>
      </c>
      <c r="Q19" s="278"/>
      <c r="R19" s="277">
        <f>SUMIFS(RECAP_VENTE_ANNUELLE!$P:$P,RECAP_VENTE_ANNUELLE!$R:$R,"2021",RECAP_VENTE_ANNUELLE!$B:$B,Tableau2[[#This Row],[Nom_prenom ]])</f>
        <v>0</v>
      </c>
      <c r="S19" s="277"/>
      <c r="T19" s="277">
        <f>Tableau2[[#This Row],[Total PV client 2021]]-Tableau2[[#This Row],[PV client 
utilisés 2021]]</f>
        <v>0</v>
      </c>
      <c r="U19" s="278"/>
      <c r="V19" s="277">
        <f>SUMIFS(RECAP_VENTE_ANNUELLE!$P:$P,RECAP_VENTE_ANNUELLE!$R:$R,"2022",RECAP_VENTE_ANNUELLE!$B:$B,Tableau2[[#This Row],[Nom_prenom ]])</f>
        <v>0</v>
      </c>
      <c r="W19" s="277"/>
      <c r="X19" s="277">
        <f>Tableau2[[#This Row],[Total PV
 client 2022]]-Tableau2[[#This Row],[PV client 
utilisés 2022]]</f>
        <v>0</v>
      </c>
      <c r="Y19" s="278"/>
      <c r="Z19" s="277">
        <f>SUMIFS(RECAP_VENTE_ANNUELLE!$P:$P,RECAP_VENTE_ANNUELLE!$R:$R,"2023",RECAP_VENTE_ANNUELLE!$B:$B,Tableau2[[#This Row],[Nom_prenom ]])</f>
        <v>0</v>
      </c>
      <c r="AA19" s="277"/>
      <c r="AB19" s="277">
        <f>Tableau2[[#This Row],[Total PV
 client 2023]]-Tableau2[[#This Row],[PV client 
utilisés 2023]]</f>
        <v>0</v>
      </c>
      <c r="AC19" s="278"/>
      <c r="AD19" s="277">
        <f>SUMIFS(RECAP_VENTE_ANNUELLE!$P:$P,RECAP_VENTE_ANNUELLE!$R:$R,"2024",RECAP_VENTE_ANNUELLE!$B:$B,Tableau2[[#This Row],[Nom_prenom ]])</f>
        <v>0</v>
      </c>
      <c r="AE19" s="277"/>
      <c r="AF19" s="277">
        <f>Tableau2[[#This Row],[Total PV
 client 2024]]-Tableau2[[#This Row],[PV client 
utilisés 2024]]</f>
        <v>0</v>
      </c>
      <c r="AG19" s="278"/>
      <c r="AH19" s="277">
        <f>SUMIFS(RECAP_VENTE_ANNUELLE!$P:$P,RECAP_VENTE_ANNUELLE!$R:$R,"2025",RECAP_VENTE_ANNUELLE!$B:$B,Tableau2[[#This Row],[Nom_prenom ]])</f>
        <v>0</v>
      </c>
      <c r="AI19" s="277"/>
      <c r="AJ19" s="277">
        <f>Tableau2[[#This Row],[Total PV
 client 2025]]-Tableau2[[#This Row],[PV client 
utilisés 2025]]</f>
        <v>0</v>
      </c>
      <c r="AK19" s="279"/>
    </row>
    <row r="20" spans="1:37">
      <c r="A20" s="148" t="s">
        <v>41</v>
      </c>
      <c r="B20" s="275" t="s">
        <v>817</v>
      </c>
      <c r="C20" s="242" t="s">
        <v>208</v>
      </c>
      <c r="D20" s="242" t="s">
        <v>209</v>
      </c>
      <c r="E20" s="86" t="s">
        <v>210</v>
      </c>
      <c r="F20" s="242" t="s">
        <v>211</v>
      </c>
      <c r="G20" s="149" t="s">
        <v>212</v>
      </c>
      <c r="H20" s="151">
        <f>SUMPRODUCT((Tableau4[Nom_prenom ]=B20)*(Tableau4[Quantités]))</f>
        <v>1</v>
      </c>
      <c r="I20" s="71">
        <f>SUMPRODUCT((Tableau4[Nom_prenom ]=$B20)*(Tableau4[Total_Client]))</f>
        <v>30</v>
      </c>
      <c r="J20" s="277">
        <f>SUMIFS(RECAP_VENTE_ANNUELLE!$P:$P,RECAP_VENTE_ANNUELLE!$R:$R,"2019",RECAP_VENTE_ANNUELLE!$B:$B,Tableau2[[#This Row],[Nom_prenom ]])</f>
        <v>18</v>
      </c>
      <c r="K20" s="277"/>
      <c r="L20" s="277">
        <f>Tableau2[[#This Row],[Total PV client 2019]]-Tableau2[[#This Row],[PV client 
utilisés 2019]]</f>
        <v>18</v>
      </c>
      <c r="M20" s="278"/>
      <c r="N20" s="277">
        <f>SUMIFS(RECAP_VENTE_ANNUELLE!$P:$P,RECAP_VENTE_ANNUELLE!$R:$R,"2020",RECAP_VENTE_ANNUELLE!$B:$B,Tableau2[[#This Row],[Nom_prenom ]])</f>
        <v>0</v>
      </c>
      <c r="O20" s="277"/>
      <c r="P20" s="277">
        <f>Tableau2[[#This Row],[Total PV client 2020]]-Tableau2[[#This Row],[PV client 
utilisés 2020]]</f>
        <v>0</v>
      </c>
      <c r="Q20" s="278"/>
      <c r="R20" s="277">
        <f>SUMIFS(RECAP_VENTE_ANNUELLE!$P:$P,RECAP_VENTE_ANNUELLE!$R:$R,"2021",RECAP_VENTE_ANNUELLE!$B:$B,Tableau2[[#This Row],[Nom_prenom ]])</f>
        <v>0</v>
      </c>
      <c r="S20" s="277"/>
      <c r="T20" s="277">
        <f>Tableau2[[#This Row],[Total PV client 2021]]-Tableau2[[#This Row],[PV client 
utilisés 2021]]</f>
        <v>0</v>
      </c>
      <c r="U20" s="278"/>
      <c r="V20" s="277">
        <f>SUMIFS(RECAP_VENTE_ANNUELLE!$P:$P,RECAP_VENTE_ANNUELLE!$R:$R,"2022",RECAP_VENTE_ANNUELLE!$B:$B,Tableau2[[#This Row],[Nom_prenom ]])</f>
        <v>0</v>
      </c>
      <c r="W20" s="277"/>
      <c r="X20" s="277">
        <f>Tableau2[[#This Row],[Total PV
 client 2022]]-Tableau2[[#This Row],[PV client 
utilisés 2022]]</f>
        <v>0</v>
      </c>
      <c r="Y20" s="278"/>
      <c r="Z20" s="277">
        <f>SUMIFS(RECAP_VENTE_ANNUELLE!$P:$P,RECAP_VENTE_ANNUELLE!$R:$R,"2023",RECAP_VENTE_ANNUELLE!$B:$B,Tableau2[[#This Row],[Nom_prenom ]])</f>
        <v>0</v>
      </c>
      <c r="AA20" s="277"/>
      <c r="AB20" s="277">
        <f>Tableau2[[#This Row],[Total PV
 client 2023]]-Tableau2[[#This Row],[PV client 
utilisés 2023]]</f>
        <v>0</v>
      </c>
      <c r="AC20" s="278"/>
      <c r="AD20" s="277">
        <f>SUMIFS(RECAP_VENTE_ANNUELLE!$P:$P,RECAP_VENTE_ANNUELLE!$R:$R,"2024",RECAP_VENTE_ANNUELLE!$B:$B,Tableau2[[#This Row],[Nom_prenom ]])</f>
        <v>0</v>
      </c>
      <c r="AE20" s="277"/>
      <c r="AF20" s="277">
        <f>Tableau2[[#This Row],[Total PV
 client 2024]]-Tableau2[[#This Row],[PV client 
utilisés 2024]]</f>
        <v>0</v>
      </c>
      <c r="AG20" s="278"/>
      <c r="AH20" s="277">
        <f>SUMIFS(RECAP_VENTE_ANNUELLE!$P:$P,RECAP_VENTE_ANNUELLE!$R:$R,"2025",RECAP_VENTE_ANNUELLE!$B:$B,Tableau2[[#This Row],[Nom_prenom ]])</f>
        <v>0</v>
      </c>
      <c r="AI20" s="277"/>
      <c r="AJ20" s="277">
        <f>Tableau2[[#This Row],[Total PV
 client 2025]]-Tableau2[[#This Row],[PV client 
utilisés 2025]]</f>
        <v>0</v>
      </c>
      <c r="AK20" s="279"/>
    </row>
    <row r="21" spans="1:37">
      <c r="A21" s="85" t="s">
        <v>41</v>
      </c>
      <c r="B21" s="275" t="s">
        <v>818</v>
      </c>
      <c r="C21" s="242" t="s">
        <v>213</v>
      </c>
      <c r="D21" s="242" t="s">
        <v>214</v>
      </c>
      <c r="E21" s="86" t="s">
        <v>215</v>
      </c>
      <c r="F21" s="242" t="s">
        <v>216</v>
      </c>
      <c r="G21" s="149" t="s">
        <v>217</v>
      </c>
      <c r="H21" s="151">
        <f>SUMPRODUCT((Tableau4[Nom_prenom ]=B21)*(Tableau4[Quantités]))</f>
        <v>2</v>
      </c>
      <c r="I21" s="71">
        <f>SUMPRODUCT((Tableau4[Nom_prenom ]=$B21)*(Tableau4[Total_Client]))</f>
        <v>59.8</v>
      </c>
      <c r="J21" s="277">
        <f>SUMIFS(RECAP_VENTE_ANNUELLE!$P:$P,RECAP_VENTE_ANNUELLE!$R:$R,"2019",RECAP_VENTE_ANNUELLE!$B:$B,Tableau2[[#This Row],[Nom_prenom ]])</f>
        <v>32</v>
      </c>
      <c r="K21" s="277"/>
      <c r="L21" s="277">
        <f>Tableau2[[#This Row],[Total PV client 2019]]-Tableau2[[#This Row],[PV client 
utilisés 2019]]</f>
        <v>32</v>
      </c>
      <c r="M21" s="278"/>
      <c r="N21" s="277">
        <f>SUMIFS(RECAP_VENTE_ANNUELLE!$P:$P,RECAP_VENTE_ANNUELLE!$R:$R,"2020",RECAP_VENTE_ANNUELLE!$B:$B,Tableau2[[#This Row],[Nom_prenom ]])</f>
        <v>0</v>
      </c>
      <c r="O21" s="277"/>
      <c r="P21" s="277">
        <f>Tableau2[[#This Row],[Total PV client 2020]]-Tableau2[[#This Row],[PV client 
utilisés 2020]]</f>
        <v>0</v>
      </c>
      <c r="Q21" s="278"/>
      <c r="R21" s="277">
        <f>SUMIFS(RECAP_VENTE_ANNUELLE!$P:$P,RECAP_VENTE_ANNUELLE!$R:$R,"2021",RECAP_VENTE_ANNUELLE!$B:$B,Tableau2[[#This Row],[Nom_prenom ]])</f>
        <v>0</v>
      </c>
      <c r="S21" s="277"/>
      <c r="T21" s="277">
        <f>Tableau2[[#This Row],[Total PV client 2021]]-Tableau2[[#This Row],[PV client 
utilisés 2021]]</f>
        <v>0</v>
      </c>
      <c r="U21" s="278"/>
      <c r="V21" s="277">
        <f>SUMIFS(RECAP_VENTE_ANNUELLE!$P:$P,RECAP_VENTE_ANNUELLE!$R:$R,"2022",RECAP_VENTE_ANNUELLE!$B:$B,Tableau2[[#This Row],[Nom_prenom ]])</f>
        <v>0</v>
      </c>
      <c r="W21" s="277"/>
      <c r="X21" s="277">
        <f>Tableau2[[#This Row],[Total PV
 client 2022]]-Tableau2[[#This Row],[PV client 
utilisés 2022]]</f>
        <v>0</v>
      </c>
      <c r="Y21" s="278"/>
      <c r="Z21" s="277">
        <f>SUMIFS(RECAP_VENTE_ANNUELLE!$P:$P,RECAP_VENTE_ANNUELLE!$R:$R,"2023",RECAP_VENTE_ANNUELLE!$B:$B,Tableau2[[#This Row],[Nom_prenom ]])</f>
        <v>0</v>
      </c>
      <c r="AA21" s="277"/>
      <c r="AB21" s="277">
        <f>Tableau2[[#This Row],[Total PV
 client 2023]]-Tableau2[[#This Row],[PV client 
utilisés 2023]]</f>
        <v>0</v>
      </c>
      <c r="AC21" s="278"/>
      <c r="AD21" s="277">
        <f>SUMIFS(RECAP_VENTE_ANNUELLE!$P:$P,RECAP_VENTE_ANNUELLE!$R:$R,"2024",RECAP_VENTE_ANNUELLE!$B:$B,Tableau2[[#This Row],[Nom_prenom ]])</f>
        <v>0</v>
      </c>
      <c r="AE21" s="277"/>
      <c r="AF21" s="277">
        <f>Tableau2[[#This Row],[Total PV
 client 2024]]-Tableau2[[#This Row],[PV client 
utilisés 2024]]</f>
        <v>0</v>
      </c>
      <c r="AG21" s="278"/>
      <c r="AH21" s="277">
        <f>SUMIFS(RECAP_VENTE_ANNUELLE!$P:$P,RECAP_VENTE_ANNUELLE!$R:$R,"2025",RECAP_VENTE_ANNUELLE!$B:$B,Tableau2[[#This Row],[Nom_prenom ]])</f>
        <v>0</v>
      </c>
      <c r="AI21" s="277"/>
      <c r="AJ21" s="277">
        <f>Tableau2[[#This Row],[Total PV
 client 2025]]-Tableau2[[#This Row],[PV client 
utilisés 2025]]</f>
        <v>0</v>
      </c>
      <c r="AK21" s="279"/>
    </row>
    <row r="22" spans="1:37">
      <c r="A22" s="85" t="s">
        <v>41</v>
      </c>
      <c r="B22" s="275" t="s">
        <v>819</v>
      </c>
      <c r="C22" s="242" t="s">
        <v>218</v>
      </c>
      <c r="D22" s="242" t="s">
        <v>219</v>
      </c>
      <c r="E22" s="86" t="s">
        <v>220</v>
      </c>
      <c r="F22" s="242" t="s">
        <v>221</v>
      </c>
      <c r="G22" s="149" t="s">
        <v>222</v>
      </c>
      <c r="H22" s="151">
        <f>SUMPRODUCT((Tableau4[Nom_prenom ]=B22)*(Tableau4[Quantités]))</f>
        <v>1</v>
      </c>
      <c r="I22" s="71">
        <f>SUMPRODUCT((Tableau4[Nom_prenom ]=$B22)*(Tableau4[Total_Client]))</f>
        <v>19.899999999999999</v>
      </c>
      <c r="J22" s="277">
        <f>SUMIFS(RECAP_VENTE_ANNUELLE!$P:$P,RECAP_VENTE_ANNUELLE!$R:$R,"2019",RECAP_VENTE_ANNUELLE!$B:$B,Tableau2[[#This Row],[Nom_prenom ]])</f>
        <v>11</v>
      </c>
      <c r="K22" s="277"/>
      <c r="L22" s="277">
        <f>Tableau2[[#This Row],[Total PV client 2019]]-Tableau2[[#This Row],[PV client 
utilisés 2019]]</f>
        <v>11</v>
      </c>
      <c r="M22" s="278"/>
      <c r="N22" s="277">
        <f>SUMIFS(RECAP_VENTE_ANNUELLE!$P:$P,RECAP_VENTE_ANNUELLE!$R:$R,"2020",RECAP_VENTE_ANNUELLE!$B:$B,Tableau2[[#This Row],[Nom_prenom ]])</f>
        <v>0</v>
      </c>
      <c r="O22" s="277"/>
      <c r="P22" s="277">
        <f>Tableau2[[#This Row],[Total PV client 2020]]-Tableau2[[#This Row],[PV client 
utilisés 2020]]</f>
        <v>0</v>
      </c>
      <c r="Q22" s="278"/>
      <c r="R22" s="277">
        <f>SUMIFS(RECAP_VENTE_ANNUELLE!$P:$P,RECAP_VENTE_ANNUELLE!$R:$R,"2021",RECAP_VENTE_ANNUELLE!$B:$B,Tableau2[[#This Row],[Nom_prenom ]])</f>
        <v>0</v>
      </c>
      <c r="S22" s="277"/>
      <c r="T22" s="277">
        <f>Tableau2[[#This Row],[Total PV client 2021]]-Tableau2[[#This Row],[PV client 
utilisés 2021]]</f>
        <v>0</v>
      </c>
      <c r="U22" s="278"/>
      <c r="V22" s="277">
        <f>SUMIFS(RECAP_VENTE_ANNUELLE!$P:$P,RECAP_VENTE_ANNUELLE!$R:$R,"2022",RECAP_VENTE_ANNUELLE!$B:$B,Tableau2[[#This Row],[Nom_prenom ]])</f>
        <v>0</v>
      </c>
      <c r="W22" s="277"/>
      <c r="X22" s="277">
        <f>Tableau2[[#This Row],[Total PV
 client 2022]]-Tableau2[[#This Row],[PV client 
utilisés 2022]]</f>
        <v>0</v>
      </c>
      <c r="Y22" s="278"/>
      <c r="Z22" s="277">
        <f>SUMIFS(RECAP_VENTE_ANNUELLE!$P:$P,RECAP_VENTE_ANNUELLE!$R:$R,"2023",RECAP_VENTE_ANNUELLE!$B:$B,Tableau2[[#This Row],[Nom_prenom ]])</f>
        <v>0</v>
      </c>
      <c r="AA22" s="277"/>
      <c r="AB22" s="277">
        <f>Tableau2[[#This Row],[Total PV
 client 2023]]-Tableau2[[#This Row],[PV client 
utilisés 2023]]</f>
        <v>0</v>
      </c>
      <c r="AC22" s="278"/>
      <c r="AD22" s="277">
        <f>SUMIFS(RECAP_VENTE_ANNUELLE!$P:$P,RECAP_VENTE_ANNUELLE!$R:$R,"2024",RECAP_VENTE_ANNUELLE!$B:$B,Tableau2[[#This Row],[Nom_prenom ]])</f>
        <v>0</v>
      </c>
      <c r="AE22" s="277"/>
      <c r="AF22" s="277">
        <f>Tableau2[[#This Row],[Total PV
 client 2024]]-Tableau2[[#This Row],[PV client 
utilisés 2024]]</f>
        <v>0</v>
      </c>
      <c r="AG22" s="278"/>
      <c r="AH22" s="277">
        <f>SUMIFS(RECAP_VENTE_ANNUELLE!$P:$P,RECAP_VENTE_ANNUELLE!$R:$R,"2025",RECAP_VENTE_ANNUELLE!$B:$B,Tableau2[[#This Row],[Nom_prenom ]])</f>
        <v>0</v>
      </c>
      <c r="AI22" s="277"/>
      <c r="AJ22" s="277">
        <f>Tableau2[[#This Row],[Total PV
 client 2025]]-Tableau2[[#This Row],[PV client 
utilisés 2025]]</f>
        <v>0</v>
      </c>
      <c r="AK22" s="279"/>
    </row>
    <row r="23" spans="1:37">
      <c r="A23" s="148" t="s">
        <v>41</v>
      </c>
      <c r="B23" s="275" t="s">
        <v>820</v>
      </c>
      <c r="C23" s="242" t="s">
        <v>223</v>
      </c>
      <c r="D23" s="242" t="s">
        <v>224</v>
      </c>
      <c r="E23" s="86" t="s">
        <v>225</v>
      </c>
      <c r="F23" s="242" t="s">
        <v>226</v>
      </c>
      <c r="G23" s="149" t="s">
        <v>227</v>
      </c>
      <c r="H23" s="151">
        <f>SUMPRODUCT((Tableau4[Nom_prenom ]=B23)*(Tableau4[Quantités]))</f>
        <v>5</v>
      </c>
      <c r="I23" s="71">
        <f>SUMPRODUCT((Tableau4[Nom_prenom ]=$B23)*(Tableau4[Total_Client]))</f>
        <v>68.3</v>
      </c>
      <c r="J23" s="277">
        <f>SUMIFS(RECAP_VENTE_ANNUELLE!$P:$P,RECAP_VENTE_ANNUELLE!$R:$R,"2019",RECAP_VENTE_ANNUELLE!$B:$B,Tableau2[[#This Row],[Nom_prenom ]])</f>
        <v>39</v>
      </c>
      <c r="K23" s="277"/>
      <c r="L23" s="277">
        <f>Tableau2[[#This Row],[Total PV client 2019]]-Tableau2[[#This Row],[PV client 
utilisés 2019]]</f>
        <v>39</v>
      </c>
      <c r="M23" s="278"/>
      <c r="N23" s="277">
        <f>SUMIFS(RECAP_VENTE_ANNUELLE!$P:$P,RECAP_VENTE_ANNUELLE!$R:$R,"2020",RECAP_VENTE_ANNUELLE!$B:$B,Tableau2[[#This Row],[Nom_prenom ]])</f>
        <v>0</v>
      </c>
      <c r="O23" s="277"/>
      <c r="P23" s="277">
        <f>Tableau2[[#This Row],[Total PV client 2020]]-Tableau2[[#This Row],[PV client 
utilisés 2020]]</f>
        <v>0</v>
      </c>
      <c r="Q23" s="278"/>
      <c r="R23" s="277">
        <f>SUMIFS(RECAP_VENTE_ANNUELLE!$P:$P,RECAP_VENTE_ANNUELLE!$R:$R,"2021",RECAP_VENTE_ANNUELLE!$B:$B,Tableau2[[#This Row],[Nom_prenom ]])</f>
        <v>0</v>
      </c>
      <c r="S23" s="277"/>
      <c r="T23" s="277">
        <f>Tableau2[[#This Row],[Total PV client 2021]]-Tableau2[[#This Row],[PV client 
utilisés 2021]]</f>
        <v>0</v>
      </c>
      <c r="U23" s="278"/>
      <c r="V23" s="277">
        <f>SUMIFS(RECAP_VENTE_ANNUELLE!$P:$P,RECAP_VENTE_ANNUELLE!$R:$R,"2022",RECAP_VENTE_ANNUELLE!$B:$B,Tableau2[[#This Row],[Nom_prenom ]])</f>
        <v>0</v>
      </c>
      <c r="W23" s="277"/>
      <c r="X23" s="277">
        <f>Tableau2[[#This Row],[Total PV
 client 2022]]-Tableau2[[#This Row],[PV client 
utilisés 2022]]</f>
        <v>0</v>
      </c>
      <c r="Y23" s="278"/>
      <c r="Z23" s="277">
        <f>SUMIFS(RECAP_VENTE_ANNUELLE!$P:$P,RECAP_VENTE_ANNUELLE!$R:$R,"2023",RECAP_VENTE_ANNUELLE!$B:$B,Tableau2[[#This Row],[Nom_prenom ]])</f>
        <v>0</v>
      </c>
      <c r="AA23" s="277"/>
      <c r="AB23" s="277">
        <f>Tableau2[[#This Row],[Total PV
 client 2023]]-Tableau2[[#This Row],[PV client 
utilisés 2023]]</f>
        <v>0</v>
      </c>
      <c r="AC23" s="278"/>
      <c r="AD23" s="277">
        <f>SUMIFS(RECAP_VENTE_ANNUELLE!$P:$P,RECAP_VENTE_ANNUELLE!$R:$R,"2024",RECAP_VENTE_ANNUELLE!$B:$B,Tableau2[[#This Row],[Nom_prenom ]])</f>
        <v>0</v>
      </c>
      <c r="AE23" s="277"/>
      <c r="AF23" s="277">
        <f>Tableau2[[#This Row],[Total PV
 client 2024]]-Tableau2[[#This Row],[PV client 
utilisés 2024]]</f>
        <v>0</v>
      </c>
      <c r="AG23" s="278"/>
      <c r="AH23" s="277">
        <f>SUMIFS(RECAP_VENTE_ANNUELLE!$P:$P,RECAP_VENTE_ANNUELLE!$R:$R,"2025",RECAP_VENTE_ANNUELLE!$B:$B,Tableau2[[#This Row],[Nom_prenom ]])</f>
        <v>0</v>
      </c>
      <c r="AI23" s="277"/>
      <c r="AJ23" s="277">
        <f>Tableau2[[#This Row],[Total PV
 client 2025]]-Tableau2[[#This Row],[PV client 
utilisés 2025]]</f>
        <v>0</v>
      </c>
      <c r="AK23" s="279"/>
    </row>
    <row r="24" spans="1:37">
      <c r="A24" s="85" t="s">
        <v>41</v>
      </c>
      <c r="B24" s="275" t="s">
        <v>821</v>
      </c>
      <c r="C24" s="242" t="s">
        <v>228</v>
      </c>
      <c r="D24" s="242" t="s">
        <v>229</v>
      </c>
      <c r="E24" s="86" t="s">
        <v>230</v>
      </c>
      <c r="F24" s="242" t="s">
        <v>231</v>
      </c>
      <c r="G24" s="149" t="s">
        <v>232</v>
      </c>
      <c r="H24" s="151">
        <f>SUMPRODUCT((Tableau4[Nom_prenom ]=B24)*(Tableau4[Quantités]))</f>
        <v>3</v>
      </c>
      <c r="I24" s="71">
        <f>SUMPRODUCT((Tableau4[Nom_prenom ]=$B24)*(Tableau4[Total_Client]))</f>
        <v>74.699999999999989</v>
      </c>
      <c r="J24" s="277">
        <f>SUMIFS(RECAP_VENTE_ANNUELLE!$P:$P,RECAP_VENTE_ANNUELLE!$R:$R,"2019",RECAP_VENTE_ANNUELLE!$B:$B,Tableau2[[#This Row],[Nom_prenom ]])</f>
        <v>42</v>
      </c>
      <c r="K24" s="277"/>
      <c r="L24" s="277">
        <f>Tableau2[[#This Row],[Total PV client 2019]]-Tableau2[[#This Row],[PV client 
utilisés 2019]]</f>
        <v>42</v>
      </c>
      <c r="M24" s="278"/>
      <c r="N24" s="277">
        <f>SUMIFS(RECAP_VENTE_ANNUELLE!$P:$P,RECAP_VENTE_ANNUELLE!$R:$R,"2020",RECAP_VENTE_ANNUELLE!$B:$B,Tableau2[[#This Row],[Nom_prenom ]])</f>
        <v>0</v>
      </c>
      <c r="O24" s="277"/>
      <c r="P24" s="277">
        <f>Tableau2[[#This Row],[Total PV client 2020]]-Tableau2[[#This Row],[PV client 
utilisés 2020]]</f>
        <v>0</v>
      </c>
      <c r="Q24" s="278"/>
      <c r="R24" s="277">
        <f>SUMIFS(RECAP_VENTE_ANNUELLE!$P:$P,RECAP_VENTE_ANNUELLE!$R:$R,"2021",RECAP_VENTE_ANNUELLE!$B:$B,Tableau2[[#This Row],[Nom_prenom ]])</f>
        <v>0</v>
      </c>
      <c r="S24" s="277"/>
      <c r="T24" s="277">
        <f>Tableau2[[#This Row],[Total PV client 2021]]-Tableau2[[#This Row],[PV client 
utilisés 2021]]</f>
        <v>0</v>
      </c>
      <c r="U24" s="278"/>
      <c r="V24" s="277">
        <f>SUMIFS(RECAP_VENTE_ANNUELLE!$P:$P,RECAP_VENTE_ANNUELLE!$R:$R,"2022",RECAP_VENTE_ANNUELLE!$B:$B,Tableau2[[#This Row],[Nom_prenom ]])</f>
        <v>0</v>
      </c>
      <c r="W24" s="277"/>
      <c r="X24" s="277">
        <f>Tableau2[[#This Row],[Total PV
 client 2022]]-Tableau2[[#This Row],[PV client 
utilisés 2022]]</f>
        <v>0</v>
      </c>
      <c r="Y24" s="278"/>
      <c r="Z24" s="277">
        <f>SUMIFS(RECAP_VENTE_ANNUELLE!$P:$P,RECAP_VENTE_ANNUELLE!$R:$R,"2023",RECAP_VENTE_ANNUELLE!$B:$B,Tableau2[[#This Row],[Nom_prenom ]])</f>
        <v>0</v>
      </c>
      <c r="AA24" s="277"/>
      <c r="AB24" s="277">
        <f>Tableau2[[#This Row],[Total PV
 client 2023]]-Tableau2[[#This Row],[PV client 
utilisés 2023]]</f>
        <v>0</v>
      </c>
      <c r="AC24" s="278"/>
      <c r="AD24" s="277">
        <f>SUMIFS(RECAP_VENTE_ANNUELLE!$P:$P,RECAP_VENTE_ANNUELLE!$R:$R,"2024",RECAP_VENTE_ANNUELLE!$B:$B,Tableau2[[#This Row],[Nom_prenom ]])</f>
        <v>0</v>
      </c>
      <c r="AE24" s="277"/>
      <c r="AF24" s="277">
        <f>Tableau2[[#This Row],[Total PV
 client 2024]]-Tableau2[[#This Row],[PV client 
utilisés 2024]]</f>
        <v>0</v>
      </c>
      <c r="AG24" s="278"/>
      <c r="AH24" s="277">
        <f>SUMIFS(RECAP_VENTE_ANNUELLE!$P:$P,RECAP_VENTE_ANNUELLE!$R:$R,"2025",RECAP_VENTE_ANNUELLE!$B:$B,Tableau2[[#This Row],[Nom_prenom ]])</f>
        <v>0</v>
      </c>
      <c r="AI24" s="277"/>
      <c r="AJ24" s="277">
        <f>Tableau2[[#This Row],[Total PV
 client 2025]]-Tableau2[[#This Row],[PV client 
utilisés 2025]]</f>
        <v>0</v>
      </c>
      <c r="AK24" s="279"/>
    </row>
    <row r="25" spans="1:37">
      <c r="A25" s="85" t="s">
        <v>41</v>
      </c>
      <c r="B25" s="275" t="s">
        <v>822</v>
      </c>
      <c r="C25" s="242" t="s">
        <v>233</v>
      </c>
      <c r="D25" s="242" t="s">
        <v>234</v>
      </c>
      <c r="E25" s="86" t="s">
        <v>235</v>
      </c>
      <c r="F25" s="242" t="s">
        <v>236</v>
      </c>
      <c r="G25" s="149" t="s">
        <v>237</v>
      </c>
      <c r="H25" s="151">
        <f>SUMPRODUCT((Tableau4[Nom_prenom ]=B25)*(Tableau4[Quantités]))</f>
        <v>3</v>
      </c>
      <c r="I25" s="71">
        <f>SUMPRODUCT((Tableau4[Nom_prenom ]=$B25)*(Tableau4[Total_Client]))</f>
        <v>61.8</v>
      </c>
      <c r="J25" s="277">
        <f>SUMIFS(RECAP_VENTE_ANNUELLE!$P:$P,RECAP_VENTE_ANNUELLE!$R:$R,"2019",RECAP_VENTE_ANNUELLE!$B:$B,Tableau2[[#This Row],[Nom_prenom ]])</f>
        <v>24</v>
      </c>
      <c r="K25" s="277"/>
      <c r="L25" s="277">
        <f>Tableau2[[#This Row],[Total PV client 2019]]-Tableau2[[#This Row],[PV client 
utilisés 2019]]</f>
        <v>24</v>
      </c>
      <c r="M25" s="278"/>
      <c r="N25" s="277">
        <f>SUMIFS(RECAP_VENTE_ANNUELLE!$P:$P,RECAP_VENTE_ANNUELLE!$R:$R,"2020",RECAP_VENTE_ANNUELLE!$B:$B,Tableau2[[#This Row],[Nom_prenom ]])</f>
        <v>11.5</v>
      </c>
      <c r="O25" s="277"/>
      <c r="P25" s="277">
        <f>Tableau2[[#This Row],[Total PV client 2020]]-Tableau2[[#This Row],[PV client 
utilisés 2020]]</f>
        <v>11.5</v>
      </c>
      <c r="Q25" s="278"/>
      <c r="R25" s="277">
        <f>SUMIFS(RECAP_VENTE_ANNUELLE!$P:$P,RECAP_VENTE_ANNUELLE!$R:$R,"2021",RECAP_VENTE_ANNUELLE!$B:$B,Tableau2[[#This Row],[Nom_prenom ]])</f>
        <v>0</v>
      </c>
      <c r="S25" s="277"/>
      <c r="T25" s="277">
        <f>Tableau2[[#This Row],[Total PV client 2021]]-Tableau2[[#This Row],[PV client 
utilisés 2021]]</f>
        <v>0</v>
      </c>
      <c r="U25" s="278"/>
      <c r="V25" s="277">
        <f>SUMIFS(RECAP_VENTE_ANNUELLE!$P:$P,RECAP_VENTE_ANNUELLE!$R:$R,"2022",RECAP_VENTE_ANNUELLE!$B:$B,Tableau2[[#This Row],[Nom_prenom ]])</f>
        <v>0</v>
      </c>
      <c r="W25" s="277"/>
      <c r="X25" s="277">
        <f>Tableau2[[#This Row],[Total PV
 client 2022]]-Tableau2[[#This Row],[PV client 
utilisés 2022]]</f>
        <v>0</v>
      </c>
      <c r="Y25" s="278"/>
      <c r="Z25" s="277">
        <f>SUMIFS(RECAP_VENTE_ANNUELLE!$P:$P,RECAP_VENTE_ANNUELLE!$R:$R,"2023",RECAP_VENTE_ANNUELLE!$B:$B,Tableau2[[#This Row],[Nom_prenom ]])</f>
        <v>0</v>
      </c>
      <c r="AA25" s="277"/>
      <c r="AB25" s="277">
        <f>Tableau2[[#This Row],[Total PV
 client 2023]]-Tableau2[[#This Row],[PV client 
utilisés 2023]]</f>
        <v>0</v>
      </c>
      <c r="AC25" s="278"/>
      <c r="AD25" s="277">
        <f>SUMIFS(RECAP_VENTE_ANNUELLE!$P:$P,RECAP_VENTE_ANNUELLE!$R:$R,"2024",RECAP_VENTE_ANNUELLE!$B:$B,Tableau2[[#This Row],[Nom_prenom ]])</f>
        <v>0</v>
      </c>
      <c r="AE25" s="277"/>
      <c r="AF25" s="277">
        <f>Tableau2[[#This Row],[Total PV
 client 2024]]-Tableau2[[#This Row],[PV client 
utilisés 2024]]</f>
        <v>0</v>
      </c>
      <c r="AG25" s="278"/>
      <c r="AH25" s="277">
        <f>SUMIFS(RECAP_VENTE_ANNUELLE!$P:$P,RECAP_VENTE_ANNUELLE!$R:$R,"2025",RECAP_VENTE_ANNUELLE!$B:$B,Tableau2[[#This Row],[Nom_prenom ]])</f>
        <v>0</v>
      </c>
      <c r="AI25" s="277"/>
      <c r="AJ25" s="277">
        <f>Tableau2[[#This Row],[Total PV
 client 2025]]-Tableau2[[#This Row],[PV client 
utilisés 2025]]</f>
        <v>0</v>
      </c>
      <c r="AK25" s="279"/>
    </row>
    <row r="26" spans="1:37">
      <c r="A26" s="85" t="s">
        <v>41</v>
      </c>
      <c r="B26" s="275" t="s">
        <v>823</v>
      </c>
      <c r="C26" s="242" t="s">
        <v>238</v>
      </c>
      <c r="D26" s="242" t="s">
        <v>239</v>
      </c>
      <c r="E26" s="86" t="s">
        <v>240</v>
      </c>
      <c r="F26" s="242" t="s">
        <v>241</v>
      </c>
      <c r="G26" s="149" t="s">
        <v>242</v>
      </c>
      <c r="H26" s="151">
        <f>SUMPRODUCT((Tableau4[Nom_prenom ]=B26)*(Tableau4[Quantités]))</f>
        <v>1</v>
      </c>
      <c r="I26" s="71">
        <f>SUMPRODUCT((Tableau4[Nom_prenom ]=$B26)*(Tableau4[Total_Client]))</f>
        <v>23</v>
      </c>
      <c r="J26" s="277">
        <f>SUMIFS(RECAP_VENTE_ANNUELLE!$P:$P,RECAP_VENTE_ANNUELLE!$R:$R,"2019",RECAP_VENTE_ANNUELLE!$B:$B,Tableau2[[#This Row],[Nom_prenom ]])</f>
        <v>18</v>
      </c>
      <c r="K26" s="277"/>
      <c r="L26" s="277">
        <f>Tableau2[[#This Row],[Total PV client 2019]]-Tableau2[[#This Row],[PV client 
utilisés 2019]]</f>
        <v>18</v>
      </c>
      <c r="M26" s="278"/>
      <c r="N26" s="277">
        <f>SUMIFS(RECAP_VENTE_ANNUELLE!$P:$P,RECAP_VENTE_ANNUELLE!$R:$R,"2020",RECAP_VENTE_ANNUELLE!$B:$B,Tableau2[[#This Row],[Nom_prenom ]])</f>
        <v>0</v>
      </c>
      <c r="O26" s="277"/>
      <c r="P26" s="277">
        <f>Tableau2[[#This Row],[Total PV client 2020]]-Tableau2[[#This Row],[PV client 
utilisés 2020]]</f>
        <v>0</v>
      </c>
      <c r="Q26" s="278"/>
      <c r="R26" s="277">
        <f>SUMIFS(RECAP_VENTE_ANNUELLE!$P:$P,RECAP_VENTE_ANNUELLE!$R:$R,"2021",RECAP_VENTE_ANNUELLE!$B:$B,Tableau2[[#This Row],[Nom_prenom ]])</f>
        <v>0</v>
      </c>
      <c r="S26" s="277"/>
      <c r="T26" s="277">
        <f>Tableau2[[#This Row],[Total PV client 2021]]-Tableau2[[#This Row],[PV client 
utilisés 2021]]</f>
        <v>0</v>
      </c>
      <c r="U26" s="278"/>
      <c r="V26" s="277">
        <f>SUMIFS(RECAP_VENTE_ANNUELLE!$P:$P,RECAP_VENTE_ANNUELLE!$R:$R,"2022",RECAP_VENTE_ANNUELLE!$B:$B,Tableau2[[#This Row],[Nom_prenom ]])</f>
        <v>0</v>
      </c>
      <c r="W26" s="277"/>
      <c r="X26" s="277">
        <f>Tableau2[[#This Row],[Total PV
 client 2022]]-Tableau2[[#This Row],[PV client 
utilisés 2022]]</f>
        <v>0</v>
      </c>
      <c r="Y26" s="278"/>
      <c r="Z26" s="277">
        <f>SUMIFS(RECAP_VENTE_ANNUELLE!$P:$P,RECAP_VENTE_ANNUELLE!$R:$R,"2023",RECAP_VENTE_ANNUELLE!$B:$B,Tableau2[[#This Row],[Nom_prenom ]])</f>
        <v>0</v>
      </c>
      <c r="AA26" s="277"/>
      <c r="AB26" s="277">
        <f>Tableau2[[#This Row],[Total PV
 client 2023]]-Tableau2[[#This Row],[PV client 
utilisés 2023]]</f>
        <v>0</v>
      </c>
      <c r="AC26" s="278"/>
      <c r="AD26" s="277">
        <f>SUMIFS(RECAP_VENTE_ANNUELLE!$P:$P,RECAP_VENTE_ANNUELLE!$R:$R,"2024",RECAP_VENTE_ANNUELLE!$B:$B,Tableau2[[#This Row],[Nom_prenom ]])</f>
        <v>0</v>
      </c>
      <c r="AE26" s="277"/>
      <c r="AF26" s="277">
        <f>Tableau2[[#This Row],[Total PV
 client 2024]]-Tableau2[[#This Row],[PV client 
utilisés 2024]]</f>
        <v>0</v>
      </c>
      <c r="AG26" s="278"/>
      <c r="AH26" s="277">
        <f>SUMIFS(RECAP_VENTE_ANNUELLE!$P:$P,RECAP_VENTE_ANNUELLE!$R:$R,"2025",RECAP_VENTE_ANNUELLE!$B:$B,Tableau2[[#This Row],[Nom_prenom ]])</f>
        <v>0</v>
      </c>
      <c r="AI26" s="277"/>
      <c r="AJ26" s="277">
        <f>Tableau2[[#This Row],[Total PV
 client 2025]]-Tableau2[[#This Row],[PV client 
utilisés 2025]]</f>
        <v>0</v>
      </c>
      <c r="AK26" s="279"/>
    </row>
    <row r="27" spans="1:37">
      <c r="A27" s="85" t="s">
        <v>41</v>
      </c>
      <c r="B27" s="275" t="s">
        <v>824</v>
      </c>
      <c r="C27" s="242" t="s">
        <v>243</v>
      </c>
      <c r="D27" s="242" t="s">
        <v>244</v>
      </c>
      <c r="E27" s="86" t="s">
        <v>245</v>
      </c>
      <c r="F27" s="242" t="s">
        <v>246</v>
      </c>
      <c r="G27" s="149" t="s">
        <v>247</v>
      </c>
      <c r="H27" s="151">
        <f>SUMPRODUCT((Tableau4[Nom_prenom ]=B27)*(Tableau4[Quantités]))</f>
        <v>1</v>
      </c>
      <c r="I27" s="71">
        <f>SUMPRODUCT((Tableau4[Nom_prenom ]=$B27)*(Tableau4[Total_Client]))</f>
        <v>19.899999999999999</v>
      </c>
      <c r="J27" s="277">
        <f>SUMIFS(RECAP_VENTE_ANNUELLE!$P:$P,RECAP_VENTE_ANNUELLE!$R:$R,"2019",RECAP_VENTE_ANNUELLE!$B:$B,Tableau2[[#This Row],[Nom_prenom ]])</f>
        <v>11</v>
      </c>
      <c r="K27" s="277"/>
      <c r="L27" s="277">
        <f>Tableau2[[#This Row],[Total PV client 2019]]-Tableau2[[#This Row],[PV client 
utilisés 2019]]</f>
        <v>11</v>
      </c>
      <c r="M27" s="278"/>
      <c r="N27" s="277">
        <f>SUMIFS(RECAP_VENTE_ANNUELLE!$P:$P,RECAP_VENTE_ANNUELLE!$R:$R,"2020",RECAP_VENTE_ANNUELLE!$B:$B,Tableau2[[#This Row],[Nom_prenom ]])</f>
        <v>0</v>
      </c>
      <c r="O27" s="277"/>
      <c r="P27" s="277">
        <f>Tableau2[[#This Row],[Total PV client 2020]]-Tableau2[[#This Row],[PV client 
utilisés 2020]]</f>
        <v>0</v>
      </c>
      <c r="Q27" s="278"/>
      <c r="R27" s="277">
        <f>SUMIFS(RECAP_VENTE_ANNUELLE!$P:$P,RECAP_VENTE_ANNUELLE!$R:$R,"2021",RECAP_VENTE_ANNUELLE!$B:$B,Tableau2[[#This Row],[Nom_prenom ]])</f>
        <v>0</v>
      </c>
      <c r="S27" s="277"/>
      <c r="T27" s="277">
        <f>Tableau2[[#This Row],[Total PV client 2021]]-Tableau2[[#This Row],[PV client 
utilisés 2021]]</f>
        <v>0</v>
      </c>
      <c r="U27" s="278"/>
      <c r="V27" s="277">
        <f>SUMIFS(RECAP_VENTE_ANNUELLE!$P:$P,RECAP_VENTE_ANNUELLE!$R:$R,"2022",RECAP_VENTE_ANNUELLE!$B:$B,Tableau2[[#This Row],[Nom_prenom ]])</f>
        <v>0</v>
      </c>
      <c r="W27" s="277"/>
      <c r="X27" s="277">
        <f>Tableau2[[#This Row],[Total PV
 client 2022]]-Tableau2[[#This Row],[PV client 
utilisés 2022]]</f>
        <v>0</v>
      </c>
      <c r="Y27" s="278"/>
      <c r="Z27" s="277">
        <f>SUMIFS(RECAP_VENTE_ANNUELLE!$P:$P,RECAP_VENTE_ANNUELLE!$R:$R,"2023",RECAP_VENTE_ANNUELLE!$B:$B,Tableau2[[#This Row],[Nom_prenom ]])</f>
        <v>0</v>
      </c>
      <c r="AA27" s="277"/>
      <c r="AB27" s="277">
        <f>Tableau2[[#This Row],[Total PV
 client 2023]]-Tableau2[[#This Row],[PV client 
utilisés 2023]]</f>
        <v>0</v>
      </c>
      <c r="AC27" s="278"/>
      <c r="AD27" s="277">
        <f>SUMIFS(RECAP_VENTE_ANNUELLE!$P:$P,RECAP_VENTE_ANNUELLE!$R:$R,"2024",RECAP_VENTE_ANNUELLE!$B:$B,Tableau2[[#This Row],[Nom_prenom ]])</f>
        <v>0</v>
      </c>
      <c r="AE27" s="277"/>
      <c r="AF27" s="277">
        <f>Tableau2[[#This Row],[Total PV
 client 2024]]-Tableau2[[#This Row],[PV client 
utilisés 2024]]</f>
        <v>0</v>
      </c>
      <c r="AG27" s="278"/>
      <c r="AH27" s="277">
        <f>SUMIFS(RECAP_VENTE_ANNUELLE!$P:$P,RECAP_VENTE_ANNUELLE!$R:$R,"2025",RECAP_VENTE_ANNUELLE!$B:$B,Tableau2[[#This Row],[Nom_prenom ]])</f>
        <v>0</v>
      </c>
      <c r="AI27" s="277"/>
      <c r="AJ27" s="277">
        <f>Tableau2[[#This Row],[Total PV
 client 2025]]-Tableau2[[#This Row],[PV client 
utilisés 2025]]</f>
        <v>0</v>
      </c>
      <c r="AK27" s="279"/>
    </row>
    <row r="28" spans="1:37">
      <c r="A28" s="85" t="s">
        <v>41</v>
      </c>
      <c r="B28" s="275" t="s">
        <v>825</v>
      </c>
      <c r="C28" s="242" t="s">
        <v>248</v>
      </c>
      <c r="D28" s="242" t="s">
        <v>249</v>
      </c>
      <c r="E28" s="86" t="s">
        <v>250</v>
      </c>
      <c r="F28" s="242" t="s">
        <v>251</v>
      </c>
      <c r="G28" s="149" t="s">
        <v>252</v>
      </c>
      <c r="H28" s="151">
        <f>SUMPRODUCT((Tableau4[Nom_prenom ]=B28)*(Tableau4[Quantités]))</f>
        <v>1</v>
      </c>
      <c r="I28" s="71">
        <f>SUMPRODUCT((Tableau4[Nom_prenom ]=$B28)*(Tableau4[Total_Client]))</f>
        <v>10.9</v>
      </c>
      <c r="J28" s="277">
        <f>SUMIFS(RECAP_VENTE_ANNUELLE!$P:$P,RECAP_VENTE_ANNUELLE!$R:$R,"2019",RECAP_VENTE_ANNUELLE!$B:$B,Tableau2[[#This Row],[Nom_prenom ]])</f>
        <v>8</v>
      </c>
      <c r="K28" s="277"/>
      <c r="L28" s="277">
        <f>Tableau2[[#This Row],[Total PV client 2019]]-Tableau2[[#This Row],[PV client 
utilisés 2019]]</f>
        <v>8</v>
      </c>
      <c r="M28" s="278"/>
      <c r="N28" s="277">
        <f>SUMIFS(RECAP_VENTE_ANNUELLE!$P:$P,RECAP_VENTE_ANNUELLE!$R:$R,"2020",RECAP_VENTE_ANNUELLE!$B:$B,Tableau2[[#This Row],[Nom_prenom ]])</f>
        <v>0</v>
      </c>
      <c r="O28" s="277"/>
      <c r="P28" s="277">
        <f>Tableau2[[#This Row],[Total PV client 2020]]-Tableau2[[#This Row],[PV client 
utilisés 2020]]</f>
        <v>0</v>
      </c>
      <c r="Q28" s="278"/>
      <c r="R28" s="277">
        <f>SUMIFS(RECAP_VENTE_ANNUELLE!$P:$P,RECAP_VENTE_ANNUELLE!$R:$R,"2021",RECAP_VENTE_ANNUELLE!$B:$B,Tableau2[[#This Row],[Nom_prenom ]])</f>
        <v>0</v>
      </c>
      <c r="S28" s="277"/>
      <c r="T28" s="277">
        <f>Tableau2[[#This Row],[Total PV client 2021]]-Tableau2[[#This Row],[PV client 
utilisés 2021]]</f>
        <v>0</v>
      </c>
      <c r="U28" s="278"/>
      <c r="V28" s="277">
        <f>SUMIFS(RECAP_VENTE_ANNUELLE!$P:$P,RECAP_VENTE_ANNUELLE!$R:$R,"2022",RECAP_VENTE_ANNUELLE!$B:$B,Tableau2[[#This Row],[Nom_prenom ]])</f>
        <v>0</v>
      </c>
      <c r="W28" s="277"/>
      <c r="X28" s="277">
        <f>Tableau2[[#This Row],[Total PV
 client 2022]]-Tableau2[[#This Row],[PV client 
utilisés 2022]]</f>
        <v>0</v>
      </c>
      <c r="Y28" s="278"/>
      <c r="Z28" s="277">
        <f>SUMIFS(RECAP_VENTE_ANNUELLE!$P:$P,RECAP_VENTE_ANNUELLE!$R:$R,"2023",RECAP_VENTE_ANNUELLE!$B:$B,Tableau2[[#This Row],[Nom_prenom ]])</f>
        <v>0</v>
      </c>
      <c r="AA28" s="277"/>
      <c r="AB28" s="277">
        <f>Tableau2[[#This Row],[Total PV
 client 2023]]-Tableau2[[#This Row],[PV client 
utilisés 2023]]</f>
        <v>0</v>
      </c>
      <c r="AC28" s="278"/>
      <c r="AD28" s="277">
        <f>SUMIFS(RECAP_VENTE_ANNUELLE!$P:$P,RECAP_VENTE_ANNUELLE!$R:$R,"2024",RECAP_VENTE_ANNUELLE!$B:$B,Tableau2[[#This Row],[Nom_prenom ]])</f>
        <v>0</v>
      </c>
      <c r="AE28" s="277"/>
      <c r="AF28" s="277">
        <f>Tableau2[[#This Row],[Total PV
 client 2024]]-Tableau2[[#This Row],[PV client 
utilisés 2024]]</f>
        <v>0</v>
      </c>
      <c r="AG28" s="278"/>
      <c r="AH28" s="277">
        <f>SUMIFS(RECAP_VENTE_ANNUELLE!$P:$P,RECAP_VENTE_ANNUELLE!$R:$R,"2025",RECAP_VENTE_ANNUELLE!$B:$B,Tableau2[[#This Row],[Nom_prenom ]])</f>
        <v>0</v>
      </c>
      <c r="AI28" s="277"/>
      <c r="AJ28" s="277">
        <f>Tableau2[[#This Row],[Total PV
 client 2025]]-Tableau2[[#This Row],[PV client 
utilisés 2025]]</f>
        <v>0</v>
      </c>
      <c r="AK28" s="279"/>
    </row>
    <row r="29" spans="1:37">
      <c r="A29" s="85" t="s">
        <v>41</v>
      </c>
      <c r="B29" s="275" t="s">
        <v>826</v>
      </c>
      <c r="C29" s="242" t="s">
        <v>253</v>
      </c>
      <c r="D29" s="242" t="s">
        <v>254</v>
      </c>
      <c r="E29" s="86" t="s">
        <v>255</v>
      </c>
      <c r="F29" s="242" t="s">
        <v>256</v>
      </c>
      <c r="G29" s="149" t="s">
        <v>257</v>
      </c>
      <c r="H29" s="151">
        <f>SUMPRODUCT((Tableau4[Nom_prenom ]=B29)*(Tableau4[Quantités]))</f>
        <v>1</v>
      </c>
      <c r="I29" s="71">
        <f>SUMPRODUCT((Tableau4[Nom_prenom ]=$B29)*(Tableau4[Total_Client]))</f>
        <v>16.899999999999999</v>
      </c>
      <c r="J29" s="277">
        <f>SUMIFS(RECAP_VENTE_ANNUELLE!$P:$P,RECAP_VENTE_ANNUELLE!$R:$R,"2019",RECAP_VENTE_ANNUELLE!$B:$B,Tableau2[[#This Row],[Nom_prenom ]])</f>
        <v>10</v>
      </c>
      <c r="K29" s="277"/>
      <c r="L29" s="277">
        <f>Tableau2[[#This Row],[Total PV client 2019]]-Tableau2[[#This Row],[PV client 
utilisés 2019]]</f>
        <v>10</v>
      </c>
      <c r="M29" s="278"/>
      <c r="N29" s="277">
        <f>SUMIFS(RECAP_VENTE_ANNUELLE!$P:$P,RECAP_VENTE_ANNUELLE!$R:$R,"2020",RECAP_VENTE_ANNUELLE!$B:$B,Tableau2[[#This Row],[Nom_prenom ]])</f>
        <v>0</v>
      </c>
      <c r="O29" s="277"/>
      <c r="P29" s="277">
        <f>Tableau2[[#This Row],[Total PV client 2020]]-Tableau2[[#This Row],[PV client 
utilisés 2020]]</f>
        <v>0</v>
      </c>
      <c r="Q29" s="278"/>
      <c r="R29" s="277">
        <f>SUMIFS(RECAP_VENTE_ANNUELLE!$P:$P,RECAP_VENTE_ANNUELLE!$R:$R,"2021",RECAP_VENTE_ANNUELLE!$B:$B,Tableau2[[#This Row],[Nom_prenom ]])</f>
        <v>0</v>
      </c>
      <c r="S29" s="277"/>
      <c r="T29" s="277">
        <f>Tableau2[[#This Row],[Total PV client 2021]]-Tableau2[[#This Row],[PV client 
utilisés 2021]]</f>
        <v>0</v>
      </c>
      <c r="U29" s="278"/>
      <c r="V29" s="277">
        <f>SUMIFS(RECAP_VENTE_ANNUELLE!$P:$P,RECAP_VENTE_ANNUELLE!$R:$R,"2022",RECAP_VENTE_ANNUELLE!$B:$B,Tableau2[[#This Row],[Nom_prenom ]])</f>
        <v>0</v>
      </c>
      <c r="W29" s="277"/>
      <c r="X29" s="277">
        <f>Tableau2[[#This Row],[Total PV
 client 2022]]-Tableau2[[#This Row],[PV client 
utilisés 2022]]</f>
        <v>0</v>
      </c>
      <c r="Y29" s="278"/>
      <c r="Z29" s="277">
        <f>SUMIFS(RECAP_VENTE_ANNUELLE!$P:$P,RECAP_VENTE_ANNUELLE!$R:$R,"2023",RECAP_VENTE_ANNUELLE!$B:$B,Tableau2[[#This Row],[Nom_prenom ]])</f>
        <v>0</v>
      </c>
      <c r="AA29" s="277"/>
      <c r="AB29" s="277">
        <f>Tableau2[[#This Row],[Total PV
 client 2023]]-Tableau2[[#This Row],[PV client 
utilisés 2023]]</f>
        <v>0</v>
      </c>
      <c r="AC29" s="278"/>
      <c r="AD29" s="277">
        <f>SUMIFS(RECAP_VENTE_ANNUELLE!$P:$P,RECAP_VENTE_ANNUELLE!$R:$R,"2024",RECAP_VENTE_ANNUELLE!$B:$B,Tableau2[[#This Row],[Nom_prenom ]])</f>
        <v>0</v>
      </c>
      <c r="AE29" s="277"/>
      <c r="AF29" s="277">
        <f>Tableau2[[#This Row],[Total PV
 client 2024]]-Tableau2[[#This Row],[PV client 
utilisés 2024]]</f>
        <v>0</v>
      </c>
      <c r="AG29" s="278"/>
      <c r="AH29" s="277">
        <f>SUMIFS(RECAP_VENTE_ANNUELLE!$P:$P,RECAP_VENTE_ANNUELLE!$R:$R,"2025",RECAP_VENTE_ANNUELLE!$B:$B,Tableau2[[#This Row],[Nom_prenom ]])</f>
        <v>0</v>
      </c>
      <c r="AI29" s="277"/>
      <c r="AJ29" s="277">
        <f>Tableau2[[#This Row],[Total PV
 client 2025]]-Tableau2[[#This Row],[PV client 
utilisés 2025]]</f>
        <v>0</v>
      </c>
      <c r="AK29" s="279"/>
    </row>
    <row r="30" spans="1:37">
      <c r="A30" s="85" t="s">
        <v>41</v>
      </c>
      <c r="B30" s="275" t="s">
        <v>827</v>
      </c>
      <c r="C30" s="242" t="s">
        <v>258</v>
      </c>
      <c r="D30" s="242" t="s">
        <v>259</v>
      </c>
      <c r="E30" s="86" t="s">
        <v>260</v>
      </c>
      <c r="F30" s="242" t="s">
        <v>261</v>
      </c>
      <c r="G30" s="149" t="s">
        <v>262</v>
      </c>
      <c r="H30" s="151">
        <f>SUMPRODUCT((Tableau4[Nom_prenom ]=B30)*(Tableau4[Quantités]))</f>
        <v>4</v>
      </c>
      <c r="I30" s="71">
        <f>SUMPRODUCT((Tableau4[Nom_prenom ]=$B30)*(Tableau4[Total_Client]))</f>
        <v>99.7</v>
      </c>
      <c r="J30" s="277">
        <f>SUMIFS(RECAP_VENTE_ANNUELLE!$P:$P,RECAP_VENTE_ANNUELLE!$R:$R,"2019",RECAP_VENTE_ANNUELLE!$B:$B,Tableau2[[#This Row],[Nom_prenom ]])</f>
        <v>58</v>
      </c>
      <c r="K30" s="277"/>
      <c r="L30" s="277">
        <f>Tableau2[[#This Row],[Total PV client 2019]]-Tableau2[[#This Row],[PV client 
utilisés 2019]]</f>
        <v>58</v>
      </c>
      <c r="M30" s="278"/>
      <c r="N30" s="277">
        <f>SUMIFS(RECAP_VENTE_ANNUELLE!$P:$P,RECAP_VENTE_ANNUELLE!$R:$R,"2020",RECAP_VENTE_ANNUELLE!$B:$B,Tableau2[[#This Row],[Nom_prenom ]])</f>
        <v>0</v>
      </c>
      <c r="O30" s="277"/>
      <c r="P30" s="277">
        <f>Tableau2[[#This Row],[Total PV client 2020]]-Tableau2[[#This Row],[PV client 
utilisés 2020]]</f>
        <v>0</v>
      </c>
      <c r="Q30" s="278"/>
      <c r="R30" s="277">
        <f>SUMIFS(RECAP_VENTE_ANNUELLE!$P:$P,RECAP_VENTE_ANNUELLE!$R:$R,"2021",RECAP_VENTE_ANNUELLE!$B:$B,Tableau2[[#This Row],[Nom_prenom ]])</f>
        <v>0</v>
      </c>
      <c r="S30" s="277"/>
      <c r="T30" s="277">
        <f>Tableau2[[#This Row],[Total PV client 2021]]-Tableau2[[#This Row],[PV client 
utilisés 2021]]</f>
        <v>0</v>
      </c>
      <c r="U30" s="278"/>
      <c r="V30" s="277">
        <f>SUMIFS(RECAP_VENTE_ANNUELLE!$P:$P,RECAP_VENTE_ANNUELLE!$R:$R,"2022",RECAP_VENTE_ANNUELLE!$B:$B,Tableau2[[#This Row],[Nom_prenom ]])</f>
        <v>0</v>
      </c>
      <c r="W30" s="277"/>
      <c r="X30" s="277">
        <f>Tableau2[[#This Row],[Total PV
 client 2022]]-Tableau2[[#This Row],[PV client 
utilisés 2022]]</f>
        <v>0</v>
      </c>
      <c r="Y30" s="278"/>
      <c r="Z30" s="277">
        <f>SUMIFS(RECAP_VENTE_ANNUELLE!$P:$P,RECAP_VENTE_ANNUELLE!$R:$R,"2023",RECAP_VENTE_ANNUELLE!$B:$B,Tableau2[[#This Row],[Nom_prenom ]])</f>
        <v>0</v>
      </c>
      <c r="AA30" s="277"/>
      <c r="AB30" s="277">
        <f>Tableau2[[#This Row],[Total PV
 client 2023]]-Tableau2[[#This Row],[PV client 
utilisés 2023]]</f>
        <v>0</v>
      </c>
      <c r="AC30" s="278"/>
      <c r="AD30" s="277">
        <f>SUMIFS(RECAP_VENTE_ANNUELLE!$P:$P,RECAP_VENTE_ANNUELLE!$R:$R,"2024",RECAP_VENTE_ANNUELLE!$B:$B,Tableau2[[#This Row],[Nom_prenom ]])</f>
        <v>0</v>
      </c>
      <c r="AE30" s="277"/>
      <c r="AF30" s="277">
        <f>Tableau2[[#This Row],[Total PV
 client 2024]]-Tableau2[[#This Row],[PV client 
utilisés 2024]]</f>
        <v>0</v>
      </c>
      <c r="AG30" s="278"/>
      <c r="AH30" s="277">
        <f>SUMIFS(RECAP_VENTE_ANNUELLE!$P:$P,RECAP_VENTE_ANNUELLE!$R:$R,"2025",RECAP_VENTE_ANNUELLE!$B:$B,Tableau2[[#This Row],[Nom_prenom ]])</f>
        <v>0</v>
      </c>
      <c r="AI30" s="277"/>
      <c r="AJ30" s="277">
        <f>Tableau2[[#This Row],[Total PV
 client 2025]]-Tableau2[[#This Row],[PV client 
utilisés 2025]]</f>
        <v>0</v>
      </c>
      <c r="AK30" s="279"/>
    </row>
    <row r="31" spans="1:37">
      <c r="A31" s="85" t="s">
        <v>41</v>
      </c>
      <c r="B31" s="275" t="s">
        <v>828</v>
      </c>
      <c r="C31" s="242" t="s">
        <v>263</v>
      </c>
      <c r="D31" s="242" t="s">
        <v>264</v>
      </c>
      <c r="E31" s="86" t="s">
        <v>265</v>
      </c>
      <c r="F31" s="242" t="s">
        <v>266</v>
      </c>
      <c r="G31" s="149" t="s">
        <v>267</v>
      </c>
      <c r="H31" s="151">
        <f>SUMPRODUCT((Tableau4[Nom_prenom ]=B31)*(Tableau4[Quantités]))</f>
        <v>5</v>
      </c>
      <c r="I31" s="71">
        <f>SUMPRODUCT((Tableau4[Nom_prenom ]=$B31)*(Tableau4[Total_Client]))</f>
        <v>164.5</v>
      </c>
      <c r="J31" s="277">
        <f>SUMIFS(RECAP_VENTE_ANNUELLE!$P:$P,RECAP_VENTE_ANNUELLE!$R:$R,"2019",RECAP_VENTE_ANNUELLE!$B:$B,Tableau2[[#This Row],[Nom_prenom ]])</f>
        <v>18</v>
      </c>
      <c r="K31" s="277"/>
      <c r="L31" s="277">
        <f>Tableau2[[#This Row],[Total PV client 2019]]-Tableau2[[#This Row],[PV client 
utilisés 2019]]</f>
        <v>18</v>
      </c>
      <c r="M31" s="278"/>
      <c r="N31" s="277">
        <f>SUMIFS(RECAP_VENTE_ANNUELLE!$P:$P,RECAP_VENTE_ANNUELLE!$R:$R,"2020",RECAP_VENTE_ANNUELLE!$B:$B,Tableau2[[#This Row],[Nom_prenom ]])</f>
        <v>72</v>
      </c>
      <c r="O31" s="277"/>
      <c r="P31" s="277">
        <f>Tableau2[[#This Row],[Total PV client 2020]]-Tableau2[[#This Row],[PV client 
utilisés 2020]]</f>
        <v>72</v>
      </c>
      <c r="Q31" s="278"/>
      <c r="R31" s="277">
        <f>SUMIFS(RECAP_VENTE_ANNUELLE!$P:$P,RECAP_VENTE_ANNUELLE!$R:$R,"2021",RECAP_VENTE_ANNUELLE!$B:$B,Tableau2[[#This Row],[Nom_prenom ]])</f>
        <v>0</v>
      </c>
      <c r="S31" s="277"/>
      <c r="T31" s="277">
        <f>Tableau2[[#This Row],[Total PV client 2021]]-Tableau2[[#This Row],[PV client 
utilisés 2021]]</f>
        <v>0</v>
      </c>
      <c r="U31" s="278"/>
      <c r="V31" s="277">
        <f>SUMIFS(RECAP_VENTE_ANNUELLE!$P:$P,RECAP_VENTE_ANNUELLE!$R:$R,"2022",RECAP_VENTE_ANNUELLE!$B:$B,Tableau2[[#This Row],[Nom_prenom ]])</f>
        <v>0</v>
      </c>
      <c r="W31" s="277"/>
      <c r="X31" s="277">
        <f>Tableau2[[#This Row],[Total PV
 client 2022]]-Tableau2[[#This Row],[PV client 
utilisés 2022]]</f>
        <v>0</v>
      </c>
      <c r="Y31" s="278"/>
      <c r="Z31" s="277">
        <f>SUMIFS(RECAP_VENTE_ANNUELLE!$P:$P,RECAP_VENTE_ANNUELLE!$R:$R,"2023",RECAP_VENTE_ANNUELLE!$B:$B,Tableau2[[#This Row],[Nom_prenom ]])</f>
        <v>0</v>
      </c>
      <c r="AA31" s="277"/>
      <c r="AB31" s="277">
        <f>Tableau2[[#This Row],[Total PV
 client 2023]]-Tableau2[[#This Row],[PV client 
utilisés 2023]]</f>
        <v>0</v>
      </c>
      <c r="AC31" s="278"/>
      <c r="AD31" s="277">
        <f>SUMIFS(RECAP_VENTE_ANNUELLE!$P:$P,RECAP_VENTE_ANNUELLE!$R:$R,"2024",RECAP_VENTE_ANNUELLE!$B:$B,Tableau2[[#This Row],[Nom_prenom ]])</f>
        <v>0</v>
      </c>
      <c r="AE31" s="277"/>
      <c r="AF31" s="277">
        <f>Tableau2[[#This Row],[Total PV
 client 2024]]-Tableau2[[#This Row],[PV client 
utilisés 2024]]</f>
        <v>0</v>
      </c>
      <c r="AG31" s="278"/>
      <c r="AH31" s="277">
        <f>SUMIFS(RECAP_VENTE_ANNUELLE!$P:$P,RECAP_VENTE_ANNUELLE!$R:$R,"2025",RECAP_VENTE_ANNUELLE!$B:$B,Tableau2[[#This Row],[Nom_prenom ]])</f>
        <v>0</v>
      </c>
      <c r="AI31" s="277"/>
      <c r="AJ31" s="277">
        <f>Tableau2[[#This Row],[Total PV
 client 2025]]-Tableau2[[#This Row],[PV client 
utilisés 2025]]</f>
        <v>0</v>
      </c>
      <c r="AK31" s="279"/>
    </row>
    <row r="32" spans="1:37">
      <c r="A32" s="85" t="s">
        <v>41</v>
      </c>
      <c r="B32" s="275" t="s">
        <v>829</v>
      </c>
      <c r="C32" s="242" t="s">
        <v>268</v>
      </c>
      <c r="D32" s="242" t="s">
        <v>269</v>
      </c>
      <c r="E32" s="86" t="s">
        <v>270</v>
      </c>
      <c r="F32" s="242" t="s">
        <v>271</v>
      </c>
      <c r="G32" s="149" t="s">
        <v>272</v>
      </c>
      <c r="H32" s="151">
        <f>SUMPRODUCT((Tableau4[Nom_prenom ]=B32)*(Tableau4[Quantités]))</f>
        <v>2</v>
      </c>
      <c r="I32" s="71">
        <f>SUMPRODUCT((Tableau4[Nom_prenom ]=$B32)*(Tableau4[Total_Client]))</f>
        <v>49.8</v>
      </c>
      <c r="J32" s="277">
        <f>SUMIFS(RECAP_VENTE_ANNUELLE!$P:$P,RECAP_VENTE_ANNUELLE!$R:$R,"2019",RECAP_VENTE_ANNUELLE!$B:$B,Tableau2[[#This Row],[Nom_prenom ]])</f>
        <v>27</v>
      </c>
      <c r="K32" s="277"/>
      <c r="L32" s="277">
        <f>Tableau2[[#This Row],[Total PV client 2019]]-Tableau2[[#This Row],[PV client 
utilisés 2019]]</f>
        <v>27</v>
      </c>
      <c r="M32" s="278"/>
      <c r="N32" s="277">
        <f>SUMIFS(RECAP_VENTE_ANNUELLE!$P:$P,RECAP_VENTE_ANNUELLE!$R:$R,"2020",RECAP_VENTE_ANNUELLE!$B:$B,Tableau2[[#This Row],[Nom_prenom ]])</f>
        <v>0</v>
      </c>
      <c r="O32" s="277"/>
      <c r="P32" s="277">
        <f>Tableau2[[#This Row],[Total PV client 2020]]-Tableau2[[#This Row],[PV client 
utilisés 2020]]</f>
        <v>0</v>
      </c>
      <c r="Q32" s="278"/>
      <c r="R32" s="277">
        <f>SUMIFS(RECAP_VENTE_ANNUELLE!$P:$P,RECAP_VENTE_ANNUELLE!$R:$R,"2021",RECAP_VENTE_ANNUELLE!$B:$B,Tableau2[[#This Row],[Nom_prenom ]])</f>
        <v>0</v>
      </c>
      <c r="S32" s="277"/>
      <c r="T32" s="277">
        <f>Tableau2[[#This Row],[Total PV client 2021]]-Tableau2[[#This Row],[PV client 
utilisés 2021]]</f>
        <v>0</v>
      </c>
      <c r="U32" s="278"/>
      <c r="V32" s="277">
        <f>SUMIFS(RECAP_VENTE_ANNUELLE!$P:$P,RECAP_VENTE_ANNUELLE!$R:$R,"2022",RECAP_VENTE_ANNUELLE!$B:$B,Tableau2[[#This Row],[Nom_prenom ]])</f>
        <v>0</v>
      </c>
      <c r="W32" s="277"/>
      <c r="X32" s="277">
        <f>Tableau2[[#This Row],[Total PV
 client 2022]]-Tableau2[[#This Row],[PV client 
utilisés 2022]]</f>
        <v>0</v>
      </c>
      <c r="Y32" s="278"/>
      <c r="Z32" s="277">
        <f>SUMIFS(RECAP_VENTE_ANNUELLE!$P:$P,RECAP_VENTE_ANNUELLE!$R:$R,"2023",RECAP_VENTE_ANNUELLE!$B:$B,Tableau2[[#This Row],[Nom_prenom ]])</f>
        <v>0</v>
      </c>
      <c r="AA32" s="277"/>
      <c r="AB32" s="277">
        <f>Tableau2[[#This Row],[Total PV
 client 2023]]-Tableau2[[#This Row],[PV client 
utilisés 2023]]</f>
        <v>0</v>
      </c>
      <c r="AC32" s="278"/>
      <c r="AD32" s="277">
        <f>SUMIFS(RECAP_VENTE_ANNUELLE!$P:$P,RECAP_VENTE_ANNUELLE!$R:$R,"2024",RECAP_VENTE_ANNUELLE!$B:$B,Tableau2[[#This Row],[Nom_prenom ]])</f>
        <v>0</v>
      </c>
      <c r="AE32" s="277"/>
      <c r="AF32" s="277">
        <f>Tableau2[[#This Row],[Total PV
 client 2024]]-Tableau2[[#This Row],[PV client 
utilisés 2024]]</f>
        <v>0</v>
      </c>
      <c r="AG32" s="278"/>
      <c r="AH32" s="277">
        <f>SUMIFS(RECAP_VENTE_ANNUELLE!$P:$P,RECAP_VENTE_ANNUELLE!$R:$R,"2025",RECAP_VENTE_ANNUELLE!$B:$B,Tableau2[[#This Row],[Nom_prenom ]])</f>
        <v>0</v>
      </c>
      <c r="AI32" s="277"/>
      <c r="AJ32" s="277">
        <f>Tableau2[[#This Row],[Total PV
 client 2025]]-Tableau2[[#This Row],[PV client 
utilisés 2025]]</f>
        <v>0</v>
      </c>
      <c r="AK32" s="279"/>
    </row>
    <row r="33" spans="1:189">
      <c r="A33" s="85" t="s">
        <v>41</v>
      </c>
      <c r="B33" s="275" t="s">
        <v>830</v>
      </c>
      <c r="C33" s="242" t="s">
        <v>273</v>
      </c>
      <c r="D33" s="242" t="s">
        <v>274</v>
      </c>
      <c r="E33" s="86" t="s">
        <v>275</v>
      </c>
      <c r="F33" s="242" t="s">
        <v>276</v>
      </c>
      <c r="G33" s="149" t="s">
        <v>277</v>
      </c>
      <c r="H33" s="151">
        <f>SUMPRODUCT((Tableau4[Nom_prenom ]=B33)*(Tableau4[Quantités]))</f>
        <v>27</v>
      </c>
      <c r="I33" s="71">
        <f>SUMPRODUCT((Tableau4[Nom_prenom ]=$B33)*(Tableau4[Total_Client]))</f>
        <v>327.63000000000011</v>
      </c>
      <c r="J33" s="277">
        <f>SUMIFS(RECAP_VENTE_ANNUELLE!$P:$P,RECAP_VENTE_ANNUELLE!$R:$R,"2019",RECAP_VENTE_ANNUELLE!$B:$B,Tableau2[[#This Row],[Nom_prenom ]])</f>
        <v>183</v>
      </c>
      <c r="K33" s="277"/>
      <c r="L33" s="277">
        <f>Tableau2[[#This Row],[Total PV client 2019]]-Tableau2[[#This Row],[PV client 
utilisés 2019]]</f>
        <v>183</v>
      </c>
      <c r="M33" s="278"/>
      <c r="N33" s="277">
        <f>SUMIFS(RECAP_VENTE_ANNUELLE!$P:$P,RECAP_VENTE_ANNUELLE!$R:$R,"2020",RECAP_VENTE_ANNUELLE!$B:$B,Tableau2[[#This Row],[Nom_prenom ]])</f>
        <v>0</v>
      </c>
      <c r="O33" s="277"/>
      <c r="P33" s="277">
        <f>Tableau2[[#This Row],[Total PV client 2020]]-Tableau2[[#This Row],[PV client 
utilisés 2020]]</f>
        <v>0</v>
      </c>
      <c r="Q33" s="278"/>
      <c r="R33" s="277">
        <f>SUMIFS(RECAP_VENTE_ANNUELLE!$P:$P,RECAP_VENTE_ANNUELLE!$R:$R,"2021",RECAP_VENTE_ANNUELLE!$B:$B,Tableau2[[#This Row],[Nom_prenom ]])</f>
        <v>0</v>
      </c>
      <c r="S33" s="277"/>
      <c r="T33" s="277">
        <f>Tableau2[[#This Row],[Total PV client 2021]]-Tableau2[[#This Row],[PV client 
utilisés 2021]]</f>
        <v>0</v>
      </c>
      <c r="U33" s="278"/>
      <c r="V33" s="277">
        <f>SUMIFS(RECAP_VENTE_ANNUELLE!$P:$P,RECAP_VENTE_ANNUELLE!$R:$R,"2022",RECAP_VENTE_ANNUELLE!$B:$B,Tableau2[[#This Row],[Nom_prenom ]])</f>
        <v>0</v>
      </c>
      <c r="W33" s="277"/>
      <c r="X33" s="277">
        <f>Tableau2[[#This Row],[Total PV
 client 2022]]-Tableau2[[#This Row],[PV client 
utilisés 2022]]</f>
        <v>0</v>
      </c>
      <c r="Y33" s="278"/>
      <c r="Z33" s="277">
        <f>SUMIFS(RECAP_VENTE_ANNUELLE!$P:$P,RECAP_VENTE_ANNUELLE!$R:$R,"2023",RECAP_VENTE_ANNUELLE!$B:$B,Tableau2[[#This Row],[Nom_prenom ]])</f>
        <v>0</v>
      </c>
      <c r="AA33" s="277"/>
      <c r="AB33" s="277">
        <f>Tableau2[[#This Row],[Total PV
 client 2023]]-Tableau2[[#This Row],[PV client 
utilisés 2023]]</f>
        <v>0</v>
      </c>
      <c r="AC33" s="278"/>
      <c r="AD33" s="277">
        <f>SUMIFS(RECAP_VENTE_ANNUELLE!$P:$P,RECAP_VENTE_ANNUELLE!$R:$R,"2024",RECAP_VENTE_ANNUELLE!$B:$B,Tableau2[[#This Row],[Nom_prenom ]])</f>
        <v>0</v>
      </c>
      <c r="AE33" s="277"/>
      <c r="AF33" s="277">
        <f>Tableau2[[#This Row],[Total PV
 client 2024]]-Tableau2[[#This Row],[PV client 
utilisés 2024]]</f>
        <v>0</v>
      </c>
      <c r="AG33" s="278"/>
      <c r="AH33" s="277">
        <f>SUMIFS(RECAP_VENTE_ANNUELLE!$P:$P,RECAP_VENTE_ANNUELLE!$R:$R,"2025",RECAP_VENTE_ANNUELLE!$B:$B,Tableau2[[#This Row],[Nom_prenom ]])</f>
        <v>0</v>
      </c>
      <c r="AI33" s="277"/>
      <c r="AJ33" s="277">
        <f>Tableau2[[#This Row],[Total PV
 client 2025]]-Tableau2[[#This Row],[PV client 
utilisés 2025]]</f>
        <v>0</v>
      </c>
      <c r="AK33" s="279"/>
    </row>
    <row r="34" spans="1:189">
      <c r="A34" s="148" t="s">
        <v>41</v>
      </c>
      <c r="B34" s="275" t="s">
        <v>831</v>
      </c>
      <c r="C34" s="242" t="s">
        <v>278</v>
      </c>
      <c r="D34" s="242" t="s">
        <v>279</v>
      </c>
      <c r="E34" s="86" t="s">
        <v>280</v>
      </c>
      <c r="F34" s="242" t="s">
        <v>281</v>
      </c>
      <c r="G34" s="149" t="s">
        <v>282</v>
      </c>
      <c r="H34" s="151">
        <f>SUMPRODUCT((Tableau4[Nom_prenom ]=B34)*(Tableau4[Quantités]))</f>
        <v>2</v>
      </c>
      <c r="I34" s="71">
        <f>SUMPRODUCT((Tableau4[Nom_prenom ]=$B34)*(Tableau4[Total_Client]))</f>
        <v>24.8</v>
      </c>
      <c r="J34" s="277">
        <f>SUMIFS(RECAP_VENTE_ANNUELLE!$P:$P,RECAP_VENTE_ANNUELLE!$R:$R,"2019",RECAP_VENTE_ANNUELLE!$B:$B,Tableau2[[#This Row],[Nom_prenom ]])</f>
        <v>16</v>
      </c>
      <c r="K34" s="277"/>
      <c r="L34" s="277">
        <f>Tableau2[[#This Row],[Total PV client 2019]]-Tableau2[[#This Row],[PV client 
utilisés 2019]]</f>
        <v>16</v>
      </c>
      <c r="M34" s="278"/>
      <c r="N34" s="277">
        <f>SUMIFS(RECAP_VENTE_ANNUELLE!$P:$P,RECAP_VENTE_ANNUELLE!$R:$R,"2020",RECAP_VENTE_ANNUELLE!$B:$B,Tableau2[[#This Row],[Nom_prenom ]])</f>
        <v>0</v>
      </c>
      <c r="O34" s="277"/>
      <c r="P34" s="277">
        <f>Tableau2[[#This Row],[Total PV client 2020]]-Tableau2[[#This Row],[PV client 
utilisés 2020]]</f>
        <v>0</v>
      </c>
      <c r="Q34" s="278"/>
      <c r="R34" s="277">
        <f>SUMIFS(RECAP_VENTE_ANNUELLE!$P:$P,RECAP_VENTE_ANNUELLE!$R:$R,"2021",RECAP_VENTE_ANNUELLE!$B:$B,Tableau2[[#This Row],[Nom_prenom ]])</f>
        <v>0</v>
      </c>
      <c r="S34" s="277"/>
      <c r="T34" s="277">
        <f>Tableau2[[#This Row],[Total PV client 2021]]-Tableau2[[#This Row],[PV client 
utilisés 2021]]</f>
        <v>0</v>
      </c>
      <c r="U34" s="278"/>
      <c r="V34" s="277">
        <f>SUMIFS(RECAP_VENTE_ANNUELLE!$P:$P,RECAP_VENTE_ANNUELLE!$R:$R,"2022",RECAP_VENTE_ANNUELLE!$B:$B,Tableau2[[#This Row],[Nom_prenom ]])</f>
        <v>0</v>
      </c>
      <c r="W34" s="277"/>
      <c r="X34" s="277">
        <f>Tableau2[[#This Row],[Total PV
 client 2022]]-Tableau2[[#This Row],[PV client 
utilisés 2022]]</f>
        <v>0</v>
      </c>
      <c r="Y34" s="278"/>
      <c r="Z34" s="277">
        <f>SUMIFS(RECAP_VENTE_ANNUELLE!$P:$P,RECAP_VENTE_ANNUELLE!$R:$R,"2023",RECAP_VENTE_ANNUELLE!$B:$B,Tableau2[[#This Row],[Nom_prenom ]])</f>
        <v>0</v>
      </c>
      <c r="AA34" s="277"/>
      <c r="AB34" s="277">
        <f>Tableau2[[#This Row],[Total PV
 client 2023]]-Tableau2[[#This Row],[PV client 
utilisés 2023]]</f>
        <v>0</v>
      </c>
      <c r="AC34" s="278"/>
      <c r="AD34" s="277">
        <f>SUMIFS(RECAP_VENTE_ANNUELLE!$P:$P,RECAP_VENTE_ANNUELLE!$R:$R,"2024",RECAP_VENTE_ANNUELLE!$B:$B,Tableau2[[#This Row],[Nom_prenom ]])</f>
        <v>0</v>
      </c>
      <c r="AE34" s="277"/>
      <c r="AF34" s="277">
        <f>Tableau2[[#This Row],[Total PV
 client 2024]]-Tableau2[[#This Row],[PV client 
utilisés 2024]]</f>
        <v>0</v>
      </c>
      <c r="AG34" s="278"/>
      <c r="AH34" s="277">
        <f>SUMIFS(RECAP_VENTE_ANNUELLE!$P:$P,RECAP_VENTE_ANNUELLE!$R:$R,"2025",RECAP_VENTE_ANNUELLE!$B:$B,Tableau2[[#This Row],[Nom_prenom ]])</f>
        <v>0</v>
      </c>
      <c r="AI34" s="277"/>
      <c r="AJ34" s="277">
        <f>Tableau2[[#This Row],[Total PV
 client 2025]]-Tableau2[[#This Row],[PV client 
utilisés 2025]]</f>
        <v>0</v>
      </c>
      <c r="AK34" s="279"/>
    </row>
    <row r="35" spans="1:189">
      <c r="A35" s="148" t="s">
        <v>41</v>
      </c>
      <c r="B35" s="275" t="s">
        <v>832</v>
      </c>
      <c r="C35" s="242" t="s">
        <v>283</v>
      </c>
      <c r="D35" s="242" t="s">
        <v>284</v>
      </c>
      <c r="E35" s="86" t="s">
        <v>285</v>
      </c>
      <c r="F35" s="242" t="s">
        <v>286</v>
      </c>
      <c r="G35" s="149" t="s">
        <v>287</v>
      </c>
      <c r="H35" s="151">
        <f>SUMPRODUCT((Tableau4[Nom_prenom ]=B35)*(Tableau4[Quantités]))</f>
        <v>3</v>
      </c>
      <c r="I35" s="71">
        <f>SUMPRODUCT((Tableau4[Nom_prenom ]=$B35)*(Tableau4[Total_Client]))</f>
        <v>30.700000000000003</v>
      </c>
      <c r="J35" s="277">
        <f>SUMIFS(RECAP_VENTE_ANNUELLE!$P:$P,RECAP_VENTE_ANNUELLE!$R:$R,"2019",RECAP_VENTE_ANNUELLE!$B:$B,Tableau2[[#This Row],[Nom_prenom ]])</f>
        <v>17.600000000000001</v>
      </c>
      <c r="K35" s="277"/>
      <c r="L35" s="277">
        <f>Tableau2[[#This Row],[Total PV client 2019]]-Tableau2[[#This Row],[PV client 
utilisés 2019]]</f>
        <v>17.600000000000001</v>
      </c>
      <c r="M35" s="278"/>
      <c r="N35" s="277">
        <f>SUMIFS(RECAP_VENTE_ANNUELLE!$P:$P,RECAP_VENTE_ANNUELLE!$R:$R,"2020",RECAP_VENTE_ANNUELLE!$B:$B,Tableau2[[#This Row],[Nom_prenom ]])</f>
        <v>0</v>
      </c>
      <c r="O35" s="277"/>
      <c r="P35" s="277">
        <f>Tableau2[[#This Row],[Total PV client 2020]]-Tableau2[[#This Row],[PV client 
utilisés 2020]]</f>
        <v>0</v>
      </c>
      <c r="Q35" s="278"/>
      <c r="R35" s="277">
        <f>SUMIFS(RECAP_VENTE_ANNUELLE!$P:$P,RECAP_VENTE_ANNUELLE!$R:$R,"2021",RECAP_VENTE_ANNUELLE!$B:$B,Tableau2[[#This Row],[Nom_prenom ]])</f>
        <v>0</v>
      </c>
      <c r="S35" s="277"/>
      <c r="T35" s="277">
        <f>Tableau2[[#This Row],[Total PV client 2021]]-Tableau2[[#This Row],[PV client 
utilisés 2021]]</f>
        <v>0</v>
      </c>
      <c r="U35" s="278"/>
      <c r="V35" s="277">
        <f>SUMIFS(RECAP_VENTE_ANNUELLE!$P:$P,RECAP_VENTE_ANNUELLE!$R:$R,"2022",RECAP_VENTE_ANNUELLE!$B:$B,Tableau2[[#This Row],[Nom_prenom ]])</f>
        <v>0</v>
      </c>
      <c r="W35" s="277"/>
      <c r="X35" s="277">
        <f>Tableau2[[#This Row],[Total PV
 client 2022]]-Tableau2[[#This Row],[PV client 
utilisés 2022]]</f>
        <v>0</v>
      </c>
      <c r="Y35" s="278"/>
      <c r="Z35" s="277">
        <f>SUMIFS(RECAP_VENTE_ANNUELLE!$P:$P,RECAP_VENTE_ANNUELLE!$R:$R,"2023",RECAP_VENTE_ANNUELLE!$B:$B,Tableau2[[#This Row],[Nom_prenom ]])</f>
        <v>0</v>
      </c>
      <c r="AA35" s="277"/>
      <c r="AB35" s="277">
        <f>Tableau2[[#This Row],[Total PV
 client 2023]]-Tableau2[[#This Row],[PV client 
utilisés 2023]]</f>
        <v>0</v>
      </c>
      <c r="AC35" s="278"/>
      <c r="AD35" s="277">
        <f>SUMIFS(RECAP_VENTE_ANNUELLE!$P:$P,RECAP_VENTE_ANNUELLE!$R:$R,"2024",RECAP_VENTE_ANNUELLE!$B:$B,Tableau2[[#This Row],[Nom_prenom ]])</f>
        <v>0</v>
      </c>
      <c r="AE35" s="277"/>
      <c r="AF35" s="277">
        <f>Tableau2[[#This Row],[Total PV
 client 2024]]-Tableau2[[#This Row],[PV client 
utilisés 2024]]</f>
        <v>0</v>
      </c>
      <c r="AG35" s="278"/>
      <c r="AH35" s="277">
        <f>SUMIFS(RECAP_VENTE_ANNUELLE!$P:$P,RECAP_VENTE_ANNUELLE!$R:$R,"2025",RECAP_VENTE_ANNUELLE!$B:$B,Tableau2[[#This Row],[Nom_prenom ]])</f>
        <v>0</v>
      </c>
      <c r="AI35" s="277"/>
      <c r="AJ35" s="277">
        <f>Tableau2[[#This Row],[Total PV
 client 2025]]-Tableau2[[#This Row],[PV client 
utilisés 2025]]</f>
        <v>0</v>
      </c>
      <c r="AK35" s="279"/>
    </row>
    <row r="36" spans="1:189">
      <c r="A36" s="148" t="s">
        <v>41</v>
      </c>
      <c r="B36" s="275" t="s">
        <v>833</v>
      </c>
      <c r="C36" s="242" t="s">
        <v>288</v>
      </c>
      <c r="D36" s="242" t="s">
        <v>289</v>
      </c>
      <c r="E36" s="86" t="s">
        <v>290</v>
      </c>
      <c r="F36" s="242" t="s">
        <v>291</v>
      </c>
      <c r="G36" s="149" t="s">
        <v>292</v>
      </c>
      <c r="H36" s="151">
        <f>SUMPRODUCT((Tableau4[Nom_prenom ]=B36)*(Tableau4[Quantités]))</f>
        <v>7</v>
      </c>
      <c r="I36" s="71">
        <f>SUMPRODUCT((Tableau4[Nom_prenom ]=$B36)*(Tableau4[Total_Client]))</f>
        <v>83.999999999999986</v>
      </c>
      <c r="J36" s="277">
        <f>SUMIFS(RECAP_VENTE_ANNUELLE!$P:$P,RECAP_VENTE_ANNUELLE!$R:$R,"2019",RECAP_VENTE_ANNUELLE!$B:$B,Tableau2[[#This Row],[Nom_prenom ]])</f>
        <v>44.4</v>
      </c>
      <c r="K36" s="277"/>
      <c r="L36" s="277">
        <f>Tableau2[[#This Row],[Total PV client 2019]]-Tableau2[[#This Row],[PV client 
utilisés 2019]]</f>
        <v>44.4</v>
      </c>
      <c r="M36" s="278"/>
      <c r="N36" s="277">
        <f>SUMIFS(RECAP_VENTE_ANNUELLE!$P:$P,RECAP_VENTE_ANNUELLE!$R:$R,"2020",RECAP_VENTE_ANNUELLE!$B:$B,Tableau2[[#This Row],[Nom_prenom ]])</f>
        <v>0</v>
      </c>
      <c r="O36" s="277"/>
      <c r="P36" s="277">
        <f>Tableau2[[#This Row],[Total PV client 2020]]-Tableau2[[#This Row],[PV client 
utilisés 2020]]</f>
        <v>0</v>
      </c>
      <c r="Q36" s="278"/>
      <c r="R36" s="277">
        <f>SUMIFS(RECAP_VENTE_ANNUELLE!$P:$P,RECAP_VENTE_ANNUELLE!$R:$R,"2021",RECAP_VENTE_ANNUELLE!$B:$B,Tableau2[[#This Row],[Nom_prenom ]])</f>
        <v>0</v>
      </c>
      <c r="S36" s="277"/>
      <c r="T36" s="277">
        <f>Tableau2[[#This Row],[Total PV client 2021]]-Tableau2[[#This Row],[PV client 
utilisés 2021]]</f>
        <v>0</v>
      </c>
      <c r="U36" s="278"/>
      <c r="V36" s="277">
        <f>SUMIFS(RECAP_VENTE_ANNUELLE!$P:$P,RECAP_VENTE_ANNUELLE!$R:$R,"2022",RECAP_VENTE_ANNUELLE!$B:$B,Tableau2[[#This Row],[Nom_prenom ]])</f>
        <v>0</v>
      </c>
      <c r="W36" s="277"/>
      <c r="X36" s="277">
        <f>Tableau2[[#This Row],[Total PV
 client 2022]]-Tableau2[[#This Row],[PV client 
utilisés 2022]]</f>
        <v>0</v>
      </c>
      <c r="Y36" s="278"/>
      <c r="Z36" s="277">
        <f>SUMIFS(RECAP_VENTE_ANNUELLE!$P:$P,RECAP_VENTE_ANNUELLE!$R:$R,"2023",RECAP_VENTE_ANNUELLE!$B:$B,Tableau2[[#This Row],[Nom_prenom ]])</f>
        <v>0</v>
      </c>
      <c r="AA36" s="277"/>
      <c r="AB36" s="277">
        <f>Tableau2[[#This Row],[Total PV
 client 2023]]-Tableau2[[#This Row],[PV client 
utilisés 2023]]</f>
        <v>0</v>
      </c>
      <c r="AC36" s="278"/>
      <c r="AD36" s="277">
        <f>SUMIFS(RECAP_VENTE_ANNUELLE!$P:$P,RECAP_VENTE_ANNUELLE!$R:$R,"2024",RECAP_VENTE_ANNUELLE!$B:$B,Tableau2[[#This Row],[Nom_prenom ]])</f>
        <v>0</v>
      </c>
      <c r="AE36" s="277"/>
      <c r="AF36" s="277">
        <f>Tableau2[[#This Row],[Total PV
 client 2024]]-Tableau2[[#This Row],[PV client 
utilisés 2024]]</f>
        <v>0</v>
      </c>
      <c r="AG36" s="278"/>
      <c r="AH36" s="277">
        <f>SUMIFS(RECAP_VENTE_ANNUELLE!$P:$P,RECAP_VENTE_ANNUELLE!$R:$R,"2025",RECAP_VENTE_ANNUELLE!$B:$B,Tableau2[[#This Row],[Nom_prenom ]])</f>
        <v>0</v>
      </c>
      <c r="AI36" s="277"/>
      <c r="AJ36" s="277">
        <f>Tableau2[[#This Row],[Total PV
 client 2025]]-Tableau2[[#This Row],[PV client 
utilisés 2025]]</f>
        <v>0</v>
      </c>
      <c r="AK36" s="279"/>
    </row>
    <row r="37" spans="1:189">
      <c r="A37" s="85" t="s">
        <v>39</v>
      </c>
      <c r="B37" s="275" t="s">
        <v>834</v>
      </c>
      <c r="C37" s="242" t="s">
        <v>293</v>
      </c>
      <c r="D37" s="242" t="s">
        <v>294</v>
      </c>
      <c r="E37" s="86" t="s">
        <v>295</v>
      </c>
      <c r="F37" s="242" t="s">
        <v>296</v>
      </c>
      <c r="G37" s="149" t="s">
        <v>297</v>
      </c>
      <c r="H37" s="151">
        <f>SUMPRODUCT((Tableau4[Nom_prenom ]=B37)*(Tableau4[Quantités]))</f>
        <v>1</v>
      </c>
      <c r="I37" s="71">
        <f>SUMPRODUCT((Tableau4[Nom_prenom ]=$B37)*(Tableau4[Total_Client]))</f>
        <v>19.899999999999999</v>
      </c>
      <c r="J37" s="277">
        <f>SUMIFS(RECAP_VENTE_ANNUELLE!$P:$P,RECAP_VENTE_ANNUELLE!$R:$R,"2019",RECAP_VENTE_ANNUELLE!$B:$B,Tableau2[[#This Row],[Nom_prenom ]])</f>
        <v>11</v>
      </c>
      <c r="K37" s="277"/>
      <c r="L37" s="277">
        <f>Tableau2[[#This Row],[Total PV client 2019]]-Tableau2[[#This Row],[PV client 
utilisés 2019]]</f>
        <v>11</v>
      </c>
      <c r="M37" s="278"/>
      <c r="N37" s="277">
        <f>SUMIFS(RECAP_VENTE_ANNUELLE!$P:$P,RECAP_VENTE_ANNUELLE!$R:$R,"2020",RECAP_VENTE_ANNUELLE!$B:$B,Tableau2[[#This Row],[Nom_prenom ]])</f>
        <v>0</v>
      </c>
      <c r="O37" s="277"/>
      <c r="P37" s="277">
        <f>Tableau2[[#This Row],[Total PV client 2020]]-Tableau2[[#This Row],[PV client 
utilisés 2020]]</f>
        <v>0</v>
      </c>
      <c r="Q37" s="278"/>
      <c r="R37" s="277">
        <f>SUMIFS(RECAP_VENTE_ANNUELLE!$P:$P,RECAP_VENTE_ANNUELLE!$R:$R,"2021",RECAP_VENTE_ANNUELLE!$B:$B,Tableau2[[#This Row],[Nom_prenom ]])</f>
        <v>0</v>
      </c>
      <c r="S37" s="277"/>
      <c r="T37" s="277">
        <f>Tableau2[[#This Row],[Total PV client 2021]]-Tableau2[[#This Row],[PV client 
utilisés 2021]]</f>
        <v>0</v>
      </c>
      <c r="U37" s="278"/>
      <c r="V37" s="277">
        <f>SUMIFS(RECAP_VENTE_ANNUELLE!$P:$P,RECAP_VENTE_ANNUELLE!$R:$R,"2022",RECAP_VENTE_ANNUELLE!$B:$B,Tableau2[[#This Row],[Nom_prenom ]])</f>
        <v>0</v>
      </c>
      <c r="W37" s="277"/>
      <c r="X37" s="277">
        <f>Tableau2[[#This Row],[Total PV
 client 2022]]-Tableau2[[#This Row],[PV client 
utilisés 2022]]</f>
        <v>0</v>
      </c>
      <c r="Y37" s="278"/>
      <c r="Z37" s="277">
        <f>SUMIFS(RECAP_VENTE_ANNUELLE!$P:$P,RECAP_VENTE_ANNUELLE!$R:$R,"2023",RECAP_VENTE_ANNUELLE!$B:$B,Tableau2[[#This Row],[Nom_prenom ]])</f>
        <v>0</v>
      </c>
      <c r="AA37" s="277"/>
      <c r="AB37" s="277">
        <f>Tableau2[[#This Row],[Total PV
 client 2023]]-Tableau2[[#This Row],[PV client 
utilisés 2023]]</f>
        <v>0</v>
      </c>
      <c r="AC37" s="278"/>
      <c r="AD37" s="277">
        <f>SUMIFS(RECAP_VENTE_ANNUELLE!$P:$P,RECAP_VENTE_ANNUELLE!$R:$R,"2024",RECAP_VENTE_ANNUELLE!$B:$B,Tableau2[[#This Row],[Nom_prenom ]])</f>
        <v>0</v>
      </c>
      <c r="AE37" s="277"/>
      <c r="AF37" s="277">
        <f>Tableau2[[#This Row],[Total PV
 client 2024]]-Tableau2[[#This Row],[PV client 
utilisés 2024]]</f>
        <v>0</v>
      </c>
      <c r="AG37" s="278"/>
      <c r="AH37" s="277">
        <f>SUMIFS(RECAP_VENTE_ANNUELLE!$P:$P,RECAP_VENTE_ANNUELLE!$R:$R,"2025",RECAP_VENTE_ANNUELLE!$B:$B,Tableau2[[#This Row],[Nom_prenom ]])</f>
        <v>0</v>
      </c>
      <c r="AI37" s="277"/>
      <c r="AJ37" s="277">
        <f>Tableau2[[#This Row],[Total PV
 client 2025]]-Tableau2[[#This Row],[PV client 
utilisés 2025]]</f>
        <v>0</v>
      </c>
      <c r="AK37" s="279"/>
    </row>
    <row r="38" spans="1:189">
      <c r="A38" s="85" t="s">
        <v>41</v>
      </c>
      <c r="B38" s="275" t="s">
        <v>835</v>
      </c>
      <c r="C38" s="242" t="s">
        <v>298</v>
      </c>
      <c r="D38" s="242" t="s">
        <v>299</v>
      </c>
      <c r="E38" s="86" t="s">
        <v>300</v>
      </c>
      <c r="F38" s="242" t="s">
        <v>301</v>
      </c>
      <c r="G38" s="149" t="s">
        <v>302</v>
      </c>
      <c r="H38" s="151">
        <f>SUMPRODUCT((Tableau4[Nom_prenom ]=B38)*(Tableau4[Quantités]))</f>
        <v>10</v>
      </c>
      <c r="I38" s="71">
        <f>SUMPRODUCT((Tableau4[Nom_prenom ]=$B38)*(Tableau4[Total_Client]))</f>
        <v>262.40000000000003</v>
      </c>
      <c r="J38" s="277">
        <f>SUMIFS(RECAP_VENTE_ANNUELLE!$P:$P,RECAP_VENTE_ANNUELLE!$R:$R,"2019",RECAP_VENTE_ANNUELLE!$B:$B,Tableau2[[#This Row],[Nom_prenom ]])</f>
        <v>137.69999999999999</v>
      </c>
      <c r="K38" s="277"/>
      <c r="L38" s="277">
        <f>Tableau2[[#This Row],[Total PV client 2019]]-Tableau2[[#This Row],[PV client 
utilisés 2019]]</f>
        <v>137.69999999999999</v>
      </c>
      <c r="M38" s="278"/>
      <c r="N38" s="277">
        <f>SUMIFS(RECAP_VENTE_ANNUELLE!$P:$P,RECAP_VENTE_ANNUELLE!$R:$R,"2020",RECAP_VENTE_ANNUELLE!$B:$B,Tableau2[[#This Row],[Nom_prenom ]])</f>
        <v>0</v>
      </c>
      <c r="O38" s="277"/>
      <c r="P38" s="277">
        <f>Tableau2[[#This Row],[Total PV client 2020]]-Tableau2[[#This Row],[PV client 
utilisés 2020]]</f>
        <v>0</v>
      </c>
      <c r="Q38" s="278"/>
      <c r="R38" s="277">
        <f>SUMIFS(RECAP_VENTE_ANNUELLE!$P:$P,RECAP_VENTE_ANNUELLE!$R:$R,"2021",RECAP_VENTE_ANNUELLE!$B:$B,Tableau2[[#This Row],[Nom_prenom ]])</f>
        <v>0</v>
      </c>
      <c r="S38" s="277"/>
      <c r="T38" s="277">
        <f>Tableau2[[#This Row],[Total PV client 2021]]-Tableau2[[#This Row],[PV client 
utilisés 2021]]</f>
        <v>0</v>
      </c>
      <c r="U38" s="278"/>
      <c r="V38" s="277">
        <f>SUMIFS(RECAP_VENTE_ANNUELLE!$P:$P,RECAP_VENTE_ANNUELLE!$R:$R,"2022",RECAP_VENTE_ANNUELLE!$B:$B,Tableau2[[#This Row],[Nom_prenom ]])</f>
        <v>0</v>
      </c>
      <c r="W38" s="277"/>
      <c r="X38" s="277">
        <f>Tableau2[[#This Row],[Total PV
 client 2022]]-Tableau2[[#This Row],[PV client 
utilisés 2022]]</f>
        <v>0</v>
      </c>
      <c r="Y38" s="278"/>
      <c r="Z38" s="277">
        <f>SUMIFS(RECAP_VENTE_ANNUELLE!$P:$P,RECAP_VENTE_ANNUELLE!$R:$R,"2023",RECAP_VENTE_ANNUELLE!$B:$B,Tableau2[[#This Row],[Nom_prenom ]])</f>
        <v>0</v>
      </c>
      <c r="AA38" s="277"/>
      <c r="AB38" s="277">
        <f>Tableau2[[#This Row],[Total PV
 client 2023]]-Tableau2[[#This Row],[PV client 
utilisés 2023]]</f>
        <v>0</v>
      </c>
      <c r="AC38" s="278"/>
      <c r="AD38" s="277">
        <f>SUMIFS(RECAP_VENTE_ANNUELLE!$P:$P,RECAP_VENTE_ANNUELLE!$R:$R,"2024",RECAP_VENTE_ANNUELLE!$B:$B,Tableau2[[#This Row],[Nom_prenom ]])</f>
        <v>0</v>
      </c>
      <c r="AE38" s="277"/>
      <c r="AF38" s="277">
        <f>Tableau2[[#This Row],[Total PV
 client 2024]]-Tableau2[[#This Row],[PV client 
utilisés 2024]]</f>
        <v>0</v>
      </c>
      <c r="AG38" s="278"/>
      <c r="AH38" s="277">
        <f>SUMIFS(RECAP_VENTE_ANNUELLE!$P:$P,RECAP_VENTE_ANNUELLE!$R:$R,"2025",RECAP_VENTE_ANNUELLE!$B:$B,Tableau2[[#This Row],[Nom_prenom ]])</f>
        <v>0</v>
      </c>
      <c r="AI38" s="277"/>
      <c r="AJ38" s="277">
        <f>Tableau2[[#This Row],[Total PV
 client 2025]]-Tableau2[[#This Row],[PV client 
utilisés 2025]]</f>
        <v>0</v>
      </c>
      <c r="AK38" s="279"/>
    </row>
    <row r="39" spans="1:189">
      <c r="A39" s="85" t="s">
        <v>41</v>
      </c>
      <c r="B39" s="275" t="s">
        <v>836</v>
      </c>
      <c r="C39" s="242" t="s">
        <v>303</v>
      </c>
      <c r="D39" s="242" t="s">
        <v>304</v>
      </c>
      <c r="E39" s="86" t="s">
        <v>305</v>
      </c>
      <c r="F39" s="242" t="s">
        <v>306</v>
      </c>
      <c r="G39" s="149" t="s">
        <v>307</v>
      </c>
      <c r="H39" s="151">
        <f>SUMPRODUCT((Tableau4[Nom_prenom ]=B39)*(Tableau4[Quantités]))</f>
        <v>4</v>
      </c>
      <c r="I39" s="71">
        <f>SUMPRODUCT((Tableau4[Nom_prenom ]=$B39)*(Tableau4[Total_Client]))</f>
        <v>56.9</v>
      </c>
      <c r="J39" s="277">
        <f>SUMIFS(RECAP_VENTE_ANNUELLE!$P:$P,RECAP_VENTE_ANNUELLE!$R:$R,"2019",RECAP_VENTE_ANNUELLE!$B:$B,Tableau2[[#This Row],[Nom_prenom ]])</f>
        <v>0</v>
      </c>
      <c r="K39" s="277"/>
      <c r="L39" s="277">
        <f>Tableau2[[#This Row],[Total PV client 2019]]-Tableau2[[#This Row],[PV client 
utilisés 2019]]</f>
        <v>0</v>
      </c>
      <c r="M39" s="278"/>
      <c r="N39" s="277">
        <f>SUMIFS(RECAP_VENTE_ANNUELLE!$P:$P,RECAP_VENTE_ANNUELLE!$R:$R,"2020",RECAP_VENTE_ANNUELLE!$B:$B,Tableau2[[#This Row],[Nom_prenom ]])</f>
        <v>31.5</v>
      </c>
      <c r="O39" s="277"/>
      <c r="P39" s="277">
        <f>Tableau2[[#This Row],[Total PV client 2020]]-Tableau2[[#This Row],[PV client 
utilisés 2020]]</f>
        <v>31.5</v>
      </c>
      <c r="Q39" s="278"/>
      <c r="R39" s="277">
        <f>SUMIFS(RECAP_VENTE_ANNUELLE!$P:$P,RECAP_VENTE_ANNUELLE!$R:$R,"2021",RECAP_VENTE_ANNUELLE!$B:$B,Tableau2[[#This Row],[Nom_prenom ]])</f>
        <v>0</v>
      </c>
      <c r="S39" s="277"/>
      <c r="T39" s="277">
        <f>Tableau2[[#This Row],[Total PV client 2021]]-Tableau2[[#This Row],[PV client 
utilisés 2021]]</f>
        <v>0</v>
      </c>
      <c r="U39" s="278"/>
      <c r="V39" s="277">
        <f>SUMIFS(RECAP_VENTE_ANNUELLE!$P:$P,RECAP_VENTE_ANNUELLE!$R:$R,"2022",RECAP_VENTE_ANNUELLE!$B:$B,Tableau2[[#This Row],[Nom_prenom ]])</f>
        <v>0</v>
      </c>
      <c r="W39" s="277"/>
      <c r="X39" s="277">
        <f>Tableau2[[#This Row],[Total PV
 client 2022]]-Tableau2[[#This Row],[PV client 
utilisés 2022]]</f>
        <v>0</v>
      </c>
      <c r="Y39" s="278"/>
      <c r="Z39" s="277">
        <f>SUMIFS(RECAP_VENTE_ANNUELLE!$P:$P,RECAP_VENTE_ANNUELLE!$R:$R,"2023",RECAP_VENTE_ANNUELLE!$B:$B,Tableau2[[#This Row],[Nom_prenom ]])</f>
        <v>0</v>
      </c>
      <c r="AA39" s="277"/>
      <c r="AB39" s="277">
        <f>Tableau2[[#This Row],[Total PV
 client 2023]]-Tableau2[[#This Row],[PV client 
utilisés 2023]]</f>
        <v>0</v>
      </c>
      <c r="AC39" s="278"/>
      <c r="AD39" s="277">
        <f>SUMIFS(RECAP_VENTE_ANNUELLE!$P:$P,RECAP_VENTE_ANNUELLE!$R:$R,"2024",RECAP_VENTE_ANNUELLE!$B:$B,Tableau2[[#This Row],[Nom_prenom ]])</f>
        <v>0</v>
      </c>
      <c r="AE39" s="277"/>
      <c r="AF39" s="277">
        <f>Tableau2[[#This Row],[Total PV
 client 2024]]-Tableau2[[#This Row],[PV client 
utilisés 2024]]</f>
        <v>0</v>
      </c>
      <c r="AG39" s="278"/>
      <c r="AH39" s="277">
        <f>SUMIFS(RECAP_VENTE_ANNUELLE!$P:$P,RECAP_VENTE_ANNUELLE!$R:$R,"2025",RECAP_VENTE_ANNUELLE!$B:$B,Tableau2[[#This Row],[Nom_prenom ]])</f>
        <v>0</v>
      </c>
      <c r="AI39" s="277"/>
      <c r="AJ39" s="277">
        <f>Tableau2[[#This Row],[Total PV
 client 2025]]-Tableau2[[#This Row],[PV client 
utilisés 2025]]</f>
        <v>0</v>
      </c>
      <c r="AK39" s="279"/>
    </row>
    <row r="40" spans="1:189">
      <c r="A40" s="85" t="s">
        <v>41</v>
      </c>
      <c r="B40" s="275" t="s">
        <v>837</v>
      </c>
      <c r="C40" s="242" t="s">
        <v>308</v>
      </c>
      <c r="D40" s="242" t="s">
        <v>309</v>
      </c>
      <c r="E40" s="86" t="s">
        <v>310</v>
      </c>
      <c r="F40" s="242" t="s">
        <v>311</v>
      </c>
      <c r="G40" s="149" t="s">
        <v>312</v>
      </c>
      <c r="H40" s="151">
        <f>SUMPRODUCT((Tableau4[Nom_prenom ]=B40)*(Tableau4[Quantités]))</f>
        <v>2</v>
      </c>
      <c r="I40" s="71">
        <f>SUMPRODUCT((Tableau4[Nom_prenom ]=$B40)*(Tableau4[Total_Client]))</f>
        <v>30.4</v>
      </c>
      <c r="J40" s="277">
        <f>SUMIFS(RECAP_VENTE_ANNUELLE!$P:$P,RECAP_VENTE_ANNUELLE!$R:$R,"2019",RECAP_VENTE_ANNUELLE!$B:$B,Tableau2[[#This Row],[Nom_prenom ]])</f>
        <v>19.5</v>
      </c>
      <c r="K40" s="277"/>
      <c r="L40" s="277">
        <f>Tableau2[[#This Row],[Total PV client 2019]]-Tableau2[[#This Row],[PV client 
utilisés 2019]]</f>
        <v>19.5</v>
      </c>
      <c r="M40" s="278"/>
      <c r="N40" s="277">
        <f>SUMIFS(RECAP_VENTE_ANNUELLE!$P:$P,RECAP_VENTE_ANNUELLE!$R:$R,"2020",RECAP_VENTE_ANNUELLE!$B:$B,Tableau2[[#This Row],[Nom_prenom ]])</f>
        <v>0</v>
      </c>
      <c r="O40" s="277"/>
      <c r="P40" s="277">
        <f>Tableau2[[#This Row],[Total PV client 2020]]-Tableau2[[#This Row],[PV client 
utilisés 2020]]</f>
        <v>0</v>
      </c>
      <c r="Q40" s="278"/>
      <c r="R40" s="277">
        <f>SUMIFS(RECAP_VENTE_ANNUELLE!$P:$P,RECAP_VENTE_ANNUELLE!$R:$R,"2021",RECAP_VENTE_ANNUELLE!$B:$B,Tableau2[[#This Row],[Nom_prenom ]])</f>
        <v>0</v>
      </c>
      <c r="S40" s="277"/>
      <c r="T40" s="277">
        <f>Tableau2[[#This Row],[Total PV client 2021]]-Tableau2[[#This Row],[PV client 
utilisés 2021]]</f>
        <v>0</v>
      </c>
      <c r="U40" s="278"/>
      <c r="V40" s="277">
        <f>SUMIFS(RECAP_VENTE_ANNUELLE!$P:$P,RECAP_VENTE_ANNUELLE!$R:$R,"2022",RECAP_VENTE_ANNUELLE!$B:$B,Tableau2[[#This Row],[Nom_prenom ]])</f>
        <v>0</v>
      </c>
      <c r="W40" s="277"/>
      <c r="X40" s="277">
        <f>Tableau2[[#This Row],[Total PV
 client 2022]]-Tableau2[[#This Row],[PV client 
utilisés 2022]]</f>
        <v>0</v>
      </c>
      <c r="Y40" s="278"/>
      <c r="Z40" s="277">
        <f>SUMIFS(RECAP_VENTE_ANNUELLE!$P:$P,RECAP_VENTE_ANNUELLE!$R:$R,"2023",RECAP_VENTE_ANNUELLE!$B:$B,Tableau2[[#This Row],[Nom_prenom ]])</f>
        <v>0</v>
      </c>
      <c r="AA40" s="277"/>
      <c r="AB40" s="277">
        <f>Tableau2[[#This Row],[Total PV
 client 2023]]-Tableau2[[#This Row],[PV client 
utilisés 2023]]</f>
        <v>0</v>
      </c>
      <c r="AC40" s="278"/>
      <c r="AD40" s="277">
        <f>SUMIFS(RECAP_VENTE_ANNUELLE!$P:$P,RECAP_VENTE_ANNUELLE!$R:$R,"2024",RECAP_VENTE_ANNUELLE!$B:$B,Tableau2[[#This Row],[Nom_prenom ]])</f>
        <v>0</v>
      </c>
      <c r="AE40" s="277"/>
      <c r="AF40" s="277">
        <f>Tableau2[[#This Row],[Total PV
 client 2024]]-Tableau2[[#This Row],[PV client 
utilisés 2024]]</f>
        <v>0</v>
      </c>
      <c r="AG40" s="278"/>
      <c r="AH40" s="277">
        <f>SUMIFS(RECAP_VENTE_ANNUELLE!$P:$P,RECAP_VENTE_ANNUELLE!$R:$R,"2025",RECAP_VENTE_ANNUELLE!$B:$B,Tableau2[[#This Row],[Nom_prenom ]])</f>
        <v>0</v>
      </c>
      <c r="AI40" s="277"/>
      <c r="AJ40" s="277">
        <f>Tableau2[[#This Row],[Total PV
 client 2025]]-Tableau2[[#This Row],[PV client 
utilisés 2025]]</f>
        <v>0</v>
      </c>
      <c r="AK40" s="279"/>
    </row>
    <row r="41" spans="1:189">
      <c r="A41" s="85" t="s">
        <v>41</v>
      </c>
      <c r="B41" s="275" t="s">
        <v>838</v>
      </c>
      <c r="C41" s="242" t="s">
        <v>313</v>
      </c>
      <c r="D41" s="242" t="s">
        <v>314</v>
      </c>
      <c r="E41" s="86" t="s">
        <v>315</v>
      </c>
      <c r="F41" s="242" t="s">
        <v>316</v>
      </c>
      <c r="G41" s="149" t="s">
        <v>317</v>
      </c>
      <c r="H41" s="151">
        <f>SUMPRODUCT((Tableau4[Nom_prenom ]=B41)*(Tableau4[Quantités]))</f>
        <v>3</v>
      </c>
      <c r="I41" s="71">
        <f>SUMPRODUCT((Tableau4[Nom_prenom ]=$B41)*(Tableau4[Total_Client]))</f>
        <v>75.5</v>
      </c>
      <c r="J41" s="277">
        <f>SUMIFS(RECAP_VENTE_ANNUELLE!$P:$P,RECAP_VENTE_ANNUELLE!$R:$R,"2019",RECAP_VENTE_ANNUELLE!$B:$B,Tableau2[[#This Row],[Nom_prenom ]])</f>
        <v>52</v>
      </c>
      <c r="K41" s="277"/>
      <c r="L41" s="277">
        <f>Tableau2[[#This Row],[Total PV client 2019]]-Tableau2[[#This Row],[PV client 
utilisés 2019]]</f>
        <v>52</v>
      </c>
      <c r="M41" s="278"/>
      <c r="N41" s="277">
        <f>SUMIFS(RECAP_VENTE_ANNUELLE!$P:$P,RECAP_VENTE_ANNUELLE!$R:$R,"2020",RECAP_VENTE_ANNUELLE!$B:$B,Tableau2[[#This Row],[Nom_prenom ]])</f>
        <v>0</v>
      </c>
      <c r="O41" s="277"/>
      <c r="P41" s="277">
        <f>Tableau2[[#This Row],[Total PV client 2020]]-Tableau2[[#This Row],[PV client 
utilisés 2020]]</f>
        <v>0</v>
      </c>
      <c r="Q41" s="278"/>
      <c r="R41" s="277">
        <f>SUMIFS(RECAP_VENTE_ANNUELLE!$P:$P,RECAP_VENTE_ANNUELLE!$R:$R,"2021",RECAP_VENTE_ANNUELLE!$B:$B,Tableau2[[#This Row],[Nom_prenom ]])</f>
        <v>0</v>
      </c>
      <c r="S41" s="277"/>
      <c r="T41" s="277">
        <f>Tableau2[[#This Row],[Total PV client 2021]]-Tableau2[[#This Row],[PV client 
utilisés 2021]]</f>
        <v>0</v>
      </c>
      <c r="U41" s="278"/>
      <c r="V41" s="277">
        <f>SUMIFS(RECAP_VENTE_ANNUELLE!$P:$P,RECAP_VENTE_ANNUELLE!$R:$R,"2022",RECAP_VENTE_ANNUELLE!$B:$B,Tableau2[[#This Row],[Nom_prenom ]])</f>
        <v>0</v>
      </c>
      <c r="W41" s="277"/>
      <c r="X41" s="277">
        <f>Tableau2[[#This Row],[Total PV
 client 2022]]-Tableau2[[#This Row],[PV client 
utilisés 2022]]</f>
        <v>0</v>
      </c>
      <c r="Y41" s="278"/>
      <c r="Z41" s="277">
        <f>SUMIFS(RECAP_VENTE_ANNUELLE!$P:$P,RECAP_VENTE_ANNUELLE!$R:$R,"2023",RECAP_VENTE_ANNUELLE!$B:$B,Tableau2[[#This Row],[Nom_prenom ]])</f>
        <v>0</v>
      </c>
      <c r="AA41" s="277"/>
      <c r="AB41" s="277">
        <f>Tableau2[[#This Row],[Total PV
 client 2023]]-Tableau2[[#This Row],[PV client 
utilisés 2023]]</f>
        <v>0</v>
      </c>
      <c r="AC41" s="278"/>
      <c r="AD41" s="277">
        <f>SUMIFS(RECAP_VENTE_ANNUELLE!$P:$P,RECAP_VENTE_ANNUELLE!$R:$R,"2024",RECAP_VENTE_ANNUELLE!$B:$B,Tableau2[[#This Row],[Nom_prenom ]])</f>
        <v>0</v>
      </c>
      <c r="AE41" s="277"/>
      <c r="AF41" s="277">
        <f>Tableau2[[#This Row],[Total PV
 client 2024]]-Tableau2[[#This Row],[PV client 
utilisés 2024]]</f>
        <v>0</v>
      </c>
      <c r="AG41" s="278"/>
      <c r="AH41" s="277">
        <f>SUMIFS(RECAP_VENTE_ANNUELLE!$P:$P,RECAP_VENTE_ANNUELLE!$R:$R,"2025",RECAP_VENTE_ANNUELLE!$B:$B,Tableau2[[#This Row],[Nom_prenom ]])</f>
        <v>0</v>
      </c>
      <c r="AI41" s="277"/>
      <c r="AJ41" s="277">
        <f>Tableau2[[#This Row],[Total PV
 client 2025]]-Tableau2[[#This Row],[PV client 
utilisés 2025]]</f>
        <v>0</v>
      </c>
      <c r="AK41" s="279"/>
    </row>
    <row r="42" spans="1:189">
      <c r="A42" s="85" t="s">
        <v>41</v>
      </c>
      <c r="B42" s="275" t="s">
        <v>839</v>
      </c>
      <c r="C42" s="242" t="s">
        <v>318</v>
      </c>
      <c r="D42" s="242" t="s">
        <v>319</v>
      </c>
      <c r="E42" s="86" t="s">
        <v>320</v>
      </c>
      <c r="F42" s="242" t="s">
        <v>321</v>
      </c>
      <c r="G42" s="149" t="s">
        <v>322</v>
      </c>
      <c r="H42" s="151">
        <f>SUMPRODUCT((Tableau4[Nom_prenom ]=B42)*(Tableau4[Quantités]))</f>
        <v>9</v>
      </c>
      <c r="I42" s="71">
        <f>SUMPRODUCT((Tableau4[Nom_prenom ]=$B42)*(Tableau4[Total_Client]))</f>
        <v>209.9</v>
      </c>
      <c r="J42" s="277">
        <f>SUMIFS(RECAP_VENTE_ANNUELLE!$P:$P,RECAP_VENTE_ANNUELLE!$R:$R,"2019",RECAP_VENTE_ANNUELLE!$B:$B,Tableau2[[#This Row],[Nom_prenom ]])</f>
        <v>55.5</v>
      </c>
      <c r="K42" s="277"/>
      <c r="L42" s="277">
        <f>Tableau2[[#This Row],[Total PV client 2019]]-Tableau2[[#This Row],[PV client 
utilisés 2019]]</f>
        <v>55.5</v>
      </c>
      <c r="M42" s="278"/>
      <c r="N42" s="277">
        <f>SUMIFS(RECAP_VENTE_ANNUELLE!$P:$P,RECAP_VENTE_ANNUELLE!$R:$R,"2020",RECAP_VENTE_ANNUELLE!$B:$B,Tableau2[[#This Row],[Nom_prenom ]])</f>
        <v>59.5</v>
      </c>
      <c r="O42" s="277"/>
      <c r="P42" s="277">
        <f>Tableau2[[#This Row],[Total PV client 2020]]-Tableau2[[#This Row],[PV client 
utilisés 2020]]</f>
        <v>59.5</v>
      </c>
      <c r="Q42" s="278"/>
      <c r="R42" s="277">
        <f>SUMIFS(RECAP_VENTE_ANNUELLE!$P:$P,RECAP_VENTE_ANNUELLE!$R:$R,"2021",RECAP_VENTE_ANNUELLE!$B:$B,Tableau2[[#This Row],[Nom_prenom ]])</f>
        <v>0</v>
      </c>
      <c r="S42" s="277"/>
      <c r="T42" s="277">
        <f>Tableau2[[#This Row],[Total PV client 2021]]-Tableau2[[#This Row],[PV client 
utilisés 2021]]</f>
        <v>0</v>
      </c>
      <c r="U42" s="278"/>
      <c r="V42" s="277">
        <f>SUMIFS(RECAP_VENTE_ANNUELLE!$P:$P,RECAP_VENTE_ANNUELLE!$R:$R,"2022",RECAP_VENTE_ANNUELLE!$B:$B,Tableau2[[#This Row],[Nom_prenom ]])</f>
        <v>0</v>
      </c>
      <c r="W42" s="277"/>
      <c r="X42" s="277">
        <f>Tableau2[[#This Row],[Total PV
 client 2022]]-Tableau2[[#This Row],[PV client 
utilisés 2022]]</f>
        <v>0</v>
      </c>
      <c r="Y42" s="278"/>
      <c r="Z42" s="277">
        <f>SUMIFS(RECAP_VENTE_ANNUELLE!$P:$P,RECAP_VENTE_ANNUELLE!$R:$R,"2023",RECAP_VENTE_ANNUELLE!$B:$B,Tableau2[[#This Row],[Nom_prenom ]])</f>
        <v>0</v>
      </c>
      <c r="AA42" s="277"/>
      <c r="AB42" s="277">
        <f>Tableau2[[#This Row],[Total PV
 client 2023]]-Tableau2[[#This Row],[PV client 
utilisés 2023]]</f>
        <v>0</v>
      </c>
      <c r="AC42" s="278"/>
      <c r="AD42" s="277">
        <f>SUMIFS(RECAP_VENTE_ANNUELLE!$P:$P,RECAP_VENTE_ANNUELLE!$R:$R,"2024",RECAP_VENTE_ANNUELLE!$B:$B,Tableau2[[#This Row],[Nom_prenom ]])</f>
        <v>0</v>
      </c>
      <c r="AE42" s="277"/>
      <c r="AF42" s="277">
        <f>Tableau2[[#This Row],[Total PV
 client 2024]]-Tableau2[[#This Row],[PV client 
utilisés 2024]]</f>
        <v>0</v>
      </c>
      <c r="AG42" s="278"/>
      <c r="AH42" s="277">
        <f>SUMIFS(RECAP_VENTE_ANNUELLE!$P:$P,RECAP_VENTE_ANNUELLE!$R:$R,"2025",RECAP_VENTE_ANNUELLE!$B:$B,Tableau2[[#This Row],[Nom_prenom ]])</f>
        <v>0</v>
      </c>
      <c r="AI42" s="277"/>
      <c r="AJ42" s="277">
        <f>Tableau2[[#This Row],[Total PV
 client 2025]]-Tableau2[[#This Row],[PV client 
utilisés 2025]]</f>
        <v>0</v>
      </c>
      <c r="AK42" s="279"/>
    </row>
    <row r="43" spans="1:189">
      <c r="A43" s="148" t="s">
        <v>41</v>
      </c>
      <c r="B43" s="275" t="s">
        <v>840</v>
      </c>
      <c r="C43" s="242" t="s">
        <v>323</v>
      </c>
      <c r="D43" s="242" t="s">
        <v>324</v>
      </c>
      <c r="E43" s="86" t="s">
        <v>325</v>
      </c>
      <c r="F43" s="242" t="s">
        <v>326</v>
      </c>
      <c r="G43" s="149" t="s">
        <v>327</v>
      </c>
      <c r="H43" s="151">
        <f>SUMPRODUCT((Tableau4[Nom_prenom ]=B43)*(Tableau4[Quantités]))</f>
        <v>1</v>
      </c>
      <c r="I43" s="71">
        <f>SUMPRODUCT((Tableau4[Nom_prenom ]=$B43)*(Tableau4[Total_Client]))</f>
        <v>14.9</v>
      </c>
      <c r="J43" s="277">
        <f>SUMIFS(RECAP_VENTE_ANNUELLE!$P:$P,RECAP_VENTE_ANNUELLE!$R:$R,"2019",RECAP_VENTE_ANNUELLE!$B:$B,Tableau2[[#This Row],[Nom_prenom ]])</f>
        <v>10</v>
      </c>
      <c r="K43" s="277"/>
      <c r="L43" s="277">
        <f>Tableau2[[#This Row],[Total PV client 2019]]-Tableau2[[#This Row],[PV client 
utilisés 2019]]</f>
        <v>10</v>
      </c>
      <c r="M43" s="278"/>
      <c r="N43" s="277">
        <f>SUMIFS(RECAP_VENTE_ANNUELLE!$P:$P,RECAP_VENTE_ANNUELLE!$R:$R,"2020",RECAP_VENTE_ANNUELLE!$B:$B,Tableau2[[#This Row],[Nom_prenom ]])</f>
        <v>0</v>
      </c>
      <c r="O43" s="277"/>
      <c r="P43" s="277">
        <f>Tableau2[[#This Row],[Total PV client 2020]]-Tableau2[[#This Row],[PV client 
utilisés 2020]]</f>
        <v>0</v>
      </c>
      <c r="Q43" s="278"/>
      <c r="R43" s="277">
        <f>SUMIFS(RECAP_VENTE_ANNUELLE!$P:$P,RECAP_VENTE_ANNUELLE!$R:$R,"2021",RECAP_VENTE_ANNUELLE!$B:$B,Tableau2[[#This Row],[Nom_prenom ]])</f>
        <v>0</v>
      </c>
      <c r="S43" s="277"/>
      <c r="T43" s="277">
        <f>Tableau2[[#This Row],[Total PV client 2021]]-Tableau2[[#This Row],[PV client 
utilisés 2021]]</f>
        <v>0</v>
      </c>
      <c r="U43" s="278"/>
      <c r="V43" s="277">
        <f>SUMIFS(RECAP_VENTE_ANNUELLE!$P:$P,RECAP_VENTE_ANNUELLE!$R:$R,"2022",RECAP_VENTE_ANNUELLE!$B:$B,Tableau2[[#This Row],[Nom_prenom ]])</f>
        <v>0</v>
      </c>
      <c r="W43" s="277"/>
      <c r="X43" s="277">
        <f>Tableau2[[#This Row],[Total PV
 client 2022]]-Tableau2[[#This Row],[PV client 
utilisés 2022]]</f>
        <v>0</v>
      </c>
      <c r="Y43" s="278"/>
      <c r="Z43" s="277">
        <f>SUMIFS(RECAP_VENTE_ANNUELLE!$P:$P,RECAP_VENTE_ANNUELLE!$R:$R,"2023",RECAP_VENTE_ANNUELLE!$B:$B,Tableau2[[#This Row],[Nom_prenom ]])</f>
        <v>0</v>
      </c>
      <c r="AA43" s="277"/>
      <c r="AB43" s="277">
        <f>Tableau2[[#This Row],[Total PV
 client 2023]]-Tableau2[[#This Row],[PV client 
utilisés 2023]]</f>
        <v>0</v>
      </c>
      <c r="AC43" s="278"/>
      <c r="AD43" s="277">
        <f>SUMIFS(RECAP_VENTE_ANNUELLE!$P:$P,RECAP_VENTE_ANNUELLE!$R:$R,"2024",RECAP_VENTE_ANNUELLE!$B:$B,Tableau2[[#This Row],[Nom_prenom ]])</f>
        <v>0</v>
      </c>
      <c r="AE43" s="277"/>
      <c r="AF43" s="277">
        <f>Tableau2[[#This Row],[Total PV
 client 2024]]-Tableau2[[#This Row],[PV client 
utilisés 2024]]</f>
        <v>0</v>
      </c>
      <c r="AG43" s="278"/>
      <c r="AH43" s="277">
        <f>SUMIFS(RECAP_VENTE_ANNUELLE!$P:$P,RECAP_VENTE_ANNUELLE!$R:$R,"2025",RECAP_VENTE_ANNUELLE!$B:$B,Tableau2[[#This Row],[Nom_prenom ]])</f>
        <v>0</v>
      </c>
      <c r="AI43" s="277"/>
      <c r="AJ43" s="277">
        <f>Tableau2[[#This Row],[Total PV
 client 2025]]-Tableau2[[#This Row],[PV client 
utilisés 2025]]</f>
        <v>0</v>
      </c>
      <c r="AK43" s="279"/>
    </row>
    <row r="44" spans="1:189" s="238" customFormat="1">
      <c r="A44" s="85" t="s">
        <v>39</v>
      </c>
      <c r="B44" s="275" t="s">
        <v>841</v>
      </c>
      <c r="C44" s="242" t="s">
        <v>328</v>
      </c>
      <c r="D44" s="242" t="s">
        <v>329</v>
      </c>
      <c r="E44" s="86" t="s">
        <v>330</v>
      </c>
      <c r="F44" s="242" t="s">
        <v>331</v>
      </c>
      <c r="G44" s="149" t="s">
        <v>332</v>
      </c>
      <c r="H44" s="151">
        <f>SUMPRODUCT((Tableau4[Nom_prenom ]=B44)*(Tableau4[Quantités]))</f>
        <v>1</v>
      </c>
      <c r="I44" s="71">
        <f>SUMPRODUCT((Tableau4[Nom_prenom ]=$B44)*(Tableau4[Total_Client]))</f>
        <v>32.9</v>
      </c>
      <c r="J44" s="277">
        <f>SUMIFS(RECAP_VENTE_ANNUELLE!$P:$P,RECAP_VENTE_ANNUELLE!$R:$R,"2019",RECAP_VENTE_ANNUELLE!$B:$B,Tableau2[[#This Row],[Nom_prenom ]])</f>
        <v>18</v>
      </c>
      <c r="K44" s="277"/>
      <c r="L44" s="277">
        <f>Tableau2[[#This Row],[Total PV client 2019]]-Tableau2[[#This Row],[PV client 
utilisés 2019]]</f>
        <v>18</v>
      </c>
      <c r="M44" s="278"/>
      <c r="N44" s="277">
        <f>SUMIFS(RECAP_VENTE_ANNUELLE!$P:$P,RECAP_VENTE_ANNUELLE!$R:$R,"2020",RECAP_VENTE_ANNUELLE!$B:$B,Tableau2[[#This Row],[Nom_prenom ]])</f>
        <v>0</v>
      </c>
      <c r="O44" s="277"/>
      <c r="P44" s="277">
        <f>Tableau2[[#This Row],[Total PV client 2020]]-Tableau2[[#This Row],[PV client 
utilisés 2020]]</f>
        <v>0</v>
      </c>
      <c r="Q44" s="278"/>
      <c r="R44" s="277">
        <f>SUMIFS(RECAP_VENTE_ANNUELLE!$P:$P,RECAP_VENTE_ANNUELLE!$R:$R,"2021",RECAP_VENTE_ANNUELLE!$B:$B,Tableau2[[#This Row],[Nom_prenom ]])</f>
        <v>0</v>
      </c>
      <c r="S44" s="277"/>
      <c r="T44" s="277">
        <f>Tableau2[[#This Row],[Total PV client 2021]]-Tableau2[[#This Row],[PV client 
utilisés 2021]]</f>
        <v>0</v>
      </c>
      <c r="U44" s="278"/>
      <c r="V44" s="277">
        <f>SUMIFS(RECAP_VENTE_ANNUELLE!$P:$P,RECAP_VENTE_ANNUELLE!$R:$R,"2022",RECAP_VENTE_ANNUELLE!$B:$B,Tableau2[[#This Row],[Nom_prenom ]])</f>
        <v>0</v>
      </c>
      <c r="W44" s="277"/>
      <c r="X44" s="277">
        <f>Tableau2[[#This Row],[Total PV
 client 2022]]-Tableau2[[#This Row],[PV client 
utilisés 2022]]</f>
        <v>0</v>
      </c>
      <c r="Y44" s="278"/>
      <c r="Z44" s="277">
        <f>SUMIFS(RECAP_VENTE_ANNUELLE!$P:$P,RECAP_VENTE_ANNUELLE!$R:$R,"2023",RECAP_VENTE_ANNUELLE!$B:$B,Tableau2[[#This Row],[Nom_prenom ]])</f>
        <v>0</v>
      </c>
      <c r="AA44" s="277"/>
      <c r="AB44" s="277">
        <f>Tableau2[[#This Row],[Total PV
 client 2023]]-Tableau2[[#This Row],[PV client 
utilisés 2023]]</f>
        <v>0</v>
      </c>
      <c r="AC44" s="278"/>
      <c r="AD44" s="277">
        <f>SUMIFS(RECAP_VENTE_ANNUELLE!$P:$P,RECAP_VENTE_ANNUELLE!$R:$R,"2024",RECAP_VENTE_ANNUELLE!$B:$B,Tableau2[[#This Row],[Nom_prenom ]])</f>
        <v>0</v>
      </c>
      <c r="AE44" s="277"/>
      <c r="AF44" s="277">
        <f>Tableau2[[#This Row],[Total PV
 client 2024]]-Tableau2[[#This Row],[PV client 
utilisés 2024]]</f>
        <v>0</v>
      </c>
      <c r="AG44" s="278"/>
      <c r="AH44" s="277">
        <f>SUMIFS(RECAP_VENTE_ANNUELLE!$P:$P,RECAP_VENTE_ANNUELLE!$R:$R,"2025",RECAP_VENTE_ANNUELLE!$B:$B,Tableau2[[#This Row],[Nom_prenom ]])</f>
        <v>0</v>
      </c>
      <c r="AI44" s="277"/>
      <c r="AJ44" s="277">
        <f>Tableau2[[#This Row],[Total PV
 client 2025]]-Tableau2[[#This Row],[PV client 
utilisés 2025]]</f>
        <v>0</v>
      </c>
      <c r="AK44" s="279"/>
      <c r="AL44" s="236"/>
      <c r="AM44" s="236"/>
      <c r="AN44" s="236"/>
      <c r="AO44" s="236"/>
      <c r="AP44" s="236"/>
      <c r="AQ44" s="236"/>
      <c r="AR44" s="236"/>
      <c r="AS44" s="236"/>
      <c r="AT44" s="236"/>
      <c r="AU44" s="236"/>
      <c r="AV44" s="236"/>
      <c r="AW44" s="236"/>
      <c r="AX44" s="236"/>
      <c r="AY44" s="236"/>
      <c r="AZ44" s="236"/>
      <c r="BA44" s="236"/>
      <c r="BB44" s="236"/>
      <c r="BC44" s="236"/>
      <c r="BD44" s="236"/>
      <c r="BE44" s="236"/>
      <c r="BF44" s="236"/>
      <c r="BG44" s="236"/>
      <c r="BH44" s="236"/>
      <c r="BI44" s="236"/>
      <c r="BJ44" s="236"/>
      <c r="BK44" s="236"/>
      <c r="BL44" s="236"/>
      <c r="BM44" s="236"/>
      <c r="BN44" s="236"/>
      <c r="BO44" s="236"/>
      <c r="BP44" s="236"/>
      <c r="BQ44" s="236"/>
      <c r="BR44" s="236"/>
      <c r="BS44" s="236"/>
      <c r="BT44" s="236"/>
      <c r="BU44" s="236"/>
      <c r="BV44" s="236"/>
      <c r="BW44" s="236"/>
      <c r="BX44" s="236"/>
      <c r="BY44" s="236"/>
      <c r="BZ44" s="236"/>
      <c r="CA44" s="236"/>
      <c r="CB44" s="236"/>
      <c r="CC44" s="236"/>
      <c r="CD44" s="236"/>
      <c r="CE44" s="236"/>
      <c r="CF44" s="236"/>
      <c r="CG44" s="236"/>
      <c r="CH44" s="236"/>
      <c r="CI44" s="236"/>
      <c r="CJ44" s="236"/>
      <c r="CK44" s="236"/>
      <c r="CL44" s="236"/>
      <c r="CM44" s="236"/>
      <c r="CN44" s="236"/>
      <c r="CO44" s="236"/>
      <c r="CP44" s="236"/>
      <c r="CQ44" s="236"/>
      <c r="CR44" s="236"/>
      <c r="CS44" s="236"/>
      <c r="CT44" s="236"/>
      <c r="CU44" s="236"/>
      <c r="CV44" s="236"/>
      <c r="CW44" s="236"/>
      <c r="CX44" s="236"/>
      <c r="CY44" s="236"/>
      <c r="CZ44" s="236"/>
      <c r="DA44" s="236"/>
      <c r="DB44" s="236"/>
      <c r="DC44" s="236"/>
      <c r="DD44" s="236"/>
      <c r="DE44" s="236"/>
      <c r="DF44" s="236"/>
      <c r="DG44" s="236"/>
      <c r="DH44" s="236"/>
      <c r="DI44" s="236"/>
      <c r="DJ44" s="236"/>
      <c r="DK44" s="236"/>
      <c r="DL44" s="236"/>
      <c r="DM44" s="236"/>
      <c r="DN44" s="236"/>
      <c r="DO44" s="236"/>
      <c r="DP44" s="236"/>
      <c r="DQ44" s="236"/>
      <c r="DR44" s="236"/>
      <c r="DS44" s="236"/>
      <c r="DT44" s="236"/>
      <c r="DU44" s="236"/>
      <c r="DV44" s="236"/>
      <c r="DW44" s="236"/>
      <c r="DX44" s="236"/>
      <c r="DY44" s="236"/>
      <c r="DZ44" s="236"/>
      <c r="EA44" s="236"/>
      <c r="EB44" s="236"/>
      <c r="EC44" s="236"/>
      <c r="ED44" s="236"/>
      <c r="EE44" s="236"/>
      <c r="EF44" s="236"/>
      <c r="EG44" s="236"/>
      <c r="EH44" s="236"/>
      <c r="EI44" s="236"/>
      <c r="EJ44" s="236"/>
      <c r="EK44" s="236"/>
      <c r="EL44" s="236"/>
      <c r="EM44" s="236"/>
      <c r="EN44" s="236"/>
      <c r="EO44" s="236"/>
      <c r="EP44" s="236"/>
      <c r="EQ44" s="236"/>
      <c r="ER44" s="236"/>
      <c r="ES44" s="236"/>
      <c r="ET44" s="236"/>
      <c r="EU44" s="236"/>
      <c r="EV44" s="236"/>
      <c r="EW44" s="236"/>
      <c r="EX44" s="236"/>
      <c r="EY44" s="236"/>
      <c r="EZ44" s="236"/>
      <c r="FA44" s="236"/>
      <c r="FB44" s="236"/>
      <c r="FC44" s="236"/>
      <c r="FD44" s="236"/>
      <c r="FE44" s="236"/>
      <c r="FF44" s="236"/>
      <c r="FG44" s="236"/>
      <c r="FH44" s="236"/>
      <c r="FI44" s="236"/>
      <c r="FJ44" s="236"/>
      <c r="FK44" s="236"/>
      <c r="FL44" s="236"/>
      <c r="FM44" s="236"/>
      <c r="FN44" s="236"/>
      <c r="FO44" s="236"/>
      <c r="FP44" s="236"/>
      <c r="FQ44" s="236"/>
      <c r="FR44" s="236"/>
      <c r="FS44" s="236"/>
      <c r="FT44" s="236"/>
      <c r="FU44" s="236"/>
      <c r="FV44" s="236"/>
      <c r="FW44" s="236"/>
      <c r="FX44" s="236"/>
      <c r="FY44" s="236"/>
      <c r="FZ44" s="236"/>
      <c r="GA44" s="236"/>
      <c r="GB44" s="236"/>
      <c r="GC44" s="236"/>
      <c r="GD44" s="236"/>
      <c r="GE44" s="236"/>
      <c r="GF44" s="236"/>
      <c r="GG44" s="236"/>
    </row>
    <row r="45" spans="1:189">
      <c r="A45" s="85" t="s">
        <v>41</v>
      </c>
      <c r="B45" s="275" t="s">
        <v>842</v>
      </c>
      <c r="C45" s="242" t="s">
        <v>333</v>
      </c>
      <c r="D45" s="242" t="s">
        <v>334</v>
      </c>
      <c r="E45" s="86" t="s">
        <v>335</v>
      </c>
      <c r="F45" s="242" t="s">
        <v>336</v>
      </c>
      <c r="G45" s="149" t="s">
        <v>337</v>
      </c>
      <c r="H45" s="151">
        <f>SUMPRODUCT((Tableau4[Nom_prenom ]=B45)*(Tableau4[Quantités]))</f>
        <v>2</v>
      </c>
      <c r="I45" s="71">
        <f>SUMPRODUCT((Tableau4[Nom_prenom ]=$B45)*(Tableau4[Total_Client]))</f>
        <v>10</v>
      </c>
      <c r="J45" s="277">
        <f>SUMIFS(RECAP_VENTE_ANNUELLE!$P:$P,RECAP_VENTE_ANNUELLE!$R:$R,"2019",RECAP_VENTE_ANNUELLE!$B:$B,Tableau2[[#This Row],[Nom_prenom ]])</f>
        <v>3</v>
      </c>
      <c r="K45" s="277"/>
      <c r="L45" s="277">
        <f>Tableau2[[#This Row],[Total PV client 2019]]-Tableau2[[#This Row],[PV client 
utilisés 2019]]</f>
        <v>3</v>
      </c>
      <c r="M45" s="278"/>
      <c r="N45" s="277">
        <f>SUMIFS(RECAP_VENTE_ANNUELLE!$P:$P,RECAP_VENTE_ANNUELLE!$R:$R,"2020",RECAP_VENTE_ANNUELLE!$B:$B,Tableau2[[#This Row],[Nom_prenom ]])</f>
        <v>0</v>
      </c>
      <c r="O45" s="277"/>
      <c r="P45" s="277">
        <f>Tableau2[[#This Row],[Total PV client 2020]]-Tableau2[[#This Row],[PV client 
utilisés 2020]]</f>
        <v>0</v>
      </c>
      <c r="Q45" s="278"/>
      <c r="R45" s="277">
        <f>SUMIFS(RECAP_VENTE_ANNUELLE!$P:$P,RECAP_VENTE_ANNUELLE!$R:$R,"2021",RECAP_VENTE_ANNUELLE!$B:$B,Tableau2[[#This Row],[Nom_prenom ]])</f>
        <v>0</v>
      </c>
      <c r="S45" s="277"/>
      <c r="T45" s="277">
        <f>Tableau2[[#This Row],[Total PV client 2021]]-Tableau2[[#This Row],[PV client 
utilisés 2021]]</f>
        <v>0</v>
      </c>
      <c r="U45" s="278"/>
      <c r="V45" s="277">
        <f>SUMIFS(RECAP_VENTE_ANNUELLE!$P:$P,RECAP_VENTE_ANNUELLE!$R:$R,"2022",RECAP_VENTE_ANNUELLE!$B:$B,Tableau2[[#This Row],[Nom_prenom ]])</f>
        <v>0</v>
      </c>
      <c r="W45" s="277"/>
      <c r="X45" s="277">
        <f>Tableau2[[#This Row],[Total PV
 client 2022]]-Tableau2[[#This Row],[PV client 
utilisés 2022]]</f>
        <v>0</v>
      </c>
      <c r="Y45" s="278"/>
      <c r="Z45" s="277">
        <f>SUMIFS(RECAP_VENTE_ANNUELLE!$P:$P,RECAP_VENTE_ANNUELLE!$R:$R,"2023",RECAP_VENTE_ANNUELLE!$B:$B,Tableau2[[#This Row],[Nom_prenom ]])</f>
        <v>0</v>
      </c>
      <c r="AA45" s="277"/>
      <c r="AB45" s="277">
        <f>Tableau2[[#This Row],[Total PV
 client 2023]]-Tableau2[[#This Row],[PV client 
utilisés 2023]]</f>
        <v>0</v>
      </c>
      <c r="AC45" s="278"/>
      <c r="AD45" s="277">
        <f>SUMIFS(RECAP_VENTE_ANNUELLE!$P:$P,RECAP_VENTE_ANNUELLE!$R:$R,"2024",RECAP_VENTE_ANNUELLE!$B:$B,Tableau2[[#This Row],[Nom_prenom ]])</f>
        <v>0</v>
      </c>
      <c r="AE45" s="277"/>
      <c r="AF45" s="277">
        <f>Tableau2[[#This Row],[Total PV
 client 2024]]-Tableau2[[#This Row],[PV client 
utilisés 2024]]</f>
        <v>0</v>
      </c>
      <c r="AG45" s="278"/>
      <c r="AH45" s="277">
        <f>SUMIFS(RECAP_VENTE_ANNUELLE!$P:$P,RECAP_VENTE_ANNUELLE!$R:$R,"2025",RECAP_VENTE_ANNUELLE!$B:$B,Tableau2[[#This Row],[Nom_prenom ]])</f>
        <v>0</v>
      </c>
      <c r="AI45" s="277"/>
      <c r="AJ45" s="277">
        <f>Tableau2[[#This Row],[Total PV
 client 2025]]-Tableau2[[#This Row],[PV client 
utilisés 2025]]</f>
        <v>0</v>
      </c>
      <c r="AK45" s="279"/>
    </row>
    <row r="46" spans="1:189">
      <c r="A46" s="148" t="s">
        <v>41</v>
      </c>
      <c r="B46" s="275" t="s">
        <v>843</v>
      </c>
      <c r="C46" s="242" t="s">
        <v>338</v>
      </c>
      <c r="D46" s="242" t="s">
        <v>339</v>
      </c>
      <c r="E46" s="86" t="s">
        <v>340</v>
      </c>
      <c r="F46" s="242" t="s">
        <v>341</v>
      </c>
      <c r="G46" s="149" t="s">
        <v>342</v>
      </c>
      <c r="H46" s="151">
        <f>SUMPRODUCT((Tableau4[Nom_prenom ]=B46)*(Tableau4[Quantités]))</f>
        <v>8</v>
      </c>
      <c r="I46" s="71">
        <f>SUMPRODUCT((Tableau4[Nom_prenom ]=$B46)*(Tableau4[Total_Client]))</f>
        <v>133.80000000000001</v>
      </c>
      <c r="J46" s="277">
        <f>SUMIFS(RECAP_VENTE_ANNUELLE!$P:$P,RECAP_VENTE_ANNUELLE!$R:$R,"2019",RECAP_VENTE_ANNUELLE!$B:$B,Tableau2[[#This Row],[Nom_prenom ]])</f>
        <v>63.5</v>
      </c>
      <c r="K46" s="277"/>
      <c r="L46" s="277">
        <f>Tableau2[[#This Row],[Total PV client 2019]]-Tableau2[[#This Row],[PV client 
utilisés 2019]]</f>
        <v>63.5</v>
      </c>
      <c r="M46" s="278"/>
      <c r="N46" s="277">
        <f>SUMIFS(RECAP_VENTE_ANNUELLE!$P:$P,RECAP_VENTE_ANNUELLE!$R:$R,"2020",RECAP_VENTE_ANNUELLE!$B:$B,Tableau2[[#This Row],[Nom_prenom ]])</f>
        <v>15</v>
      </c>
      <c r="O46" s="277"/>
      <c r="P46" s="277">
        <f>Tableau2[[#This Row],[Total PV client 2020]]-Tableau2[[#This Row],[PV client 
utilisés 2020]]</f>
        <v>15</v>
      </c>
      <c r="Q46" s="278"/>
      <c r="R46" s="277">
        <f>SUMIFS(RECAP_VENTE_ANNUELLE!$P:$P,RECAP_VENTE_ANNUELLE!$R:$R,"2021",RECAP_VENTE_ANNUELLE!$B:$B,Tableau2[[#This Row],[Nom_prenom ]])</f>
        <v>0</v>
      </c>
      <c r="S46" s="277"/>
      <c r="T46" s="277">
        <f>Tableau2[[#This Row],[Total PV client 2021]]-Tableau2[[#This Row],[PV client 
utilisés 2021]]</f>
        <v>0</v>
      </c>
      <c r="U46" s="278"/>
      <c r="V46" s="277">
        <f>SUMIFS(RECAP_VENTE_ANNUELLE!$P:$P,RECAP_VENTE_ANNUELLE!$R:$R,"2022",RECAP_VENTE_ANNUELLE!$B:$B,Tableau2[[#This Row],[Nom_prenom ]])</f>
        <v>0</v>
      </c>
      <c r="W46" s="277"/>
      <c r="X46" s="277">
        <f>Tableau2[[#This Row],[Total PV
 client 2022]]-Tableau2[[#This Row],[PV client 
utilisés 2022]]</f>
        <v>0</v>
      </c>
      <c r="Y46" s="278"/>
      <c r="Z46" s="277">
        <f>SUMIFS(RECAP_VENTE_ANNUELLE!$P:$P,RECAP_VENTE_ANNUELLE!$R:$R,"2023",RECAP_VENTE_ANNUELLE!$B:$B,Tableau2[[#This Row],[Nom_prenom ]])</f>
        <v>0</v>
      </c>
      <c r="AA46" s="277"/>
      <c r="AB46" s="277">
        <f>Tableau2[[#This Row],[Total PV
 client 2023]]-Tableau2[[#This Row],[PV client 
utilisés 2023]]</f>
        <v>0</v>
      </c>
      <c r="AC46" s="278"/>
      <c r="AD46" s="277">
        <f>SUMIFS(RECAP_VENTE_ANNUELLE!$P:$P,RECAP_VENTE_ANNUELLE!$R:$R,"2024",RECAP_VENTE_ANNUELLE!$B:$B,Tableau2[[#This Row],[Nom_prenom ]])</f>
        <v>0</v>
      </c>
      <c r="AE46" s="277"/>
      <c r="AF46" s="277">
        <f>Tableau2[[#This Row],[Total PV
 client 2024]]-Tableau2[[#This Row],[PV client 
utilisés 2024]]</f>
        <v>0</v>
      </c>
      <c r="AG46" s="278"/>
      <c r="AH46" s="277">
        <f>SUMIFS(RECAP_VENTE_ANNUELLE!$P:$P,RECAP_VENTE_ANNUELLE!$R:$R,"2025",RECAP_VENTE_ANNUELLE!$B:$B,Tableau2[[#This Row],[Nom_prenom ]])</f>
        <v>0</v>
      </c>
      <c r="AI46" s="277"/>
      <c r="AJ46" s="277">
        <f>Tableau2[[#This Row],[Total PV
 client 2025]]-Tableau2[[#This Row],[PV client 
utilisés 2025]]</f>
        <v>0</v>
      </c>
      <c r="AK46" s="279"/>
    </row>
    <row r="47" spans="1:189">
      <c r="A47" s="85" t="s">
        <v>41</v>
      </c>
      <c r="B47" s="275" t="s">
        <v>844</v>
      </c>
      <c r="C47" s="242" t="s">
        <v>343</v>
      </c>
      <c r="D47" s="242" t="s">
        <v>344</v>
      </c>
      <c r="E47" s="86" t="s">
        <v>345</v>
      </c>
      <c r="F47" s="242" t="s">
        <v>346</v>
      </c>
      <c r="G47" s="149" t="s">
        <v>347</v>
      </c>
      <c r="H47" s="151">
        <f>SUMPRODUCT((Tableau4[Nom_prenom ]=B47)*(Tableau4[Quantités]))</f>
        <v>19</v>
      </c>
      <c r="I47" s="71">
        <f>SUMPRODUCT((Tableau4[Nom_prenom ]=$B47)*(Tableau4[Total_Client]))</f>
        <v>385.48999999999995</v>
      </c>
      <c r="J47" s="277">
        <f>SUMIFS(RECAP_VENTE_ANNUELLE!$P:$P,RECAP_VENTE_ANNUELLE!$R:$R,"2019",RECAP_VENTE_ANNUELLE!$B:$B,Tableau2[[#This Row],[Nom_prenom ]])</f>
        <v>45</v>
      </c>
      <c r="K47" s="277"/>
      <c r="L47" s="277">
        <f>Tableau2[[#This Row],[Total PV client 2019]]-Tableau2[[#This Row],[PV client 
utilisés 2019]]</f>
        <v>45</v>
      </c>
      <c r="M47" s="278"/>
      <c r="N47" s="277">
        <f>SUMIFS(RECAP_VENTE_ANNUELLE!$P:$P,RECAP_VENTE_ANNUELLE!$R:$R,"2020",RECAP_VENTE_ANNUELLE!$B:$B,Tableau2[[#This Row],[Nom_prenom ]])</f>
        <v>202</v>
      </c>
      <c r="O47" s="277"/>
      <c r="P47" s="277">
        <f>Tableau2[[#This Row],[Total PV client 2020]]-Tableau2[[#This Row],[PV client 
utilisés 2020]]</f>
        <v>202</v>
      </c>
      <c r="Q47" s="278"/>
      <c r="R47" s="277">
        <f>SUMIFS(RECAP_VENTE_ANNUELLE!$P:$P,RECAP_VENTE_ANNUELLE!$R:$R,"2021",RECAP_VENTE_ANNUELLE!$B:$B,Tableau2[[#This Row],[Nom_prenom ]])</f>
        <v>0</v>
      </c>
      <c r="S47" s="277"/>
      <c r="T47" s="277">
        <f>Tableau2[[#This Row],[Total PV client 2021]]-Tableau2[[#This Row],[PV client 
utilisés 2021]]</f>
        <v>0</v>
      </c>
      <c r="U47" s="278"/>
      <c r="V47" s="277">
        <f>SUMIFS(RECAP_VENTE_ANNUELLE!$P:$P,RECAP_VENTE_ANNUELLE!$R:$R,"2022",RECAP_VENTE_ANNUELLE!$B:$B,Tableau2[[#This Row],[Nom_prenom ]])</f>
        <v>0</v>
      </c>
      <c r="W47" s="277"/>
      <c r="X47" s="277">
        <f>Tableau2[[#This Row],[Total PV
 client 2022]]-Tableau2[[#This Row],[PV client 
utilisés 2022]]</f>
        <v>0</v>
      </c>
      <c r="Y47" s="278"/>
      <c r="Z47" s="277">
        <f>SUMIFS(RECAP_VENTE_ANNUELLE!$P:$P,RECAP_VENTE_ANNUELLE!$R:$R,"2023",RECAP_VENTE_ANNUELLE!$B:$B,Tableau2[[#This Row],[Nom_prenom ]])</f>
        <v>0</v>
      </c>
      <c r="AA47" s="277"/>
      <c r="AB47" s="277">
        <f>Tableau2[[#This Row],[Total PV
 client 2023]]-Tableau2[[#This Row],[PV client 
utilisés 2023]]</f>
        <v>0</v>
      </c>
      <c r="AC47" s="278"/>
      <c r="AD47" s="277">
        <f>SUMIFS(RECAP_VENTE_ANNUELLE!$P:$P,RECAP_VENTE_ANNUELLE!$R:$R,"2024",RECAP_VENTE_ANNUELLE!$B:$B,Tableau2[[#This Row],[Nom_prenom ]])</f>
        <v>0</v>
      </c>
      <c r="AE47" s="277"/>
      <c r="AF47" s="277">
        <f>Tableau2[[#This Row],[Total PV
 client 2024]]-Tableau2[[#This Row],[PV client 
utilisés 2024]]</f>
        <v>0</v>
      </c>
      <c r="AG47" s="278"/>
      <c r="AH47" s="277">
        <f>SUMIFS(RECAP_VENTE_ANNUELLE!$P:$P,RECAP_VENTE_ANNUELLE!$R:$R,"2025",RECAP_VENTE_ANNUELLE!$B:$B,Tableau2[[#This Row],[Nom_prenom ]])</f>
        <v>0</v>
      </c>
      <c r="AI47" s="277"/>
      <c r="AJ47" s="277">
        <f>Tableau2[[#This Row],[Total PV
 client 2025]]-Tableau2[[#This Row],[PV client 
utilisés 2025]]</f>
        <v>0</v>
      </c>
      <c r="AK47" s="279"/>
    </row>
    <row r="48" spans="1:189">
      <c r="A48" s="148" t="s">
        <v>41</v>
      </c>
      <c r="B48" s="275" t="s">
        <v>845</v>
      </c>
      <c r="C48" s="242" t="s">
        <v>348</v>
      </c>
      <c r="D48" s="242" t="s">
        <v>349</v>
      </c>
      <c r="E48" s="86" t="s">
        <v>350</v>
      </c>
      <c r="F48" s="242" t="s">
        <v>351</v>
      </c>
      <c r="G48" s="149" t="s">
        <v>352</v>
      </c>
      <c r="H48" s="151">
        <f>SUMPRODUCT((Tableau4[Nom_prenom ]=B48)*(Tableau4[Quantités]))</f>
        <v>8</v>
      </c>
      <c r="I48" s="71">
        <f>SUMPRODUCT((Tableau4[Nom_prenom ]=$B48)*(Tableau4[Total_Client]))</f>
        <v>180.5</v>
      </c>
      <c r="J48" s="277">
        <f>SUMIFS(RECAP_VENTE_ANNUELLE!$P:$P,RECAP_VENTE_ANNUELLE!$R:$R,"2019",RECAP_VENTE_ANNUELLE!$B:$B,Tableau2[[#This Row],[Nom_prenom ]])</f>
        <v>33</v>
      </c>
      <c r="K48" s="277"/>
      <c r="L48" s="277">
        <f>Tableau2[[#This Row],[Total PV client 2019]]-Tableau2[[#This Row],[PV client 
utilisés 2019]]</f>
        <v>33</v>
      </c>
      <c r="M48" s="278"/>
      <c r="N48" s="277">
        <f>SUMIFS(RECAP_VENTE_ANNUELLE!$P:$P,RECAP_VENTE_ANNUELLE!$R:$R,"2020",RECAP_VENTE_ANNUELLE!$B:$B,Tableau2[[#This Row],[Nom_prenom ]])</f>
        <v>52</v>
      </c>
      <c r="O48" s="277"/>
      <c r="P48" s="277">
        <f>Tableau2[[#This Row],[Total PV client 2020]]-Tableau2[[#This Row],[PV client 
utilisés 2020]]</f>
        <v>52</v>
      </c>
      <c r="Q48" s="278"/>
      <c r="R48" s="277">
        <f>SUMIFS(RECAP_VENTE_ANNUELLE!$P:$P,RECAP_VENTE_ANNUELLE!$R:$R,"2021",RECAP_VENTE_ANNUELLE!$B:$B,Tableau2[[#This Row],[Nom_prenom ]])</f>
        <v>0</v>
      </c>
      <c r="S48" s="277"/>
      <c r="T48" s="277">
        <f>Tableau2[[#This Row],[Total PV client 2021]]-Tableau2[[#This Row],[PV client 
utilisés 2021]]</f>
        <v>0</v>
      </c>
      <c r="U48" s="278"/>
      <c r="V48" s="277">
        <f>SUMIFS(RECAP_VENTE_ANNUELLE!$P:$P,RECAP_VENTE_ANNUELLE!$R:$R,"2022",RECAP_VENTE_ANNUELLE!$B:$B,Tableau2[[#This Row],[Nom_prenom ]])</f>
        <v>0</v>
      </c>
      <c r="W48" s="277"/>
      <c r="X48" s="277">
        <f>Tableau2[[#This Row],[Total PV
 client 2022]]-Tableau2[[#This Row],[PV client 
utilisés 2022]]</f>
        <v>0</v>
      </c>
      <c r="Y48" s="278"/>
      <c r="Z48" s="277">
        <f>SUMIFS(RECAP_VENTE_ANNUELLE!$P:$P,RECAP_VENTE_ANNUELLE!$R:$R,"2023",RECAP_VENTE_ANNUELLE!$B:$B,Tableau2[[#This Row],[Nom_prenom ]])</f>
        <v>0</v>
      </c>
      <c r="AA48" s="277"/>
      <c r="AB48" s="277">
        <f>Tableau2[[#This Row],[Total PV
 client 2023]]-Tableau2[[#This Row],[PV client 
utilisés 2023]]</f>
        <v>0</v>
      </c>
      <c r="AC48" s="278"/>
      <c r="AD48" s="277">
        <f>SUMIFS(RECAP_VENTE_ANNUELLE!$P:$P,RECAP_VENTE_ANNUELLE!$R:$R,"2024",RECAP_VENTE_ANNUELLE!$B:$B,Tableau2[[#This Row],[Nom_prenom ]])</f>
        <v>0</v>
      </c>
      <c r="AE48" s="277"/>
      <c r="AF48" s="277">
        <f>Tableau2[[#This Row],[Total PV
 client 2024]]-Tableau2[[#This Row],[PV client 
utilisés 2024]]</f>
        <v>0</v>
      </c>
      <c r="AG48" s="278"/>
      <c r="AH48" s="277">
        <f>SUMIFS(RECAP_VENTE_ANNUELLE!$P:$P,RECAP_VENTE_ANNUELLE!$R:$R,"2025",RECAP_VENTE_ANNUELLE!$B:$B,Tableau2[[#This Row],[Nom_prenom ]])</f>
        <v>0</v>
      </c>
      <c r="AI48" s="277"/>
      <c r="AJ48" s="277">
        <f>Tableau2[[#This Row],[Total PV
 client 2025]]-Tableau2[[#This Row],[PV client 
utilisés 2025]]</f>
        <v>0</v>
      </c>
      <c r="AK48" s="279"/>
    </row>
    <row r="49" spans="1:37">
      <c r="A49" s="85" t="s">
        <v>41</v>
      </c>
      <c r="B49" s="275" t="s">
        <v>846</v>
      </c>
      <c r="C49" s="242" t="s">
        <v>353</v>
      </c>
      <c r="D49" s="242" t="s">
        <v>354</v>
      </c>
      <c r="E49" s="86" t="s">
        <v>355</v>
      </c>
      <c r="F49" s="242" t="s">
        <v>356</v>
      </c>
      <c r="G49" s="149" t="s">
        <v>357</v>
      </c>
      <c r="H49" s="151">
        <f>SUMPRODUCT((Tableau4[Nom_prenom ]=B49)*(Tableau4[Quantités]))</f>
        <v>1</v>
      </c>
      <c r="I49" s="71">
        <f>SUMPRODUCT((Tableau4[Nom_prenom ]=$B49)*(Tableau4[Total_Client]))</f>
        <v>19.3</v>
      </c>
      <c r="J49" s="277">
        <f>SUMIFS(RECAP_VENTE_ANNUELLE!$P:$P,RECAP_VENTE_ANNUELLE!$R:$R,"2019",RECAP_VENTE_ANNUELLE!$B:$B,Tableau2[[#This Row],[Nom_prenom ]])</f>
        <v>11</v>
      </c>
      <c r="K49" s="277"/>
      <c r="L49" s="277">
        <f>Tableau2[[#This Row],[Total PV client 2019]]-Tableau2[[#This Row],[PV client 
utilisés 2019]]</f>
        <v>11</v>
      </c>
      <c r="M49" s="278"/>
      <c r="N49" s="277">
        <f>SUMIFS(RECAP_VENTE_ANNUELLE!$P:$P,RECAP_VENTE_ANNUELLE!$R:$R,"2020",RECAP_VENTE_ANNUELLE!$B:$B,Tableau2[[#This Row],[Nom_prenom ]])</f>
        <v>0</v>
      </c>
      <c r="O49" s="277"/>
      <c r="P49" s="277">
        <f>Tableau2[[#This Row],[Total PV client 2020]]-Tableau2[[#This Row],[PV client 
utilisés 2020]]</f>
        <v>0</v>
      </c>
      <c r="Q49" s="278"/>
      <c r="R49" s="277">
        <f>SUMIFS(RECAP_VENTE_ANNUELLE!$P:$P,RECAP_VENTE_ANNUELLE!$R:$R,"2021",RECAP_VENTE_ANNUELLE!$B:$B,Tableau2[[#This Row],[Nom_prenom ]])</f>
        <v>0</v>
      </c>
      <c r="S49" s="277"/>
      <c r="T49" s="277">
        <f>Tableau2[[#This Row],[Total PV client 2021]]-Tableau2[[#This Row],[PV client 
utilisés 2021]]</f>
        <v>0</v>
      </c>
      <c r="U49" s="278"/>
      <c r="V49" s="277">
        <f>SUMIFS(RECAP_VENTE_ANNUELLE!$P:$P,RECAP_VENTE_ANNUELLE!$R:$R,"2022",RECAP_VENTE_ANNUELLE!$B:$B,Tableau2[[#This Row],[Nom_prenom ]])</f>
        <v>0</v>
      </c>
      <c r="W49" s="277"/>
      <c r="X49" s="277">
        <f>Tableau2[[#This Row],[Total PV
 client 2022]]-Tableau2[[#This Row],[PV client 
utilisés 2022]]</f>
        <v>0</v>
      </c>
      <c r="Y49" s="278"/>
      <c r="Z49" s="277">
        <f>SUMIFS(RECAP_VENTE_ANNUELLE!$P:$P,RECAP_VENTE_ANNUELLE!$R:$R,"2023",RECAP_VENTE_ANNUELLE!$B:$B,Tableau2[[#This Row],[Nom_prenom ]])</f>
        <v>0</v>
      </c>
      <c r="AA49" s="277"/>
      <c r="AB49" s="277">
        <f>Tableau2[[#This Row],[Total PV
 client 2023]]-Tableau2[[#This Row],[PV client 
utilisés 2023]]</f>
        <v>0</v>
      </c>
      <c r="AC49" s="278"/>
      <c r="AD49" s="277">
        <f>SUMIFS(RECAP_VENTE_ANNUELLE!$P:$P,RECAP_VENTE_ANNUELLE!$R:$R,"2024",RECAP_VENTE_ANNUELLE!$B:$B,Tableau2[[#This Row],[Nom_prenom ]])</f>
        <v>0</v>
      </c>
      <c r="AE49" s="277"/>
      <c r="AF49" s="277">
        <f>Tableau2[[#This Row],[Total PV
 client 2024]]-Tableau2[[#This Row],[PV client 
utilisés 2024]]</f>
        <v>0</v>
      </c>
      <c r="AG49" s="278"/>
      <c r="AH49" s="277">
        <f>SUMIFS(RECAP_VENTE_ANNUELLE!$P:$P,RECAP_VENTE_ANNUELLE!$R:$R,"2025",RECAP_VENTE_ANNUELLE!$B:$B,Tableau2[[#This Row],[Nom_prenom ]])</f>
        <v>0</v>
      </c>
      <c r="AI49" s="277"/>
      <c r="AJ49" s="277">
        <f>Tableau2[[#This Row],[Total PV
 client 2025]]-Tableau2[[#This Row],[PV client 
utilisés 2025]]</f>
        <v>0</v>
      </c>
      <c r="AK49" s="279"/>
    </row>
    <row r="50" spans="1:37">
      <c r="A50" s="85" t="s">
        <v>41</v>
      </c>
      <c r="B50" s="275" t="s">
        <v>847</v>
      </c>
      <c r="C50" s="242" t="s">
        <v>358</v>
      </c>
      <c r="D50" s="242" t="s">
        <v>359</v>
      </c>
      <c r="E50" s="86" t="s">
        <v>360</v>
      </c>
      <c r="F50" s="242" t="s">
        <v>361</v>
      </c>
      <c r="G50" s="149" t="s">
        <v>362</v>
      </c>
      <c r="H50" s="151">
        <f>SUMPRODUCT((Tableau4[Nom_prenom ]=B50)*(Tableau4[Quantités]))</f>
        <v>28</v>
      </c>
      <c r="I50" s="71">
        <f>SUMPRODUCT((Tableau4[Nom_prenom ]=$B50)*(Tableau4[Total_Client]))</f>
        <v>622.39999999999986</v>
      </c>
      <c r="J50" s="277">
        <f>SUMIFS(RECAP_VENTE_ANNUELLE!$P:$P,RECAP_VENTE_ANNUELLE!$R:$R,"2019",RECAP_VENTE_ANNUELLE!$B:$B,Tableau2[[#This Row],[Nom_prenom ]])</f>
        <v>213</v>
      </c>
      <c r="K50" s="277"/>
      <c r="L50" s="277">
        <f>Tableau2[[#This Row],[Total PV client 2019]]-Tableau2[[#This Row],[PV client 
utilisés 2019]]</f>
        <v>213</v>
      </c>
      <c r="M50" s="278"/>
      <c r="N50" s="277">
        <f>SUMIFS(RECAP_VENTE_ANNUELLE!$P:$P,RECAP_VENTE_ANNUELLE!$R:$R,"2020",RECAP_VENTE_ANNUELLE!$B:$B,Tableau2[[#This Row],[Nom_prenom ]])</f>
        <v>133.80000000000001</v>
      </c>
      <c r="O50" s="277"/>
      <c r="P50" s="277">
        <f>Tableau2[[#This Row],[Total PV client 2020]]-Tableau2[[#This Row],[PV client 
utilisés 2020]]</f>
        <v>133.80000000000001</v>
      </c>
      <c r="Q50" s="278"/>
      <c r="R50" s="277">
        <f>SUMIFS(RECAP_VENTE_ANNUELLE!$P:$P,RECAP_VENTE_ANNUELLE!$R:$R,"2021",RECAP_VENTE_ANNUELLE!$B:$B,Tableau2[[#This Row],[Nom_prenom ]])</f>
        <v>0</v>
      </c>
      <c r="S50" s="277"/>
      <c r="T50" s="277">
        <f>Tableau2[[#This Row],[Total PV client 2021]]-Tableau2[[#This Row],[PV client 
utilisés 2021]]</f>
        <v>0</v>
      </c>
      <c r="U50" s="278"/>
      <c r="V50" s="277">
        <f>SUMIFS(RECAP_VENTE_ANNUELLE!$P:$P,RECAP_VENTE_ANNUELLE!$R:$R,"2022",RECAP_VENTE_ANNUELLE!$B:$B,Tableau2[[#This Row],[Nom_prenom ]])</f>
        <v>0</v>
      </c>
      <c r="W50" s="277"/>
      <c r="X50" s="277">
        <f>Tableau2[[#This Row],[Total PV
 client 2022]]-Tableau2[[#This Row],[PV client 
utilisés 2022]]</f>
        <v>0</v>
      </c>
      <c r="Y50" s="278"/>
      <c r="Z50" s="277">
        <f>SUMIFS(RECAP_VENTE_ANNUELLE!$P:$P,RECAP_VENTE_ANNUELLE!$R:$R,"2023",RECAP_VENTE_ANNUELLE!$B:$B,Tableau2[[#This Row],[Nom_prenom ]])</f>
        <v>0</v>
      </c>
      <c r="AA50" s="277"/>
      <c r="AB50" s="277">
        <f>Tableau2[[#This Row],[Total PV
 client 2023]]-Tableau2[[#This Row],[PV client 
utilisés 2023]]</f>
        <v>0</v>
      </c>
      <c r="AC50" s="278"/>
      <c r="AD50" s="277">
        <f>SUMIFS(RECAP_VENTE_ANNUELLE!$P:$P,RECAP_VENTE_ANNUELLE!$R:$R,"2024",RECAP_VENTE_ANNUELLE!$B:$B,Tableau2[[#This Row],[Nom_prenom ]])</f>
        <v>0</v>
      </c>
      <c r="AE50" s="277"/>
      <c r="AF50" s="277">
        <f>Tableau2[[#This Row],[Total PV
 client 2024]]-Tableau2[[#This Row],[PV client 
utilisés 2024]]</f>
        <v>0</v>
      </c>
      <c r="AG50" s="278"/>
      <c r="AH50" s="277">
        <f>SUMIFS(RECAP_VENTE_ANNUELLE!$P:$P,RECAP_VENTE_ANNUELLE!$R:$R,"2025",RECAP_VENTE_ANNUELLE!$B:$B,Tableau2[[#This Row],[Nom_prenom ]])</f>
        <v>0</v>
      </c>
      <c r="AI50" s="277"/>
      <c r="AJ50" s="277">
        <f>Tableau2[[#This Row],[Total PV
 client 2025]]-Tableau2[[#This Row],[PV client 
utilisés 2025]]</f>
        <v>0</v>
      </c>
      <c r="AK50" s="279"/>
    </row>
    <row r="51" spans="1:37">
      <c r="A51" s="85" t="s">
        <v>41</v>
      </c>
      <c r="B51" s="275" t="s">
        <v>848</v>
      </c>
      <c r="C51" s="242" t="s">
        <v>363</v>
      </c>
      <c r="D51" s="242" t="s">
        <v>364</v>
      </c>
      <c r="E51" s="86" t="s">
        <v>365</v>
      </c>
      <c r="F51" s="242" t="s">
        <v>366</v>
      </c>
      <c r="G51" s="149" t="s">
        <v>367</v>
      </c>
      <c r="H51" s="151">
        <f>SUMPRODUCT((Tableau4[Nom_prenom ]=B51)*(Tableau4[Quantités]))</f>
        <v>8</v>
      </c>
      <c r="I51" s="71">
        <f>SUMPRODUCT((Tableau4[Nom_prenom ]=$B51)*(Tableau4[Total_Client]))</f>
        <v>181.3</v>
      </c>
      <c r="J51" s="277">
        <f>SUMIFS(RECAP_VENTE_ANNUELLE!$P:$P,RECAP_VENTE_ANNUELLE!$R:$R,"2019",RECAP_VENTE_ANNUELLE!$B:$B,Tableau2[[#This Row],[Nom_prenom ]])</f>
        <v>101.5</v>
      </c>
      <c r="K51" s="277"/>
      <c r="L51" s="277">
        <f>Tableau2[[#This Row],[Total PV client 2019]]-Tableau2[[#This Row],[PV client 
utilisés 2019]]</f>
        <v>101.5</v>
      </c>
      <c r="M51" s="278"/>
      <c r="N51" s="277">
        <f>SUMIFS(RECAP_VENTE_ANNUELLE!$P:$P,RECAP_VENTE_ANNUELLE!$R:$R,"2020",RECAP_VENTE_ANNUELLE!$B:$B,Tableau2[[#This Row],[Nom_prenom ]])</f>
        <v>0</v>
      </c>
      <c r="O51" s="277"/>
      <c r="P51" s="277">
        <f>Tableau2[[#This Row],[Total PV client 2020]]-Tableau2[[#This Row],[PV client 
utilisés 2020]]</f>
        <v>0</v>
      </c>
      <c r="Q51" s="278"/>
      <c r="R51" s="277">
        <f>SUMIFS(RECAP_VENTE_ANNUELLE!$P:$P,RECAP_VENTE_ANNUELLE!$R:$R,"2021",RECAP_VENTE_ANNUELLE!$B:$B,Tableau2[[#This Row],[Nom_prenom ]])</f>
        <v>0</v>
      </c>
      <c r="S51" s="277"/>
      <c r="T51" s="277">
        <f>Tableau2[[#This Row],[Total PV client 2021]]-Tableau2[[#This Row],[PV client 
utilisés 2021]]</f>
        <v>0</v>
      </c>
      <c r="U51" s="278"/>
      <c r="V51" s="277">
        <f>SUMIFS(RECAP_VENTE_ANNUELLE!$P:$P,RECAP_VENTE_ANNUELLE!$R:$R,"2022",RECAP_VENTE_ANNUELLE!$B:$B,Tableau2[[#This Row],[Nom_prenom ]])</f>
        <v>0</v>
      </c>
      <c r="W51" s="277"/>
      <c r="X51" s="277">
        <f>Tableau2[[#This Row],[Total PV
 client 2022]]-Tableau2[[#This Row],[PV client 
utilisés 2022]]</f>
        <v>0</v>
      </c>
      <c r="Y51" s="278"/>
      <c r="Z51" s="277">
        <f>SUMIFS(RECAP_VENTE_ANNUELLE!$P:$P,RECAP_VENTE_ANNUELLE!$R:$R,"2023",RECAP_VENTE_ANNUELLE!$B:$B,Tableau2[[#This Row],[Nom_prenom ]])</f>
        <v>0</v>
      </c>
      <c r="AA51" s="277"/>
      <c r="AB51" s="277">
        <f>Tableau2[[#This Row],[Total PV
 client 2023]]-Tableau2[[#This Row],[PV client 
utilisés 2023]]</f>
        <v>0</v>
      </c>
      <c r="AC51" s="278"/>
      <c r="AD51" s="277">
        <f>SUMIFS(RECAP_VENTE_ANNUELLE!$P:$P,RECAP_VENTE_ANNUELLE!$R:$R,"2024",RECAP_VENTE_ANNUELLE!$B:$B,Tableau2[[#This Row],[Nom_prenom ]])</f>
        <v>0</v>
      </c>
      <c r="AE51" s="277"/>
      <c r="AF51" s="277">
        <f>Tableau2[[#This Row],[Total PV
 client 2024]]-Tableau2[[#This Row],[PV client 
utilisés 2024]]</f>
        <v>0</v>
      </c>
      <c r="AG51" s="278"/>
      <c r="AH51" s="277">
        <f>SUMIFS(RECAP_VENTE_ANNUELLE!$P:$P,RECAP_VENTE_ANNUELLE!$R:$R,"2025",RECAP_VENTE_ANNUELLE!$B:$B,Tableau2[[#This Row],[Nom_prenom ]])</f>
        <v>0</v>
      </c>
      <c r="AI51" s="277"/>
      <c r="AJ51" s="277">
        <f>Tableau2[[#This Row],[Total PV
 client 2025]]-Tableau2[[#This Row],[PV client 
utilisés 2025]]</f>
        <v>0</v>
      </c>
      <c r="AK51" s="279"/>
    </row>
    <row r="52" spans="1:37">
      <c r="A52" s="148" t="s">
        <v>41</v>
      </c>
      <c r="B52" s="275" t="s">
        <v>849</v>
      </c>
      <c r="C52" s="242" t="s">
        <v>368</v>
      </c>
      <c r="D52" s="242" t="s">
        <v>369</v>
      </c>
      <c r="E52" s="86" t="s">
        <v>370</v>
      </c>
      <c r="F52" s="242" t="s">
        <v>371</v>
      </c>
      <c r="G52" s="149" t="s">
        <v>372</v>
      </c>
      <c r="H52" s="151">
        <f>SUMPRODUCT((Tableau4[Nom_prenom ]=B52)*(Tableau4[Quantités]))</f>
        <v>4</v>
      </c>
      <c r="I52" s="71">
        <f>SUMPRODUCT((Tableau4[Nom_prenom ]=$B52)*(Tableau4[Total_Client]))</f>
        <v>107.5</v>
      </c>
      <c r="J52" s="277">
        <f>SUMIFS(RECAP_VENTE_ANNUELLE!$P:$P,RECAP_VENTE_ANNUELLE!$R:$R,"2019",RECAP_VENTE_ANNUELLE!$B:$B,Tableau2[[#This Row],[Nom_prenom ]])</f>
        <v>0</v>
      </c>
      <c r="K52" s="277"/>
      <c r="L52" s="277">
        <f>Tableau2[[#This Row],[Total PV client 2019]]-Tableau2[[#This Row],[PV client 
utilisés 2019]]</f>
        <v>0</v>
      </c>
      <c r="M52" s="278"/>
      <c r="N52" s="277">
        <f>SUMIFS(RECAP_VENTE_ANNUELLE!$P:$P,RECAP_VENTE_ANNUELLE!$R:$R,"2020",RECAP_VENTE_ANNUELLE!$B:$B,Tableau2[[#This Row],[Nom_prenom ]])</f>
        <v>50</v>
      </c>
      <c r="O52" s="277"/>
      <c r="P52" s="277">
        <f>Tableau2[[#This Row],[Total PV client 2020]]-Tableau2[[#This Row],[PV client 
utilisés 2020]]</f>
        <v>50</v>
      </c>
      <c r="Q52" s="278"/>
      <c r="R52" s="277">
        <f>SUMIFS(RECAP_VENTE_ANNUELLE!$P:$P,RECAP_VENTE_ANNUELLE!$R:$R,"2021",RECAP_VENTE_ANNUELLE!$B:$B,Tableau2[[#This Row],[Nom_prenom ]])</f>
        <v>0</v>
      </c>
      <c r="S52" s="277"/>
      <c r="T52" s="277">
        <f>Tableau2[[#This Row],[Total PV client 2021]]-Tableau2[[#This Row],[PV client 
utilisés 2021]]</f>
        <v>0</v>
      </c>
      <c r="U52" s="278"/>
      <c r="V52" s="277">
        <f>SUMIFS(RECAP_VENTE_ANNUELLE!$P:$P,RECAP_VENTE_ANNUELLE!$R:$R,"2022",RECAP_VENTE_ANNUELLE!$B:$B,Tableau2[[#This Row],[Nom_prenom ]])</f>
        <v>0</v>
      </c>
      <c r="W52" s="277"/>
      <c r="X52" s="277">
        <f>Tableau2[[#This Row],[Total PV
 client 2022]]-Tableau2[[#This Row],[PV client 
utilisés 2022]]</f>
        <v>0</v>
      </c>
      <c r="Y52" s="278"/>
      <c r="Z52" s="277">
        <f>SUMIFS(RECAP_VENTE_ANNUELLE!$P:$P,RECAP_VENTE_ANNUELLE!$R:$R,"2023",RECAP_VENTE_ANNUELLE!$B:$B,Tableau2[[#This Row],[Nom_prenom ]])</f>
        <v>0</v>
      </c>
      <c r="AA52" s="277"/>
      <c r="AB52" s="277">
        <f>Tableau2[[#This Row],[Total PV
 client 2023]]-Tableau2[[#This Row],[PV client 
utilisés 2023]]</f>
        <v>0</v>
      </c>
      <c r="AC52" s="278"/>
      <c r="AD52" s="277">
        <f>SUMIFS(RECAP_VENTE_ANNUELLE!$P:$P,RECAP_VENTE_ANNUELLE!$R:$R,"2024",RECAP_VENTE_ANNUELLE!$B:$B,Tableau2[[#This Row],[Nom_prenom ]])</f>
        <v>0</v>
      </c>
      <c r="AE52" s="277"/>
      <c r="AF52" s="277">
        <f>Tableau2[[#This Row],[Total PV
 client 2024]]-Tableau2[[#This Row],[PV client 
utilisés 2024]]</f>
        <v>0</v>
      </c>
      <c r="AG52" s="278"/>
      <c r="AH52" s="277">
        <f>SUMIFS(RECAP_VENTE_ANNUELLE!$P:$P,RECAP_VENTE_ANNUELLE!$R:$R,"2025",RECAP_VENTE_ANNUELLE!$B:$B,Tableau2[[#This Row],[Nom_prenom ]])</f>
        <v>0</v>
      </c>
      <c r="AI52" s="277"/>
      <c r="AJ52" s="277">
        <f>Tableau2[[#This Row],[Total PV
 client 2025]]-Tableau2[[#This Row],[PV client 
utilisés 2025]]</f>
        <v>0</v>
      </c>
      <c r="AK52" s="279"/>
    </row>
    <row r="53" spans="1:37">
      <c r="A53" s="85" t="s">
        <v>39</v>
      </c>
      <c r="B53" s="275" t="s">
        <v>850</v>
      </c>
      <c r="C53" s="242" t="s">
        <v>373</v>
      </c>
      <c r="D53" s="242" t="s">
        <v>374</v>
      </c>
      <c r="E53" s="86" t="s">
        <v>375</v>
      </c>
      <c r="F53" s="242" t="s">
        <v>376</v>
      </c>
      <c r="G53" s="149" t="s">
        <v>377</v>
      </c>
      <c r="H53" s="151">
        <f>SUMPRODUCT((Tableau4[Nom_prenom ]=B53)*(Tableau4[Quantités]))</f>
        <v>6</v>
      </c>
      <c r="I53" s="71">
        <f>SUMPRODUCT((Tableau4[Nom_prenom ]=$B53)*(Tableau4[Total_Client]))</f>
        <v>128.6</v>
      </c>
      <c r="J53" s="277">
        <f>SUMIFS(RECAP_VENTE_ANNUELLE!$P:$P,RECAP_VENTE_ANNUELLE!$R:$R,"2019",RECAP_VENTE_ANNUELLE!$B:$B,Tableau2[[#This Row],[Nom_prenom ]])</f>
        <v>11</v>
      </c>
      <c r="K53" s="277"/>
      <c r="L53" s="277">
        <f>Tableau2[[#This Row],[Total PV client 2019]]-Tableau2[[#This Row],[PV client 
utilisés 2019]]</f>
        <v>11</v>
      </c>
      <c r="M53" s="278"/>
      <c r="N53" s="277">
        <f>SUMIFS(RECAP_VENTE_ANNUELLE!$P:$P,RECAP_VENTE_ANNUELLE!$R:$R,"2020",RECAP_VENTE_ANNUELLE!$B:$B,Tableau2[[#This Row],[Nom_prenom ]])</f>
        <v>61</v>
      </c>
      <c r="O53" s="277"/>
      <c r="P53" s="277">
        <f>Tableau2[[#This Row],[Total PV client 2020]]-Tableau2[[#This Row],[PV client 
utilisés 2020]]</f>
        <v>61</v>
      </c>
      <c r="Q53" s="278"/>
      <c r="R53" s="277">
        <f>SUMIFS(RECAP_VENTE_ANNUELLE!$P:$P,RECAP_VENTE_ANNUELLE!$R:$R,"2021",RECAP_VENTE_ANNUELLE!$B:$B,Tableau2[[#This Row],[Nom_prenom ]])</f>
        <v>0</v>
      </c>
      <c r="S53" s="277"/>
      <c r="T53" s="277">
        <f>Tableau2[[#This Row],[Total PV client 2021]]-Tableau2[[#This Row],[PV client 
utilisés 2021]]</f>
        <v>0</v>
      </c>
      <c r="U53" s="278"/>
      <c r="V53" s="277">
        <f>SUMIFS(RECAP_VENTE_ANNUELLE!$P:$P,RECAP_VENTE_ANNUELLE!$R:$R,"2022",RECAP_VENTE_ANNUELLE!$B:$B,Tableau2[[#This Row],[Nom_prenom ]])</f>
        <v>0</v>
      </c>
      <c r="W53" s="277"/>
      <c r="X53" s="277">
        <f>Tableau2[[#This Row],[Total PV
 client 2022]]-Tableau2[[#This Row],[PV client 
utilisés 2022]]</f>
        <v>0</v>
      </c>
      <c r="Y53" s="278"/>
      <c r="Z53" s="277">
        <f>SUMIFS(RECAP_VENTE_ANNUELLE!$P:$P,RECAP_VENTE_ANNUELLE!$R:$R,"2023",RECAP_VENTE_ANNUELLE!$B:$B,Tableau2[[#This Row],[Nom_prenom ]])</f>
        <v>0</v>
      </c>
      <c r="AA53" s="277"/>
      <c r="AB53" s="277">
        <f>Tableau2[[#This Row],[Total PV
 client 2023]]-Tableau2[[#This Row],[PV client 
utilisés 2023]]</f>
        <v>0</v>
      </c>
      <c r="AC53" s="278"/>
      <c r="AD53" s="277">
        <f>SUMIFS(RECAP_VENTE_ANNUELLE!$P:$P,RECAP_VENTE_ANNUELLE!$R:$R,"2024",RECAP_VENTE_ANNUELLE!$B:$B,Tableau2[[#This Row],[Nom_prenom ]])</f>
        <v>0</v>
      </c>
      <c r="AE53" s="277"/>
      <c r="AF53" s="277">
        <f>Tableau2[[#This Row],[Total PV
 client 2024]]-Tableau2[[#This Row],[PV client 
utilisés 2024]]</f>
        <v>0</v>
      </c>
      <c r="AG53" s="278"/>
      <c r="AH53" s="277">
        <f>SUMIFS(RECAP_VENTE_ANNUELLE!$P:$P,RECAP_VENTE_ANNUELLE!$R:$R,"2025",RECAP_VENTE_ANNUELLE!$B:$B,Tableau2[[#This Row],[Nom_prenom ]])</f>
        <v>0</v>
      </c>
      <c r="AI53" s="277"/>
      <c r="AJ53" s="277">
        <f>Tableau2[[#This Row],[Total PV
 client 2025]]-Tableau2[[#This Row],[PV client 
utilisés 2025]]</f>
        <v>0</v>
      </c>
      <c r="AK53" s="279"/>
    </row>
    <row r="54" spans="1:37">
      <c r="A54" s="85" t="s">
        <v>41</v>
      </c>
      <c r="B54" s="275" t="s">
        <v>851</v>
      </c>
      <c r="C54" s="242" t="s">
        <v>378</v>
      </c>
      <c r="D54" s="242" t="s">
        <v>379</v>
      </c>
      <c r="E54" s="86" t="s">
        <v>380</v>
      </c>
      <c r="F54" s="242" t="s">
        <v>381</v>
      </c>
      <c r="G54" s="149" t="s">
        <v>382</v>
      </c>
      <c r="H54" s="151">
        <f>SUMPRODUCT((Tableau4[Nom_prenom ]=B54)*(Tableau4[Quantités]))</f>
        <v>2</v>
      </c>
      <c r="I54" s="71">
        <f>SUMPRODUCT((Tableau4[Nom_prenom ]=$B54)*(Tableau4[Total_Client]))</f>
        <v>37.4</v>
      </c>
      <c r="J54" s="277">
        <f>SUMIFS(RECAP_VENTE_ANNUELLE!$P:$P,RECAP_VENTE_ANNUELLE!$R:$R,"2019",RECAP_VENTE_ANNUELLE!$B:$B,Tableau2[[#This Row],[Nom_prenom ]])</f>
        <v>12.5</v>
      </c>
      <c r="K54" s="277"/>
      <c r="L54" s="277">
        <f>Tableau2[[#This Row],[Total PV client 2019]]-Tableau2[[#This Row],[PV client 
utilisés 2019]]</f>
        <v>12.5</v>
      </c>
      <c r="M54" s="278"/>
      <c r="N54" s="277">
        <f>SUMIFS(RECAP_VENTE_ANNUELLE!$P:$P,RECAP_VENTE_ANNUELLE!$R:$R,"2020",RECAP_VENTE_ANNUELLE!$B:$B,Tableau2[[#This Row],[Nom_prenom ]])</f>
        <v>10</v>
      </c>
      <c r="O54" s="277"/>
      <c r="P54" s="277">
        <f>Tableau2[[#This Row],[Total PV client 2020]]-Tableau2[[#This Row],[PV client 
utilisés 2020]]</f>
        <v>10</v>
      </c>
      <c r="Q54" s="278"/>
      <c r="R54" s="277">
        <f>SUMIFS(RECAP_VENTE_ANNUELLE!$P:$P,RECAP_VENTE_ANNUELLE!$R:$R,"2021",RECAP_VENTE_ANNUELLE!$B:$B,Tableau2[[#This Row],[Nom_prenom ]])</f>
        <v>0</v>
      </c>
      <c r="S54" s="277"/>
      <c r="T54" s="277">
        <f>Tableau2[[#This Row],[Total PV client 2021]]-Tableau2[[#This Row],[PV client 
utilisés 2021]]</f>
        <v>0</v>
      </c>
      <c r="U54" s="278"/>
      <c r="V54" s="277">
        <f>SUMIFS(RECAP_VENTE_ANNUELLE!$P:$P,RECAP_VENTE_ANNUELLE!$R:$R,"2022",RECAP_VENTE_ANNUELLE!$B:$B,Tableau2[[#This Row],[Nom_prenom ]])</f>
        <v>0</v>
      </c>
      <c r="W54" s="277"/>
      <c r="X54" s="277">
        <f>Tableau2[[#This Row],[Total PV
 client 2022]]-Tableau2[[#This Row],[PV client 
utilisés 2022]]</f>
        <v>0</v>
      </c>
      <c r="Y54" s="278"/>
      <c r="Z54" s="277">
        <f>SUMIFS(RECAP_VENTE_ANNUELLE!$P:$P,RECAP_VENTE_ANNUELLE!$R:$R,"2023",RECAP_VENTE_ANNUELLE!$B:$B,Tableau2[[#This Row],[Nom_prenom ]])</f>
        <v>0</v>
      </c>
      <c r="AA54" s="277"/>
      <c r="AB54" s="277">
        <f>Tableau2[[#This Row],[Total PV
 client 2023]]-Tableau2[[#This Row],[PV client 
utilisés 2023]]</f>
        <v>0</v>
      </c>
      <c r="AC54" s="278"/>
      <c r="AD54" s="277">
        <f>SUMIFS(RECAP_VENTE_ANNUELLE!$P:$P,RECAP_VENTE_ANNUELLE!$R:$R,"2024",RECAP_VENTE_ANNUELLE!$B:$B,Tableau2[[#This Row],[Nom_prenom ]])</f>
        <v>0</v>
      </c>
      <c r="AE54" s="277"/>
      <c r="AF54" s="277">
        <f>Tableau2[[#This Row],[Total PV
 client 2024]]-Tableau2[[#This Row],[PV client 
utilisés 2024]]</f>
        <v>0</v>
      </c>
      <c r="AG54" s="278"/>
      <c r="AH54" s="277">
        <f>SUMIFS(RECAP_VENTE_ANNUELLE!$P:$P,RECAP_VENTE_ANNUELLE!$R:$R,"2025",RECAP_VENTE_ANNUELLE!$B:$B,Tableau2[[#This Row],[Nom_prenom ]])</f>
        <v>0</v>
      </c>
      <c r="AI54" s="277"/>
      <c r="AJ54" s="277">
        <f>Tableau2[[#This Row],[Total PV
 client 2025]]-Tableau2[[#This Row],[PV client 
utilisés 2025]]</f>
        <v>0</v>
      </c>
      <c r="AK54" s="279"/>
    </row>
    <row r="55" spans="1:37">
      <c r="A55" s="85" t="s">
        <v>41</v>
      </c>
      <c r="B55" s="275" t="s">
        <v>852</v>
      </c>
      <c r="C55" s="242" t="s">
        <v>383</v>
      </c>
      <c r="D55" s="242" t="s">
        <v>384</v>
      </c>
      <c r="E55" s="86" t="s">
        <v>385</v>
      </c>
      <c r="F55" s="242" t="s">
        <v>386</v>
      </c>
      <c r="G55" s="149" t="s">
        <v>387</v>
      </c>
      <c r="H55" s="151">
        <f>SUMPRODUCT((Tableau4[Nom_prenom ]=B55)*(Tableau4[Quantités]))</f>
        <v>1</v>
      </c>
      <c r="I55" s="71">
        <f>SUMPRODUCT((Tableau4[Nom_prenom ]=$B55)*(Tableau4[Total_Client]))</f>
        <v>19.899999999999999</v>
      </c>
      <c r="J55" s="277">
        <f>SUMIFS(RECAP_VENTE_ANNUELLE!$P:$P,RECAP_VENTE_ANNUELLE!$R:$R,"2019",RECAP_VENTE_ANNUELLE!$B:$B,Tableau2[[#This Row],[Nom_prenom ]])</f>
        <v>11</v>
      </c>
      <c r="K55" s="277"/>
      <c r="L55" s="277">
        <f>Tableau2[[#This Row],[Total PV client 2019]]-Tableau2[[#This Row],[PV client 
utilisés 2019]]</f>
        <v>11</v>
      </c>
      <c r="M55" s="278"/>
      <c r="N55" s="277">
        <f>SUMIFS(RECAP_VENTE_ANNUELLE!$P:$P,RECAP_VENTE_ANNUELLE!$R:$R,"2020",RECAP_VENTE_ANNUELLE!$B:$B,Tableau2[[#This Row],[Nom_prenom ]])</f>
        <v>0</v>
      </c>
      <c r="O55" s="277"/>
      <c r="P55" s="277">
        <f>Tableau2[[#This Row],[Total PV client 2020]]-Tableau2[[#This Row],[PV client 
utilisés 2020]]</f>
        <v>0</v>
      </c>
      <c r="Q55" s="278"/>
      <c r="R55" s="277">
        <f>SUMIFS(RECAP_VENTE_ANNUELLE!$P:$P,RECAP_VENTE_ANNUELLE!$R:$R,"2021",RECAP_VENTE_ANNUELLE!$B:$B,Tableau2[[#This Row],[Nom_prenom ]])</f>
        <v>0</v>
      </c>
      <c r="S55" s="277"/>
      <c r="T55" s="277">
        <f>Tableau2[[#This Row],[Total PV client 2021]]-Tableau2[[#This Row],[PV client 
utilisés 2021]]</f>
        <v>0</v>
      </c>
      <c r="U55" s="278"/>
      <c r="V55" s="277">
        <f>SUMIFS(RECAP_VENTE_ANNUELLE!$P:$P,RECAP_VENTE_ANNUELLE!$R:$R,"2022",RECAP_VENTE_ANNUELLE!$B:$B,Tableau2[[#This Row],[Nom_prenom ]])</f>
        <v>0</v>
      </c>
      <c r="W55" s="277"/>
      <c r="X55" s="277">
        <f>Tableau2[[#This Row],[Total PV
 client 2022]]-Tableau2[[#This Row],[PV client 
utilisés 2022]]</f>
        <v>0</v>
      </c>
      <c r="Y55" s="278"/>
      <c r="Z55" s="277">
        <f>SUMIFS(RECAP_VENTE_ANNUELLE!$P:$P,RECAP_VENTE_ANNUELLE!$R:$R,"2023",RECAP_VENTE_ANNUELLE!$B:$B,Tableau2[[#This Row],[Nom_prenom ]])</f>
        <v>0</v>
      </c>
      <c r="AA55" s="277"/>
      <c r="AB55" s="277">
        <f>Tableau2[[#This Row],[Total PV
 client 2023]]-Tableau2[[#This Row],[PV client 
utilisés 2023]]</f>
        <v>0</v>
      </c>
      <c r="AC55" s="278"/>
      <c r="AD55" s="277">
        <f>SUMIFS(RECAP_VENTE_ANNUELLE!$P:$P,RECAP_VENTE_ANNUELLE!$R:$R,"2024",RECAP_VENTE_ANNUELLE!$B:$B,Tableau2[[#This Row],[Nom_prenom ]])</f>
        <v>0</v>
      </c>
      <c r="AE55" s="277"/>
      <c r="AF55" s="277">
        <f>Tableau2[[#This Row],[Total PV
 client 2024]]-Tableau2[[#This Row],[PV client 
utilisés 2024]]</f>
        <v>0</v>
      </c>
      <c r="AG55" s="278"/>
      <c r="AH55" s="277">
        <f>SUMIFS(RECAP_VENTE_ANNUELLE!$P:$P,RECAP_VENTE_ANNUELLE!$R:$R,"2025",RECAP_VENTE_ANNUELLE!$B:$B,Tableau2[[#This Row],[Nom_prenom ]])</f>
        <v>0</v>
      </c>
      <c r="AI55" s="277"/>
      <c r="AJ55" s="277">
        <f>Tableau2[[#This Row],[Total PV
 client 2025]]-Tableau2[[#This Row],[PV client 
utilisés 2025]]</f>
        <v>0</v>
      </c>
      <c r="AK55" s="279"/>
    </row>
    <row r="56" spans="1:37">
      <c r="A56" s="148" t="s">
        <v>41</v>
      </c>
      <c r="B56" s="275" t="s">
        <v>853</v>
      </c>
      <c r="C56" s="242" t="s">
        <v>388</v>
      </c>
      <c r="D56" s="242" t="s">
        <v>389</v>
      </c>
      <c r="E56" s="86" t="s">
        <v>390</v>
      </c>
      <c r="F56" s="242" t="s">
        <v>391</v>
      </c>
      <c r="G56" s="149" t="s">
        <v>392</v>
      </c>
      <c r="H56" s="151">
        <f>SUMPRODUCT((Tableau4[Nom_prenom ]=B56)*(Tableau4[Quantités]))</f>
        <v>2</v>
      </c>
      <c r="I56" s="71">
        <f>SUMPRODUCT((Tableau4[Nom_prenom ]=$B56)*(Tableau4[Total_Client]))</f>
        <v>26.1</v>
      </c>
      <c r="J56" s="277">
        <f>SUMIFS(RECAP_VENTE_ANNUELLE!$P:$P,RECAP_VENTE_ANNUELLE!$R:$R,"2019",RECAP_VENTE_ANNUELLE!$B:$B,Tableau2[[#This Row],[Nom_prenom ]])</f>
        <v>14</v>
      </c>
      <c r="K56" s="277"/>
      <c r="L56" s="277">
        <f>Tableau2[[#This Row],[Total PV client 2019]]-Tableau2[[#This Row],[PV client 
utilisés 2019]]</f>
        <v>14</v>
      </c>
      <c r="M56" s="278"/>
      <c r="N56" s="277">
        <f>SUMIFS(RECAP_VENTE_ANNUELLE!$P:$P,RECAP_VENTE_ANNUELLE!$R:$R,"2020",RECAP_VENTE_ANNUELLE!$B:$B,Tableau2[[#This Row],[Nom_prenom ]])</f>
        <v>0</v>
      </c>
      <c r="O56" s="277"/>
      <c r="P56" s="277">
        <f>Tableau2[[#This Row],[Total PV client 2020]]-Tableau2[[#This Row],[PV client 
utilisés 2020]]</f>
        <v>0</v>
      </c>
      <c r="Q56" s="278"/>
      <c r="R56" s="277">
        <f>SUMIFS(RECAP_VENTE_ANNUELLE!$P:$P,RECAP_VENTE_ANNUELLE!$R:$R,"2021",RECAP_VENTE_ANNUELLE!$B:$B,Tableau2[[#This Row],[Nom_prenom ]])</f>
        <v>0</v>
      </c>
      <c r="S56" s="277"/>
      <c r="T56" s="277">
        <f>Tableau2[[#This Row],[Total PV client 2021]]-Tableau2[[#This Row],[PV client 
utilisés 2021]]</f>
        <v>0</v>
      </c>
      <c r="U56" s="278"/>
      <c r="V56" s="277">
        <f>SUMIFS(RECAP_VENTE_ANNUELLE!$P:$P,RECAP_VENTE_ANNUELLE!$R:$R,"2022",RECAP_VENTE_ANNUELLE!$B:$B,Tableau2[[#This Row],[Nom_prenom ]])</f>
        <v>0</v>
      </c>
      <c r="W56" s="277"/>
      <c r="X56" s="277">
        <f>Tableau2[[#This Row],[Total PV
 client 2022]]-Tableau2[[#This Row],[PV client 
utilisés 2022]]</f>
        <v>0</v>
      </c>
      <c r="Y56" s="278"/>
      <c r="Z56" s="277">
        <f>SUMIFS(RECAP_VENTE_ANNUELLE!$P:$P,RECAP_VENTE_ANNUELLE!$R:$R,"2023",RECAP_VENTE_ANNUELLE!$B:$B,Tableau2[[#This Row],[Nom_prenom ]])</f>
        <v>0</v>
      </c>
      <c r="AA56" s="277"/>
      <c r="AB56" s="277">
        <f>Tableau2[[#This Row],[Total PV
 client 2023]]-Tableau2[[#This Row],[PV client 
utilisés 2023]]</f>
        <v>0</v>
      </c>
      <c r="AC56" s="278"/>
      <c r="AD56" s="277">
        <f>SUMIFS(RECAP_VENTE_ANNUELLE!$P:$P,RECAP_VENTE_ANNUELLE!$R:$R,"2024",RECAP_VENTE_ANNUELLE!$B:$B,Tableau2[[#This Row],[Nom_prenom ]])</f>
        <v>0</v>
      </c>
      <c r="AE56" s="277"/>
      <c r="AF56" s="277">
        <f>Tableau2[[#This Row],[Total PV
 client 2024]]-Tableau2[[#This Row],[PV client 
utilisés 2024]]</f>
        <v>0</v>
      </c>
      <c r="AG56" s="278"/>
      <c r="AH56" s="277">
        <f>SUMIFS(RECAP_VENTE_ANNUELLE!$P:$P,RECAP_VENTE_ANNUELLE!$R:$R,"2025",RECAP_VENTE_ANNUELLE!$B:$B,Tableau2[[#This Row],[Nom_prenom ]])</f>
        <v>0</v>
      </c>
      <c r="AI56" s="277"/>
      <c r="AJ56" s="277">
        <f>Tableau2[[#This Row],[Total PV
 client 2025]]-Tableau2[[#This Row],[PV client 
utilisés 2025]]</f>
        <v>0</v>
      </c>
      <c r="AK56" s="279"/>
    </row>
    <row r="57" spans="1:37">
      <c r="A57" s="148" t="s">
        <v>41</v>
      </c>
      <c r="B57" s="275" t="s">
        <v>854</v>
      </c>
      <c r="C57" s="242" t="s">
        <v>393</v>
      </c>
      <c r="D57" s="242" t="s">
        <v>394</v>
      </c>
      <c r="E57" s="86" t="s">
        <v>395</v>
      </c>
      <c r="F57" s="242" t="s">
        <v>396</v>
      </c>
      <c r="G57" s="149" t="s">
        <v>397</v>
      </c>
      <c r="H57" s="151">
        <f>SUMPRODUCT((Tableau4[Nom_prenom ]=B57)*(Tableau4[Quantités]))</f>
        <v>0</v>
      </c>
      <c r="I57" s="71">
        <f>SUMPRODUCT((Tableau4[Nom_prenom ]=$B57)*(Tableau4[Total_Client]))</f>
        <v>0</v>
      </c>
      <c r="J57" s="277">
        <f>SUMIFS(RECAP_VENTE_ANNUELLE!$P:$P,RECAP_VENTE_ANNUELLE!$R:$R,"2019",RECAP_VENTE_ANNUELLE!$B:$B,Tableau2[[#This Row],[Nom_prenom ]])</f>
        <v>0</v>
      </c>
      <c r="K57" s="277"/>
      <c r="L57" s="277">
        <f>Tableau2[[#This Row],[Total PV client 2019]]-Tableau2[[#This Row],[PV client 
utilisés 2019]]</f>
        <v>0</v>
      </c>
      <c r="M57" s="278"/>
      <c r="N57" s="277">
        <f>SUMIFS(RECAP_VENTE_ANNUELLE!$P:$P,RECAP_VENTE_ANNUELLE!$R:$R,"2020",RECAP_VENTE_ANNUELLE!$B:$B,Tableau2[[#This Row],[Nom_prenom ]])</f>
        <v>0</v>
      </c>
      <c r="O57" s="277"/>
      <c r="P57" s="277">
        <f>Tableau2[[#This Row],[Total PV client 2020]]-Tableau2[[#This Row],[PV client 
utilisés 2020]]</f>
        <v>0</v>
      </c>
      <c r="Q57" s="278"/>
      <c r="R57" s="277">
        <f>SUMIFS(RECAP_VENTE_ANNUELLE!$P:$P,RECAP_VENTE_ANNUELLE!$R:$R,"2021",RECAP_VENTE_ANNUELLE!$B:$B,Tableau2[[#This Row],[Nom_prenom ]])</f>
        <v>0</v>
      </c>
      <c r="S57" s="277"/>
      <c r="T57" s="277">
        <f>Tableau2[[#This Row],[Total PV client 2021]]-Tableau2[[#This Row],[PV client 
utilisés 2021]]</f>
        <v>0</v>
      </c>
      <c r="U57" s="278"/>
      <c r="V57" s="277">
        <f>SUMIFS(RECAP_VENTE_ANNUELLE!$P:$P,RECAP_VENTE_ANNUELLE!$R:$R,"2022",RECAP_VENTE_ANNUELLE!$B:$B,Tableau2[[#This Row],[Nom_prenom ]])</f>
        <v>0</v>
      </c>
      <c r="W57" s="277"/>
      <c r="X57" s="277">
        <f>Tableau2[[#This Row],[Total PV
 client 2022]]-Tableau2[[#This Row],[PV client 
utilisés 2022]]</f>
        <v>0</v>
      </c>
      <c r="Y57" s="278"/>
      <c r="Z57" s="277">
        <f>SUMIFS(RECAP_VENTE_ANNUELLE!$P:$P,RECAP_VENTE_ANNUELLE!$R:$R,"2023",RECAP_VENTE_ANNUELLE!$B:$B,Tableau2[[#This Row],[Nom_prenom ]])</f>
        <v>0</v>
      </c>
      <c r="AA57" s="277"/>
      <c r="AB57" s="277">
        <f>Tableau2[[#This Row],[Total PV
 client 2023]]-Tableau2[[#This Row],[PV client 
utilisés 2023]]</f>
        <v>0</v>
      </c>
      <c r="AC57" s="278"/>
      <c r="AD57" s="277">
        <f>SUMIFS(RECAP_VENTE_ANNUELLE!$P:$P,RECAP_VENTE_ANNUELLE!$R:$R,"2024",RECAP_VENTE_ANNUELLE!$B:$B,Tableau2[[#This Row],[Nom_prenom ]])</f>
        <v>0</v>
      </c>
      <c r="AE57" s="277"/>
      <c r="AF57" s="277">
        <f>Tableau2[[#This Row],[Total PV
 client 2024]]-Tableau2[[#This Row],[PV client 
utilisés 2024]]</f>
        <v>0</v>
      </c>
      <c r="AG57" s="278"/>
      <c r="AH57" s="277">
        <f>SUMIFS(RECAP_VENTE_ANNUELLE!$P:$P,RECAP_VENTE_ANNUELLE!$R:$R,"2025",RECAP_VENTE_ANNUELLE!$B:$B,Tableau2[[#This Row],[Nom_prenom ]])</f>
        <v>0</v>
      </c>
      <c r="AI57" s="277"/>
      <c r="AJ57" s="277">
        <f>Tableau2[[#This Row],[Total PV
 client 2025]]-Tableau2[[#This Row],[PV client 
utilisés 2025]]</f>
        <v>0</v>
      </c>
      <c r="AK57" s="279"/>
    </row>
    <row r="58" spans="1:37">
      <c r="A58" s="85" t="s">
        <v>41</v>
      </c>
      <c r="B58" s="275" t="s">
        <v>855</v>
      </c>
      <c r="C58" s="242" t="s">
        <v>398</v>
      </c>
      <c r="D58" s="242" t="s">
        <v>399</v>
      </c>
      <c r="E58" s="86" t="s">
        <v>400</v>
      </c>
      <c r="F58" s="242" t="s">
        <v>401</v>
      </c>
      <c r="G58" s="149" t="s">
        <v>402</v>
      </c>
      <c r="H58" s="151">
        <f>SUMPRODUCT((Tableau4[Nom_prenom ]=B58)*(Tableau4[Quantités]))</f>
        <v>13</v>
      </c>
      <c r="I58" s="71">
        <f>SUMPRODUCT((Tableau4[Nom_prenom ]=$B58)*(Tableau4[Total_Client]))</f>
        <v>252.40000000000003</v>
      </c>
      <c r="J58" s="277">
        <f>SUMIFS(RECAP_VENTE_ANNUELLE!$P:$P,RECAP_VENTE_ANNUELLE!$R:$R,"2019",RECAP_VENTE_ANNUELLE!$B:$B,Tableau2[[#This Row],[Nom_prenom ]])</f>
        <v>0</v>
      </c>
      <c r="K58" s="277"/>
      <c r="L58" s="277">
        <f>Tableau2[[#This Row],[Total PV client 2019]]-Tableau2[[#This Row],[PV client 
utilisés 2019]]</f>
        <v>0</v>
      </c>
      <c r="M58" s="278"/>
      <c r="N58" s="277">
        <f>SUMIFS(RECAP_VENTE_ANNUELLE!$P:$P,RECAP_VENTE_ANNUELLE!$R:$R,"2020",RECAP_VENTE_ANNUELLE!$B:$B,Tableau2[[#This Row],[Nom_prenom ]])</f>
        <v>134</v>
      </c>
      <c r="O58" s="277"/>
      <c r="P58" s="277">
        <f>Tableau2[[#This Row],[Total PV client 2020]]-Tableau2[[#This Row],[PV client 
utilisés 2020]]</f>
        <v>134</v>
      </c>
      <c r="Q58" s="278"/>
      <c r="R58" s="277">
        <f>SUMIFS(RECAP_VENTE_ANNUELLE!$P:$P,RECAP_VENTE_ANNUELLE!$R:$R,"2021",RECAP_VENTE_ANNUELLE!$B:$B,Tableau2[[#This Row],[Nom_prenom ]])</f>
        <v>0</v>
      </c>
      <c r="S58" s="277"/>
      <c r="T58" s="277">
        <f>Tableau2[[#This Row],[Total PV client 2021]]-Tableau2[[#This Row],[PV client 
utilisés 2021]]</f>
        <v>0</v>
      </c>
      <c r="U58" s="278"/>
      <c r="V58" s="277">
        <f>SUMIFS(RECAP_VENTE_ANNUELLE!$P:$P,RECAP_VENTE_ANNUELLE!$R:$R,"2022",RECAP_VENTE_ANNUELLE!$B:$B,Tableau2[[#This Row],[Nom_prenom ]])</f>
        <v>0</v>
      </c>
      <c r="W58" s="277"/>
      <c r="X58" s="277">
        <f>Tableau2[[#This Row],[Total PV
 client 2022]]-Tableau2[[#This Row],[PV client 
utilisés 2022]]</f>
        <v>0</v>
      </c>
      <c r="Y58" s="278"/>
      <c r="Z58" s="277">
        <f>SUMIFS(RECAP_VENTE_ANNUELLE!$P:$P,RECAP_VENTE_ANNUELLE!$R:$R,"2023",RECAP_VENTE_ANNUELLE!$B:$B,Tableau2[[#This Row],[Nom_prenom ]])</f>
        <v>0</v>
      </c>
      <c r="AA58" s="277"/>
      <c r="AB58" s="277">
        <f>Tableau2[[#This Row],[Total PV
 client 2023]]-Tableau2[[#This Row],[PV client 
utilisés 2023]]</f>
        <v>0</v>
      </c>
      <c r="AC58" s="278"/>
      <c r="AD58" s="277">
        <f>SUMIFS(RECAP_VENTE_ANNUELLE!$P:$P,RECAP_VENTE_ANNUELLE!$R:$R,"2024",RECAP_VENTE_ANNUELLE!$B:$B,Tableau2[[#This Row],[Nom_prenom ]])</f>
        <v>0</v>
      </c>
      <c r="AE58" s="277"/>
      <c r="AF58" s="277">
        <f>Tableau2[[#This Row],[Total PV
 client 2024]]-Tableau2[[#This Row],[PV client 
utilisés 2024]]</f>
        <v>0</v>
      </c>
      <c r="AG58" s="278"/>
      <c r="AH58" s="277">
        <f>SUMIFS(RECAP_VENTE_ANNUELLE!$P:$P,RECAP_VENTE_ANNUELLE!$R:$R,"2025",RECAP_VENTE_ANNUELLE!$B:$B,Tableau2[[#This Row],[Nom_prenom ]])</f>
        <v>0</v>
      </c>
      <c r="AI58" s="277"/>
      <c r="AJ58" s="277">
        <f>Tableau2[[#This Row],[Total PV
 client 2025]]-Tableau2[[#This Row],[PV client 
utilisés 2025]]</f>
        <v>0</v>
      </c>
      <c r="AK58" s="279"/>
    </row>
    <row r="59" spans="1:37">
      <c r="A59" s="85" t="s">
        <v>39</v>
      </c>
      <c r="B59" s="275" t="s">
        <v>856</v>
      </c>
      <c r="C59" s="242" t="s">
        <v>403</v>
      </c>
      <c r="D59" s="242" t="s">
        <v>404</v>
      </c>
      <c r="E59" s="86" t="s">
        <v>405</v>
      </c>
      <c r="F59" s="242" t="s">
        <v>406</v>
      </c>
      <c r="G59" s="149" t="s">
        <v>407</v>
      </c>
      <c r="H59" s="151">
        <f>SUMPRODUCT((Tableau4[Nom_prenom ]=B59)*(Tableau4[Quantités]))</f>
        <v>12</v>
      </c>
      <c r="I59" s="71">
        <f>SUMPRODUCT((Tableau4[Nom_prenom ]=$B59)*(Tableau4[Total_Client]))</f>
        <v>148.30000000000001</v>
      </c>
      <c r="J59" s="277">
        <f>SUMIFS(RECAP_VENTE_ANNUELLE!$P:$P,RECAP_VENTE_ANNUELLE!$R:$R,"2019",RECAP_VENTE_ANNUELLE!$B:$B,Tableau2[[#This Row],[Nom_prenom ]])</f>
        <v>71.599999999999994</v>
      </c>
      <c r="K59" s="277"/>
      <c r="L59" s="277">
        <f>Tableau2[[#This Row],[Total PV client 2019]]-Tableau2[[#This Row],[PV client 
utilisés 2019]]</f>
        <v>71.599999999999994</v>
      </c>
      <c r="M59" s="278"/>
      <c r="N59" s="277">
        <f>SUMIFS(RECAP_VENTE_ANNUELLE!$P:$P,RECAP_VENTE_ANNUELLE!$R:$R,"2020",RECAP_VENTE_ANNUELLE!$B:$B,Tableau2[[#This Row],[Nom_prenom ]])</f>
        <v>0</v>
      </c>
      <c r="O59" s="277"/>
      <c r="P59" s="277">
        <f>Tableau2[[#This Row],[Total PV client 2020]]-Tableau2[[#This Row],[PV client 
utilisés 2020]]</f>
        <v>0</v>
      </c>
      <c r="Q59" s="278"/>
      <c r="R59" s="277">
        <f>SUMIFS(RECAP_VENTE_ANNUELLE!$P:$P,RECAP_VENTE_ANNUELLE!$R:$R,"2021",RECAP_VENTE_ANNUELLE!$B:$B,Tableau2[[#This Row],[Nom_prenom ]])</f>
        <v>0</v>
      </c>
      <c r="S59" s="277"/>
      <c r="T59" s="277">
        <f>Tableau2[[#This Row],[Total PV client 2021]]-Tableau2[[#This Row],[PV client 
utilisés 2021]]</f>
        <v>0</v>
      </c>
      <c r="U59" s="278"/>
      <c r="V59" s="277">
        <f>SUMIFS(RECAP_VENTE_ANNUELLE!$P:$P,RECAP_VENTE_ANNUELLE!$R:$R,"2022",RECAP_VENTE_ANNUELLE!$B:$B,Tableau2[[#This Row],[Nom_prenom ]])</f>
        <v>0</v>
      </c>
      <c r="W59" s="277"/>
      <c r="X59" s="277">
        <f>Tableau2[[#This Row],[Total PV
 client 2022]]-Tableau2[[#This Row],[PV client 
utilisés 2022]]</f>
        <v>0</v>
      </c>
      <c r="Y59" s="278"/>
      <c r="Z59" s="277">
        <f>SUMIFS(RECAP_VENTE_ANNUELLE!$P:$P,RECAP_VENTE_ANNUELLE!$R:$R,"2023",RECAP_VENTE_ANNUELLE!$B:$B,Tableau2[[#This Row],[Nom_prenom ]])</f>
        <v>0</v>
      </c>
      <c r="AA59" s="277"/>
      <c r="AB59" s="277">
        <f>Tableau2[[#This Row],[Total PV
 client 2023]]-Tableau2[[#This Row],[PV client 
utilisés 2023]]</f>
        <v>0</v>
      </c>
      <c r="AC59" s="278"/>
      <c r="AD59" s="277">
        <f>SUMIFS(RECAP_VENTE_ANNUELLE!$P:$P,RECAP_VENTE_ANNUELLE!$R:$R,"2024",RECAP_VENTE_ANNUELLE!$B:$B,Tableau2[[#This Row],[Nom_prenom ]])</f>
        <v>0</v>
      </c>
      <c r="AE59" s="277"/>
      <c r="AF59" s="277">
        <f>Tableau2[[#This Row],[Total PV
 client 2024]]-Tableau2[[#This Row],[PV client 
utilisés 2024]]</f>
        <v>0</v>
      </c>
      <c r="AG59" s="278"/>
      <c r="AH59" s="277">
        <f>SUMIFS(RECAP_VENTE_ANNUELLE!$P:$P,RECAP_VENTE_ANNUELLE!$R:$R,"2025",RECAP_VENTE_ANNUELLE!$B:$B,Tableau2[[#This Row],[Nom_prenom ]])</f>
        <v>0</v>
      </c>
      <c r="AI59" s="277"/>
      <c r="AJ59" s="277">
        <f>Tableau2[[#This Row],[Total PV
 client 2025]]-Tableau2[[#This Row],[PV client 
utilisés 2025]]</f>
        <v>0</v>
      </c>
      <c r="AK59" s="279"/>
    </row>
    <row r="60" spans="1:37">
      <c r="A60" s="148" t="s">
        <v>41</v>
      </c>
      <c r="B60" s="275" t="s">
        <v>857</v>
      </c>
      <c r="C60" s="242" t="s">
        <v>408</v>
      </c>
      <c r="D60" s="242" t="s">
        <v>409</v>
      </c>
      <c r="E60" s="86" t="s">
        <v>410</v>
      </c>
      <c r="F60" s="242" t="s">
        <v>411</v>
      </c>
      <c r="G60" s="149" t="s">
        <v>412</v>
      </c>
      <c r="H60" s="151">
        <f>SUMPRODUCT((Tableau4[Nom_prenom ]=B60)*(Tableau4[Quantités]))</f>
        <v>10</v>
      </c>
      <c r="I60" s="71">
        <f>SUMPRODUCT((Tableau4[Nom_prenom ]=$B60)*(Tableau4[Total_Client]))</f>
        <v>151.00000000000003</v>
      </c>
      <c r="J60" s="277">
        <f>SUMIFS(RECAP_VENTE_ANNUELLE!$P:$P,RECAP_VENTE_ANNUELLE!$R:$R,"2019",RECAP_VENTE_ANNUELLE!$B:$B,Tableau2[[#This Row],[Nom_prenom ]])</f>
        <v>84.800000000000011</v>
      </c>
      <c r="K60" s="277"/>
      <c r="L60" s="277">
        <f>Tableau2[[#This Row],[Total PV client 2019]]-Tableau2[[#This Row],[PV client 
utilisés 2019]]</f>
        <v>84.800000000000011</v>
      </c>
      <c r="M60" s="278"/>
      <c r="N60" s="277">
        <f>SUMIFS(RECAP_VENTE_ANNUELLE!$P:$P,RECAP_VENTE_ANNUELLE!$R:$R,"2020",RECAP_VENTE_ANNUELLE!$B:$B,Tableau2[[#This Row],[Nom_prenom ]])</f>
        <v>0</v>
      </c>
      <c r="O60" s="277"/>
      <c r="P60" s="277">
        <f>Tableau2[[#This Row],[Total PV client 2020]]-Tableau2[[#This Row],[PV client 
utilisés 2020]]</f>
        <v>0</v>
      </c>
      <c r="Q60" s="278"/>
      <c r="R60" s="277">
        <f>SUMIFS(RECAP_VENTE_ANNUELLE!$P:$P,RECAP_VENTE_ANNUELLE!$R:$R,"2021",RECAP_VENTE_ANNUELLE!$B:$B,Tableau2[[#This Row],[Nom_prenom ]])</f>
        <v>0</v>
      </c>
      <c r="S60" s="277"/>
      <c r="T60" s="277">
        <f>Tableau2[[#This Row],[Total PV client 2021]]-Tableau2[[#This Row],[PV client 
utilisés 2021]]</f>
        <v>0</v>
      </c>
      <c r="U60" s="278"/>
      <c r="V60" s="277">
        <f>SUMIFS(RECAP_VENTE_ANNUELLE!$P:$P,RECAP_VENTE_ANNUELLE!$R:$R,"2022",RECAP_VENTE_ANNUELLE!$B:$B,Tableau2[[#This Row],[Nom_prenom ]])</f>
        <v>0</v>
      </c>
      <c r="W60" s="277"/>
      <c r="X60" s="277">
        <f>Tableau2[[#This Row],[Total PV
 client 2022]]-Tableau2[[#This Row],[PV client 
utilisés 2022]]</f>
        <v>0</v>
      </c>
      <c r="Y60" s="278"/>
      <c r="Z60" s="277">
        <f>SUMIFS(RECAP_VENTE_ANNUELLE!$P:$P,RECAP_VENTE_ANNUELLE!$R:$R,"2023",RECAP_VENTE_ANNUELLE!$B:$B,Tableau2[[#This Row],[Nom_prenom ]])</f>
        <v>0</v>
      </c>
      <c r="AA60" s="277"/>
      <c r="AB60" s="277">
        <f>Tableau2[[#This Row],[Total PV
 client 2023]]-Tableau2[[#This Row],[PV client 
utilisés 2023]]</f>
        <v>0</v>
      </c>
      <c r="AC60" s="278"/>
      <c r="AD60" s="277">
        <f>SUMIFS(RECAP_VENTE_ANNUELLE!$P:$P,RECAP_VENTE_ANNUELLE!$R:$R,"2024",RECAP_VENTE_ANNUELLE!$B:$B,Tableau2[[#This Row],[Nom_prenom ]])</f>
        <v>0</v>
      </c>
      <c r="AE60" s="277"/>
      <c r="AF60" s="277">
        <f>Tableau2[[#This Row],[Total PV
 client 2024]]-Tableau2[[#This Row],[PV client 
utilisés 2024]]</f>
        <v>0</v>
      </c>
      <c r="AG60" s="278"/>
      <c r="AH60" s="277">
        <f>SUMIFS(RECAP_VENTE_ANNUELLE!$P:$P,RECAP_VENTE_ANNUELLE!$R:$R,"2025",RECAP_VENTE_ANNUELLE!$B:$B,Tableau2[[#This Row],[Nom_prenom ]])</f>
        <v>0</v>
      </c>
      <c r="AI60" s="277"/>
      <c r="AJ60" s="277">
        <f>Tableau2[[#This Row],[Total PV
 client 2025]]-Tableau2[[#This Row],[PV client 
utilisés 2025]]</f>
        <v>0</v>
      </c>
      <c r="AK60" s="279"/>
    </row>
    <row r="61" spans="1:37">
      <c r="A61" s="148" t="s">
        <v>41</v>
      </c>
      <c r="B61" s="275" t="s">
        <v>858</v>
      </c>
      <c r="C61" s="242" t="s">
        <v>413</v>
      </c>
      <c r="D61" s="242" t="s">
        <v>414</v>
      </c>
      <c r="E61" s="86" t="s">
        <v>415</v>
      </c>
      <c r="F61" s="242" t="s">
        <v>416</v>
      </c>
      <c r="G61" s="149" t="s">
        <v>417</v>
      </c>
      <c r="H61" s="151">
        <f>SUMPRODUCT((Tableau4[Nom_prenom ]=B61)*(Tableau4[Quantités]))</f>
        <v>10</v>
      </c>
      <c r="I61" s="71">
        <f>SUMPRODUCT((Tableau4[Nom_prenom ]=$B61)*(Tableau4[Total_Client]))</f>
        <v>165.4</v>
      </c>
      <c r="J61" s="277">
        <f>SUMIFS(RECAP_VENTE_ANNUELLE!$P:$P,RECAP_VENTE_ANNUELLE!$R:$R,"2019",RECAP_VENTE_ANNUELLE!$B:$B,Tableau2[[#This Row],[Nom_prenom ]])</f>
        <v>60.900000000000006</v>
      </c>
      <c r="K61" s="277">
        <v>0</v>
      </c>
      <c r="L61" s="277">
        <f>Tableau2[[#This Row],[Total PV client 2019]]-Tableau2[[#This Row],[PV client 
utilisés 2019]]</f>
        <v>60.900000000000006</v>
      </c>
      <c r="M61" s="278"/>
      <c r="N61" s="277">
        <f>SUMIFS(RECAP_VENTE_ANNUELLE!$P:$P,RECAP_VENTE_ANNUELLE!$R:$R,"2020",RECAP_VENTE_ANNUELLE!$B:$B,Tableau2[[#This Row],[Nom_prenom ]])</f>
        <v>16</v>
      </c>
      <c r="O61" s="277"/>
      <c r="P61" s="277">
        <f>Tableau2[[#This Row],[Total PV client 2020]]-Tableau2[[#This Row],[PV client 
utilisés 2020]]</f>
        <v>16</v>
      </c>
      <c r="Q61" s="278"/>
      <c r="R61" s="277">
        <f>SUMIFS(RECAP_VENTE_ANNUELLE!$P:$P,RECAP_VENTE_ANNUELLE!$R:$R,"2021",RECAP_VENTE_ANNUELLE!$B:$B,Tableau2[[#This Row],[Nom_prenom ]])</f>
        <v>0</v>
      </c>
      <c r="S61" s="277"/>
      <c r="T61" s="277">
        <f>Tableau2[[#This Row],[Total PV client 2021]]-Tableau2[[#This Row],[PV client 
utilisés 2021]]</f>
        <v>0</v>
      </c>
      <c r="U61" s="278"/>
      <c r="V61" s="277">
        <f>SUMIFS(RECAP_VENTE_ANNUELLE!$P:$P,RECAP_VENTE_ANNUELLE!$R:$R,"2022",RECAP_VENTE_ANNUELLE!$B:$B,Tableau2[[#This Row],[Nom_prenom ]])</f>
        <v>0</v>
      </c>
      <c r="W61" s="277"/>
      <c r="X61" s="277">
        <f>Tableau2[[#This Row],[Total PV
 client 2022]]-Tableau2[[#This Row],[PV client 
utilisés 2022]]</f>
        <v>0</v>
      </c>
      <c r="Y61" s="278"/>
      <c r="Z61" s="277">
        <f>SUMIFS(RECAP_VENTE_ANNUELLE!$P:$P,RECAP_VENTE_ANNUELLE!$R:$R,"2023",RECAP_VENTE_ANNUELLE!$B:$B,Tableau2[[#This Row],[Nom_prenom ]])</f>
        <v>0</v>
      </c>
      <c r="AA61" s="277"/>
      <c r="AB61" s="277">
        <f>Tableau2[[#This Row],[Total PV
 client 2023]]-Tableau2[[#This Row],[PV client 
utilisés 2023]]</f>
        <v>0</v>
      </c>
      <c r="AC61" s="278"/>
      <c r="AD61" s="277">
        <f>SUMIFS(RECAP_VENTE_ANNUELLE!$P:$P,RECAP_VENTE_ANNUELLE!$R:$R,"2024",RECAP_VENTE_ANNUELLE!$B:$B,Tableau2[[#This Row],[Nom_prenom ]])</f>
        <v>0</v>
      </c>
      <c r="AE61" s="277"/>
      <c r="AF61" s="277">
        <f>Tableau2[[#This Row],[Total PV
 client 2024]]-Tableau2[[#This Row],[PV client 
utilisés 2024]]</f>
        <v>0</v>
      </c>
      <c r="AG61" s="278"/>
      <c r="AH61" s="277">
        <f>SUMIFS(RECAP_VENTE_ANNUELLE!$P:$P,RECAP_VENTE_ANNUELLE!$R:$R,"2025",RECAP_VENTE_ANNUELLE!$B:$B,Tableau2[[#This Row],[Nom_prenom ]])</f>
        <v>0</v>
      </c>
      <c r="AI61" s="277"/>
      <c r="AJ61" s="277">
        <f>Tableau2[[#This Row],[Total PV
 client 2025]]-Tableau2[[#This Row],[PV client 
utilisés 2025]]</f>
        <v>0</v>
      </c>
      <c r="AK61" s="279"/>
    </row>
    <row r="62" spans="1:37">
      <c r="A62" s="85" t="s">
        <v>41</v>
      </c>
      <c r="B62" s="275" t="s">
        <v>859</v>
      </c>
      <c r="C62" s="242" t="s">
        <v>418</v>
      </c>
      <c r="D62" s="242" t="s">
        <v>419</v>
      </c>
      <c r="E62" s="86" t="s">
        <v>420</v>
      </c>
      <c r="F62" s="242" t="s">
        <v>421</v>
      </c>
      <c r="G62" s="149" t="s">
        <v>422</v>
      </c>
      <c r="H62" s="151">
        <f>SUMPRODUCT((Tableau4[Nom_prenom ]=B62)*(Tableau4[Quantités]))</f>
        <v>2</v>
      </c>
      <c r="I62" s="71">
        <f>SUMPRODUCT((Tableau4[Nom_prenom ]=$B62)*(Tableau4[Total_Client]))</f>
        <v>37.9</v>
      </c>
      <c r="J62" s="277">
        <f>SUMIFS(RECAP_VENTE_ANNUELLE!$P:$P,RECAP_VENTE_ANNUELLE!$R:$R,"2019",RECAP_VENTE_ANNUELLE!$B:$B,Tableau2[[#This Row],[Nom_prenom ]])</f>
        <v>0</v>
      </c>
      <c r="K62" s="277"/>
      <c r="L62" s="277">
        <f>Tableau2[[#This Row],[Total PV client 2019]]-Tableau2[[#This Row],[PV client 
utilisés 2019]]</f>
        <v>0</v>
      </c>
      <c r="M62" s="278"/>
      <c r="N62" s="277">
        <f>SUMIFS(RECAP_VENTE_ANNUELLE!$P:$P,RECAP_VENTE_ANNUELLE!$R:$R,"2020",RECAP_VENTE_ANNUELLE!$B:$B,Tableau2[[#This Row],[Nom_prenom ]])</f>
        <v>21.5</v>
      </c>
      <c r="O62" s="277"/>
      <c r="P62" s="277">
        <f>Tableau2[[#This Row],[Total PV client 2020]]-Tableau2[[#This Row],[PV client 
utilisés 2020]]</f>
        <v>21.5</v>
      </c>
      <c r="Q62" s="278"/>
      <c r="R62" s="277">
        <f>SUMIFS(RECAP_VENTE_ANNUELLE!$P:$P,RECAP_VENTE_ANNUELLE!$R:$R,"2021",RECAP_VENTE_ANNUELLE!$B:$B,Tableau2[[#This Row],[Nom_prenom ]])</f>
        <v>0</v>
      </c>
      <c r="S62" s="277"/>
      <c r="T62" s="277">
        <f>Tableau2[[#This Row],[Total PV client 2021]]-Tableau2[[#This Row],[PV client 
utilisés 2021]]</f>
        <v>0</v>
      </c>
      <c r="U62" s="278"/>
      <c r="V62" s="277">
        <f>SUMIFS(RECAP_VENTE_ANNUELLE!$P:$P,RECAP_VENTE_ANNUELLE!$R:$R,"2022",RECAP_VENTE_ANNUELLE!$B:$B,Tableau2[[#This Row],[Nom_prenom ]])</f>
        <v>0</v>
      </c>
      <c r="W62" s="277"/>
      <c r="X62" s="277">
        <f>Tableau2[[#This Row],[Total PV
 client 2022]]-Tableau2[[#This Row],[PV client 
utilisés 2022]]</f>
        <v>0</v>
      </c>
      <c r="Y62" s="278"/>
      <c r="Z62" s="277">
        <f>SUMIFS(RECAP_VENTE_ANNUELLE!$P:$P,RECAP_VENTE_ANNUELLE!$R:$R,"2023",RECAP_VENTE_ANNUELLE!$B:$B,Tableau2[[#This Row],[Nom_prenom ]])</f>
        <v>0</v>
      </c>
      <c r="AA62" s="277"/>
      <c r="AB62" s="277">
        <f>Tableau2[[#This Row],[Total PV
 client 2023]]-Tableau2[[#This Row],[PV client 
utilisés 2023]]</f>
        <v>0</v>
      </c>
      <c r="AC62" s="278"/>
      <c r="AD62" s="277">
        <f>SUMIFS(RECAP_VENTE_ANNUELLE!$P:$P,RECAP_VENTE_ANNUELLE!$R:$R,"2024",RECAP_VENTE_ANNUELLE!$B:$B,Tableau2[[#This Row],[Nom_prenom ]])</f>
        <v>0</v>
      </c>
      <c r="AE62" s="277"/>
      <c r="AF62" s="277">
        <f>Tableau2[[#This Row],[Total PV
 client 2024]]-Tableau2[[#This Row],[PV client 
utilisés 2024]]</f>
        <v>0</v>
      </c>
      <c r="AG62" s="278"/>
      <c r="AH62" s="277">
        <f>SUMIFS(RECAP_VENTE_ANNUELLE!$P:$P,RECAP_VENTE_ANNUELLE!$R:$R,"2025",RECAP_VENTE_ANNUELLE!$B:$B,Tableau2[[#This Row],[Nom_prenom ]])</f>
        <v>0</v>
      </c>
      <c r="AI62" s="277"/>
      <c r="AJ62" s="277">
        <f>Tableau2[[#This Row],[Total PV
 client 2025]]-Tableau2[[#This Row],[PV client 
utilisés 2025]]</f>
        <v>0</v>
      </c>
      <c r="AK62" s="279"/>
    </row>
    <row r="63" spans="1:37">
      <c r="A63" s="85" t="s">
        <v>39</v>
      </c>
      <c r="B63" s="275" t="s">
        <v>860</v>
      </c>
      <c r="C63" s="242" t="s">
        <v>423</v>
      </c>
      <c r="D63" s="242" t="s">
        <v>424</v>
      </c>
      <c r="E63" s="86" t="s">
        <v>425</v>
      </c>
      <c r="F63" s="242" t="s">
        <v>426</v>
      </c>
      <c r="G63" s="149" t="s">
        <v>427</v>
      </c>
      <c r="H63" s="151">
        <f>SUMPRODUCT((Tableau4[Nom_prenom ]=B63)*(Tableau4[Quantités]))</f>
        <v>5</v>
      </c>
      <c r="I63" s="71">
        <f>SUMPRODUCT((Tableau4[Nom_prenom ]=$B63)*(Tableau4[Total_Client]))</f>
        <v>89.8</v>
      </c>
      <c r="J63" s="277">
        <f>SUMIFS(RECAP_VENTE_ANNUELLE!$P:$P,RECAP_VENTE_ANNUELLE!$R:$R,"2019",RECAP_VENTE_ANNUELLE!$B:$B,Tableau2[[#This Row],[Nom_prenom ]])</f>
        <v>51</v>
      </c>
      <c r="K63" s="277"/>
      <c r="L63" s="277">
        <f>Tableau2[[#This Row],[Total PV client 2019]]-Tableau2[[#This Row],[PV client 
utilisés 2019]]</f>
        <v>51</v>
      </c>
      <c r="M63" s="278"/>
      <c r="N63" s="277">
        <f>SUMIFS(RECAP_VENTE_ANNUELLE!$P:$P,RECAP_VENTE_ANNUELLE!$R:$R,"2020",RECAP_VENTE_ANNUELLE!$B:$B,Tableau2[[#This Row],[Nom_prenom ]])</f>
        <v>0</v>
      </c>
      <c r="O63" s="277"/>
      <c r="P63" s="277">
        <f>Tableau2[[#This Row],[Total PV client 2020]]-Tableau2[[#This Row],[PV client 
utilisés 2020]]</f>
        <v>0</v>
      </c>
      <c r="Q63" s="278"/>
      <c r="R63" s="277">
        <f>SUMIFS(RECAP_VENTE_ANNUELLE!$P:$P,RECAP_VENTE_ANNUELLE!$R:$R,"2021",RECAP_VENTE_ANNUELLE!$B:$B,Tableau2[[#This Row],[Nom_prenom ]])</f>
        <v>0</v>
      </c>
      <c r="S63" s="277"/>
      <c r="T63" s="277">
        <f>Tableau2[[#This Row],[Total PV client 2021]]-Tableau2[[#This Row],[PV client 
utilisés 2021]]</f>
        <v>0</v>
      </c>
      <c r="U63" s="278"/>
      <c r="V63" s="277">
        <f>SUMIFS(RECAP_VENTE_ANNUELLE!$P:$P,RECAP_VENTE_ANNUELLE!$R:$R,"2022",RECAP_VENTE_ANNUELLE!$B:$B,Tableau2[[#This Row],[Nom_prenom ]])</f>
        <v>0</v>
      </c>
      <c r="W63" s="277"/>
      <c r="X63" s="277">
        <f>Tableau2[[#This Row],[Total PV
 client 2022]]-Tableau2[[#This Row],[PV client 
utilisés 2022]]</f>
        <v>0</v>
      </c>
      <c r="Y63" s="278"/>
      <c r="Z63" s="277">
        <f>SUMIFS(RECAP_VENTE_ANNUELLE!$P:$P,RECAP_VENTE_ANNUELLE!$R:$R,"2023",RECAP_VENTE_ANNUELLE!$B:$B,Tableau2[[#This Row],[Nom_prenom ]])</f>
        <v>0</v>
      </c>
      <c r="AA63" s="277"/>
      <c r="AB63" s="277">
        <f>Tableau2[[#This Row],[Total PV
 client 2023]]-Tableau2[[#This Row],[PV client 
utilisés 2023]]</f>
        <v>0</v>
      </c>
      <c r="AC63" s="278"/>
      <c r="AD63" s="277">
        <f>SUMIFS(RECAP_VENTE_ANNUELLE!$P:$P,RECAP_VENTE_ANNUELLE!$R:$R,"2024",RECAP_VENTE_ANNUELLE!$B:$B,Tableau2[[#This Row],[Nom_prenom ]])</f>
        <v>0</v>
      </c>
      <c r="AE63" s="277"/>
      <c r="AF63" s="277">
        <f>Tableau2[[#This Row],[Total PV
 client 2024]]-Tableau2[[#This Row],[PV client 
utilisés 2024]]</f>
        <v>0</v>
      </c>
      <c r="AG63" s="278"/>
      <c r="AH63" s="277">
        <f>SUMIFS(RECAP_VENTE_ANNUELLE!$P:$P,RECAP_VENTE_ANNUELLE!$R:$R,"2025",RECAP_VENTE_ANNUELLE!$B:$B,Tableau2[[#This Row],[Nom_prenom ]])</f>
        <v>0</v>
      </c>
      <c r="AI63" s="277"/>
      <c r="AJ63" s="277">
        <f>Tableau2[[#This Row],[Total PV
 client 2025]]-Tableau2[[#This Row],[PV client 
utilisés 2025]]</f>
        <v>0</v>
      </c>
      <c r="AK63" s="279"/>
    </row>
    <row r="64" spans="1:37">
      <c r="A64" s="85" t="s">
        <v>39</v>
      </c>
      <c r="B64" s="275" t="s">
        <v>861</v>
      </c>
      <c r="C64" s="242" t="s">
        <v>428</v>
      </c>
      <c r="D64" s="242" t="s">
        <v>429</v>
      </c>
      <c r="E64" s="86" t="s">
        <v>430</v>
      </c>
      <c r="F64" s="242" t="s">
        <v>431</v>
      </c>
      <c r="G64" s="149" t="s">
        <v>432</v>
      </c>
      <c r="H64" s="151">
        <f>SUMPRODUCT((Tableau4[Nom_prenom ]=B64)*(Tableau4[Quantités]))</f>
        <v>30</v>
      </c>
      <c r="I64" s="71">
        <f>SUMPRODUCT((Tableau4[Nom_prenom ]=$B64)*(Tableau4[Total_Client]))</f>
        <v>525.20000000000005</v>
      </c>
      <c r="J64" s="277">
        <f>SUMIFS(RECAP_VENTE_ANNUELLE!$P:$P,RECAP_VENTE_ANNUELLE!$R:$R,"2019",RECAP_VENTE_ANNUELLE!$B:$B,Tableau2[[#This Row],[Nom_prenom ]])</f>
        <v>136.5</v>
      </c>
      <c r="K64" s="277"/>
      <c r="L64" s="277">
        <f>Tableau2[[#This Row],[Total PV client 2019]]-Tableau2[[#This Row],[PV client 
utilisés 2019]]</f>
        <v>136.5</v>
      </c>
      <c r="M64" s="278"/>
      <c r="N64" s="277">
        <f>SUMIFS(RECAP_VENTE_ANNUELLE!$P:$P,RECAP_VENTE_ANNUELLE!$R:$R,"2020",RECAP_VENTE_ANNUELLE!$B:$B,Tableau2[[#This Row],[Nom_prenom ]])</f>
        <v>149.69999999999999</v>
      </c>
      <c r="O64" s="277"/>
      <c r="P64" s="277">
        <f>Tableau2[[#This Row],[Total PV client 2020]]-Tableau2[[#This Row],[PV client 
utilisés 2020]]</f>
        <v>149.69999999999999</v>
      </c>
      <c r="Q64" s="278"/>
      <c r="R64" s="277">
        <f>SUMIFS(RECAP_VENTE_ANNUELLE!$P:$P,RECAP_VENTE_ANNUELLE!$R:$R,"2021",RECAP_VENTE_ANNUELLE!$B:$B,Tableau2[[#This Row],[Nom_prenom ]])</f>
        <v>0</v>
      </c>
      <c r="S64" s="277"/>
      <c r="T64" s="277">
        <f>Tableau2[[#This Row],[Total PV client 2021]]-Tableau2[[#This Row],[PV client 
utilisés 2021]]</f>
        <v>0</v>
      </c>
      <c r="U64" s="278"/>
      <c r="V64" s="277">
        <f>SUMIFS(RECAP_VENTE_ANNUELLE!$P:$P,RECAP_VENTE_ANNUELLE!$R:$R,"2022",RECAP_VENTE_ANNUELLE!$B:$B,Tableau2[[#This Row],[Nom_prenom ]])</f>
        <v>0</v>
      </c>
      <c r="W64" s="277"/>
      <c r="X64" s="277">
        <f>Tableau2[[#This Row],[Total PV
 client 2022]]-Tableau2[[#This Row],[PV client 
utilisés 2022]]</f>
        <v>0</v>
      </c>
      <c r="Y64" s="278"/>
      <c r="Z64" s="277">
        <f>SUMIFS(RECAP_VENTE_ANNUELLE!$P:$P,RECAP_VENTE_ANNUELLE!$R:$R,"2023",RECAP_VENTE_ANNUELLE!$B:$B,Tableau2[[#This Row],[Nom_prenom ]])</f>
        <v>0</v>
      </c>
      <c r="AA64" s="277"/>
      <c r="AB64" s="277">
        <f>Tableau2[[#This Row],[Total PV
 client 2023]]-Tableau2[[#This Row],[PV client 
utilisés 2023]]</f>
        <v>0</v>
      </c>
      <c r="AC64" s="278"/>
      <c r="AD64" s="277">
        <f>SUMIFS(RECAP_VENTE_ANNUELLE!$P:$P,RECAP_VENTE_ANNUELLE!$R:$R,"2024",RECAP_VENTE_ANNUELLE!$B:$B,Tableau2[[#This Row],[Nom_prenom ]])</f>
        <v>0</v>
      </c>
      <c r="AE64" s="277"/>
      <c r="AF64" s="277">
        <f>Tableau2[[#This Row],[Total PV
 client 2024]]-Tableau2[[#This Row],[PV client 
utilisés 2024]]</f>
        <v>0</v>
      </c>
      <c r="AG64" s="278"/>
      <c r="AH64" s="277">
        <f>SUMIFS(RECAP_VENTE_ANNUELLE!$P:$P,RECAP_VENTE_ANNUELLE!$R:$R,"2025",RECAP_VENTE_ANNUELLE!$B:$B,Tableau2[[#This Row],[Nom_prenom ]])</f>
        <v>0</v>
      </c>
      <c r="AI64" s="277"/>
      <c r="AJ64" s="277">
        <f>Tableau2[[#This Row],[Total PV
 client 2025]]-Tableau2[[#This Row],[PV client 
utilisés 2025]]</f>
        <v>0</v>
      </c>
      <c r="AK64" s="279"/>
    </row>
    <row r="65" spans="1:37">
      <c r="A65" s="85" t="s">
        <v>41</v>
      </c>
      <c r="B65" s="275" t="s">
        <v>862</v>
      </c>
      <c r="C65" s="242" t="s">
        <v>433</v>
      </c>
      <c r="D65" s="242" t="s">
        <v>434</v>
      </c>
      <c r="E65" s="86" t="s">
        <v>435</v>
      </c>
      <c r="F65" s="242" t="s">
        <v>436</v>
      </c>
      <c r="G65" s="149" t="s">
        <v>437</v>
      </c>
      <c r="H65" s="151">
        <f>SUMPRODUCT((Tableau4[Nom_prenom ]=B65)*(Tableau4[Quantités]))</f>
        <v>4</v>
      </c>
      <c r="I65" s="71">
        <f>SUMPRODUCT((Tableau4[Nom_prenom ]=$B65)*(Tableau4[Total_Client]))</f>
        <v>20</v>
      </c>
      <c r="J65" s="277">
        <f>SUMIFS(RECAP_VENTE_ANNUELLE!$P:$P,RECAP_VENTE_ANNUELLE!$R:$R,"2019",RECAP_VENTE_ANNUELLE!$B:$B,Tableau2[[#This Row],[Nom_prenom ]])</f>
        <v>6</v>
      </c>
      <c r="K65" s="277"/>
      <c r="L65" s="277">
        <f>Tableau2[[#This Row],[Total PV client 2019]]-Tableau2[[#This Row],[PV client 
utilisés 2019]]</f>
        <v>6</v>
      </c>
      <c r="M65" s="278"/>
      <c r="N65" s="277">
        <f>SUMIFS(RECAP_VENTE_ANNUELLE!$P:$P,RECAP_VENTE_ANNUELLE!$R:$R,"2020",RECAP_VENTE_ANNUELLE!$B:$B,Tableau2[[#This Row],[Nom_prenom ]])</f>
        <v>0</v>
      </c>
      <c r="O65" s="277"/>
      <c r="P65" s="277">
        <f>Tableau2[[#This Row],[Total PV client 2020]]-Tableau2[[#This Row],[PV client 
utilisés 2020]]</f>
        <v>0</v>
      </c>
      <c r="Q65" s="278"/>
      <c r="R65" s="277">
        <f>SUMIFS(RECAP_VENTE_ANNUELLE!$P:$P,RECAP_VENTE_ANNUELLE!$R:$R,"2021",RECAP_VENTE_ANNUELLE!$B:$B,Tableau2[[#This Row],[Nom_prenom ]])</f>
        <v>0</v>
      </c>
      <c r="S65" s="277"/>
      <c r="T65" s="277">
        <f>Tableau2[[#This Row],[Total PV client 2021]]-Tableau2[[#This Row],[PV client 
utilisés 2021]]</f>
        <v>0</v>
      </c>
      <c r="U65" s="278"/>
      <c r="V65" s="277">
        <f>SUMIFS(RECAP_VENTE_ANNUELLE!$P:$P,RECAP_VENTE_ANNUELLE!$R:$R,"2022",RECAP_VENTE_ANNUELLE!$B:$B,Tableau2[[#This Row],[Nom_prenom ]])</f>
        <v>0</v>
      </c>
      <c r="W65" s="277"/>
      <c r="X65" s="277">
        <f>Tableau2[[#This Row],[Total PV
 client 2022]]-Tableau2[[#This Row],[PV client 
utilisés 2022]]</f>
        <v>0</v>
      </c>
      <c r="Y65" s="278"/>
      <c r="Z65" s="277">
        <f>SUMIFS(RECAP_VENTE_ANNUELLE!$P:$P,RECAP_VENTE_ANNUELLE!$R:$R,"2023",RECAP_VENTE_ANNUELLE!$B:$B,Tableau2[[#This Row],[Nom_prenom ]])</f>
        <v>0</v>
      </c>
      <c r="AA65" s="277"/>
      <c r="AB65" s="277">
        <f>Tableau2[[#This Row],[Total PV
 client 2023]]-Tableau2[[#This Row],[PV client 
utilisés 2023]]</f>
        <v>0</v>
      </c>
      <c r="AC65" s="278"/>
      <c r="AD65" s="277">
        <f>SUMIFS(RECAP_VENTE_ANNUELLE!$P:$P,RECAP_VENTE_ANNUELLE!$R:$R,"2024",RECAP_VENTE_ANNUELLE!$B:$B,Tableau2[[#This Row],[Nom_prenom ]])</f>
        <v>0</v>
      </c>
      <c r="AE65" s="277"/>
      <c r="AF65" s="277">
        <f>Tableau2[[#This Row],[Total PV
 client 2024]]-Tableau2[[#This Row],[PV client 
utilisés 2024]]</f>
        <v>0</v>
      </c>
      <c r="AG65" s="278"/>
      <c r="AH65" s="277">
        <f>SUMIFS(RECAP_VENTE_ANNUELLE!$P:$P,RECAP_VENTE_ANNUELLE!$R:$R,"2025",RECAP_VENTE_ANNUELLE!$B:$B,Tableau2[[#This Row],[Nom_prenom ]])</f>
        <v>0</v>
      </c>
      <c r="AI65" s="277"/>
      <c r="AJ65" s="277">
        <f>Tableau2[[#This Row],[Total PV
 client 2025]]-Tableau2[[#This Row],[PV client 
utilisés 2025]]</f>
        <v>0</v>
      </c>
      <c r="AK65" s="279"/>
    </row>
    <row r="66" spans="1:37">
      <c r="A66" s="148" t="s">
        <v>41</v>
      </c>
      <c r="B66" s="275" t="s">
        <v>863</v>
      </c>
      <c r="C66" s="242" t="s">
        <v>438</v>
      </c>
      <c r="D66" s="242" t="s">
        <v>439</v>
      </c>
      <c r="E66" s="86" t="s">
        <v>440</v>
      </c>
      <c r="F66" s="242" t="s">
        <v>441</v>
      </c>
      <c r="G66" s="149" t="s">
        <v>442</v>
      </c>
      <c r="H66" s="151">
        <f>SUMPRODUCT((Tableau4[Nom_prenom ]=B66)*(Tableau4[Quantités]))</f>
        <v>6</v>
      </c>
      <c r="I66" s="71">
        <f>SUMPRODUCT((Tableau4[Nom_prenom ]=$B66)*(Tableau4[Total_Client]))</f>
        <v>128.89999999999998</v>
      </c>
      <c r="J66" s="277">
        <f>SUMIFS(RECAP_VENTE_ANNUELLE!$P:$P,RECAP_VENTE_ANNUELLE!$R:$R,"2019",RECAP_VENTE_ANNUELLE!$B:$B,Tableau2[[#This Row],[Nom_prenom ]])</f>
        <v>59</v>
      </c>
      <c r="K66" s="277"/>
      <c r="L66" s="277">
        <f>Tableau2[[#This Row],[Total PV client 2019]]-Tableau2[[#This Row],[PV client 
utilisés 2019]]</f>
        <v>59</v>
      </c>
      <c r="M66" s="278"/>
      <c r="N66" s="277">
        <f>SUMIFS(RECAP_VENTE_ANNUELLE!$P:$P,RECAP_VENTE_ANNUELLE!$R:$R,"2020",RECAP_VENTE_ANNUELLE!$B:$B,Tableau2[[#This Row],[Nom_prenom ]])</f>
        <v>0</v>
      </c>
      <c r="O66" s="277"/>
      <c r="P66" s="277">
        <f>Tableau2[[#This Row],[Total PV client 2020]]-Tableau2[[#This Row],[PV client 
utilisés 2020]]</f>
        <v>0</v>
      </c>
      <c r="Q66" s="278"/>
      <c r="R66" s="277">
        <f>SUMIFS(RECAP_VENTE_ANNUELLE!$P:$P,RECAP_VENTE_ANNUELLE!$R:$R,"2021",RECAP_VENTE_ANNUELLE!$B:$B,Tableau2[[#This Row],[Nom_prenom ]])</f>
        <v>0</v>
      </c>
      <c r="S66" s="277"/>
      <c r="T66" s="277">
        <f>Tableau2[[#This Row],[Total PV client 2021]]-Tableau2[[#This Row],[PV client 
utilisés 2021]]</f>
        <v>0</v>
      </c>
      <c r="U66" s="278"/>
      <c r="V66" s="277">
        <f>SUMIFS(RECAP_VENTE_ANNUELLE!$P:$P,RECAP_VENTE_ANNUELLE!$R:$R,"2022",RECAP_VENTE_ANNUELLE!$B:$B,Tableau2[[#This Row],[Nom_prenom ]])</f>
        <v>0</v>
      </c>
      <c r="W66" s="277"/>
      <c r="X66" s="277">
        <f>Tableau2[[#This Row],[Total PV
 client 2022]]-Tableau2[[#This Row],[PV client 
utilisés 2022]]</f>
        <v>0</v>
      </c>
      <c r="Y66" s="278"/>
      <c r="Z66" s="277">
        <f>SUMIFS(RECAP_VENTE_ANNUELLE!$P:$P,RECAP_VENTE_ANNUELLE!$R:$R,"2023",RECAP_VENTE_ANNUELLE!$B:$B,Tableau2[[#This Row],[Nom_prenom ]])</f>
        <v>0</v>
      </c>
      <c r="AA66" s="277"/>
      <c r="AB66" s="277">
        <f>Tableau2[[#This Row],[Total PV
 client 2023]]-Tableau2[[#This Row],[PV client 
utilisés 2023]]</f>
        <v>0</v>
      </c>
      <c r="AC66" s="278"/>
      <c r="AD66" s="277">
        <f>SUMIFS(RECAP_VENTE_ANNUELLE!$P:$P,RECAP_VENTE_ANNUELLE!$R:$R,"2024",RECAP_VENTE_ANNUELLE!$B:$B,Tableau2[[#This Row],[Nom_prenom ]])</f>
        <v>0</v>
      </c>
      <c r="AE66" s="277"/>
      <c r="AF66" s="277">
        <f>Tableau2[[#This Row],[Total PV
 client 2024]]-Tableau2[[#This Row],[PV client 
utilisés 2024]]</f>
        <v>0</v>
      </c>
      <c r="AG66" s="278"/>
      <c r="AH66" s="277">
        <f>SUMIFS(RECAP_VENTE_ANNUELLE!$P:$P,RECAP_VENTE_ANNUELLE!$R:$R,"2025",RECAP_VENTE_ANNUELLE!$B:$B,Tableau2[[#This Row],[Nom_prenom ]])</f>
        <v>0</v>
      </c>
      <c r="AI66" s="277"/>
      <c r="AJ66" s="277">
        <f>Tableau2[[#This Row],[Total PV
 client 2025]]-Tableau2[[#This Row],[PV client 
utilisés 2025]]</f>
        <v>0</v>
      </c>
      <c r="AK66" s="279"/>
    </row>
    <row r="67" spans="1:37">
      <c r="A67" s="85" t="s">
        <v>41</v>
      </c>
      <c r="B67" s="275" t="s">
        <v>864</v>
      </c>
      <c r="C67" s="242" t="s">
        <v>443</v>
      </c>
      <c r="D67" s="242" t="s">
        <v>444</v>
      </c>
      <c r="E67" s="86" t="s">
        <v>445</v>
      </c>
      <c r="F67" s="242" t="s">
        <v>446</v>
      </c>
      <c r="G67" s="149" t="s">
        <v>447</v>
      </c>
      <c r="H67" s="151">
        <f>SUMPRODUCT((Tableau4[Nom_prenom ]=B67)*(Tableau4[Quantités]))</f>
        <v>8</v>
      </c>
      <c r="I67" s="71">
        <f>SUMPRODUCT((Tableau4[Nom_prenom ]=$B67)*(Tableau4[Total_Client]))</f>
        <v>158.19999999999999</v>
      </c>
      <c r="J67" s="277">
        <f>SUMIFS(RECAP_VENTE_ANNUELLE!$P:$P,RECAP_VENTE_ANNUELLE!$R:$R,"2019",RECAP_VENTE_ANNUELLE!$B:$B,Tableau2[[#This Row],[Nom_prenom ]])</f>
        <v>92</v>
      </c>
      <c r="K67" s="277"/>
      <c r="L67" s="277">
        <f>Tableau2[[#This Row],[Total PV client 2019]]-Tableau2[[#This Row],[PV client 
utilisés 2019]]</f>
        <v>92</v>
      </c>
      <c r="M67" s="278"/>
      <c r="N67" s="277">
        <f>SUMIFS(RECAP_VENTE_ANNUELLE!$P:$P,RECAP_VENTE_ANNUELLE!$R:$R,"2020",RECAP_VENTE_ANNUELLE!$B:$B,Tableau2[[#This Row],[Nom_prenom ]])</f>
        <v>0</v>
      </c>
      <c r="O67" s="277"/>
      <c r="P67" s="277">
        <f>Tableau2[[#This Row],[Total PV client 2020]]-Tableau2[[#This Row],[PV client 
utilisés 2020]]</f>
        <v>0</v>
      </c>
      <c r="Q67" s="278"/>
      <c r="R67" s="277">
        <f>SUMIFS(RECAP_VENTE_ANNUELLE!$P:$P,RECAP_VENTE_ANNUELLE!$R:$R,"2021",RECAP_VENTE_ANNUELLE!$B:$B,Tableau2[[#This Row],[Nom_prenom ]])</f>
        <v>0</v>
      </c>
      <c r="S67" s="277"/>
      <c r="T67" s="277">
        <f>Tableau2[[#This Row],[Total PV client 2021]]-Tableau2[[#This Row],[PV client 
utilisés 2021]]</f>
        <v>0</v>
      </c>
      <c r="U67" s="278"/>
      <c r="V67" s="277">
        <f>SUMIFS(RECAP_VENTE_ANNUELLE!$P:$P,RECAP_VENTE_ANNUELLE!$R:$R,"2022",RECAP_VENTE_ANNUELLE!$B:$B,Tableau2[[#This Row],[Nom_prenom ]])</f>
        <v>0</v>
      </c>
      <c r="W67" s="277"/>
      <c r="X67" s="277">
        <f>Tableau2[[#This Row],[Total PV
 client 2022]]-Tableau2[[#This Row],[PV client 
utilisés 2022]]</f>
        <v>0</v>
      </c>
      <c r="Y67" s="278"/>
      <c r="Z67" s="277">
        <f>SUMIFS(RECAP_VENTE_ANNUELLE!$P:$P,RECAP_VENTE_ANNUELLE!$R:$R,"2023",RECAP_VENTE_ANNUELLE!$B:$B,Tableau2[[#This Row],[Nom_prenom ]])</f>
        <v>0</v>
      </c>
      <c r="AA67" s="277"/>
      <c r="AB67" s="277">
        <f>Tableau2[[#This Row],[Total PV
 client 2023]]-Tableau2[[#This Row],[PV client 
utilisés 2023]]</f>
        <v>0</v>
      </c>
      <c r="AC67" s="278"/>
      <c r="AD67" s="277">
        <f>SUMIFS(RECAP_VENTE_ANNUELLE!$P:$P,RECAP_VENTE_ANNUELLE!$R:$R,"2024",RECAP_VENTE_ANNUELLE!$B:$B,Tableau2[[#This Row],[Nom_prenom ]])</f>
        <v>0</v>
      </c>
      <c r="AE67" s="277"/>
      <c r="AF67" s="277">
        <f>Tableau2[[#This Row],[Total PV
 client 2024]]-Tableau2[[#This Row],[PV client 
utilisés 2024]]</f>
        <v>0</v>
      </c>
      <c r="AG67" s="278"/>
      <c r="AH67" s="277">
        <f>SUMIFS(RECAP_VENTE_ANNUELLE!$P:$P,RECAP_VENTE_ANNUELLE!$R:$R,"2025",RECAP_VENTE_ANNUELLE!$B:$B,Tableau2[[#This Row],[Nom_prenom ]])</f>
        <v>0</v>
      </c>
      <c r="AI67" s="277"/>
      <c r="AJ67" s="277">
        <f>Tableau2[[#This Row],[Total PV
 client 2025]]-Tableau2[[#This Row],[PV client 
utilisés 2025]]</f>
        <v>0</v>
      </c>
      <c r="AK67" s="279"/>
    </row>
    <row r="68" spans="1:37">
      <c r="A68" s="85" t="s">
        <v>41</v>
      </c>
      <c r="B68" s="275" t="s">
        <v>865</v>
      </c>
      <c r="C68" s="242" t="s">
        <v>448</v>
      </c>
      <c r="D68" s="242" t="s">
        <v>449</v>
      </c>
      <c r="E68" s="86" t="s">
        <v>450</v>
      </c>
      <c r="F68" s="242" t="s">
        <v>451</v>
      </c>
      <c r="G68" s="149" t="s">
        <v>452</v>
      </c>
      <c r="H68" s="151">
        <f>SUMPRODUCT((Tableau4[Nom_prenom ]=B68)*(Tableau4[Quantités]))</f>
        <v>1</v>
      </c>
      <c r="I68" s="71">
        <f>SUMPRODUCT((Tableau4[Nom_prenom ]=$B68)*(Tableau4[Total_Client]))</f>
        <v>29.9</v>
      </c>
      <c r="J68" s="277">
        <f>SUMIFS(RECAP_VENTE_ANNUELLE!$P:$P,RECAP_VENTE_ANNUELLE!$R:$R,"2019",RECAP_VENTE_ANNUELLE!$B:$B,Tableau2[[#This Row],[Nom_prenom ]])</f>
        <v>16</v>
      </c>
      <c r="K68" s="277"/>
      <c r="L68" s="277">
        <f>Tableau2[[#This Row],[Total PV client 2019]]-Tableau2[[#This Row],[PV client 
utilisés 2019]]</f>
        <v>16</v>
      </c>
      <c r="M68" s="278"/>
      <c r="N68" s="277">
        <f>SUMIFS(RECAP_VENTE_ANNUELLE!$P:$P,RECAP_VENTE_ANNUELLE!$R:$R,"2020",RECAP_VENTE_ANNUELLE!$B:$B,Tableau2[[#This Row],[Nom_prenom ]])</f>
        <v>0</v>
      </c>
      <c r="O68" s="277"/>
      <c r="P68" s="277">
        <f>Tableau2[[#This Row],[Total PV client 2020]]-Tableau2[[#This Row],[PV client 
utilisés 2020]]</f>
        <v>0</v>
      </c>
      <c r="Q68" s="278"/>
      <c r="R68" s="277">
        <f>SUMIFS(RECAP_VENTE_ANNUELLE!$P:$P,RECAP_VENTE_ANNUELLE!$R:$R,"2021",RECAP_VENTE_ANNUELLE!$B:$B,Tableau2[[#This Row],[Nom_prenom ]])</f>
        <v>0</v>
      </c>
      <c r="S68" s="277"/>
      <c r="T68" s="277">
        <f>Tableau2[[#This Row],[Total PV client 2021]]-Tableau2[[#This Row],[PV client 
utilisés 2021]]</f>
        <v>0</v>
      </c>
      <c r="U68" s="278"/>
      <c r="V68" s="277">
        <f>SUMIFS(RECAP_VENTE_ANNUELLE!$P:$P,RECAP_VENTE_ANNUELLE!$R:$R,"2022",RECAP_VENTE_ANNUELLE!$B:$B,Tableau2[[#This Row],[Nom_prenom ]])</f>
        <v>0</v>
      </c>
      <c r="W68" s="277"/>
      <c r="X68" s="277">
        <f>Tableau2[[#This Row],[Total PV
 client 2022]]-Tableau2[[#This Row],[PV client 
utilisés 2022]]</f>
        <v>0</v>
      </c>
      <c r="Y68" s="278"/>
      <c r="Z68" s="277">
        <f>SUMIFS(RECAP_VENTE_ANNUELLE!$P:$P,RECAP_VENTE_ANNUELLE!$R:$R,"2023",RECAP_VENTE_ANNUELLE!$B:$B,Tableau2[[#This Row],[Nom_prenom ]])</f>
        <v>0</v>
      </c>
      <c r="AA68" s="277"/>
      <c r="AB68" s="277">
        <f>Tableau2[[#This Row],[Total PV
 client 2023]]-Tableau2[[#This Row],[PV client 
utilisés 2023]]</f>
        <v>0</v>
      </c>
      <c r="AC68" s="278"/>
      <c r="AD68" s="277">
        <f>SUMIFS(RECAP_VENTE_ANNUELLE!$P:$P,RECAP_VENTE_ANNUELLE!$R:$R,"2024",RECAP_VENTE_ANNUELLE!$B:$B,Tableau2[[#This Row],[Nom_prenom ]])</f>
        <v>0</v>
      </c>
      <c r="AE68" s="277"/>
      <c r="AF68" s="277">
        <f>Tableau2[[#This Row],[Total PV
 client 2024]]-Tableau2[[#This Row],[PV client 
utilisés 2024]]</f>
        <v>0</v>
      </c>
      <c r="AG68" s="278"/>
      <c r="AH68" s="277">
        <f>SUMIFS(RECAP_VENTE_ANNUELLE!$P:$P,RECAP_VENTE_ANNUELLE!$R:$R,"2025",RECAP_VENTE_ANNUELLE!$B:$B,Tableau2[[#This Row],[Nom_prenom ]])</f>
        <v>0</v>
      </c>
      <c r="AI68" s="277"/>
      <c r="AJ68" s="277">
        <f>Tableau2[[#This Row],[Total PV
 client 2025]]-Tableau2[[#This Row],[PV client 
utilisés 2025]]</f>
        <v>0</v>
      </c>
      <c r="AK68" s="279"/>
    </row>
    <row r="69" spans="1:37">
      <c r="A69" s="148" t="s">
        <v>41</v>
      </c>
      <c r="B69" s="275" t="s">
        <v>866</v>
      </c>
      <c r="C69" s="242" t="s">
        <v>453</v>
      </c>
      <c r="D69" s="242" t="s">
        <v>454</v>
      </c>
      <c r="E69" s="86" t="s">
        <v>455</v>
      </c>
      <c r="F69" s="242" t="s">
        <v>456</v>
      </c>
      <c r="G69" s="149" t="s">
        <v>457</v>
      </c>
      <c r="H69" s="151">
        <f>SUMPRODUCT((Tableau4[Nom_prenom ]=B69)*(Tableau4[Quantités]))</f>
        <v>15</v>
      </c>
      <c r="I69" s="71">
        <f>SUMPRODUCT((Tableau4[Nom_prenom ]=$B69)*(Tableau4[Total_Client]))</f>
        <v>256.5</v>
      </c>
      <c r="J69" s="277">
        <f>SUMIFS(RECAP_VENTE_ANNUELLE!$P:$P,RECAP_VENTE_ANNUELLE!$R:$R,"2019",RECAP_VENTE_ANNUELLE!$B:$B,Tableau2[[#This Row],[Nom_prenom ]])</f>
        <v>123.5</v>
      </c>
      <c r="K69" s="277"/>
      <c r="L69" s="277">
        <f>Tableau2[[#This Row],[Total PV client 2019]]-Tableau2[[#This Row],[PV client 
utilisés 2019]]</f>
        <v>123.5</v>
      </c>
      <c r="M69" s="278"/>
      <c r="N69" s="277">
        <f>SUMIFS(RECAP_VENTE_ANNUELLE!$P:$P,RECAP_VENTE_ANNUELLE!$R:$R,"2020",RECAP_VENTE_ANNUELLE!$B:$B,Tableau2[[#This Row],[Nom_prenom ]])</f>
        <v>18</v>
      </c>
      <c r="O69" s="277"/>
      <c r="P69" s="277">
        <f>Tableau2[[#This Row],[Total PV client 2020]]-Tableau2[[#This Row],[PV client 
utilisés 2020]]</f>
        <v>18</v>
      </c>
      <c r="Q69" s="278"/>
      <c r="R69" s="277">
        <f>SUMIFS(RECAP_VENTE_ANNUELLE!$P:$P,RECAP_VENTE_ANNUELLE!$R:$R,"2021",RECAP_VENTE_ANNUELLE!$B:$B,Tableau2[[#This Row],[Nom_prenom ]])</f>
        <v>0</v>
      </c>
      <c r="S69" s="277"/>
      <c r="T69" s="277">
        <f>Tableau2[[#This Row],[Total PV client 2021]]-Tableau2[[#This Row],[PV client 
utilisés 2021]]</f>
        <v>0</v>
      </c>
      <c r="U69" s="278"/>
      <c r="V69" s="277">
        <f>SUMIFS(RECAP_VENTE_ANNUELLE!$P:$P,RECAP_VENTE_ANNUELLE!$R:$R,"2022",RECAP_VENTE_ANNUELLE!$B:$B,Tableau2[[#This Row],[Nom_prenom ]])</f>
        <v>0</v>
      </c>
      <c r="W69" s="277"/>
      <c r="X69" s="277">
        <f>Tableau2[[#This Row],[Total PV
 client 2022]]-Tableau2[[#This Row],[PV client 
utilisés 2022]]</f>
        <v>0</v>
      </c>
      <c r="Y69" s="278"/>
      <c r="Z69" s="277">
        <f>SUMIFS(RECAP_VENTE_ANNUELLE!$P:$P,RECAP_VENTE_ANNUELLE!$R:$R,"2023",RECAP_VENTE_ANNUELLE!$B:$B,Tableau2[[#This Row],[Nom_prenom ]])</f>
        <v>0</v>
      </c>
      <c r="AA69" s="277"/>
      <c r="AB69" s="277">
        <f>Tableau2[[#This Row],[Total PV
 client 2023]]-Tableau2[[#This Row],[PV client 
utilisés 2023]]</f>
        <v>0</v>
      </c>
      <c r="AC69" s="278"/>
      <c r="AD69" s="277">
        <f>SUMIFS(RECAP_VENTE_ANNUELLE!$P:$P,RECAP_VENTE_ANNUELLE!$R:$R,"2024",RECAP_VENTE_ANNUELLE!$B:$B,Tableau2[[#This Row],[Nom_prenom ]])</f>
        <v>0</v>
      </c>
      <c r="AE69" s="277"/>
      <c r="AF69" s="277">
        <f>Tableau2[[#This Row],[Total PV
 client 2024]]-Tableau2[[#This Row],[PV client 
utilisés 2024]]</f>
        <v>0</v>
      </c>
      <c r="AG69" s="278"/>
      <c r="AH69" s="277">
        <f>SUMIFS(RECAP_VENTE_ANNUELLE!$P:$P,RECAP_VENTE_ANNUELLE!$R:$R,"2025",RECAP_VENTE_ANNUELLE!$B:$B,Tableau2[[#This Row],[Nom_prenom ]])</f>
        <v>0</v>
      </c>
      <c r="AI69" s="277"/>
      <c r="AJ69" s="277">
        <f>Tableau2[[#This Row],[Total PV
 client 2025]]-Tableau2[[#This Row],[PV client 
utilisés 2025]]</f>
        <v>0</v>
      </c>
      <c r="AK69" s="279"/>
    </row>
    <row r="70" spans="1:37">
      <c r="A70" s="85" t="s">
        <v>41</v>
      </c>
      <c r="B70" s="275" t="s">
        <v>867</v>
      </c>
      <c r="C70" s="242" t="s">
        <v>458</v>
      </c>
      <c r="D70" s="242" t="s">
        <v>459</v>
      </c>
      <c r="E70" s="86" t="s">
        <v>460</v>
      </c>
      <c r="F70" s="242" t="s">
        <v>461</v>
      </c>
      <c r="G70" s="149" t="s">
        <v>462</v>
      </c>
      <c r="H70" s="151">
        <f>SUMPRODUCT((Tableau4[Nom_prenom ]=B70)*(Tableau4[Quantités]))</f>
        <v>2</v>
      </c>
      <c r="I70" s="71">
        <f>SUMPRODUCT((Tableau4[Nom_prenom ]=$B70)*(Tableau4[Total_Client]))</f>
        <v>52.4</v>
      </c>
      <c r="J70" s="277">
        <f>SUMIFS(RECAP_VENTE_ANNUELLE!$P:$P,RECAP_VENTE_ANNUELLE!$R:$R,"2019",RECAP_VENTE_ANNUELLE!$B:$B,Tableau2[[#This Row],[Nom_prenom ]])</f>
        <v>0</v>
      </c>
      <c r="K70" s="277"/>
      <c r="L70" s="277">
        <f>Tableau2[[#This Row],[Total PV client 2019]]-Tableau2[[#This Row],[PV client 
utilisés 2019]]</f>
        <v>0</v>
      </c>
      <c r="M70" s="278"/>
      <c r="N70" s="277">
        <f>SUMIFS(RECAP_VENTE_ANNUELLE!$P:$P,RECAP_VENTE_ANNUELLE!$R:$R,"2020",RECAP_VENTE_ANNUELLE!$B:$B,Tableau2[[#This Row],[Nom_prenom ]])</f>
        <v>26.5</v>
      </c>
      <c r="O70" s="277"/>
      <c r="P70" s="277">
        <f>Tableau2[[#This Row],[Total PV client 2020]]-Tableau2[[#This Row],[PV client 
utilisés 2020]]</f>
        <v>26.5</v>
      </c>
      <c r="Q70" s="278"/>
      <c r="R70" s="277">
        <f>SUMIFS(RECAP_VENTE_ANNUELLE!$P:$P,RECAP_VENTE_ANNUELLE!$R:$R,"2021",RECAP_VENTE_ANNUELLE!$B:$B,Tableau2[[#This Row],[Nom_prenom ]])</f>
        <v>0</v>
      </c>
      <c r="S70" s="277"/>
      <c r="T70" s="277">
        <f>Tableau2[[#This Row],[Total PV client 2021]]-Tableau2[[#This Row],[PV client 
utilisés 2021]]</f>
        <v>0</v>
      </c>
      <c r="U70" s="278"/>
      <c r="V70" s="277">
        <f>SUMIFS(RECAP_VENTE_ANNUELLE!$P:$P,RECAP_VENTE_ANNUELLE!$R:$R,"2022",RECAP_VENTE_ANNUELLE!$B:$B,Tableau2[[#This Row],[Nom_prenom ]])</f>
        <v>0</v>
      </c>
      <c r="W70" s="277"/>
      <c r="X70" s="277">
        <f>Tableau2[[#This Row],[Total PV
 client 2022]]-Tableau2[[#This Row],[PV client 
utilisés 2022]]</f>
        <v>0</v>
      </c>
      <c r="Y70" s="278"/>
      <c r="Z70" s="277">
        <f>SUMIFS(RECAP_VENTE_ANNUELLE!$P:$P,RECAP_VENTE_ANNUELLE!$R:$R,"2023",RECAP_VENTE_ANNUELLE!$B:$B,Tableau2[[#This Row],[Nom_prenom ]])</f>
        <v>0</v>
      </c>
      <c r="AA70" s="277"/>
      <c r="AB70" s="277">
        <f>Tableau2[[#This Row],[Total PV
 client 2023]]-Tableau2[[#This Row],[PV client 
utilisés 2023]]</f>
        <v>0</v>
      </c>
      <c r="AC70" s="278"/>
      <c r="AD70" s="277">
        <f>SUMIFS(RECAP_VENTE_ANNUELLE!$P:$P,RECAP_VENTE_ANNUELLE!$R:$R,"2024",RECAP_VENTE_ANNUELLE!$B:$B,Tableau2[[#This Row],[Nom_prenom ]])</f>
        <v>0</v>
      </c>
      <c r="AE70" s="277"/>
      <c r="AF70" s="277">
        <f>Tableau2[[#This Row],[Total PV
 client 2024]]-Tableau2[[#This Row],[PV client 
utilisés 2024]]</f>
        <v>0</v>
      </c>
      <c r="AG70" s="278"/>
      <c r="AH70" s="277">
        <f>SUMIFS(RECAP_VENTE_ANNUELLE!$P:$P,RECAP_VENTE_ANNUELLE!$R:$R,"2025",RECAP_VENTE_ANNUELLE!$B:$B,Tableau2[[#This Row],[Nom_prenom ]])</f>
        <v>0</v>
      </c>
      <c r="AI70" s="277"/>
      <c r="AJ70" s="277">
        <f>Tableau2[[#This Row],[Total PV
 client 2025]]-Tableau2[[#This Row],[PV client 
utilisés 2025]]</f>
        <v>0</v>
      </c>
      <c r="AK70" s="279"/>
    </row>
    <row r="71" spans="1:37">
      <c r="A71" s="85" t="s">
        <v>41</v>
      </c>
      <c r="B71" s="275" t="s">
        <v>868</v>
      </c>
      <c r="C71" s="242" t="s">
        <v>463</v>
      </c>
      <c r="D71" s="242" t="s">
        <v>464</v>
      </c>
      <c r="E71" s="86" t="s">
        <v>465</v>
      </c>
      <c r="F71" s="242" t="s">
        <v>466</v>
      </c>
      <c r="G71" s="149" t="s">
        <v>467</v>
      </c>
      <c r="H71" s="151">
        <f>SUMPRODUCT((Tableau4[Nom_prenom ]=B71)*(Tableau4[Quantités]))</f>
        <v>5</v>
      </c>
      <c r="I71" s="71">
        <f>SUMPRODUCT((Tableau4[Nom_prenom ]=$B71)*(Tableau4[Total_Client]))</f>
        <v>113.9</v>
      </c>
      <c r="J71" s="277">
        <f>SUMIFS(RECAP_VENTE_ANNUELLE!$P:$P,RECAP_VENTE_ANNUELLE!$R:$R,"2019",RECAP_VENTE_ANNUELLE!$B:$B,Tableau2[[#This Row],[Nom_prenom ]])</f>
        <v>1.5</v>
      </c>
      <c r="K71" s="277"/>
      <c r="L71" s="277">
        <f>Tableau2[[#This Row],[Total PV client 2019]]-Tableau2[[#This Row],[PV client 
utilisés 2019]]</f>
        <v>1.5</v>
      </c>
      <c r="M71" s="278"/>
      <c r="N71" s="277">
        <f>SUMIFS(RECAP_VENTE_ANNUELLE!$P:$P,RECAP_VENTE_ANNUELLE!$R:$R,"2020",RECAP_VENTE_ANNUELLE!$B:$B,Tableau2[[#This Row],[Nom_prenom ]])</f>
        <v>75</v>
      </c>
      <c r="O71" s="277"/>
      <c r="P71" s="277">
        <f>Tableau2[[#This Row],[Total PV client 2020]]-Tableau2[[#This Row],[PV client 
utilisés 2020]]</f>
        <v>75</v>
      </c>
      <c r="Q71" s="278"/>
      <c r="R71" s="277">
        <f>SUMIFS(RECAP_VENTE_ANNUELLE!$P:$P,RECAP_VENTE_ANNUELLE!$R:$R,"2021",RECAP_VENTE_ANNUELLE!$B:$B,Tableau2[[#This Row],[Nom_prenom ]])</f>
        <v>0</v>
      </c>
      <c r="S71" s="277"/>
      <c r="T71" s="277">
        <f>Tableau2[[#This Row],[Total PV client 2021]]-Tableau2[[#This Row],[PV client 
utilisés 2021]]</f>
        <v>0</v>
      </c>
      <c r="U71" s="278"/>
      <c r="V71" s="277">
        <f>SUMIFS(RECAP_VENTE_ANNUELLE!$P:$P,RECAP_VENTE_ANNUELLE!$R:$R,"2022",RECAP_VENTE_ANNUELLE!$B:$B,Tableau2[[#This Row],[Nom_prenom ]])</f>
        <v>0</v>
      </c>
      <c r="W71" s="277"/>
      <c r="X71" s="277">
        <f>Tableau2[[#This Row],[Total PV
 client 2022]]-Tableau2[[#This Row],[PV client 
utilisés 2022]]</f>
        <v>0</v>
      </c>
      <c r="Y71" s="278"/>
      <c r="Z71" s="277">
        <f>SUMIFS(RECAP_VENTE_ANNUELLE!$P:$P,RECAP_VENTE_ANNUELLE!$R:$R,"2023",RECAP_VENTE_ANNUELLE!$B:$B,Tableau2[[#This Row],[Nom_prenom ]])</f>
        <v>0</v>
      </c>
      <c r="AA71" s="277"/>
      <c r="AB71" s="277">
        <f>Tableau2[[#This Row],[Total PV
 client 2023]]-Tableau2[[#This Row],[PV client 
utilisés 2023]]</f>
        <v>0</v>
      </c>
      <c r="AC71" s="278"/>
      <c r="AD71" s="277">
        <f>SUMIFS(RECAP_VENTE_ANNUELLE!$P:$P,RECAP_VENTE_ANNUELLE!$R:$R,"2024",RECAP_VENTE_ANNUELLE!$B:$B,Tableau2[[#This Row],[Nom_prenom ]])</f>
        <v>0</v>
      </c>
      <c r="AE71" s="277"/>
      <c r="AF71" s="277">
        <f>Tableau2[[#This Row],[Total PV
 client 2024]]-Tableau2[[#This Row],[PV client 
utilisés 2024]]</f>
        <v>0</v>
      </c>
      <c r="AG71" s="278"/>
      <c r="AH71" s="277">
        <f>SUMIFS(RECAP_VENTE_ANNUELLE!$P:$P,RECAP_VENTE_ANNUELLE!$R:$R,"2025",RECAP_VENTE_ANNUELLE!$B:$B,Tableau2[[#This Row],[Nom_prenom ]])</f>
        <v>0</v>
      </c>
      <c r="AI71" s="277"/>
      <c r="AJ71" s="277">
        <f>Tableau2[[#This Row],[Total PV
 client 2025]]-Tableau2[[#This Row],[PV client 
utilisés 2025]]</f>
        <v>0</v>
      </c>
      <c r="AK71" s="279"/>
    </row>
    <row r="72" spans="1:37">
      <c r="A72" s="85" t="s">
        <v>41</v>
      </c>
      <c r="B72" s="275" t="s">
        <v>869</v>
      </c>
      <c r="C72" s="242" t="s">
        <v>468</v>
      </c>
      <c r="D72" s="242" t="s">
        <v>469</v>
      </c>
      <c r="E72" s="86" t="s">
        <v>470</v>
      </c>
      <c r="F72" s="242" t="s">
        <v>471</v>
      </c>
      <c r="G72" s="149" t="s">
        <v>472</v>
      </c>
      <c r="H72" s="151">
        <f>SUMPRODUCT((Tableau4[Nom_prenom ]=B72)*(Tableau4[Quantités]))</f>
        <v>6</v>
      </c>
      <c r="I72" s="71">
        <f>SUMPRODUCT((Tableau4[Nom_prenom ]=$B72)*(Tableau4[Total_Client]))</f>
        <v>127.4</v>
      </c>
      <c r="J72" s="277">
        <f>SUMIFS(RECAP_VENTE_ANNUELLE!$P:$P,RECAP_VENTE_ANNUELLE!$R:$R,"2019",RECAP_VENTE_ANNUELLE!$B:$B,Tableau2[[#This Row],[Nom_prenom ]])</f>
        <v>33</v>
      </c>
      <c r="K72" s="277"/>
      <c r="L72" s="277">
        <f>Tableau2[[#This Row],[Total PV client 2019]]-Tableau2[[#This Row],[PV client 
utilisés 2019]]</f>
        <v>33</v>
      </c>
      <c r="M72" s="278"/>
      <c r="N72" s="277">
        <f>SUMIFS(RECAP_VENTE_ANNUELLE!$P:$P,RECAP_VENTE_ANNUELLE!$R:$R,"2020",RECAP_VENTE_ANNUELLE!$B:$B,Tableau2[[#This Row],[Nom_prenom ]])</f>
        <v>28</v>
      </c>
      <c r="O72" s="277"/>
      <c r="P72" s="277">
        <f>Tableau2[[#This Row],[Total PV client 2020]]-Tableau2[[#This Row],[PV client 
utilisés 2020]]</f>
        <v>28</v>
      </c>
      <c r="Q72" s="278"/>
      <c r="R72" s="277">
        <f>SUMIFS(RECAP_VENTE_ANNUELLE!$P:$P,RECAP_VENTE_ANNUELLE!$R:$R,"2021",RECAP_VENTE_ANNUELLE!$B:$B,Tableau2[[#This Row],[Nom_prenom ]])</f>
        <v>0</v>
      </c>
      <c r="S72" s="277"/>
      <c r="T72" s="277">
        <f>Tableau2[[#This Row],[Total PV client 2021]]-Tableau2[[#This Row],[PV client 
utilisés 2021]]</f>
        <v>0</v>
      </c>
      <c r="U72" s="278"/>
      <c r="V72" s="277">
        <f>SUMIFS(RECAP_VENTE_ANNUELLE!$P:$P,RECAP_VENTE_ANNUELLE!$R:$R,"2022",RECAP_VENTE_ANNUELLE!$B:$B,Tableau2[[#This Row],[Nom_prenom ]])</f>
        <v>0</v>
      </c>
      <c r="W72" s="277"/>
      <c r="X72" s="277">
        <f>Tableau2[[#This Row],[Total PV
 client 2022]]-Tableau2[[#This Row],[PV client 
utilisés 2022]]</f>
        <v>0</v>
      </c>
      <c r="Y72" s="278"/>
      <c r="Z72" s="277">
        <f>SUMIFS(RECAP_VENTE_ANNUELLE!$P:$P,RECAP_VENTE_ANNUELLE!$R:$R,"2023",RECAP_VENTE_ANNUELLE!$B:$B,Tableau2[[#This Row],[Nom_prenom ]])</f>
        <v>0</v>
      </c>
      <c r="AA72" s="277"/>
      <c r="AB72" s="277">
        <f>Tableau2[[#This Row],[Total PV
 client 2023]]-Tableau2[[#This Row],[PV client 
utilisés 2023]]</f>
        <v>0</v>
      </c>
      <c r="AC72" s="278"/>
      <c r="AD72" s="277">
        <f>SUMIFS(RECAP_VENTE_ANNUELLE!$P:$P,RECAP_VENTE_ANNUELLE!$R:$R,"2024",RECAP_VENTE_ANNUELLE!$B:$B,Tableau2[[#This Row],[Nom_prenom ]])</f>
        <v>0</v>
      </c>
      <c r="AE72" s="277"/>
      <c r="AF72" s="277">
        <f>Tableau2[[#This Row],[Total PV
 client 2024]]-Tableau2[[#This Row],[PV client 
utilisés 2024]]</f>
        <v>0</v>
      </c>
      <c r="AG72" s="278"/>
      <c r="AH72" s="277">
        <f>SUMIFS(RECAP_VENTE_ANNUELLE!$P:$P,RECAP_VENTE_ANNUELLE!$R:$R,"2025",RECAP_VENTE_ANNUELLE!$B:$B,Tableau2[[#This Row],[Nom_prenom ]])</f>
        <v>0</v>
      </c>
      <c r="AI72" s="277"/>
      <c r="AJ72" s="277">
        <f>Tableau2[[#This Row],[Total PV
 client 2025]]-Tableau2[[#This Row],[PV client 
utilisés 2025]]</f>
        <v>0</v>
      </c>
      <c r="AK72" s="279"/>
    </row>
    <row r="73" spans="1:37">
      <c r="A73" s="85" t="s">
        <v>41</v>
      </c>
      <c r="B73" s="275" t="s">
        <v>870</v>
      </c>
      <c r="C73" s="242" t="s">
        <v>473</v>
      </c>
      <c r="D73" s="242" t="s">
        <v>474</v>
      </c>
      <c r="E73" s="86" t="s">
        <v>475</v>
      </c>
      <c r="F73" s="242" t="s">
        <v>476</v>
      </c>
      <c r="G73" s="149" t="s">
        <v>477</v>
      </c>
      <c r="H73" s="151">
        <f>SUMPRODUCT((Tableau4[Nom_prenom ]=B73)*(Tableau4[Quantités]))</f>
        <v>1</v>
      </c>
      <c r="I73" s="71">
        <f>SUMPRODUCT((Tableau4[Nom_prenom ]=$B73)*(Tableau4[Total_Client]))</f>
        <v>19.899999999999999</v>
      </c>
      <c r="J73" s="277">
        <f>SUMIFS(RECAP_VENTE_ANNUELLE!$P:$P,RECAP_VENTE_ANNUELLE!$R:$R,"2019",RECAP_VENTE_ANNUELLE!$B:$B,Tableau2[[#This Row],[Nom_prenom ]])</f>
        <v>11</v>
      </c>
      <c r="K73" s="277"/>
      <c r="L73" s="277">
        <f>Tableau2[[#This Row],[Total PV client 2019]]-Tableau2[[#This Row],[PV client 
utilisés 2019]]</f>
        <v>11</v>
      </c>
      <c r="M73" s="278"/>
      <c r="N73" s="277">
        <f>SUMIFS(RECAP_VENTE_ANNUELLE!$P:$P,RECAP_VENTE_ANNUELLE!$R:$R,"2020",RECAP_VENTE_ANNUELLE!$B:$B,Tableau2[[#This Row],[Nom_prenom ]])</f>
        <v>0</v>
      </c>
      <c r="O73" s="277"/>
      <c r="P73" s="277">
        <f>Tableau2[[#This Row],[Total PV client 2020]]-Tableau2[[#This Row],[PV client 
utilisés 2020]]</f>
        <v>0</v>
      </c>
      <c r="Q73" s="278"/>
      <c r="R73" s="277">
        <f>SUMIFS(RECAP_VENTE_ANNUELLE!$P:$P,RECAP_VENTE_ANNUELLE!$R:$R,"2021",RECAP_VENTE_ANNUELLE!$B:$B,Tableau2[[#This Row],[Nom_prenom ]])</f>
        <v>0</v>
      </c>
      <c r="S73" s="277"/>
      <c r="T73" s="277">
        <f>Tableau2[[#This Row],[Total PV client 2021]]-Tableau2[[#This Row],[PV client 
utilisés 2021]]</f>
        <v>0</v>
      </c>
      <c r="U73" s="278"/>
      <c r="V73" s="277">
        <f>SUMIFS(RECAP_VENTE_ANNUELLE!$P:$P,RECAP_VENTE_ANNUELLE!$R:$R,"2022",RECAP_VENTE_ANNUELLE!$B:$B,Tableau2[[#This Row],[Nom_prenom ]])</f>
        <v>0</v>
      </c>
      <c r="W73" s="277"/>
      <c r="X73" s="277">
        <f>Tableau2[[#This Row],[Total PV
 client 2022]]-Tableau2[[#This Row],[PV client 
utilisés 2022]]</f>
        <v>0</v>
      </c>
      <c r="Y73" s="278"/>
      <c r="Z73" s="277">
        <f>SUMIFS(RECAP_VENTE_ANNUELLE!$P:$P,RECAP_VENTE_ANNUELLE!$R:$R,"2023",RECAP_VENTE_ANNUELLE!$B:$B,Tableau2[[#This Row],[Nom_prenom ]])</f>
        <v>0</v>
      </c>
      <c r="AA73" s="277"/>
      <c r="AB73" s="277">
        <f>Tableau2[[#This Row],[Total PV
 client 2023]]-Tableau2[[#This Row],[PV client 
utilisés 2023]]</f>
        <v>0</v>
      </c>
      <c r="AC73" s="278"/>
      <c r="AD73" s="277">
        <f>SUMIFS(RECAP_VENTE_ANNUELLE!$P:$P,RECAP_VENTE_ANNUELLE!$R:$R,"2024",RECAP_VENTE_ANNUELLE!$B:$B,Tableau2[[#This Row],[Nom_prenom ]])</f>
        <v>0</v>
      </c>
      <c r="AE73" s="277"/>
      <c r="AF73" s="277">
        <f>Tableau2[[#This Row],[Total PV
 client 2024]]-Tableau2[[#This Row],[PV client 
utilisés 2024]]</f>
        <v>0</v>
      </c>
      <c r="AG73" s="278"/>
      <c r="AH73" s="277">
        <f>SUMIFS(RECAP_VENTE_ANNUELLE!$P:$P,RECAP_VENTE_ANNUELLE!$R:$R,"2025",RECAP_VENTE_ANNUELLE!$B:$B,Tableau2[[#This Row],[Nom_prenom ]])</f>
        <v>0</v>
      </c>
      <c r="AI73" s="277"/>
      <c r="AJ73" s="277">
        <f>Tableau2[[#This Row],[Total PV
 client 2025]]-Tableau2[[#This Row],[PV client 
utilisés 2025]]</f>
        <v>0</v>
      </c>
      <c r="AK73" s="279"/>
    </row>
    <row r="74" spans="1:37">
      <c r="A74" s="85" t="s">
        <v>41</v>
      </c>
      <c r="B74" s="275" t="s">
        <v>871</v>
      </c>
      <c r="C74" s="242" t="s">
        <v>478</v>
      </c>
      <c r="D74" s="242" t="s">
        <v>479</v>
      </c>
      <c r="E74" s="86" t="s">
        <v>480</v>
      </c>
      <c r="F74" s="242" t="s">
        <v>481</v>
      </c>
      <c r="G74" s="149" t="s">
        <v>482</v>
      </c>
      <c r="H74" s="151">
        <f>SUMPRODUCT((Tableau4[Nom_prenom ]=B74)*(Tableau4[Quantités]))</f>
        <v>1</v>
      </c>
      <c r="I74" s="71">
        <f>SUMPRODUCT((Tableau4[Nom_prenom ]=$B74)*(Tableau4[Total_Client]))</f>
        <v>10.9</v>
      </c>
      <c r="J74" s="277">
        <f>SUMIFS(RECAP_VENTE_ANNUELLE!$P:$P,RECAP_VENTE_ANNUELLE!$R:$R,"2019",RECAP_VENTE_ANNUELLE!$B:$B,Tableau2[[#This Row],[Nom_prenom ]])</f>
        <v>8</v>
      </c>
      <c r="K74" s="277"/>
      <c r="L74" s="277">
        <f>Tableau2[[#This Row],[Total PV client 2019]]-Tableau2[[#This Row],[PV client 
utilisés 2019]]</f>
        <v>8</v>
      </c>
      <c r="M74" s="278"/>
      <c r="N74" s="277">
        <f>SUMIFS(RECAP_VENTE_ANNUELLE!$P:$P,RECAP_VENTE_ANNUELLE!$R:$R,"2020",RECAP_VENTE_ANNUELLE!$B:$B,Tableau2[[#This Row],[Nom_prenom ]])</f>
        <v>0</v>
      </c>
      <c r="O74" s="277"/>
      <c r="P74" s="277">
        <f>Tableau2[[#This Row],[Total PV client 2020]]-Tableau2[[#This Row],[PV client 
utilisés 2020]]</f>
        <v>0</v>
      </c>
      <c r="Q74" s="278"/>
      <c r="R74" s="277">
        <f>SUMIFS(RECAP_VENTE_ANNUELLE!$P:$P,RECAP_VENTE_ANNUELLE!$R:$R,"2021",RECAP_VENTE_ANNUELLE!$B:$B,Tableau2[[#This Row],[Nom_prenom ]])</f>
        <v>0</v>
      </c>
      <c r="S74" s="277"/>
      <c r="T74" s="277">
        <f>Tableau2[[#This Row],[Total PV client 2021]]-Tableau2[[#This Row],[PV client 
utilisés 2021]]</f>
        <v>0</v>
      </c>
      <c r="U74" s="278"/>
      <c r="V74" s="277">
        <f>SUMIFS(RECAP_VENTE_ANNUELLE!$P:$P,RECAP_VENTE_ANNUELLE!$R:$R,"2022",RECAP_VENTE_ANNUELLE!$B:$B,Tableau2[[#This Row],[Nom_prenom ]])</f>
        <v>0</v>
      </c>
      <c r="W74" s="277"/>
      <c r="X74" s="277">
        <f>Tableau2[[#This Row],[Total PV
 client 2022]]-Tableau2[[#This Row],[PV client 
utilisés 2022]]</f>
        <v>0</v>
      </c>
      <c r="Y74" s="278"/>
      <c r="Z74" s="277">
        <f>SUMIFS(RECAP_VENTE_ANNUELLE!$P:$P,RECAP_VENTE_ANNUELLE!$R:$R,"2023",RECAP_VENTE_ANNUELLE!$B:$B,Tableau2[[#This Row],[Nom_prenom ]])</f>
        <v>0</v>
      </c>
      <c r="AA74" s="277"/>
      <c r="AB74" s="277">
        <f>Tableau2[[#This Row],[Total PV
 client 2023]]-Tableau2[[#This Row],[PV client 
utilisés 2023]]</f>
        <v>0</v>
      </c>
      <c r="AC74" s="278"/>
      <c r="AD74" s="277">
        <f>SUMIFS(RECAP_VENTE_ANNUELLE!$P:$P,RECAP_VENTE_ANNUELLE!$R:$R,"2024",RECAP_VENTE_ANNUELLE!$B:$B,Tableau2[[#This Row],[Nom_prenom ]])</f>
        <v>0</v>
      </c>
      <c r="AE74" s="277"/>
      <c r="AF74" s="277">
        <f>Tableau2[[#This Row],[Total PV
 client 2024]]-Tableau2[[#This Row],[PV client 
utilisés 2024]]</f>
        <v>0</v>
      </c>
      <c r="AG74" s="278"/>
      <c r="AH74" s="277">
        <f>SUMIFS(RECAP_VENTE_ANNUELLE!$P:$P,RECAP_VENTE_ANNUELLE!$R:$R,"2025",RECAP_VENTE_ANNUELLE!$B:$B,Tableau2[[#This Row],[Nom_prenom ]])</f>
        <v>0</v>
      </c>
      <c r="AI74" s="277"/>
      <c r="AJ74" s="277">
        <f>Tableau2[[#This Row],[Total PV
 client 2025]]-Tableau2[[#This Row],[PV client 
utilisés 2025]]</f>
        <v>0</v>
      </c>
      <c r="AK74" s="279"/>
    </row>
    <row r="75" spans="1:37">
      <c r="A75" s="148" t="s">
        <v>41</v>
      </c>
      <c r="B75" s="275" t="s">
        <v>872</v>
      </c>
      <c r="C75" s="242" t="s">
        <v>483</v>
      </c>
      <c r="D75" s="242" t="s">
        <v>484</v>
      </c>
      <c r="E75" s="86" t="s">
        <v>485</v>
      </c>
      <c r="F75" s="242" t="s">
        <v>486</v>
      </c>
      <c r="G75" s="149" t="s">
        <v>487</v>
      </c>
      <c r="H75" s="151">
        <f>SUMPRODUCT((Tableau4[Nom_prenom ]=B75)*(Tableau4[Quantités]))</f>
        <v>1</v>
      </c>
      <c r="I75" s="71">
        <f>SUMPRODUCT((Tableau4[Nom_prenom ]=$B75)*(Tableau4[Total_Client]))</f>
        <v>37.799999999999997</v>
      </c>
      <c r="J75" s="277">
        <f>SUMIFS(RECAP_VENTE_ANNUELLE!$P:$P,RECAP_VENTE_ANNUELLE!$R:$R,"2019",RECAP_VENTE_ANNUELLE!$B:$B,Tableau2[[#This Row],[Nom_prenom ]])</f>
        <v>0</v>
      </c>
      <c r="K75" s="277"/>
      <c r="L75" s="277">
        <f>Tableau2[[#This Row],[Total PV client 2019]]-Tableau2[[#This Row],[PV client 
utilisés 2019]]</f>
        <v>0</v>
      </c>
      <c r="M75" s="278"/>
      <c r="N75" s="277">
        <f>SUMIFS(RECAP_VENTE_ANNUELLE!$P:$P,RECAP_VENTE_ANNUELLE!$R:$R,"2020",RECAP_VENTE_ANNUELLE!$B:$B,Tableau2[[#This Row],[Nom_prenom ]])</f>
        <v>13.5</v>
      </c>
      <c r="O75" s="277"/>
      <c r="P75" s="277">
        <f>Tableau2[[#This Row],[Total PV client 2020]]-Tableau2[[#This Row],[PV client 
utilisés 2020]]</f>
        <v>13.5</v>
      </c>
      <c r="Q75" s="278"/>
      <c r="R75" s="277">
        <f>SUMIFS(RECAP_VENTE_ANNUELLE!$P:$P,RECAP_VENTE_ANNUELLE!$R:$R,"2021",RECAP_VENTE_ANNUELLE!$B:$B,Tableau2[[#This Row],[Nom_prenom ]])</f>
        <v>0</v>
      </c>
      <c r="S75" s="277"/>
      <c r="T75" s="277">
        <f>Tableau2[[#This Row],[Total PV client 2021]]-Tableau2[[#This Row],[PV client 
utilisés 2021]]</f>
        <v>0</v>
      </c>
      <c r="U75" s="278"/>
      <c r="V75" s="277">
        <f>SUMIFS(RECAP_VENTE_ANNUELLE!$P:$P,RECAP_VENTE_ANNUELLE!$R:$R,"2022",RECAP_VENTE_ANNUELLE!$B:$B,Tableau2[[#This Row],[Nom_prenom ]])</f>
        <v>0</v>
      </c>
      <c r="W75" s="277"/>
      <c r="X75" s="277">
        <f>Tableau2[[#This Row],[Total PV
 client 2022]]-Tableau2[[#This Row],[PV client 
utilisés 2022]]</f>
        <v>0</v>
      </c>
      <c r="Y75" s="278"/>
      <c r="Z75" s="277">
        <f>SUMIFS(RECAP_VENTE_ANNUELLE!$P:$P,RECAP_VENTE_ANNUELLE!$R:$R,"2023",RECAP_VENTE_ANNUELLE!$B:$B,Tableau2[[#This Row],[Nom_prenom ]])</f>
        <v>0</v>
      </c>
      <c r="AA75" s="277"/>
      <c r="AB75" s="277">
        <f>Tableau2[[#This Row],[Total PV
 client 2023]]-Tableau2[[#This Row],[PV client 
utilisés 2023]]</f>
        <v>0</v>
      </c>
      <c r="AC75" s="278"/>
      <c r="AD75" s="277">
        <f>SUMIFS(RECAP_VENTE_ANNUELLE!$P:$P,RECAP_VENTE_ANNUELLE!$R:$R,"2024",RECAP_VENTE_ANNUELLE!$B:$B,Tableau2[[#This Row],[Nom_prenom ]])</f>
        <v>0</v>
      </c>
      <c r="AE75" s="277"/>
      <c r="AF75" s="277">
        <f>Tableau2[[#This Row],[Total PV
 client 2024]]-Tableau2[[#This Row],[PV client 
utilisés 2024]]</f>
        <v>0</v>
      </c>
      <c r="AG75" s="278"/>
      <c r="AH75" s="277">
        <f>SUMIFS(RECAP_VENTE_ANNUELLE!$P:$P,RECAP_VENTE_ANNUELLE!$R:$R,"2025",RECAP_VENTE_ANNUELLE!$B:$B,Tableau2[[#This Row],[Nom_prenom ]])</f>
        <v>0</v>
      </c>
      <c r="AI75" s="277"/>
      <c r="AJ75" s="277">
        <f>Tableau2[[#This Row],[Total PV
 client 2025]]-Tableau2[[#This Row],[PV client 
utilisés 2025]]</f>
        <v>0</v>
      </c>
      <c r="AK75" s="279"/>
    </row>
    <row r="76" spans="1:37">
      <c r="A76" s="85" t="s">
        <v>41</v>
      </c>
      <c r="B76" s="275" t="s">
        <v>873</v>
      </c>
      <c r="C76" s="242" t="s">
        <v>488</v>
      </c>
      <c r="D76" s="242" t="s">
        <v>489</v>
      </c>
      <c r="E76" s="86" t="s">
        <v>490</v>
      </c>
      <c r="F76" s="242" t="s">
        <v>491</v>
      </c>
      <c r="G76" s="149" t="s">
        <v>492</v>
      </c>
      <c r="H76" s="151">
        <f>SUMPRODUCT((Tableau4[Nom_prenom ]=B76)*(Tableau4[Quantités]))</f>
        <v>2</v>
      </c>
      <c r="I76" s="71">
        <f>SUMPRODUCT((Tableau4[Nom_prenom ]=$B76)*(Tableau4[Total_Client]))</f>
        <v>24.8</v>
      </c>
      <c r="J76" s="277">
        <f>SUMIFS(RECAP_VENTE_ANNUELLE!$P:$P,RECAP_VENTE_ANNUELLE!$R:$R,"2019",RECAP_VENTE_ANNUELLE!$B:$B,Tableau2[[#This Row],[Nom_prenom ]])</f>
        <v>15</v>
      </c>
      <c r="K76" s="277"/>
      <c r="L76" s="277">
        <f>Tableau2[[#This Row],[Total PV client 2019]]-Tableau2[[#This Row],[PV client 
utilisés 2019]]</f>
        <v>15</v>
      </c>
      <c r="M76" s="278"/>
      <c r="N76" s="277">
        <f>SUMIFS(RECAP_VENTE_ANNUELLE!$P:$P,RECAP_VENTE_ANNUELLE!$R:$R,"2020",RECAP_VENTE_ANNUELLE!$B:$B,Tableau2[[#This Row],[Nom_prenom ]])</f>
        <v>0</v>
      </c>
      <c r="O76" s="277"/>
      <c r="P76" s="277">
        <f>Tableau2[[#This Row],[Total PV client 2020]]-Tableau2[[#This Row],[PV client 
utilisés 2020]]</f>
        <v>0</v>
      </c>
      <c r="Q76" s="278"/>
      <c r="R76" s="277">
        <f>SUMIFS(RECAP_VENTE_ANNUELLE!$P:$P,RECAP_VENTE_ANNUELLE!$R:$R,"2021",RECAP_VENTE_ANNUELLE!$B:$B,Tableau2[[#This Row],[Nom_prenom ]])</f>
        <v>0</v>
      </c>
      <c r="S76" s="277"/>
      <c r="T76" s="277">
        <f>Tableau2[[#This Row],[Total PV client 2021]]-Tableau2[[#This Row],[PV client 
utilisés 2021]]</f>
        <v>0</v>
      </c>
      <c r="U76" s="278"/>
      <c r="V76" s="277">
        <f>SUMIFS(RECAP_VENTE_ANNUELLE!$P:$P,RECAP_VENTE_ANNUELLE!$R:$R,"2022",RECAP_VENTE_ANNUELLE!$B:$B,Tableau2[[#This Row],[Nom_prenom ]])</f>
        <v>0</v>
      </c>
      <c r="W76" s="277"/>
      <c r="X76" s="277">
        <f>Tableau2[[#This Row],[Total PV
 client 2022]]-Tableau2[[#This Row],[PV client 
utilisés 2022]]</f>
        <v>0</v>
      </c>
      <c r="Y76" s="278"/>
      <c r="Z76" s="277">
        <f>SUMIFS(RECAP_VENTE_ANNUELLE!$P:$P,RECAP_VENTE_ANNUELLE!$R:$R,"2023",RECAP_VENTE_ANNUELLE!$B:$B,Tableau2[[#This Row],[Nom_prenom ]])</f>
        <v>0</v>
      </c>
      <c r="AA76" s="277"/>
      <c r="AB76" s="277">
        <f>Tableau2[[#This Row],[Total PV
 client 2023]]-Tableau2[[#This Row],[PV client 
utilisés 2023]]</f>
        <v>0</v>
      </c>
      <c r="AC76" s="278"/>
      <c r="AD76" s="277">
        <f>SUMIFS(RECAP_VENTE_ANNUELLE!$P:$P,RECAP_VENTE_ANNUELLE!$R:$R,"2024",RECAP_VENTE_ANNUELLE!$B:$B,Tableau2[[#This Row],[Nom_prenom ]])</f>
        <v>0</v>
      </c>
      <c r="AE76" s="277"/>
      <c r="AF76" s="277">
        <f>Tableau2[[#This Row],[Total PV
 client 2024]]-Tableau2[[#This Row],[PV client 
utilisés 2024]]</f>
        <v>0</v>
      </c>
      <c r="AG76" s="278"/>
      <c r="AH76" s="277">
        <f>SUMIFS(RECAP_VENTE_ANNUELLE!$P:$P,RECAP_VENTE_ANNUELLE!$R:$R,"2025",RECAP_VENTE_ANNUELLE!$B:$B,Tableau2[[#This Row],[Nom_prenom ]])</f>
        <v>0</v>
      </c>
      <c r="AI76" s="277"/>
      <c r="AJ76" s="277">
        <f>Tableau2[[#This Row],[Total PV
 client 2025]]-Tableau2[[#This Row],[PV client 
utilisés 2025]]</f>
        <v>0</v>
      </c>
      <c r="AK76" s="279"/>
    </row>
    <row r="77" spans="1:37">
      <c r="A77" s="85" t="s">
        <v>41</v>
      </c>
      <c r="B77" s="275" t="s">
        <v>874</v>
      </c>
      <c r="C77" s="242" t="s">
        <v>493</v>
      </c>
      <c r="D77" s="242" t="s">
        <v>494</v>
      </c>
      <c r="E77" s="86" t="s">
        <v>495</v>
      </c>
      <c r="F77" s="242" t="s">
        <v>496</v>
      </c>
      <c r="G77" s="149" t="s">
        <v>497</v>
      </c>
      <c r="H77" s="151">
        <f>SUMPRODUCT((Tableau4[Nom_prenom ]=B77)*(Tableau4[Quantités]))</f>
        <v>8</v>
      </c>
      <c r="I77" s="71">
        <f>SUMPRODUCT((Tableau4[Nom_prenom ]=$B77)*(Tableau4[Total_Client]))</f>
        <v>137.30000000000001</v>
      </c>
      <c r="J77" s="277">
        <f>SUMIFS(RECAP_VENTE_ANNUELLE!$P:$P,RECAP_VENTE_ANNUELLE!$R:$R,"2019",RECAP_VENTE_ANNUELLE!$B:$B,Tableau2[[#This Row],[Nom_prenom ]])</f>
        <v>18.5</v>
      </c>
      <c r="K77" s="277"/>
      <c r="L77" s="277">
        <f>Tableau2[[#This Row],[Total PV client 2019]]-Tableau2[[#This Row],[PV client 
utilisés 2019]]</f>
        <v>18.5</v>
      </c>
      <c r="M77" s="278"/>
      <c r="N77" s="277">
        <f>SUMIFS(RECAP_VENTE_ANNUELLE!$P:$P,RECAP_VENTE_ANNUELLE!$R:$R,"2020",RECAP_VENTE_ANNUELLE!$B:$B,Tableau2[[#This Row],[Nom_prenom ]])</f>
        <v>61.5</v>
      </c>
      <c r="O77" s="277"/>
      <c r="P77" s="277">
        <f>Tableau2[[#This Row],[Total PV client 2020]]-Tableau2[[#This Row],[PV client 
utilisés 2020]]</f>
        <v>61.5</v>
      </c>
      <c r="Q77" s="278"/>
      <c r="R77" s="277">
        <f>SUMIFS(RECAP_VENTE_ANNUELLE!$P:$P,RECAP_VENTE_ANNUELLE!$R:$R,"2021",RECAP_VENTE_ANNUELLE!$B:$B,Tableau2[[#This Row],[Nom_prenom ]])</f>
        <v>0</v>
      </c>
      <c r="S77" s="277"/>
      <c r="T77" s="277">
        <f>Tableau2[[#This Row],[Total PV client 2021]]-Tableau2[[#This Row],[PV client 
utilisés 2021]]</f>
        <v>0</v>
      </c>
      <c r="U77" s="278"/>
      <c r="V77" s="277">
        <f>SUMIFS(RECAP_VENTE_ANNUELLE!$P:$P,RECAP_VENTE_ANNUELLE!$R:$R,"2022",RECAP_VENTE_ANNUELLE!$B:$B,Tableau2[[#This Row],[Nom_prenom ]])</f>
        <v>0</v>
      </c>
      <c r="W77" s="277"/>
      <c r="X77" s="277">
        <f>Tableau2[[#This Row],[Total PV
 client 2022]]-Tableau2[[#This Row],[PV client 
utilisés 2022]]</f>
        <v>0</v>
      </c>
      <c r="Y77" s="278"/>
      <c r="Z77" s="277">
        <f>SUMIFS(RECAP_VENTE_ANNUELLE!$P:$P,RECAP_VENTE_ANNUELLE!$R:$R,"2023",RECAP_VENTE_ANNUELLE!$B:$B,Tableau2[[#This Row],[Nom_prenom ]])</f>
        <v>0</v>
      </c>
      <c r="AA77" s="277"/>
      <c r="AB77" s="277">
        <f>Tableau2[[#This Row],[Total PV
 client 2023]]-Tableau2[[#This Row],[PV client 
utilisés 2023]]</f>
        <v>0</v>
      </c>
      <c r="AC77" s="278"/>
      <c r="AD77" s="277">
        <f>SUMIFS(RECAP_VENTE_ANNUELLE!$P:$P,RECAP_VENTE_ANNUELLE!$R:$R,"2024",RECAP_VENTE_ANNUELLE!$B:$B,Tableau2[[#This Row],[Nom_prenom ]])</f>
        <v>0</v>
      </c>
      <c r="AE77" s="277"/>
      <c r="AF77" s="277">
        <f>Tableau2[[#This Row],[Total PV
 client 2024]]-Tableau2[[#This Row],[PV client 
utilisés 2024]]</f>
        <v>0</v>
      </c>
      <c r="AG77" s="278"/>
      <c r="AH77" s="277">
        <f>SUMIFS(RECAP_VENTE_ANNUELLE!$P:$P,RECAP_VENTE_ANNUELLE!$R:$R,"2025",RECAP_VENTE_ANNUELLE!$B:$B,Tableau2[[#This Row],[Nom_prenom ]])</f>
        <v>0</v>
      </c>
      <c r="AI77" s="277"/>
      <c r="AJ77" s="277">
        <f>Tableau2[[#This Row],[Total PV
 client 2025]]-Tableau2[[#This Row],[PV client 
utilisés 2025]]</f>
        <v>0</v>
      </c>
      <c r="AK77" s="279"/>
    </row>
    <row r="78" spans="1:37">
      <c r="A78" s="85" t="s">
        <v>41</v>
      </c>
      <c r="B78" s="275" t="s">
        <v>875</v>
      </c>
      <c r="C78" s="242" t="s">
        <v>498</v>
      </c>
      <c r="D78" s="242" t="s">
        <v>499</v>
      </c>
      <c r="E78" s="86" t="s">
        <v>500</v>
      </c>
      <c r="F78" s="242" t="s">
        <v>501</v>
      </c>
      <c r="G78" s="149" t="s">
        <v>502</v>
      </c>
      <c r="H78" s="151">
        <f>SUMPRODUCT((Tableau4[Nom_prenom ]=B78)*(Tableau4[Quantités]))</f>
        <v>1</v>
      </c>
      <c r="I78" s="71">
        <f>SUMPRODUCT((Tableau4[Nom_prenom ]=$B78)*(Tableau4[Total_Client]))</f>
        <v>30</v>
      </c>
      <c r="J78" s="277">
        <f>SUMIFS(RECAP_VENTE_ANNUELLE!$P:$P,RECAP_VENTE_ANNUELLE!$R:$R,"2019",RECAP_VENTE_ANNUELLE!$B:$B,Tableau2[[#This Row],[Nom_prenom ]])</f>
        <v>18</v>
      </c>
      <c r="K78" s="277"/>
      <c r="L78" s="277">
        <f>Tableau2[[#This Row],[Total PV client 2019]]-Tableau2[[#This Row],[PV client 
utilisés 2019]]</f>
        <v>18</v>
      </c>
      <c r="M78" s="278"/>
      <c r="N78" s="277">
        <f>SUMIFS(RECAP_VENTE_ANNUELLE!$P:$P,RECAP_VENTE_ANNUELLE!$R:$R,"2020",RECAP_VENTE_ANNUELLE!$B:$B,Tableau2[[#This Row],[Nom_prenom ]])</f>
        <v>0</v>
      </c>
      <c r="O78" s="277"/>
      <c r="P78" s="277">
        <f>Tableau2[[#This Row],[Total PV client 2020]]-Tableau2[[#This Row],[PV client 
utilisés 2020]]</f>
        <v>0</v>
      </c>
      <c r="Q78" s="278"/>
      <c r="R78" s="277">
        <f>SUMIFS(RECAP_VENTE_ANNUELLE!$P:$P,RECAP_VENTE_ANNUELLE!$R:$R,"2021",RECAP_VENTE_ANNUELLE!$B:$B,Tableau2[[#This Row],[Nom_prenom ]])</f>
        <v>0</v>
      </c>
      <c r="S78" s="277"/>
      <c r="T78" s="277">
        <f>Tableau2[[#This Row],[Total PV client 2021]]-Tableau2[[#This Row],[PV client 
utilisés 2021]]</f>
        <v>0</v>
      </c>
      <c r="U78" s="278"/>
      <c r="V78" s="277">
        <f>SUMIFS(RECAP_VENTE_ANNUELLE!$P:$P,RECAP_VENTE_ANNUELLE!$R:$R,"2022",RECAP_VENTE_ANNUELLE!$B:$B,Tableau2[[#This Row],[Nom_prenom ]])</f>
        <v>0</v>
      </c>
      <c r="W78" s="277"/>
      <c r="X78" s="277">
        <f>Tableau2[[#This Row],[Total PV
 client 2022]]-Tableau2[[#This Row],[PV client 
utilisés 2022]]</f>
        <v>0</v>
      </c>
      <c r="Y78" s="278"/>
      <c r="Z78" s="277">
        <f>SUMIFS(RECAP_VENTE_ANNUELLE!$P:$P,RECAP_VENTE_ANNUELLE!$R:$R,"2023",RECAP_VENTE_ANNUELLE!$B:$B,Tableau2[[#This Row],[Nom_prenom ]])</f>
        <v>0</v>
      </c>
      <c r="AA78" s="277"/>
      <c r="AB78" s="277">
        <f>Tableau2[[#This Row],[Total PV
 client 2023]]-Tableau2[[#This Row],[PV client 
utilisés 2023]]</f>
        <v>0</v>
      </c>
      <c r="AC78" s="278"/>
      <c r="AD78" s="277">
        <f>SUMIFS(RECAP_VENTE_ANNUELLE!$P:$P,RECAP_VENTE_ANNUELLE!$R:$R,"2024",RECAP_VENTE_ANNUELLE!$B:$B,Tableau2[[#This Row],[Nom_prenom ]])</f>
        <v>0</v>
      </c>
      <c r="AE78" s="277"/>
      <c r="AF78" s="277">
        <f>Tableau2[[#This Row],[Total PV
 client 2024]]-Tableau2[[#This Row],[PV client 
utilisés 2024]]</f>
        <v>0</v>
      </c>
      <c r="AG78" s="278"/>
      <c r="AH78" s="277">
        <f>SUMIFS(RECAP_VENTE_ANNUELLE!$P:$P,RECAP_VENTE_ANNUELLE!$R:$R,"2025",RECAP_VENTE_ANNUELLE!$B:$B,Tableau2[[#This Row],[Nom_prenom ]])</f>
        <v>0</v>
      </c>
      <c r="AI78" s="277"/>
      <c r="AJ78" s="277">
        <f>Tableau2[[#This Row],[Total PV
 client 2025]]-Tableau2[[#This Row],[PV client 
utilisés 2025]]</f>
        <v>0</v>
      </c>
      <c r="AK78" s="279"/>
    </row>
    <row r="79" spans="1:37">
      <c r="A79" s="148" t="s">
        <v>41</v>
      </c>
      <c r="B79" s="275" t="s">
        <v>876</v>
      </c>
      <c r="C79" s="242" t="s">
        <v>503</v>
      </c>
      <c r="D79" s="242" t="s">
        <v>504</v>
      </c>
      <c r="E79" s="86" t="s">
        <v>505</v>
      </c>
      <c r="F79" s="242" t="s">
        <v>506</v>
      </c>
      <c r="G79" s="149" t="s">
        <v>507</v>
      </c>
      <c r="H79" s="151">
        <f>SUMPRODUCT((Tableau4[Nom_prenom ]=B79)*(Tableau4[Quantités]))</f>
        <v>2</v>
      </c>
      <c r="I79" s="71">
        <f>SUMPRODUCT((Tableau4[Nom_prenom ]=$B79)*(Tableau4[Total_Client]))</f>
        <v>54.9</v>
      </c>
      <c r="J79" s="277">
        <f>SUMIFS(RECAP_VENTE_ANNUELLE!$P:$P,RECAP_VENTE_ANNUELLE!$R:$R,"2019",RECAP_VENTE_ANNUELLE!$B:$B,Tableau2[[#This Row],[Nom_prenom ]])</f>
        <v>26.7</v>
      </c>
      <c r="K79" s="277"/>
      <c r="L79" s="277">
        <f>Tableau2[[#This Row],[Total PV client 2019]]-Tableau2[[#This Row],[PV client 
utilisés 2019]]</f>
        <v>26.7</v>
      </c>
      <c r="M79" s="278"/>
      <c r="N79" s="277">
        <f>SUMIFS(RECAP_VENTE_ANNUELLE!$P:$P,RECAP_VENTE_ANNUELLE!$R:$R,"2020",RECAP_VENTE_ANNUELLE!$B:$B,Tableau2[[#This Row],[Nom_prenom ]])</f>
        <v>0</v>
      </c>
      <c r="O79" s="277"/>
      <c r="P79" s="277">
        <f>Tableau2[[#This Row],[Total PV client 2020]]-Tableau2[[#This Row],[PV client 
utilisés 2020]]</f>
        <v>0</v>
      </c>
      <c r="Q79" s="278"/>
      <c r="R79" s="277">
        <f>SUMIFS(RECAP_VENTE_ANNUELLE!$P:$P,RECAP_VENTE_ANNUELLE!$R:$R,"2021",RECAP_VENTE_ANNUELLE!$B:$B,Tableau2[[#This Row],[Nom_prenom ]])</f>
        <v>0</v>
      </c>
      <c r="S79" s="277"/>
      <c r="T79" s="277">
        <f>Tableau2[[#This Row],[Total PV client 2021]]-Tableau2[[#This Row],[PV client 
utilisés 2021]]</f>
        <v>0</v>
      </c>
      <c r="U79" s="278"/>
      <c r="V79" s="277">
        <f>SUMIFS(RECAP_VENTE_ANNUELLE!$P:$P,RECAP_VENTE_ANNUELLE!$R:$R,"2022",RECAP_VENTE_ANNUELLE!$B:$B,Tableau2[[#This Row],[Nom_prenom ]])</f>
        <v>0</v>
      </c>
      <c r="W79" s="277"/>
      <c r="X79" s="277">
        <f>Tableau2[[#This Row],[Total PV
 client 2022]]-Tableau2[[#This Row],[PV client 
utilisés 2022]]</f>
        <v>0</v>
      </c>
      <c r="Y79" s="278"/>
      <c r="Z79" s="277">
        <f>SUMIFS(RECAP_VENTE_ANNUELLE!$P:$P,RECAP_VENTE_ANNUELLE!$R:$R,"2023",RECAP_VENTE_ANNUELLE!$B:$B,Tableau2[[#This Row],[Nom_prenom ]])</f>
        <v>0</v>
      </c>
      <c r="AA79" s="277"/>
      <c r="AB79" s="277">
        <f>Tableau2[[#This Row],[Total PV
 client 2023]]-Tableau2[[#This Row],[PV client 
utilisés 2023]]</f>
        <v>0</v>
      </c>
      <c r="AC79" s="278"/>
      <c r="AD79" s="277">
        <f>SUMIFS(RECAP_VENTE_ANNUELLE!$P:$P,RECAP_VENTE_ANNUELLE!$R:$R,"2024",RECAP_VENTE_ANNUELLE!$B:$B,Tableau2[[#This Row],[Nom_prenom ]])</f>
        <v>0</v>
      </c>
      <c r="AE79" s="277"/>
      <c r="AF79" s="277">
        <f>Tableau2[[#This Row],[Total PV
 client 2024]]-Tableau2[[#This Row],[PV client 
utilisés 2024]]</f>
        <v>0</v>
      </c>
      <c r="AG79" s="278"/>
      <c r="AH79" s="277">
        <f>SUMIFS(RECAP_VENTE_ANNUELLE!$P:$P,RECAP_VENTE_ANNUELLE!$R:$R,"2025",RECAP_VENTE_ANNUELLE!$B:$B,Tableau2[[#This Row],[Nom_prenom ]])</f>
        <v>0</v>
      </c>
      <c r="AI79" s="277"/>
      <c r="AJ79" s="277">
        <f>Tableau2[[#This Row],[Total PV
 client 2025]]-Tableau2[[#This Row],[PV client 
utilisés 2025]]</f>
        <v>0</v>
      </c>
      <c r="AK79" s="279"/>
    </row>
    <row r="80" spans="1:37">
      <c r="A80" s="85" t="s">
        <v>41</v>
      </c>
      <c r="B80" s="275" t="s">
        <v>877</v>
      </c>
      <c r="C80" s="242" t="s">
        <v>508</v>
      </c>
      <c r="D80" s="242" t="s">
        <v>509</v>
      </c>
      <c r="E80" s="86" t="s">
        <v>510</v>
      </c>
      <c r="F80" s="242" t="s">
        <v>511</v>
      </c>
      <c r="G80" s="149" t="s">
        <v>512</v>
      </c>
      <c r="H80" s="151">
        <f>SUMPRODUCT((Tableau4[Nom_prenom ]=B80)*(Tableau4[Quantités]))</f>
        <v>2</v>
      </c>
      <c r="I80" s="71">
        <f>SUMPRODUCT((Tableau4[Nom_prenom ]=$B80)*(Tableau4[Total_Client]))</f>
        <v>49.4</v>
      </c>
      <c r="J80" s="277">
        <f>SUMIFS(RECAP_VENTE_ANNUELLE!$P:$P,RECAP_VENTE_ANNUELLE!$R:$R,"2019",RECAP_VENTE_ANNUELLE!$B:$B,Tableau2[[#This Row],[Nom_prenom ]])</f>
        <v>30</v>
      </c>
      <c r="K80" s="277"/>
      <c r="L80" s="277">
        <f>Tableau2[[#This Row],[Total PV client 2019]]-Tableau2[[#This Row],[PV client 
utilisés 2019]]</f>
        <v>30</v>
      </c>
      <c r="M80" s="278"/>
      <c r="N80" s="277">
        <f>SUMIFS(RECAP_VENTE_ANNUELLE!$P:$P,RECAP_VENTE_ANNUELLE!$R:$R,"2020",RECAP_VENTE_ANNUELLE!$B:$B,Tableau2[[#This Row],[Nom_prenom ]])</f>
        <v>0</v>
      </c>
      <c r="O80" s="277"/>
      <c r="P80" s="277">
        <f>Tableau2[[#This Row],[Total PV client 2020]]-Tableau2[[#This Row],[PV client 
utilisés 2020]]</f>
        <v>0</v>
      </c>
      <c r="Q80" s="278"/>
      <c r="R80" s="277">
        <f>SUMIFS(RECAP_VENTE_ANNUELLE!$P:$P,RECAP_VENTE_ANNUELLE!$R:$R,"2021",RECAP_VENTE_ANNUELLE!$B:$B,Tableau2[[#This Row],[Nom_prenom ]])</f>
        <v>0</v>
      </c>
      <c r="S80" s="277"/>
      <c r="T80" s="277">
        <f>Tableau2[[#This Row],[Total PV client 2021]]-Tableau2[[#This Row],[PV client 
utilisés 2021]]</f>
        <v>0</v>
      </c>
      <c r="U80" s="278"/>
      <c r="V80" s="277">
        <f>SUMIFS(RECAP_VENTE_ANNUELLE!$P:$P,RECAP_VENTE_ANNUELLE!$R:$R,"2022",RECAP_VENTE_ANNUELLE!$B:$B,Tableau2[[#This Row],[Nom_prenom ]])</f>
        <v>0</v>
      </c>
      <c r="W80" s="277"/>
      <c r="X80" s="277">
        <f>Tableau2[[#This Row],[Total PV
 client 2022]]-Tableau2[[#This Row],[PV client 
utilisés 2022]]</f>
        <v>0</v>
      </c>
      <c r="Y80" s="278"/>
      <c r="Z80" s="277">
        <f>SUMIFS(RECAP_VENTE_ANNUELLE!$P:$P,RECAP_VENTE_ANNUELLE!$R:$R,"2023",RECAP_VENTE_ANNUELLE!$B:$B,Tableau2[[#This Row],[Nom_prenom ]])</f>
        <v>0</v>
      </c>
      <c r="AA80" s="277"/>
      <c r="AB80" s="277">
        <f>Tableau2[[#This Row],[Total PV
 client 2023]]-Tableau2[[#This Row],[PV client 
utilisés 2023]]</f>
        <v>0</v>
      </c>
      <c r="AC80" s="278"/>
      <c r="AD80" s="277">
        <f>SUMIFS(RECAP_VENTE_ANNUELLE!$P:$P,RECAP_VENTE_ANNUELLE!$R:$R,"2024",RECAP_VENTE_ANNUELLE!$B:$B,Tableau2[[#This Row],[Nom_prenom ]])</f>
        <v>0</v>
      </c>
      <c r="AE80" s="277"/>
      <c r="AF80" s="277">
        <f>Tableau2[[#This Row],[Total PV
 client 2024]]-Tableau2[[#This Row],[PV client 
utilisés 2024]]</f>
        <v>0</v>
      </c>
      <c r="AG80" s="278"/>
      <c r="AH80" s="277">
        <f>SUMIFS(RECAP_VENTE_ANNUELLE!$P:$P,RECAP_VENTE_ANNUELLE!$R:$R,"2025",RECAP_VENTE_ANNUELLE!$B:$B,Tableau2[[#This Row],[Nom_prenom ]])</f>
        <v>0</v>
      </c>
      <c r="AI80" s="277"/>
      <c r="AJ80" s="277">
        <f>Tableau2[[#This Row],[Total PV
 client 2025]]-Tableau2[[#This Row],[PV client 
utilisés 2025]]</f>
        <v>0</v>
      </c>
      <c r="AK80" s="279"/>
    </row>
    <row r="81" spans="1:37">
      <c r="A81" s="85" t="s">
        <v>41</v>
      </c>
      <c r="B81" s="275" t="s">
        <v>878</v>
      </c>
      <c r="C81" s="242" t="s">
        <v>513</v>
      </c>
      <c r="D81" s="242" t="s">
        <v>514</v>
      </c>
      <c r="E81" s="86" t="s">
        <v>515</v>
      </c>
      <c r="F81" s="242" t="s">
        <v>516</v>
      </c>
      <c r="G81" s="149" t="s">
        <v>517</v>
      </c>
      <c r="H81" s="151">
        <f>SUMPRODUCT((Tableau4[Nom_prenom ]=B81)*(Tableau4[Quantités]))</f>
        <v>2</v>
      </c>
      <c r="I81" s="71">
        <f>SUMPRODUCT((Tableau4[Nom_prenom ]=$B81)*(Tableau4[Total_Client]))</f>
        <v>52.8</v>
      </c>
      <c r="J81" s="277">
        <f>SUMIFS(RECAP_VENTE_ANNUELLE!$P:$P,RECAP_VENTE_ANNUELLE!$R:$R,"2019",RECAP_VENTE_ANNUELLE!$B:$B,Tableau2[[#This Row],[Nom_prenom ]])</f>
        <v>11</v>
      </c>
      <c r="K81" s="277"/>
      <c r="L81" s="277">
        <f>Tableau2[[#This Row],[Total PV client 2019]]-Tableau2[[#This Row],[PV client 
utilisés 2019]]</f>
        <v>11</v>
      </c>
      <c r="M81" s="278"/>
      <c r="N81" s="277">
        <f>SUMIFS(RECAP_VENTE_ANNUELLE!$P:$P,RECAP_VENTE_ANNUELLE!$R:$R,"2020",RECAP_VENTE_ANNUELLE!$B:$B,Tableau2[[#This Row],[Nom_prenom ]])</f>
        <v>18</v>
      </c>
      <c r="O81" s="277"/>
      <c r="P81" s="277">
        <f>Tableau2[[#This Row],[Total PV client 2020]]-Tableau2[[#This Row],[PV client 
utilisés 2020]]</f>
        <v>18</v>
      </c>
      <c r="Q81" s="278"/>
      <c r="R81" s="277">
        <f>SUMIFS(RECAP_VENTE_ANNUELLE!$P:$P,RECAP_VENTE_ANNUELLE!$R:$R,"2021",RECAP_VENTE_ANNUELLE!$B:$B,Tableau2[[#This Row],[Nom_prenom ]])</f>
        <v>0</v>
      </c>
      <c r="S81" s="277"/>
      <c r="T81" s="277">
        <f>Tableau2[[#This Row],[Total PV client 2021]]-Tableau2[[#This Row],[PV client 
utilisés 2021]]</f>
        <v>0</v>
      </c>
      <c r="U81" s="278"/>
      <c r="V81" s="277">
        <f>SUMIFS(RECAP_VENTE_ANNUELLE!$P:$P,RECAP_VENTE_ANNUELLE!$R:$R,"2022",RECAP_VENTE_ANNUELLE!$B:$B,Tableau2[[#This Row],[Nom_prenom ]])</f>
        <v>0</v>
      </c>
      <c r="W81" s="277"/>
      <c r="X81" s="277">
        <f>Tableau2[[#This Row],[Total PV
 client 2022]]-Tableau2[[#This Row],[PV client 
utilisés 2022]]</f>
        <v>0</v>
      </c>
      <c r="Y81" s="278"/>
      <c r="Z81" s="277">
        <f>SUMIFS(RECAP_VENTE_ANNUELLE!$P:$P,RECAP_VENTE_ANNUELLE!$R:$R,"2023",RECAP_VENTE_ANNUELLE!$B:$B,Tableau2[[#This Row],[Nom_prenom ]])</f>
        <v>0</v>
      </c>
      <c r="AA81" s="277"/>
      <c r="AB81" s="277">
        <f>Tableau2[[#This Row],[Total PV
 client 2023]]-Tableau2[[#This Row],[PV client 
utilisés 2023]]</f>
        <v>0</v>
      </c>
      <c r="AC81" s="278"/>
      <c r="AD81" s="277">
        <f>SUMIFS(RECAP_VENTE_ANNUELLE!$P:$P,RECAP_VENTE_ANNUELLE!$R:$R,"2024",RECAP_VENTE_ANNUELLE!$B:$B,Tableau2[[#This Row],[Nom_prenom ]])</f>
        <v>0</v>
      </c>
      <c r="AE81" s="277"/>
      <c r="AF81" s="277">
        <f>Tableau2[[#This Row],[Total PV
 client 2024]]-Tableau2[[#This Row],[PV client 
utilisés 2024]]</f>
        <v>0</v>
      </c>
      <c r="AG81" s="278"/>
      <c r="AH81" s="277">
        <f>SUMIFS(RECAP_VENTE_ANNUELLE!$P:$P,RECAP_VENTE_ANNUELLE!$R:$R,"2025",RECAP_VENTE_ANNUELLE!$B:$B,Tableau2[[#This Row],[Nom_prenom ]])</f>
        <v>0</v>
      </c>
      <c r="AI81" s="277"/>
      <c r="AJ81" s="277">
        <f>Tableau2[[#This Row],[Total PV
 client 2025]]-Tableau2[[#This Row],[PV client 
utilisés 2025]]</f>
        <v>0</v>
      </c>
      <c r="AK81" s="279"/>
    </row>
    <row r="82" spans="1:37">
      <c r="A82" s="148" t="s">
        <v>41</v>
      </c>
      <c r="B82" s="275" t="s">
        <v>879</v>
      </c>
      <c r="C82" s="242" t="s">
        <v>518</v>
      </c>
      <c r="D82" s="242" t="s">
        <v>519</v>
      </c>
      <c r="E82" s="86" t="s">
        <v>520</v>
      </c>
      <c r="F82" s="242" t="s">
        <v>521</v>
      </c>
      <c r="G82" s="149" t="s">
        <v>522</v>
      </c>
      <c r="H82" s="151">
        <f>SUMPRODUCT((Tableau4[Nom_prenom ]=B82)*(Tableau4[Quantités]))</f>
        <v>2</v>
      </c>
      <c r="I82" s="71">
        <f>SUMPRODUCT((Tableau4[Nom_prenom ]=$B82)*(Tableau4[Total_Client]))</f>
        <v>10</v>
      </c>
      <c r="J82" s="277">
        <f>SUMIFS(RECAP_VENTE_ANNUELLE!$P:$P,RECAP_VENTE_ANNUELLE!$R:$R,"2019",RECAP_VENTE_ANNUELLE!$B:$B,Tableau2[[#This Row],[Nom_prenom ]])</f>
        <v>3</v>
      </c>
      <c r="K82" s="277"/>
      <c r="L82" s="277">
        <f>Tableau2[[#This Row],[Total PV client 2019]]-Tableau2[[#This Row],[PV client 
utilisés 2019]]</f>
        <v>3</v>
      </c>
      <c r="M82" s="278"/>
      <c r="N82" s="277">
        <f>SUMIFS(RECAP_VENTE_ANNUELLE!$P:$P,RECAP_VENTE_ANNUELLE!$R:$R,"2020",RECAP_VENTE_ANNUELLE!$B:$B,Tableau2[[#This Row],[Nom_prenom ]])</f>
        <v>0</v>
      </c>
      <c r="O82" s="277"/>
      <c r="P82" s="277">
        <f>Tableau2[[#This Row],[Total PV client 2020]]-Tableau2[[#This Row],[PV client 
utilisés 2020]]</f>
        <v>0</v>
      </c>
      <c r="Q82" s="278"/>
      <c r="R82" s="277">
        <f>SUMIFS(RECAP_VENTE_ANNUELLE!$P:$P,RECAP_VENTE_ANNUELLE!$R:$R,"2021",RECAP_VENTE_ANNUELLE!$B:$B,Tableau2[[#This Row],[Nom_prenom ]])</f>
        <v>0</v>
      </c>
      <c r="S82" s="277"/>
      <c r="T82" s="277">
        <f>Tableau2[[#This Row],[Total PV client 2021]]-Tableau2[[#This Row],[PV client 
utilisés 2021]]</f>
        <v>0</v>
      </c>
      <c r="U82" s="278"/>
      <c r="V82" s="277">
        <f>SUMIFS(RECAP_VENTE_ANNUELLE!$P:$P,RECAP_VENTE_ANNUELLE!$R:$R,"2022",RECAP_VENTE_ANNUELLE!$B:$B,Tableau2[[#This Row],[Nom_prenom ]])</f>
        <v>0</v>
      </c>
      <c r="W82" s="277"/>
      <c r="X82" s="277">
        <f>Tableau2[[#This Row],[Total PV
 client 2022]]-Tableau2[[#This Row],[PV client 
utilisés 2022]]</f>
        <v>0</v>
      </c>
      <c r="Y82" s="278"/>
      <c r="Z82" s="277">
        <f>SUMIFS(RECAP_VENTE_ANNUELLE!$P:$P,RECAP_VENTE_ANNUELLE!$R:$R,"2023",RECAP_VENTE_ANNUELLE!$B:$B,Tableau2[[#This Row],[Nom_prenom ]])</f>
        <v>0</v>
      </c>
      <c r="AA82" s="277"/>
      <c r="AB82" s="277">
        <f>Tableau2[[#This Row],[Total PV
 client 2023]]-Tableau2[[#This Row],[PV client 
utilisés 2023]]</f>
        <v>0</v>
      </c>
      <c r="AC82" s="278"/>
      <c r="AD82" s="277">
        <f>SUMIFS(RECAP_VENTE_ANNUELLE!$P:$P,RECAP_VENTE_ANNUELLE!$R:$R,"2024",RECAP_VENTE_ANNUELLE!$B:$B,Tableau2[[#This Row],[Nom_prenom ]])</f>
        <v>0</v>
      </c>
      <c r="AE82" s="277"/>
      <c r="AF82" s="277">
        <f>Tableau2[[#This Row],[Total PV
 client 2024]]-Tableau2[[#This Row],[PV client 
utilisés 2024]]</f>
        <v>0</v>
      </c>
      <c r="AG82" s="278"/>
      <c r="AH82" s="277">
        <f>SUMIFS(RECAP_VENTE_ANNUELLE!$P:$P,RECAP_VENTE_ANNUELLE!$R:$R,"2025",RECAP_VENTE_ANNUELLE!$B:$B,Tableau2[[#This Row],[Nom_prenom ]])</f>
        <v>0</v>
      </c>
      <c r="AI82" s="277"/>
      <c r="AJ82" s="277">
        <f>Tableau2[[#This Row],[Total PV
 client 2025]]-Tableau2[[#This Row],[PV client 
utilisés 2025]]</f>
        <v>0</v>
      </c>
      <c r="AK82" s="279"/>
    </row>
    <row r="83" spans="1:37">
      <c r="A83" s="85" t="s">
        <v>41</v>
      </c>
      <c r="B83" s="275" t="s">
        <v>880</v>
      </c>
      <c r="C83" s="242" t="s">
        <v>523</v>
      </c>
      <c r="D83" s="242" t="s">
        <v>524</v>
      </c>
      <c r="E83" s="86" t="s">
        <v>525</v>
      </c>
      <c r="F83" s="242" t="s">
        <v>526</v>
      </c>
      <c r="G83" s="149" t="s">
        <v>527</v>
      </c>
      <c r="H83" s="151">
        <f>SUMPRODUCT((Tableau4[Nom_prenom ]=B83)*(Tableau4[Quantités]))</f>
        <v>6</v>
      </c>
      <c r="I83" s="71">
        <f>SUMPRODUCT((Tableau4[Nom_prenom ]=$B83)*(Tableau4[Total_Client]))</f>
        <v>109.4</v>
      </c>
      <c r="J83" s="277">
        <f>SUMIFS(RECAP_VENTE_ANNUELLE!$P:$P,RECAP_VENTE_ANNUELLE!$R:$R,"2019",RECAP_VENTE_ANNUELLE!$B:$B,Tableau2[[#This Row],[Nom_prenom ]])</f>
        <v>60</v>
      </c>
      <c r="K83" s="277"/>
      <c r="L83" s="277">
        <f>Tableau2[[#This Row],[Total PV client 2019]]-Tableau2[[#This Row],[PV client 
utilisés 2019]]</f>
        <v>60</v>
      </c>
      <c r="M83" s="278"/>
      <c r="N83" s="277">
        <f>SUMIFS(RECAP_VENTE_ANNUELLE!$P:$P,RECAP_VENTE_ANNUELLE!$R:$R,"2020",RECAP_VENTE_ANNUELLE!$B:$B,Tableau2[[#This Row],[Nom_prenom ]])</f>
        <v>0</v>
      </c>
      <c r="O83" s="277"/>
      <c r="P83" s="277">
        <f>Tableau2[[#This Row],[Total PV client 2020]]-Tableau2[[#This Row],[PV client 
utilisés 2020]]</f>
        <v>0</v>
      </c>
      <c r="Q83" s="278"/>
      <c r="R83" s="277">
        <f>SUMIFS(RECAP_VENTE_ANNUELLE!$P:$P,RECAP_VENTE_ANNUELLE!$R:$R,"2021",RECAP_VENTE_ANNUELLE!$B:$B,Tableau2[[#This Row],[Nom_prenom ]])</f>
        <v>0</v>
      </c>
      <c r="S83" s="277"/>
      <c r="T83" s="277">
        <f>Tableau2[[#This Row],[Total PV client 2021]]-Tableau2[[#This Row],[PV client 
utilisés 2021]]</f>
        <v>0</v>
      </c>
      <c r="U83" s="278"/>
      <c r="V83" s="277">
        <f>SUMIFS(RECAP_VENTE_ANNUELLE!$P:$P,RECAP_VENTE_ANNUELLE!$R:$R,"2022",RECAP_VENTE_ANNUELLE!$B:$B,Tableau2[[#This Row],[Nom_prenom ]])</f>
        <v>0</v>
      </c>
      <c r="W83" s="277"/>
      <c r="X83" s="277">
        <f>Tableau2[[#This Row],[Total PV
 client 2022]]-Tableau2[[#This Row],[PV client 
utilisés 2022]]</f>
        <v>0</v>
      </c>
      <c r="Y83" s="278"/>
      <c r="Z83" s="277">
        <f>SUMIFS(RECAP_VENTE_ANNUELLE!$P:$P,RECAP_VENTE_ANNUELLE!$R:$R,"2023",RECAP_VENTE_ANNUELLE!$B:$B,Tableau2[[#This Row],[Nom_prenom ]])</f>
        <v>0</v>
      </c>
      <c r="AA83" s="277"/>
      <c r="AB83" s="277">
        <f>Tableau2[[#This Row],[Total PV
 client 2023]]-Tableau2[[#This Row],[PV client 
utilisés 2023]]</f>
        <v>0</v>
      </c>
      <c r="AC83" s="278"/>
      <c r="AD83" s="277">
        <f>SUMIFS(RECAP_VENTE_ANNUELLE!$P:$P,RECAP_VENTE_ANNUELLE!$R:$R,"2024",RECAP_VENTE_ANNUELLE!$B:$B,Tableau2[[#This Row],[Nom_prenom ]])</f>
        <v>0</v>
      </c>
      <c r="AE83" s="277"/>
      <c r="AF83" s="277">
        <f>Tableau2[[#This Row],[Total PV
 client 2024]]-Tableau2[[#This Row],[PV client 
utilisés 2024]]</f>
        <v>0</v>
      </c>
      <c r="AG83" s="278"/>
      <c r="AH83" s="277">
        <f>SUMIFS(RECAP_VENTE_ANNUELLE!$P:$P,RECAP_VENTE_ANNUELLE!$R:$R,"2025",RECAP_VENTE_ANNUELLE!$B:$B,Tableau2[[#This Row],[Nom_prenom ]])</f>
        <v>0</v>
      </c>
      <c r="AI83" s="277"/>
      <c r="AJ83" s="277">
        <f>Tableau2[[#This Row],[Total PV
 client 2025]]-Tableau2[[#This Row],[PV client 
utilisés 2025]]</f>
        <v>0</v>
      </c>
      <c r="AK83" s="279"/>
    </row>
    <row r="84" spans="1:37">
      <c r="A84" s="85" t="s">
        <v>41</v>
      </c>
      <c r="B84" s="275" t="s">
        <v>881</v>
      </c>
      <c r="C84" s="242" t="s">
        <v>528</v>
      </c>
      <c r="D84" s="242" t="s">
        <v>529</v>
      </c>
      <c r="E84" s="86" t="s">
        <v>530</v>
      </c>
      <c r="F84" s="242" t="s">
        <v>531</v>
      </c>
      <c r="G84" s="149" t="s">
        <v>532</v>
      </c>
      <c r="H84" s="151">
        <f>SUMPRODUCT((Tableau4[Nom_prenom ]=B84)*(Tableau4[Quantités]))</f>
        <v>8</v>
      </c>
      <c r="I84" s="71">
        <f>SUMPRODUCT((Tableau4[Nom_prenom ]=$B84)*(Tableau4[Total_Client]))</f>
        <v>84.5</v>
      </c>
      <c r="J84" s="277">
        <f>SUMIFS(RECAP_VENTE_ANNUELLE!$P:$P,RECAP_VENTE_ANNUELLE!$R:$R,"2019",RECAP_VENTE_ANNUELLE!$B:$B,Tableau2[[#This Row],[Nom_prenom ]])</f>
        <v>61.599999999999994</v>
      </c>
      <c r="K84" s="277"/>
      <c r="L84" s="277">
        <f>Tableau2[[#This Row],[Total PV client 2019]]-Tableau2[[#This Row],[PV client 
utilisés 2019]]</f>
        <v>61.599999999999994</v>
      </c>
      <c r="M84" s="278"/>
      <c r="N84" s="277">
        <f>SUMIFS(RECAP_VENTE_ANNUELLE!$P:$P,RECAP_VENTE_ANNUELLE!$R:$R,"2020",RECAP_VENTE_ANNUELLE!$B:$B,Tableau2[[#This Row],[Nom_prenom ]])</f>
        <v>0</v>
      </c>
      <c r="O84" s="277"/>
      <c r="P84" s="277">
        <f>Tableau2[[#This Row],[Total PV client 2020]]-Tableau2[[#This Row],[PV client 
utilisés 2020]]</f>
        <v>0</v>
      </c>
      <c r="Q84" s="278"/>
      <c r="R84" s="277">
        <f>SUMIFS(RECAP_VENTE_ANNUELLE!$P:$P,RECAP_VENTE_ANNUELLE!$R:$R,"2021",RECAP_VENTE_ANNUELLE!$B:$B,Tableau2[[#This Row],[Nom_prenom ]])</f>
        <v>0</v>
      </c>
      <c r="S84" s="277"/>
      <c r="T84" s="277">
        <f>Tableau2[[#This Row],[Total PV client 2021]]-Tableau2[[#This Row],[PV client 
utilisés 2021]]</f>
        <v>0</v>
      </c>
      <c r="U84" s="278"/>
      <c r="V84" s="277">
        <f>SUMIFS(RECAP_VENTE_ANNUELLE!$P:$P,RECAP_VENTE_ANNUELLE!$R:$R,"2022",RECAP_VENTE_ANNUELLE!$B:$B,Tableau2[[#This Row],[Nom_prenom ]])</f>
        <v>0</v>
      </c>
      <c r="W84" s="277"/>
      <c r="X84" s="277">
        <f>Tableau2[[#This Row],[Total PV
 client 2022]]-Tableau2[[#This Row],[PV client 
utilisés 2022]]</f>
        <v>0</v>
      </c>
      <c r="Y84" s="278"/>
      <c r="Z84" s="277">
        <f>SUMIFS(RECAP_VENTE_ANNUELLE!$P:$P,RECAP_VENTE_ANNUELLE!$R:$R,"2023",RECAP_VENTE_ANNUELLE!$B:$B,Tableau2[[#This Row],[Nom_prenom ]])</f>
        <v>0</v>
      </c>
      <c r="AA84" s="277"/>
      <c r="AB84" s="277">
        <f>Tableau2[[#This Row],[Total PV
 client 2023]]-Tableau2[[#This Row],[PV client 
utilisés 2023]]</f>
        <v>0</v>
      </c>
      <c r="AC84" s="278"/>
      <c r="AD84" s="277">
        <f>SUMIFS(RECAP_VENTE_ANNUELLE!$P:$P,RECAP_VENTE_ANNUELLE!$R:$R,"2024",RECAP_VENTE_ANNUELLE!$B:$B,Tableau2[[#This Row],[Nom_prenom ]])</f>
        <v>0</v>
      </c>
      <c r="AE84" s="277"/>
      <c r="AF84" s="277">
        <f>Tableau2[[#This Row],[Total PV
 client 2024]]-Tableau2[[#This Row],[PV client 
utilisés 2024]]</f>
        <v>0</v>
      </c>
      <c r="AG84" s="278"/>
      <c r="AH84" s="277">
        <f>SUMIFS(RECAP_VENTE_ANNUELLE!$P:$P,RECAP_VENTE_ANNUELLE!$R:$R,"2025",RECAP_VENTE_ANNUELLE!$B:$B,Tableau2[[#This Row],[Nom_prenom ]])</f>
        <v>0</v>
      </c>
      <c r="AI84" s="277"/>
      <c r="AJ84" s="277">
        <f>Tableau2[[#This Row],[Total PV
 client 2025]]-Tableau2[[#This Row],[PV client 
utilisés 2025]]</f>
        <v>0</v>
      </c>
      <c r="AK84" s="279"/>
    </row>
    <row r="85" spans="1:37">
      <c r="A85" s="148" t="s">
        <v>41</v>
      </c>
      <c r="B85" s="275" t="s">
        <v>882</v>
      </c>
      <c r="C85" s="242" t="s">
        <v>533</v>
      </c>
      <c r="D85" s="242" t="s">
        <v>534</v>
      </c>
      <c r="E85" s="86" t="s">
        <v>535</v>
      </c>
      <c r="F85" s="242" t="s">
        <v>536</v>
      </c>
      <c r="G85" s="149" t="s">
        <v>537</v>
      </c>
      <c r="H85" s="151">
        <f>SUMPRODUCT((Tableau4[Nom_prenom ]=B85)*(Tableau4[Quantités]))</f>
        <v>1</v>
      </c>
      <c r="I85" s="71">
        <f>SUMPRODUCT((Tableau4[Nom_prenom ]=$B85)*(Tableau4[Total_Client]))</f>
        <v>19.899999999999999</v>
      </c>
      <c r="J85" s="277">
        <f>SUMIFS(RECAP_VENTE_ANNUELLE!$P:$P,RECAP_VENTE_ANNUELLE!$R:$R,"2019",RECAP_VENTE_ANNUELLE!$B:$B,Tableau2[[#This Row],[Nom_prenom ]])</f>
        <v>11</v>
      </c>
      <c r="K85" s="277"/>
      <c r="L85" s="277">
        <f>Tableau2[[#This Row],[Total PV client 2019]]-Tableau2[[#This Row],[PV client 
utilisés 2019]]</f>
        <v>11</v>
      </c>
      <c r="M85" s="278"/>
      <c r="N85" s="277">
        <f>SUMIFS(RECAP_VENTE_ANNUELLE!$P:$P,RECAP_VENTE_ANNUELLE!$R:$R,"2020",RECAP_VENTE_ANNUELLE!$B:$B,Tableau2[[#This Row],[Nom_prenom ]])</f>
        <v>0</v>
      </c>
      <c r="O85" s="277"/>
      <c r="P85" s="277">
        <f>Tableau2[[#This Row],[Total PV client 2020]]-Tableau2[[#This Row],[PV client 
utilisés 2020]]</f>
        <v>0</v>
      </c>
      <c r="Q85" s="278"/>
      <c r="R85" s="277">
        <f>SUMIFS(RECAP_VENTE_ANNUELLE!$P:$P,RECAP_VENTE_ANNUELLE!$R:$R,"2021",RECAP_VENTE_ANNUELLE!$B:$B,Tableau2[[#This Row],[Nom_prenom ]])</f>
        <v>0</v>
      </c>
      <c r="S85" s="277"/>
      <c r="T85" s="277">
        <f>Tableau2[[#This Row],[Total PV client 2021]]-Tableau2[[#This Row],[PV client 
utilisés 2021]]</f>
        <v>0</v>
      </c>
      <c r="U85" s="278"/>
      <c r="V85" s="277">
        <f>SUMIFS(RECAP_VENTE_ANNUELLE!$P:$P,RECAP_VENTE_ANNUELLE!$R:$R,"2022",RECAP_VENTE_ANNUELLE!$B:$B,Tableau2[[#This Row],[Nom_prenom ]])</f>
        <v>0</v>
      </c>
      <c r="W85" s="277"/>
      <c r="X85" s="277">
        <f>Tableau2[[#This Row],[Total PV
 client 2022]]-Tableau2[[#This Row],[PV client 
utilisés 2022]]</f>
        <v>0</v>
      </c>
      <c r="Y85" s="278"/>
      <c r="Z85" s="277">
        <f>SUMIFS(RECAP_VENTE_ANNUELLE!$P:$P,RECAP_VENTE_ANNUELLE!$R:$R,"2023",RECAP_VENTE_ANNUELLE!$B:$B,Tableau2[[#This Row],[Nom_prenom ]])</f>
        <v>0</v>
      </c>
      <c r="AA85" s="277"/>
      <c r="AB85" s="277">
        <f>Tableau2[[#This Row],[Total PV
 client 2023]]-Tableau2[[#This Row],[PV client 
utilisés 2023]]</f>
        <v>0</v>
      </c>
      <c r="AC85" s="278"/>
      <c r="AD85" s="277">
        <f>SUMIFS(RECAP_VENTE_ANNUELLE!$P:$P,RECAP_VENTE_ANNUELLE!$R:$R,"2024",RECAP_VENTE_ANNUELLE!$B:$B,Tableau2[[#This Row],[Nom_prenom ]])</f>
        <v>0</v>
      </c>
      <c r="AE85" s="277"/>
      <c r="AF85" s="277">
        <f>Tableau2[[#This Row],[Total PV
 client 2024]]-Tableau2[[#This Row],[PV client 
utilisés 2024]]</f>
        <v>0</v>
      </c>
      <c r="AG85" s="278"/>
      <c r="AH85" s="277">
        <f>SUMIFS(RECAP_VENTE_ANNUELLE!$P:$P,RECAP_VENTE_ANNUELLE!$R:$R,"2025",RECAP_VENTE_ANNUELLE!$B:$B,Tableau2[[#This Row],[Nom_prenom ]])</f>
        <v>0</v>
      </c>
      <c r="AI85" s="277"/>
      <c r="AJ85" s="277">
        <f>Tableau2[[#This Row],[Total PV
 client 2025]]-Tableau2[[#This Row],[PV client 
utilisés 2025]]</f>
        <v>0</v>
      </c>
      <c r="AK85" s="279"/>
    </row>
    <row r="86" spans="1:37">
      <c r="A86" s="85" t="s">
        <v>41</v>
      </c>
      <c r="B86" s="275" t="s">
        <v>883</v>
      </c>
      <c r="C86" s="242" t="s">
        <v>538</v>
      </c>
      <c r="D86" s="242" t="s">
        <v>539</v>
      </c>
      <c r="E86" s="86" t="s">
        <v>540</v>
      </c>
      <c r="F86" s="242" t="s">
        <v>541</v>
      </c>
      <c r="G86" s="149" t="s">
        <v>542</v>
      </c>
      <c r="H86" s="151">
        <f>SUMPRODUCT((Tableau4[Nom_prenom ]=B86)*(Tableau4[Quantités]))</f>
        <v>2</v>
      </c>
      <c r="I86" s="71">
        <f>SUMPRODUCT((Tableau4[Nom_prenom ]=$B86)*(Tableau4[Total_Client]))</f>
        <v>44.3</v>
      </c>
      <c r="J86" s="277">
        <f>SUMIFS(RECAP_VENTE_ANNUELLE!$P:$P,RECAP_VENTE_ANNUELLE!$R:$R,"2019",RECAP_VENTE_ANNUELLE!$B:$B,Tableau2[[#This Row],[Nom_prenom ]])</f>
        <v>26</v>
      </c>
      <c r="K86" s="277"/>
      <c r="L86" s="277">
        <f>Tableau2[[#This Row],[Total PV client 2019]]-Tableau2[[#This Row],[PV client 
utilisés 2019]]</f>
        <v>26</v>
      </c>
      <c r="M86" s="278"/>
      <c r="N86" s="277">
        <f>SUMIFS(RECAP_VENTE_ANNUELLE!$P:$P,RECAP_VENTE_ANNUELLE!$R:$R,"2020",RECAP_VENTE_ANNUELLE!$B:$B,Tableau2[[#This Row],[Nom_prenom ]])</f>
        <v>0</v>
      </c>
      <c r="O86" s="277"/>
      <c r="P86" s="277">
        <f>Tableau2[[#This Row],[Total PV client 2020]]-Tableau2[[#This Row],[PV client 
utilisés 2020]]</f>
        <v>0</v>
      </c>
      <c r="Q86" s="278"/>
      <c r="R86" s="277">
        <f>SUMIFS(RECAP_VENTE_ANNUELLE!$P:$P,RECAP_VENTE_ANNUELLE!$R:$R,"2021",RECAP_VENTE_ANNUELLE!$B:$B,Tableau2[[#This Row],[Nom_prenom ]])</f>
        <v>0</v>
      </c>
      <c r="S86" s="277"/>
      <c r="T86" s="277">
        <f>Tableau2[[#This Row],[Total PV client 2021]]-Tableau2[[#This Row],[PV client 
utilisés 2021]]</f>
        <v>0</v>
      </c>
      <c r="U86" s="278"/>
      <c r="V86" s="277">
        <f>SUMIFS(RECAP_VENTE_ANNUELLE!$P:$P,RECAP_VENTE_ANNUELLE!$R:$R,"2022",RECAP_VENTE_ANNUELLE!$B:$B,Tableau2[[#This Row],[Nom_prenom ]])</f>
        <v>0</v>
      </c>
      <c r="W86" s="277"/>
      <c r="X86" s="277">
        <f>Tableau2[[#This Row],[Total PV
 client 2022]]-Tableau2[[#This Row],[PV client 
utilisés 2022]]</f>
        <v>0</v>
      </c>
      <c r="Y86" s="278"/>
      <c r="Z86" s="277">
        <f>SUMIFS(RECAP_VENTE_ANNUELLE!$P:$P,RECAP_VENTE_ANNUELLE!$R:$R,"2023",RECAP_VENTE_ANNUELLE!$B:$B,Tableau2[[#This Row],[Nom_prenom ]])</f>
        <v>0</v>
      </c>
      <c r="AA86" s="277"/>
      <c r="AB86" s="277">
        <f>Tableau2[[#This Row],[Total PV
 client 2023]]-Tableau2[[#This Row],[PV client 
utilisés 2023]]</f>
        <v>0</v>
      </c>
      <c r="AC86" s="278"/>
      <c r="AD86" s="277">
        <f>SUMIFS(RECAP_VENTE_ANNUELLE!$P:$P,RECAP_VENTE_ANNUELLE!$R:$R,"2024",RECAP_VENTE_ANNUELLE!$B:$B,Tableau2[[#This Row],[Nom_prenom ]])</f>
        <v>0</v>
      </c>
      <c r="AE86" s="277"/>
      <c r="AF86" s="277">
        <f>Tableau2[[#This Row],[Total PV
 client 2024]]-Tableau2[[#This Row],[PV client 
utilisés 2024]]</f>
        <v>0</v>
      </c>
      <c r="AG86" s="278"/>
      <c r="AH86" s="277">
        <f>SUMIFS(RECAP_VENTE_ANNUELLE!$P:$P,RECAP_VENTE_ANNUELLE!$R:$R,"2025",RECAP_VENTE_ANNUELLE!$B:$B,Tableau2[[#This Row],[Nom_prenom ]])</f>
        <v>0</v>
      </c>
      <c r="AI86" s="277"/>
      <c r="AJ86" s="277">
        <f>Tableau2[[#This Row],[Total PV
 client 2025]]-Tableau2[[#This Row],[PV client 
utilisés 2025]]</f>
        <v>0</v>
      </c>
      <c r="AK86" s="279"/>
    </row>
    <row r="87" spans="1:37">
      <c r="A87" s="85" t="s">
        <v>41</v>
      </c>
      <c r="B87" s="275" t="s">
        <v>884</v>
      </c>
      <c r="C87" s="242" t="s">
        <v>543</v>
      </c>
      <c r="D87" s="242" t="s">
        <v>544</v>
      </c>
      <c r="E87" s="86" t="s">
        <v>545</v>
      </c>
      <c r="F87" s="242" t="s">
        <v>546</v>
      </c>
      <c r="G87" s="149" t="s">
        <v>547</v>
      </c>
      <c r="H87" s="151">
        <f>SUMPRODUCT((Tableau4[Nom_prenom ]=B87)*(Tableau4[Quantités]))</f>
        <v>7</v>
      </c>
      <c r="I87" s="71">
        <f>SUMPRODUCT((Tableau4[Nom_prenom ]=$B87)*(Tableau4[Total_Client]))</f>
        <v>174.3</v>
      </c>
      <c r="J87" s="277">
        <f>SUMIFS(RECAP_VENTE_ANNUELLE!$P:$P,RECAP_VENTE_ANNUELLE!$R:$R,"2019",RECAP_VENTE_ANNUELLE!$B:$B,Tableau2[[#This Row],[Nom_prenom ]])</f>
        <v>81</v>
      </c>
      <c r="K87" s="277"/>
      <c r="L87" s="277">
        <f>Tableau2[[#This Row],[Total PV client 2019]]-Tableau2[[#This Row],[PV client 
utilisés 2019]]</f>
        <v>81</v>
      </c>
      <c r="M87" s="278"/>
      <c r="N87" s="277">
        <f>SUMIFS(RECAP_VENTE_ANNUELLE!$P:$P,RECAP_VENTE_ANNUELLE!$R:$R,"2020",RECAP_VENTE_ANNUELLE!$B:$B,Tableau2[[#This Row],[Nom_prenom ]])</f>
        <v>8</v>
      </c>
      <c r="O87" s="277"/>
      <c r="P87" s="277">
        <f>Tableau2[[#This Row],[Total PV client 2020]]-Tableau2[[#This Row],[PV client 
utilisés 2020]]</f>
        <v>8</v>
      </c>
      <c r="Q87" s="278"/>
      <c r="R87" s="277">
        <f>SUMIFS(RECAP_VENTE_ANNUELLE!$P:$P,RECAP_VENTE_ANNUELLE!$R:$R,"2021",RECAP_VENTE_ANNUELLE!$B:$B,Tableau2[[#This Row],[Nom_prenom ]])</f>
        <v>0</v>
      </c>
      <c r="S87" s="277"/>
      <c r="T87" s="277">
        <f>Tableau2[[#This Row],[Total PV client 2021]]-Tableau2[[#This Row],[PV client 
utilisés 2021]]</f>
        <v>0</v>
      </c>
      <c r="U87" s="278"/>
      <c r="V87" s="277">
        <f>SUMIFS(RECAP_VENTE_ANNUELLE!$P:$P,RECAP_VENTE_ANNUELLE!$R:$R,"2022",RECAP_VENTE_ANNUELLE!$B:$B,Tableau2[[#This Row],[Nom_prenom ]])</f>
        <v>0</v>
      </c>
      <c r="W87" s="277"/>
      <c r="X87" s="277">
        <f>Tableau2[[#This Row],[Total PV
 client 2022]]-Tableau2[[#This Row],[PV client 
utilisés 2022]]</f>
        <v>0</v>
      </c>
      <c r="Y87" s="278"/>
      <c r="Z87" s="277">
        <f>SUMIFS(RECAP_VENTE_ANNUELLE!$P:$P,RECAP_VENTE_ANNUELLE!$R:$R,"2023",RECAP_VENTE_ANNUELLE!$B:$B,Tableau2[[#This Row],[Nom_prenom ]])</f>
        <v>0</v>
      </c>
      <c r="AA87" s="277"/>
      <c r="AB87" s="277">
        <f>Tableau2[[#This Row],[Total PV
 client 2023]]-Tableau2[[#This Row],[PV client 
utilisés 2023]]</f>
        <v>0</v>
      </c>
      <c r="AC87" s="278"/>
      <c r="AD87" s="277">
        <f>SUMIFS(RECAP_VENTE_ANNUELLE!$P:$P,RECAP_VENTE_ANNUELLE!$R:$R,"2024",RECAP_VENTE_ANNUELLE!$B:$B,Tableau2[[#This Row],[Nom_prenom ]])</f>
        <v>0</v>
      </c>
      <c r="AE87" s="277"/>
      <c r="AF87" s="277">
        <f>Tableau2[[#This Row],[Total PV
 client 2024]]-Tableau2[[#This Row],[PV client 
utilisés 2024]]</f>
        <v>0</v>
      </c>
      <c r="AG87" s="278"/>
      <c r="AH87" s="277">
        <f>SUMIFS(RECAP_VENTE_ANNUELLE!$P:$P,RECAP_VENTE_ANNUELLE!$R:$R,"2025",RECAP_VENTE_ANNUELLE!$B:$B,Tableau2[[#This Row],[Nom_prenom ]])</f>
        <v>0</v>
      </c>
      <c r="AI87" s="277"/>
      <c r="AJ87" s="277">
        <f>Tableau2[[#This Row],[Total PV
 client 2025]]-Tableau2[[#This Row],[PV client 
utilisés 2025]]</f>
        <v>0</v>
      </c>
      <c r="AK87" s="279"/>
    </row>
    <row r="88" spans="1:37">
      <c r="A88" s="85" t="s">
        <v>41</v>
      </c>
      <c r="B88" s="275" t="s">
        <v>885</v>
      </c>
      <c r="C88" s="242" t="s">
        <v>548</v>
      </c>
      <c r="D88" s="242" t="s">
        <v>549</v>
      </c>
      <c r="E88" s="86" t="s">
        <v>550</v>
      </c>
      <c r="F88" s="242" t="s">
        <v>551</v>
      </c>
      <c r="G88" s="149" t="s">
        <v>552</v>
      </c>
      <c r="H88" s="151">
        <f>SUMPRODUCT((Tableau4[Nom_prenom ]=B88)*(Tableau4[Quantités]))</f>
        <v>8</v>
      </c>
      <c r="I88" s="71">
        <f>SUMPRODUCT((Tableau4[Nom_prenom ]=$B88)*(Tableau4[Total_Client]))</f>
        <v>113.4</v>
      </c>
      <c r="J88" s="277">
        <f>SUMIFS(RECAP_VENTE_ANNUELLE!$P:$P,RECAP_VENTE_ANNUELLE!$R:$R,"2019",RECAP_VENTE_ANNUELLE!$B:$B,Tableau2[[#This Row],[Nom_prenom ]])</f>
        <v>47</v>
      </c>
      <c r="K88" s="277"/>
      <c r="L88" s="277">
        <f>Tableau2[[#This Row],[Total PV client 2019]]-Tableau2[[#This Row],[PV client 
utilisés 2019]]</f>
        <v>47</v>
      </c>
      <c r="M88" s="278"/>
      <c r="N88" s="277">
        <f>SUMIFS(RECAP_VENTE_ANNUELLE!$P:$P,RECAP_VENTE_ANNUELLE!$R:$R,"2020",RECAP_VENTE_ANNUELLE!$B:$B,Tableau2[[#This Row],[Nom_prenom ]])</f>
        <v>18</v>
      </c>
      <c r="O88" s="277"/>
      <c r="P88" s="277">
        <f>Tableau2[[#This Row],[Total PV client 2020]]-Tableau2[[#This Row],[PV client 
utilisés 2020]]</f>
        <v>18</v>
      </c>
      <c r="Q88" s="278"/>
      <c r="R88" s="277">
        <f>SUMIFS(RECAP_VENTE_ANNUELLE!$P:$P,RECAP_VENTE_ANNUELLE!$R:$R,"2021",RECAP_VENTE_ANNUELLE!$B:$B,Tableau2[[#This Row],[Nom_prenom ]])</f>
        <v>0</v>
      </c>
      <c r="S88" s="277"/>
      <c r="T88" s="277">
        <f>Tableau2[[#This Row],[Total PV client 2021]]-Tableau2[[#This Row],[PV client 
utilisés 2021]]</f>
        <v>0</v>
      </c>
      <c r="U88" s="278"/>
      <c r="V88" s="277">
        <f>SUMIFS(RECAP_VENTE_ANNUELLE!$P:$P,RECAP_VENTE_ANNUELLE!$R:$R,"2022",RECAP_VENTE_ANNUELLE!$B:$B,Tableau2[[#This Row],[Nom_prenom ]])</f>
        <v>0</v>
      </c>
      <c r="W88" s="277"/>
      <c r="X88" s="277">
        <f>Tableau2[[#This Row],[Total PV
 client 2022]]-Tableau2[[#This Row],[PV client 
utilisés 2022]]</f>
        <v>0</v>
      </c>
      <c r="Y88" s="278"/>
      <c r="Z88" s="277">
        <f>SUMIFS(RECAP_VENTE_ANNUELLE!$P:$P,RECAP_VENTE_ANNUELLE!$R:$R,"2023",RECAP_VENTE_ANNUELLE!$B:$B,Tableau2[[#This Row],[Nom_prenom ]])</f>
        <v>0</v>
      </c>
      <c r="AA88" s="277"/>
      <c r="AB88" s="277">
        <f>Tableau2[[#This Row],[Total PV
 client 2023]]-Tableau2[[#This Row],[PV client 
utilisés 2023]]</f>
        <v>0</v>
      </c>
      <c r="AC88" s="278"/>
      <c r="AD88" s="277">
        <f>SUMIFS(RECAP_VENTE_ANNUELLE!$P:$P,RECAP_VENTE_ANNUELLE!$R:$R,"2024",RECAP_VENTE_ANNUELLE!$B:$B,Tableau2[[#This Row],[Nom_prenom ]])</f>
        <v>0</v>
      </c>
      <c r="AE88" s="277"/>
      <c r="AF88" s="277">
        <f>Tableau2[[#This Row],[Total PV
 client 2024]]-Tableau2[[#This Row],[PV client 
utilisés 2024]]</f>
        <v>0</v>
      </c>
      <c r="AG88" s="278"/>
      <c r="AH88" s="277">
        <f>SUMIFS(RECAP_VENTE_ANNUELLE!$P:$P,RECAP_VENTE_ANNUELLE!$R:$R,"2025",RECAP_VENTE_ANNUELLE!$B:$B,Tableau2[[#This Row],[Nom_prenom ]])</f>
        <v>0</v>
      </c>
      <c r="AI88" s="277"/>
      <c r="AJ88" s="277">
        <f>Tableau2[[#This Row],[Total PV
 client 2025]]-Tableau2[[#This Row],[PV client 
utilisés 2025]]</f>
        <v>0</v>
      </c>
      <c r="AK88" s="279"/>
    </row>
    <row r="89" spans="1:37">
      <c r="A89" s="85" t="s">
        <v>41</v>
      </c>
      <c r="B89" s="275" t="s">
        <v>886</v>
      </c>
      <c r="C89" s="242" t="s">
        <v>553</v>
      </c>
      <c r="D89" s="242" t="s">
        <v>554</v>
      </c>
      <c r="E89" s="86" t="s">
        <v>555</v>
      </c>
      <c r="F89" s="242" t="s">
        <v>556</v>
      </c>
      <c r="G89" s="149" t="s">
        <v>557</v>
      </c>
      <c r="H89" s="151">
        <f>SUMPRODUCT((Tableau4[Nom_prenom ]=B89)*(Tableau4[Quantités]))</f>
        <v>2</v>
      </c>
      <c r="I89" s="71">
        <f>SUMPRODUCT((Tableau4[Nom_prenom ]=$B89)*(Tableau4[Total_Client]))</f>
        <v>37.9</v>
      </c>
      <c r="J89" s="277">
        <f>SUMIFS(RECAP_VENTE_ANNUELLE!$P:$P,RECAP_VENTE_ANNUELLE!$R:$R,"2019",RECAP_VENTE_ANNUELLE!$B:$B,Tableau2[[#This Row],[Nom_prenom ]])</f>
        <v>0</v>
      </c>
      <c r="K89" s="277"/>
      <c r="L89" s="277">
        <f>Tableau2[[#This Row],[Total PV client 2019]]-Tableau2[[#This Row],[PV client 
utilisés 2019]]</f>
        <v>0</v>
      </c>
      <c r="M89" s="278"/>
      <c r="N89" s="277">
        <f>SUMIFS(RECAP_VENTE_ANNUELLE!$P:$P,RECAP_VENTE_ANNUELLE!$R:$R,"2020",RECAP_VENTE_ANNUELLE!$B:$B,Tableau2[[#This Row],[Nom_prenom ]])</f>
        <v>21.5</v>
      </c>
      <c r="O89" s="277"/>
      <c r="P89" s="277">
        <f>Tableau2[[#This Row],[Total PV client 2020]]-Tableau2[[#This Row],[PV client 
utilisés 2020]]</f>
        <v>21.5</v>
      </c>
      <c r="Q89" s="278"/>
      <c r="R89" s="277">
        <f>SUMIFS(RECAP_VENTE_ANNUELLE!$P:$P,RECAP_VENTE_ANNUELLE!$R:$R,"2021",RECAP_VENTE_ANNUELLE!$B:$B,Tableau2[[#This Row],[Nom_prenom ]])</f>
        <v>0</v>
      </c>
      <c r="S89" s="277"/>
      <c r="T89" s="277">
        <f>Tableau2[[#This Row],[Total PV client 2021]]-Tableau2[[#This Row],[PV client 
utilisés 2021]]</f>
        <v>0</v>
      </c>
      <c r="U89" s="278"/>
      <c r="V89" s="277">
        <f>SUMIFS(RECAP_VENTE_ANNUELLE!$P:$P,RECAP_VENTE_ANNUELLE!$R:$R,"2022",RECAP_VENTE_ANNUELLE!$B:$B,Tableau2[[#This Row],[Nom_prenom ]])</f>
        <v>0</v>
      </c>
      <c r="W89" s="277"/>
      <c r="X89" s="277">
        <f>Tableau2[[#This Row],[Total PV
 client 2022]]-Tableau2[[#This Row],[PV client 
utilisés 2022]]</f>
        <v>0</v>
      </c>
      <c r="Y89" s="278"/>
      <c r="Z89" s="277">
        <f>SUMIFS(RECAP_VENTE_ANNUELLE!$P:$P,RECAP_VENTE_ANNUELLE!$R:$R,"2023",RECAP_VENTE_ANNUELLE!$B:$B,Tableau2[[#This Row],[Nom_prenom ]])</f>
        <v>0</v>
      </c>
      <c r="AA89" s="277"/>
      <c r="AB89" s="277">
        <f>Tableau2[[#This Row],[Total PV
 client 2023]]-Tableau2[[#This Row],[PV client 
utilisés 2023]]</f>
        <v>0</v>
      </c>
      <c r="AC89" s="278"/>
      <c r="AD89" s="277">
        <f>SUMIFS(RECAP_VENTE_ANNUELLE!$P:$P,RECAP_VENTE_ANNUELLE!$R:$R,"2024",RECAP_VENTE_ANNUELLE!$B:$B,Tableau2[[#This Row],[Nom_prenom ]])</f>
        <v>0</v>
      </c>
      <c r="AE89" s="277"/>
      <c r="AF89" s="277">
        <f>Tableau2[[#This Row],[Total PV
 client 2024]]-Tableau2[[#This Row],[PV client 
utilisés 2024]]</f>
        <v>0</v>
      </c>
      <c r="AG89" s="278"/>
      <c r="AH89" s="277">
        <f>SUMIFS(RECAP_VENTE_ANNUELLE!$P:$P,RECAP_VENTE_ANNUELLE!$R:$R,"2025",RECAP_VENTE_ANNUELLE!$B:$B,Tableau2[[#This Row],[Nom_prenom ]])</f>
        <v>0</v>
      </c>
      <c r="AI89" s="277"/>
      <c r="AJ89" s="277">
        <f>Tableau2[[#This Row],[Total PV
 client 2025]]-Tableau2[[#This Row],[PV client 
utilisés 2025]]</f>
        <v>0</v>
      </c>
      <c r="AK89" s="279"/>
    </row>
    <row r="90" spans="1:37">
      <c r="A90" s="85" t="s">
        <v>41</v>
      </c>
      <c r="B90" s="275" t="s">
        <v>887</v>
      </c>
      <c r="C90" s="242" t="s">
        <v>558</v>
      </c>
      <c r="D90" s="242" t="s">
        <v>559</v>
      </c>
      <c r="E90" s="86" t="s">
        <v>560</v>
      </c>
      <c r="F90" s="242" t="s">
        <v>561</v>
      </c>
      <c r="G90" s="149" t="s">
        <v>562</v>
      </c>
      <c r="H90" s="151">
        <f>SUMPRODUCT((Tableau4[Nom_prenom ]=B90)*(Tableau4[Quantités]))</f>
        <v>6</v>
      </c>
      <c r="I90" s="71">
        <f>SUMPRODUCT((Tableau4[Nom_prenom ]=$B90)*(Tableau4[Total_Client]))</f>
        <v>99.6</v>
      </c>
      <c r="J90" s="277">
        <f>SUMIFS(RECAP_VENTE_ANNUELLE!$P:$P,RECAP_VENTE_ANNUELLE!$R:$R,"2019",RECAP_VENTE_ANNUELLE!$B:$B,Tableau2[[#This Row],[Nom_prenom ]])</f>
        <v>0</v>
      </c>
      <c r="K90" s="277"/>
      <c r="L90" s="277">
        <f>Tableau2[[#This Row],[Total PV client 2019]]-Tableau2[[#This Row],[PV client 
utilisés 2019]]</f>
        <v>0</v>
      </c>
      <c r="M90" s="278"/>
      <c r="N90" s="277">
        <f>SUMIFS(RECAP_VENTE_ANNUELLE!$P:$P,RECAP_VENTE_ANNUELLE!$R:$R,"2020",RECAP_VENTE_ANNUELLE!$B:$B,Tableau2[[#This Row],[Nom_prenom ]])</f>
        <v>58.5</v>
      </c>
      <c r="O90" s="277"/>
      <c r="P90" s="277">
        <f>Tableau2[[#This Row],[Total PV client 2020]]-Tableau2[[#This Row],[PV client 
utilisés 2020]]</f>
        <v>58.5</v>
      </c>
      <c r="Q90" s="278"/>
      <c r="R90" s="277">
        <f>SUMIFS(RECAP_VENTE_ANNUELLE!$P:$P,RECAP_VENTE_ANNUELLE!$R:$R,"2021",RECAP_VENTE_ANNUELLE!$B:$B,Tableau2[[#This Row],[Nom_prenom ]])</f>
        <v>0</v>
      </c>
      <c r="S90" s="277"/>
      <c r="T90" s="277">
        <f>Tableau2[[#This Row],[Total PV client 2021]]-Tableau2[[#This Row],[PV client 
utilisés 2021]]</f>
        <v>0</v>
      </c>
      <c r="U90" s="278"/>
      <c r="V90" s="277">
        <f>SUMIFS(RECAP_VENTE_ANNUELLE!$P:$P,RECAP_VENTE_ANNUELLE!$R:$R,"2022",RECAP_VENTE_ANNUELLE!$B:$B,Tableau2[[#This Row],[Nom_prenom ]])</f>
        <v>0</v>
      </c>
      <c r="W90" s="277"/>
      <c r="X90" s="277">
        <f>Tableau2[[#This Row],[Total PV
 client 2022]]-Tableau2[[#This Row],[PV client 
utilisés 2022]]</f>
        <v>0</v>
      </c>
      <c r="Y90" s="278"/>
      <c r="Z90" s="277">
        <f>SUMIFS(RECAP_VENTE_ANNUELLE!$P:$P,RECAP_VENTE_ANNUELLE!$R:$R,"2023",RECAP_VENTE_ANNUELLE!$B:$B,Tableau2[[#This Row],[Nom_prenom ]])</f>
        <v>0</v>
      </c>
      <c r="AA90" s="277"/>
      <c r="AB90" s="277">
        <f>Tableau2[[#This Row],[Total PV
 client 2023]]-Tableau2[[#This Row],[PV client 
utilisés 2023]]</f>
        <v>0</v>
      </c>
      <c r="AC90" s="278"/>
      <c r="AD90" s="277">
        <f>SUMIFS(RECAP_VENTE_ANNUELLE!$P:$P,RECAP_VENTE_ANNUELLE!$R:$R,"2024",RECAP_VENTE_ANNUELLE!$B:$B,Tableau2[[#This Row],[Nom_prenom ]])</f>
        <v>0</v>
      </c>
      <c r="AE90" s="277"/>
      <c r="AF90" s="277">
        <f>Tableau2[[#This Row],[Total PV
 client 2024]]-Tableau2[[#This Row],[PV client 
utilisés 2024]]</f>
        <v>0</v>
      </c>
      <c r="AG90" s="278"/>
      <c r="AH90" s="277">
        <f>SUMIFS(RECAP_VENTE_ANNUELLE!$P:$P,RECAP_VENTE_ANNUELLE!$R:$R,"2025",RECAP_VENTE_ANNUELLE!$B:$B,Tableau2[[#This Row],[Nom_prenom ]])</f>
        <v>0</v>
      </c>
      <c r="AI90" s="277"/>
      <c r="AJ90" s="277">
        <f>Tableau2[[#This Row],[Total PV
 client 2025]]-Tableau2[[#This Row],[PV client 
utilisés 2025]]</f>
        <v>0</v>
      </c>
      <c r="AK90" s="279"/>
    </row>
    <row r="91" spans="1:37">
      <c r="A91" s="85" t="s">
        <v>41</v>
      </c>
      <c r="B91" s="275" t="s">
        <v>888</v>
      </c>
      <c r="C91" s="242" t="s">
        <v>563</v>
      </c>
      <c r="D91" s="242" t="s">
        <v>564</v>
      </c>
      <c r="E91" s="86" t="s">
        <v>565</v>
      </c>
      <c r="F91" s="242" t="s">
        <v>566</v>
      </c>
      <c r="G91" s="149" t="s">
        <v>567</v>
      </c>
      <c r="H91" s="151">
        <f>SUMPRODUCT((Tableau4[Nom_prenom ]=B91)*(Tableau4[Quantités]))</f>
        <v>2</v>
      </c>
      <c r="I91" s="71">
        <f>SUMPRODUCT((Tableau4[Nom_prenom ]=$B91)*(Tableau4[Total_Client]))</f>
        <v>14.9</v>
      </c>
      <c r="J91" s="277">
        <f>SUMIFS(RECAP_VENTE_ANNUELLE!$P:$P,RECAP_VENTE_ANNUELLE!$R:$R,"2019",RECAP_VENTE_ANNUELLE!$B:$B,Tableau2[[#This Row],[Nom_prenom ]])</f>
        <v>6.5</v>
      </c>
      <c r="K91" s="277"/>
      <c r="L91" s="277">
        <f>Tableau2[[#This Row],[Total PV client 2019]]-Tableau2[[#This Row],[PV client 
utilisés 2019]]</f>
        <v>6.5</v>
      </c>
      <c r="M91" s="278"/>
      <c r="N91" s="277">
        <f>SUMIFS(RECAP_VENTE_ANNUELLE!$P:$P,RECAP_VENTE_ANNUELLE!$R:$R,"2020",RECAP_VENTE_ANNUELLE!$B:$B,Tableau2[[#This Row],[Nom_prenom ]])</f>
        <v>0</v>
      </c>
      <c r="O91" s="277"/>
      <c r="P91" s="277">
        <f>Tableau2[[#This Row],[Total PV client 2020]]-Tableau2[[#This Row],[PV client 
utilisés 2020]]</f>
        <v>0</v>
      </c>
      <c r="Q91" s="278"/>
      <c r="R91" s="277">
        <f>SUMIFS(RECAP_VENTE_ANNUELLE!$P:$P,RECAP_VENTE_ANNUELLE!$R:$R,"2021",RECAP_VENTE_ANNUELLE!$B:$B,Tableau2[[#This Row],[Nom_prenom ]])</f>
        <v>0</v>
      </c>
      <c r="S91" s="277"/>
      <c r="T91" s="277">
        <f>Tableau2[[#This Row],[Total PV client 2021]]-Tableau2[[#This Row],[PV client 
utilisés 2021]]</f>
        <v>0</v>
      </c>
      <c r="U91" s="278"/>
      <c r="V91" s="277">
        <f>SUMIFS(RECAP_VENTE_ANNUELLE!$P:$P,RECAP_VENTE_ANNUELLE!$R:$R,"2022",RECAP_VENTE_ANNUELLE!$B:$B,Tableau2[[#This Row],[Nom_prenom ]])</f>
        <v>0</v>
      </c>
      <c r="W91" s="277"/>
      <c r="X91" s="277">
        <f>Tableau2[[#This Row],[Total PV
 client 2022]]-Tableau2[[#This Row],[PV client 
utilisés 2022]]</f>
        <v>0</v>
      </c>
      <c r="Y91" s="278"/>
      <c r="Z91" s="277">
        <f>SUMIFS(RECAP_VENTE_ANNUELLE!$P:$P,RECAP_VENTE_ANNUELLE!$R:$R,"2023",RECAP_VENTE_ANNUELLE!$B:$B,Tableau2[[#This Row],[Nom_prenom ]])</f>
        <v>0</v>
      </c>
      <c r="AA91" s="277"/>
      <c r="AB91" s="277">
        <f>Tableau2[[#This Row],[Total PV
 client 2023]]-Tableau2[[#This Row],[PV client 
utilisés 2023]]</f>
        <v>0</v>
      </c>
      <c r="AC91" s="278"/>
      <c r="AD91" s="277">
        <f>SUMIFS(RECAP_VENTE_ANNUELLE!$P:$P,RECAP_VENTE_ANNUELLE!$R:$R,"2024",RECAP_VENTE_ANNUELLE!$B:$B,Tableau2[[#This Row],[Nom_prenom ]])</f>
        <v>0</v>
      </c>
      <c r="AE91" s="277"/>
      <c r="AF91" s="277">
        <f>Tableau2[[#This Row],[Total PV
 client 2024]]-Tableau2[[#This Row],[PV client 
utilisés 2024]]</f>
        <v>0</v>
      </c>
      <c r="AG91" s="278"/>
      <c r="AH91" s="277">
        <f>SUMIFS(RECAP_VENTE_ANNUELLE!$P:$P,RECAP_VENTE_ANNUELLE!$R:$R,"2025",RECAP_VENTE_ANNUELLE!$B:$B,Tableau2[[#This Row],[Nom_prenom ]])</f>
        <v>0</v>
      </c>
      <c r="AI91" s="277"/>
      <c r="AJ91" s="277">
        <f>Tableau2[[#This Row],[Total PV
 client 2025]]-Tableau2[[#This Row],[PV client 
utilisés 2025]]</f>
        <v>0</v>
      </c>
      <c r="AK91" s="279"/>
    </row>
    <row r="92" spans="1:37">
      <c r="A92" s="148" t="s">
        <v>41</v>
      </c>
      <c r="B92" s="275" t="s">
        <v>889</v>
      </c>
      <c r="C92" s="242" t="s">
        <v>568</v>
      </c>
      <c r="D92" s="242" t="s">
        <v>569</v>
      </c>
      <c r="E92" s="86" t="s">
        <v>570</v>
      </c>
      <c r="F92" s="242" t="s">
        <v>571</v>
      </c>
      <c r="G92" s="149" t="s">
        <v>572</v>
      </c>
      <c r="H92" s="151">
        <f>SUMPRODUCT((Tableau4[Nom_prenom ]=B92)*(Tableau4[Quantités]))</f>
        <v>18</v>
      </c>
      <c r="I92" s="71">
        <f>SUMPRODUCT((Tableau4[Nom_prenom ]=$B92)*(Tableau4[Total_Client]))</f>
        <v>145.6</v>
      </c>
      <c r="J92" s="277">
        <f>SUMIFS(RECAP_VENTE_ANNUELLE!$P:$P,RECAP_VENTE_ANNUELLE!$R:$R,"2019",RECAP_VENTE_ANNUELLE!$B:$B,Tableau2[[#This Row],[Nom_prenom ]])</f>
        <v>30</v>
      </c>
      <c r="K92" s="277"/>
      <c r="L92" s="277">
        <f>Tableau2[[#This Row],[Total PV client 2019]]-Tableau2[[#This Row],[PV client 
utilisés 2019]]</f>
        <v>30</v>
      </c>
      <c r="M92" s="278"/>
      <c r="N92" s="277">
        <f>SUMIFS(RECAP_VENTE_ANNUELLE!$P:$P,RECAP_VENTE_ANNUELLE!$R:$R,"2020",RECAP_VENTE_ANNUELLE!$B:$B,Tableau2[[#This Row],[Nom_prenom ]])</f>
        <v>37</v>
      </c>
      <c r="O92" s="277"/>
      <c r="P92" s="277">
        <f>Tableau2[[#This Row],[Total PV client 2020]]-Tableau2[[#This Row],[PV client 
utilisés 2020]]</f>
        <v>37</v>
      </c>
      <c r="Q92" s="278"/>
      <c r="R92" s="277">
        <f>SUMIFS(RECAP_VENTE_ANNUELLE!$P:$P,RECAP_VENTE_ANNUELLE!$R:$R,"2021",RECAP_VENTE_ANNUELLE!$B:$B,Tableau2[[#This Row],[Nom_prenom ]])</f>
        <v>0</v>
      </c>
      <c r="S92" s="277"/>
      <c r="T92" s="277">
        <f>Tableau2[[#This Row],[Total PV client 2021]]-Tableau2[[#This Row],[PV client 
utilisés 2021]]</f>
        <v>0</v>
      </c>
      <c r="U92" s="278"/>
      <c r="V92" s="277">
        <f>SUMIFS(RECAP_VENTE_ANNUELLE!$P:$P,RECAP_VENTE_ANNUELLE!$R:$R,"2022",RECAP_VENTE_ANNUELLE!$B:$B,Tableau2[[#This Row],[Nom_prenom ]])</f>
        <v>0</v>
      </c>
      <c r="W92" s="277"/>
      <c r="X92" s="277">
        <f>Tableau2[[#This Row],[Total PV
 client 2022]]-Tableau2[[#This Row],[PV client 
utilisés 2022]]</f>
        <v>0</v>
      </c>
      <c r="Y92" s="278"/>
      <c r="Z92" s="277">
        <f>SUMIFS(RECAP_VENTE_ANNUELLE!$P:$P,RECAP_VENTE_ANNUELLE!$R:$R,"2023",RECAP_VENTE_ANNUELLE!$B:$B,Tableau2[[#This Row],[Nom_prenom ]])</f>
        <v>0</v>
      </c>
      <c r="AA92" s="277"/>
      <c r="AB92" s="277">
        <f>Tableau2[[#This Row],[Total PV
 client 2023]]-Tableau2[[#This Row],[PV client 
utilisés 2023]]</f>
        <v>0</v>
      </c>
      <c r="AC92" s="278"/>
      <c r="AD92" s="277">
        <f>SUMIFS(RECAP_VENTE_ANNUELLE!$P:$P,RECAP_VENTE_ANNUELLE!$R:$R,"2024",RECAP_VENTE_ANNUELLE!$B:$B,Tableau2[[#This Row],[Nom_prenom ]])</f>
        <v>0</v>
      </c>
      <c r="AE92" s="277"/>
      <c r="AF92" s="277">
        <f>Tableau2[[#This Row],[Total PV
 client 2024]]-Tableau2[[#This Row],[PV client 
utilisés 2024]]</f>
        <v>0</v>
      </c>
      <c r="AG92" s="278"/>
      <c r="AH92" s="277">
        <f>SUMIFS(RECAP_VENTE_ANNUELLE!$P:$P,RECAP_VENTE_ANNUELLE!$R:$R,"2025",RECAP_VENTE_ANNUELLE!$B:$B,Tableau2[[#This Row],[Nom_prenom ]])</f>
        <v>0</v>
      </c>
      <c r="AI92" s="277"/>
      <c r="AJ92" s="277">
        <f>Tableau2[[#This Row],[Total PV
 client 2025]]-Tableau2[[#This Row],[PV client 
utilisés 2025]]</f>
        <v>0</v>
      </c>
      <c r="AK92" s="279"/>
    </row>
    <row r="93" spans="1:37">
      <c r="A93" s="85" t="s">
        <v>41</v>
      </c>
      <c r="B93" s="275" t="s">
        <v>890</v>
      </c>
      <c r="C93" s="242" t="s">
        <v>573</v>
      </c>
      <c r="D93" s="242" t="s">
        <v>574</v>
      </c>
      <c r="E93" s="86" t="s">
        <v>575</v>
      </c>
      <c r="F93" s="242" t="s">
        <v>576</v>
      </c>
      <c r="G93" s="149" t="s">
        <v>577</v>
      </c>
      <c r="H93" s="151">
        <f>SUMPRODUCT((Tableau4[Nom_prenom ]=B93)*(Tableau4[Quantités]))</f>
        <v>1</v>
      </c>
      <c r="I93" s="71">
        <f>SUMPRODUCT((Tableau4[Nom_prenom ]=$B93)*(Tableau4[Total_Client]))</f>
        <v>30</v>
      </c>
      <c r="J93" s="277">
        <f>SUMIFS(RECAP_VENTE_ANNUELLE!$P:$P,RECAP_VENTE_ANNUELLE!$R:$R,"2019",RECAP_VENTE_ANNUELLE!$B:$B,Tableau2[[#This Row],[Nom_prenom ]])</f>
        <v>0</v>
      </c>
      <c r="K93" s="277"/>
      <c r="L93" s="277">
        <f>Tableau2[[#This Row],[Total PV client 2019]]-Tableau2[[#This Row],[PV client 
utilisés 2019]]</f>
        <v>0</v>
      </c>
      <c r="M93" s="278"/>
      <c r="N93" s="277">
        <f>SUMIFS(RECAP_VENTE_ANNUELLE!$P:$P,RECAP_VENTE_ANNUELLE!$R:$R,"2020",RECAP_VENTE_ANNUELLE!$B:$B,Tableau2[[#This Row],[Nom_prenom ]])</f>
        <v>18</v>
      </c>
      <c r="O93" s="277"/>
      <c r="P93" s="277">
        <f>Tableau2[[#This Row],[Total PV client 2020]]-Tableau2[[#This Row],[PV client 
utilisés 2020]]</f>
        <v>18</v>
      </c>
      <c r="Q93" s="278"/>
      <c r="R93" s="277">
        <f>SUMIFS(RECAP_VENTE_ANNUELLE!$P:$P,RECAP_VENTE_ANNUELLE!$R:$R,"2021",RECAP_VENTE_ANNUELLE!$B:$B,Tableau2[[#This Row],[Nom_prenom ]])</f>
        <v>0</v>
      </c>
      <c r="S93" s="277"/>
      <c r="T93" s="277">
        <f>Tableau2[[#This Row],[Total PV client 2021]]-Tableau2[[#This Row],[PV client 
utilisés 2021]]</f>
        <v>0</v>
      </c>
      <c r="U93" s="278"/>
      <c r="V93" s="277">
        <f>SUMIFS(RECAP_VENTE_ANNUELLE!$P:$P,RECAP_VENTE_ANNUELLE!$R:$R,"2022",RECAP_VENTE_ANNUELLE!$B:$B,Tableau2[[#This Row],[Nom_prenom ]])</f>
        <v>0</v>
      </c>
      <c r="W93" s="277"/>
      <c r="X93" s="277">
        <f>Tableau2[[#This Row],[Total PV
 client 2022]]-Tableau2[[#This Row],[PV client 
utilisés 2022]]</f>
        <v>0</v>
      </c>
      <c r="Y93" s="278"/>
      <c r="Z93" s="277">
        <f>SUMIFS(RECAP_VENTE_ANNUELLE!$P:$P,RECAP_VENTE_ANNUELLE!$R:$R,"2023",RECAP_VENTE_ANNUELLE!$B:$B,Tableau2[[#This Row],[Nom_prenom ]])</f>
        <v>0</v>
      </c>
      <c r="AA93" s="277"/>
      <c r="AB93" s="277">
        <f>Tableau2[[#This Row],[Total PV
 client 2023]]-Tableau2[[#This Row],[PV client 
utilisés 2023]]</f>
        <v>0</v>
      </c>
      <c r="AC93" s="278"/>
      <c r="AD93" s="277">
        <f>SUMIFS(RECAP_VENTE_ANNUELLE!$P:$P,RECAP_VENTE_ANNUELLE!$R:$R,"2024",RECAP_VENTE_ANNUELLE!$B:$B,Tableau2[[#This Row],[Nom_prenom ]])</f>
        <v>0</v>
      </c>
      <c r="AE93" s="277"/>
      <c r="AF93" s="277">
        <f>Tableau2[[#This Row],[Total PV
 client 2024]]-Tableau2[[#This Row],[PV client 
utilisés 2024]]</f>
        <v>0</v>
      </c>
      <c r="AG93" s="278"/>
      <c r="AH93" s="277">
        <f>SUMIFS(RECAP_VENTE_ANNUELLE!$P:$P,RECAP_VENTE_ANNUELLE!$R:$R,"2025",RECAP_VENTE_ANNUELLE!$B:$B,Tableau2[[#This Row],[Nom_prenom ]])</f>
        <v>0</v>
      </c>
      <c r="AI93" s="277"/>
      <c r="AJ93" s="277">
        <f>Tableau2[[#This Row],[Total PV
 client 2025]]-Tableau2[[#This Row],[PV client 
utilisés 2025]]</f>
        <v>0</v>
      </c>
      <c r="AK93" s="279"/>
    </row>
    <row r="94" spans="1:37">
      <c r="A94" s="148" t="s">
        <v>41</v>
      </c>
      <c r="B94" s="275" t="s">
        <v>891</v>
      </c>
      <c r="C94" s="242" t="s">
        <v>578</v>
      </c>
      <c r="D94" s="242" t="s">
        <v>579</v>
      </c>
      <c r="E94" s="86" t="s">
        <v>580</v>
      </c>
      <c r="F94" s="242" t="s">
        <v>581</v>
      </c>
      <c r="G94" s="149" t="s">
        <v>582</v>
      </c>
      <c r="H94" s="151">
        <f>SUMPRODUCT((Tableau4[Nom_prenom ]=B94)*(Tableau4[Quantités]))</f>
        <v>3</v>
      </c>
      <c r="I94" s="71">
        <f>SUMPRODUCT((Tableau4[Nom_prenom ]=$B94)*(Tableau4[Total_Client]))</f>
        <v>90</v>
      </c>
      <c r="J94" s="277">
        <f>SUMIFS(RECAP_VENTE_ANNUELLE!$P:$P,RECAP_VENTE_ANNUELLE!$R:$R,"2019",RECAP_VENTE_ANNUELLE!$B:$B,Tableau2[[#This Row],[Nom_prenom ]])</f>
        <v>0</v>
      </c>
      <c r="K94" s="277"/>
      <c r="L94" s="277">
        <f>Tableau2[[#This Row],[Total PV client 2019]]-Tableau2[[#This Row],[PV client 
utilisés 2019]]</f>
        <v>0</v>
      </c>
      <c r="M94" s="278"/>
      <c r="N94" s="277">
        <f>SUMIFS(RECAP_VENTE_ANNUELLE!$P:$P,RECAP_VENTE_ANNUELLE!$R:$R,"2020",RECAP_VENTE_ANNUELLE!$B:$B,Tableau2[[#This Row],[Nom_prenom ]])</f>
        <v>54</v>
      </c>
      <c r="O94" s="277"/>
      <c r="P94" s="277">
        <f>Tableau2[[#This Row],[Total PV client 2020]]-Tableau2[[#This Row],[PV client 
utilisés 2020]]</f>
        <v>54</v>
      </c>
      <c r="Q94" s="278"/>
      <c r="R94" s="277">
        <f>SUMIFS(RECAP_VENTE_ANNUELLE!$P:$P,RECAP_VENTE_ANNUELLE!$R:$R,"2021",RECAP_VENTE_ANNUELLE!$B:$B,Tableau2[[#This Row],[Nom_prenom ]])</f>
        <v>0</v>
      </c>
      <c r="S94" s="277"/>
      <c r="T94" s="277">
        <f>Tableau2[[#This Row],[Total PV client 2021]]-Tableau2[[#This Row],[PV client 
utilisés 2021]]</f>
        <v>0</v>
      </c>
      <c r="U94" s="278"/>
      <c r="V94" s="277">
        <f>SUMIFS(RECAP_VENTE_ANNUELLE!$P:$P,RECAP_VENTE_ANNUELLE!$R:$R,"2022",RECAP_VENTE_ANNUELLE!$B:$B,Tableau2[[#This Row],[Nom_prenom ]])</f>
        <v>0</v>
      </c>
      <c r="W94" s="277"/>
      <c r="X94" s="277">
        <f>Tableau2[[#This Row],[Total PV
 client 2022]]-Tableau2[[#This Row],[PV client 
utilisés 2022]]</f>
        <v>0</v>
      </c>
      <c r="Y94" s="278"/>
      <c r="Z94" s="277">
        <f>SUMIFS(RECAP_VENTE_ANNUELLE!$P:$P,RECAP_VENTE_ANNUELLE!$R:$R,"2023",RECAP_VENTE_ANNUELLE!$B:$B,Tableau2[[#This Row],[Nom_prenom ]])</f>
        <v>0</v>
      </c>
      <c r="AA94" s="277"/>
      <c r="AB94" s="277">
        <f>Tableau2[[#This Row],[Total PV
 client 2023]]-Tableau2[[#This Row],[PV client 
utilisés 2023]]</f>
        <v>0</v>
      </c>
      <c r="AC94" s="278"/>
      <c r="AD94" s="277">
        <f>SUMIFS(RECAP_VENTE_ANNUELLE!$P:$P,RECAP_VENTE_ANNUELLE!$R:$R,"2024",RECAP_VENTE_ANNUELLE!$B:$B,Tableau2[[#This Row],[Nom_prenom ]])</f>
        <v>0</v>
      </c>
      <c r="AE94" s="277"/>
      <c r="AF94" s="277">
        <f>Tableau2[[#This Row],[Total PV
 client 2024]]-Tableau2[[#This Row],[PV client 
utilisés 2024]]</f>
        <v>0</v>
      </c>
      <c r="AG94" s="278"/>
      <c r="AH94" s="277">
        <f>SUMIFS(RECAP_VENTE_ANNUELLE!$P:$P,RECAP_VENTE_ANNUELLE!$R:$R,"2025",RECAP_VENTE_ANNUELLE!$B:$B,Tableau2[[#This Row],[Nom_prenom ]])</f>
        <v>0</v>
      </c>
      <c r="AI94" s="277"/>
      <c r="AJ94" s="277">
        <f>Tableau2[[#This Row],[Total PV
 client 2025]]-Tableau2[[#This Row],[PV client 
utilisés 2025]]</f>
        <v>0</v>
      </c>
      <c r="AK94" s="279"/>
    </row>
    <row r="95" spans="1:37">
      <c r="A95" s="148" t="s">
        <v>41</v>
      </c>
      <c r="B95" s="275" t="s">
        <v>892</v>
      </c>
      <c r="C95" s="242" t="s">
        <v>583</v>
      </c>
      <c r="D95" s="242" t="s">
        <v>584</v>
      </c>
      <c r="E95" s="86" t="s">
        <v>585</v>
      </c>
      <c r="F95" s="242" t="s">
        <v>586</v>
      </c>
      <c r="G95" s="149" t="s">
        <v>587</v>
      </c>
      <c r="H95" s="151">
        <f>SUMPRODUCT((Tableau4[Nom_prenom ]=B95)*(Tableau4[Quantités]))</f>
        <v>8</v>
      </c>
      <c r="I95" s="71">
        <f>SUMPRODUCT((Tableau4[Nom_prenom ]=$B95)*(Tableau4[Total_Client]))</f>
        <v>119.69999999999999</v>
      </c>
      <c r="J95" s="277">
        <f>SUMIFS(RECAP_VENTE_ANNUELLE!$P:$P,RECAP_VENTE_ANNUELLE!$R:$R,"2019",RECAP_VENTE_ANNUELLE!$B:$B,Tableau2[[#This Row],[Nom_prenom ]])</f>
        <v>52</v>
      </c>
      <c r="K95" s="277"/>
      <c r="L95" s="277">
        <f>Tableau2[[#This Row],[Total PV client 2019]]-Tableau2[[#This Row],[PV client 
utilisés 2019]]</f>
        <v>52</v>
      </c>
      <c r="M95" s="278"/>
      <c r="N95" s="277">
        <f>SUMIFS(RECAP_VENTE_ANNUELLE!$P:$P,RECAP_VENTE_ANNUELLE!$R:$R,"2020",RECAP_VENTE_ANNUELLE!$B:$B,Tableau2[[#This Row],[Nom_prenom ]])</f>
        <v>7.5</v>
      </c>
      <c r="O95" s="277"/>
      <c r="P95" s="277">
        <f>Tableau2[[#This Row],[Total PV client 2020]]-Tableau2[[#This Row],[PV client 
utilisés 2020]]</f>
        <v>7.5</v>
      </c>
      <c r="Q95" s="278"/>
      <c r="R95" s="277">
        <f>SUMIFS(RECAP_VENTE_ANNUELLE!$P:$P,RECAP_VENTE_ANNUELLE!$R:$R,"2021",RECAP_VENTE_ANNUELLE!$B:$B,Tableau2[[#This Row],[Nom_prenom ]])</f>
        <v>0</v>
      </c>
      <c r="S95" s="277"/>
      <c r="T95" s="277">
        <f>Tableau2[[#This Row],[Total PV client 2021]]-Tableau2[[#This Row],[PV client 
utilisés 2021]]</f>
        <v>0</v>
      </c>
      <c r="U95" s="278"/>
      <c r="V95" s="277">
        <f>SUMIFS(RECAP_VENTE_ANNUELLE!$P:$P,RECAP_VENTE_ANNUELLE!$R:$R,"2022",RECAP_VENTE_ANNUELLE!$B:$B,Tableau2[[#This Row],[Nom_prenom ]])</f>
        <v>0</v>
      </c>
      <c r="W95" s="277"/>
      <c r="X95" s="277">
        <f>Tableau2[[#This Row],[Total PV
 client 2022]]-Tableau2[[#This Row],[PV client 
utilisés 2022]]</f>
        <v>0</v>
      </c>
      <c r="Y95" s="278"/>
      <c r="Z95" s="277">
        <f>SUMIFS(RECAP_VENTE_ANNUELLE!$P:$P,RECAP_VENTE_ANNUELLE!$R:$R,"2023",RECAP_VENTE_ANNUELLE!$B:$B,Tableau2[[#This Row],[Nom_prenom ]])</f>
        <v>0</v>
      </c>
      <c r="AA95" s="277"/>
      <c r="AB95" s="277">
        <f>Tableau2[[#This Row],[Total PV
 client 2023]]-Tableau2[[#This Row],[PV client 
utilisés 2023]]</f>
        <v>0</v>
      </c>
      <c r="AC95" s="278"/>
      <c r="AD95" s="277">
        <f>SUMIFS(RECAP_VENTE_ANNUELLE!$P:$P,RECAP_VENTE_ANNUELLE!$R:$R,"2024",RECAP_VENTE_ANNUELLE!$B:$B,Tableau2[[#This Row],[Nom_prenom ]])</f>
        <v>0</v>
      </c>
      <c r="AE95" s="277"/>
      <c r="AF95" s="277">
        <f>Tableau2[[#This Row],[Total PV
 client 2024]]-Tableau2[[#This Row],[PV client 
utilisés 2024]]</f>
        <v>0</v>
      </c>
      <c r="AG95" s="278"/>
      <c r="AH95" s="277">
        <f>SUMIFS(RECAP_VENTE_ANNUELLE!$P:$P,RECAP_VENTE_ANNUELLE!$R:$R,"2025",RECAP_VENTE_ANNUELLE!$B:$B,Tableau2[[#This Row],[Nom_prenom ]])</f>
        <v>0</v>
      </c>
      <c r="AI95" s="277"/>
      <c r="AJ95" s="277">
        <f>Tableau2[[#This Row],[Total PV
 client 2025]]-Tableau2[[#This Row],[PV client 
utilisés 2025]]</f>
        <v>0</v>
      </c>
      <c r="AK95" s="279"/>
    </row>
    <row r="96" spans="1:37">
      <c r="A96" s="148" t="s">
        <v>41</v>
      </c>
      <c r="B96" s="275" t="s">
        <v>893</v>
      </c>
      <c r="C96" s="242" t="s">
        <v>588</v>
      </c>
      <c r="D96" s="242" t="s">
        <v>589</v>
      </c>
      <c r="E96" s="86" t="s">
        <v>590</v>
      </c>
      <c r="F96" s="242" t="s">
        <v>591</v>
      </c>
      <c r="G96" s="149" t="s">
        <v>592</v>
      </c>
      <c r="H96" s="151">
        <f>SUMPRODUCT((Tableau4[Nom_prenom ]=B96)*(Tableau4[Quantités]))</f>
        <v>7</v>
      </c>
      <c r="I96" s="71">
        <f>SUMPRODUCT((Tableau4[Nom_prenom ]=$B96)*(Tableau4[Total_Client]))</f>
        <v>163.80000000000001</v>
      </c>
      <c r="J96" s="277">
        <f>SUMIFS(RECAP_VENTE_ANNUELLE!$P:$P,RECAP_VENTE_ANNUELLE!$R:$R,"2019",RECAP_VENTE_ANNUELLE!$B:$B,Tableau2[[#This Row],[Nom_prenom ]])</f>
        <v>18</v>
      </c>
      <c r="K96" s="277"/>
      <c r="L96" s="277">
        <f>Tableau2[[#This Row],[Total PV client 2019]]-Tableau2[[#This Row],[PV client 
utilisés 2019]]</f>
        <v>18</v>
      </c>
      <c r="M96" s="278"/>
      <c r="N96" s="277">
        <f>SUMIFS(RECAP_VENTE_ANNUELLE!$P:$P,RECAP_VENTE_ANNUELLE!$R:$R,"2020",RECAP_VENTE_ANNUELLE!$B:$B,Tableau2[[#This Row],[Nom_prenom ]])</f>
        <v>72</v>
      </c>
      <c r="O96" s="277"/>
      <c r="P96" s="277">
        <f>Tableau2[[#This Row],[Total PV client 2020]]-Tableau2[[#This Row],[PV client 
utilisés 2020]]</f>
        <v>72</v>
      </c>
      <c r="Q96" s="278"/>
      <c r="R96" s="277">
        <f>SUMIFS(RECAP_VENTE_ANNUELLE!$P:$P,RECAP_VENTE_ANNUELLE!$R:$R,"2021",RECAP_VENTE_ANNUELLE!$B:$B,Tableau2[[#This Row],[Nom_prenom ]])</f>
        <v>0</v>
      </c>
      <c r="S96" s="277"/>
      <c r="T96" s="277">
        <f>Tableau2[[#This Row],[Total PV client 2021]]-Tableau2[[#This Row],[PV client 
utilisés 2021]]</f>
        <v>0</v>
      </c>
      <c r="U96" s="278"/>
      <c r="V96" s="277">
        <f>SUMIFS(RECAP_VENTE_ANNUELLE!$P:$P,RECAP_VENTE_ANNUELLE!$R:$R,"2022",RECAP_VENTE_ANNUELLE!$B:$B,Tableau2[[#This Row],[Nom_prenom ]])</f>
        <v>0</v>
      </c>
      <c r="W96" s="277"/>
      <c r="X96" s="277">
        <f>Tableau2[[#This Row],[Total PV
 client 2022]]-Tableau2[[#This Row],[PV client 
utilisés 2022]]</f>
        <v>0</v>
      </c>
      <c r="Y96" s="278"/>
      <c r="Z96" s="277">
        <f>SUMIFS(RECAP_VENTE_ANNUELLE!$P:$P,RECAP_VENTE_ANNUELLE!$R:$R,"2023",RECAP_VENTE_ANNUELLE!$B:$B,Tableau2[[#This Row],[Nom_prenom ]])</f>
        <v>0</v>
      </c>
      <c r="AA96" s="277"/>
      <c r="AB96" s="277">
        <f>Tableau2[[#This Row],[Total PV
 client 2023]]-Tableau2[[#This Row],[PV client 
utilisés 2023]]</f>
        <v>0</v>
      </c>
      <c r="AC96" s="278"/>
      <c r="AD96" s="277">
        <f>SUMIFS(RECAP_VENTE_ANNUELLE!$P:$P,RECAP_VENTE_ANNUELLE!$R:$R,"2024",RECAP_VENTE_ANNUELLE!$B:$B,Tableau2[[#This Row],[Nom_prenom ]])</f>
        <v>0</v>
      </c>
      <c r="AE96" s="277"/>
      <c r="AF96" s="277">
        <f>Tableau2[[#This Row],[Total PV
 client 2024]]-Tableau2[[#This Row],[PV client 
utilisés 2024]]</f>
        <v>0</v>
      </c>
      <c r="AG96" s="278"/>
      <c r="AH96" s="277">
        <f>SUMIFS(RECAP_VENTE_ANNUELLE!$P:$P,RECAP_VENTE_ANNUELLE!$R:$R,"2025",RECAP_VENTE_ANNUELLE!$B:$B,Tableau2[[#This Row],[Nom_prenom ]])</f>
        <v>0</v>
      </c>
      <c r="AI96" s="277"/>
      <c r="AJ96" s="277">
        <f>Tableau2[[#This Row],[Total PV
 client 2025]]-Tableau2[[#This Row],[PV client 
utilisés 2025]]</f>
        <v>0</v>
      </c>
      <c r="AK96" s="279"/>
    </row>
    <row r="97" spans="1:37">
      <c r="A97" s="85" t="s">
        <v>41</v>
      </c>
      <c r="B97" s="275" t="s">
        <v>894</v>
      </c>
      <c r="C97" s="242" t="s">
        <v>593</v>
      </c>
      <c r="D97" s="242" t="s">
        <v>594</v>
      </c>
      <c r="E97" s="86" t="s">
        <v>595</v>
      </c>
      <c r="F97" s="242" t="s">
        <v>596</v>
      </c>
      <c r="G97" s="149" t="s">
        <v>597</v>
      </c>
      <c r="H97" s="151">
        <f>SUMPRODUCT((Tableau4[Nom_prenom ]=B97)*(Tableau4[Quantités]))</f>
        <v>8</v>
      </c>
      <c r="I97" s="71">
        <f>SUMPRODUCT((Tableau4[Nom_prenom ]=$B97)*(Tableau4[Total_Client]))</f>
        <v>155.4</v>
      </c>
      <c r="J97" s="277">
        <f>SUMIFS(RECAP_VENTE_ANNUELLE!$P:$P,RECAP_VENTE_ANNUELLE!$R:$R,"2019",RECAP_VENTE_ANNUELLE!$B:$B,Tableau2[[#This Row],[Nom_prenom ]])</f>
        <v>53.5</v>
      </c>
      <c r="K97" s="277"/>
      <c r="L97" s="277">
        <f>Tableau2[[#This Row],[Total PV client 2019]]-Tableau2[[#This Row],[PV client 
utilisés 2019]]</f>
        <v>53.5</v>
      </c>
      <c r="M97" s="278"/>
      <c r="N97" s="277">
        <f>SUMIFS(RECAP_VENTE_ANNUELLE!$P:$P,RECAP_VENTE_ANNUELLE!$R:$R,"2020",RECAP_VENTE_ANNUELLE!$B:$B,Tableau2[[#This Row],[Nom_prenom ]])</f>
        <v>26</v>
      </c>
      <c r="O97" s="277"/>
      <c r="P97" s="277">
        <f>Tableau2[[#This Row],[Total PV client 2020]]-Tableau2[[#This Row],[PV client 
utilisés 2020]]</f>
        <v>26</v>
      </c>
      <c r="Q97" s="278"/>
      <c r="R97" s="277">
        <f>SUMIFS(RECAP_VENTE_ANNUELLE!$P:$P,RECAP_VENTE_ANNUELLE!$R:$R,"2021",RECAP_VENTE_ANNUELLE!$B:$B,Tableau2[[#This Row],[Nom_prenom ]])</f>
        <v>0</v>
      </c>
      <c r="S97" s="277"/>
      <c r="T97" s="277">
        <f>Tableau2[[#This Row],[Total PV client 2021]]-Tableau2[[#This Row],[PV client 
utilisés 2021]]</f>
        <v>0</v>
      </c>
      <c r="U97" s="278"/>
      <c r="V97" s="277">
        <f>SUMIFS(RECAP_VENTE_ANNUELLE!$P:$P,RECAP_VENTE_ANNUELLE!$R:$R,"2022",RECAP_VENTE_ANNUELLE!$B:$B,Tableau2[[#This Row],[Nom_prenom ]])</f>
        <v>0</v>
      </c>
      <c r="W97" s="277"/>
      <c r="X97" s="277">
        <f>Tableau2[[#This Row],[Total PV
 client 2022]]-Tableau2[[#This Row],[PV client 
utilisés 2022]]</f>
        <v>0</v>
      </c>
      <c r="Y97" s="278"/>
      <c r="Z97" s="277">
        <f>SUMIFS(RECAP_VENTE_ANNUELLE!$P:$P,RECAP_VENTE_ANNUELLE!$R:$R,"2023",RECAP_VENTE_ANNUELLE!$B:$B,Tableau2[[#This Row],[Nom_prenom ]])</f>
        <v>0</v>
      </c>
      <c r="AA97" s="277"/>
      <c r="AB97" s="277">
        <f>Tableau2[[#This Row],[Total PV
 client 2023]]-Tableau2[[#This Row],[PV client 
utilisés 2023]]</f>
        <v>0</v>
      </c>
      <c r="AC97" s="278"/>
      <c r="AD97" s="277">
        <f>SUMIFS(RECAP_VENTE_ANNUELLE!$P:$P,RECAP_VENTE_ANNUELLE!$R:$R,"2024",RECAP_VENTE_ANNUELLE!$B:$B,Tableau2[[#This Row],[Nom_prenom ]])</f>
        <v>0</v>
      </c>
      <c r="AE97" s="277"/>
      <c r="AF97" s="277">
        <f>Tableau2[[#This Row],[Total PV
 client 2024]]-Tableau2[[#This Row],[PV client 
utilisés 2024]]</f>
        <v>0</v>
      </c>
      <c r="AG97" s="278"/>
      <c r="AH97" s="277">
        <f>SUMIFS(RECAP_VENTE_ANNUELLE!$P:$P,RECAP_VENTE_ANNUELLE!$R:$R,"2025",RECAP_VENTE_ANNUELLE!$B:$B,Tableau2[[#This Row],[Nom_prenom ]])</f>
        <v>0</v>
      </c>
      <c r="AI97" s="277"/>
      <c r="AJ97" s="277">
        <f>Tableau2[[#This Row],[Total PV
 client 2025]]-Tableau2[[#This Row],[PV client 
utilisés 2025]]</f>
        <v>0</v>
      </c>
      <c r="AK97" s="279"/>
    </row>
    <row r="98" spans="1:37">
      <c r="A98" s="148" t="s">
        <v>41</v>
      </c>
      <c r="B98" s="275" t="s">
        <v>895</v>
      </c>
      <c r="C98" s="242" t="s">
        <v>598</v>
      </c>
      <c r="D98" s="242" t="s">
        <v>599</v>
      </c>
      <c r="E98" s="86" t="s">
        <v>600</v>
      </c>
      <c r="F98" s="242" t="s">
        <v>601</v>
      </c>
      <c r="G98" s="149" t="s">
        <v>602</v>
      </c>
      <c r="H98" s="151">
        <f>SUMPRODUCT((Tableau4[Nom_prenom ]=B98)*(Tableau4[Quantités]))</f>
        <v>1</v>
      </c>
      <c r="I98" s="71">
        <f>SUMPRODUCT((Tableau4[Nom_prenom ]=$B98)*(Tableau4[Total_Client]))</f>
        <v>29.9</v>
      </c>
      <c r="J98" s="277">
        <f>SUMIFS(RECAP_VENTE_ANNUELLE!$P:$P,RECAP_VENTE_ANNUELLE!$R:$R,"2019",RECAP_VENTE_ANNUELLE!$B:$B,Tableau2[[#This Row],[Nom_prenom ]])</f>
        <v>16</v>
      </c>
      <c r="K98" s="277"/>
      <c r="L98" s="277">
        <f>Tableau2[[#This Row],[Total PV client 2019]]-Tableau2[[#This Row],[PV client 
utilisés 2019]]</f>
        <v>16</v>
      </c>
      <c r="M98" s="278"/>
      <c r="N98" s="277">
        <f>SUMIFS(RECAP_VENTE_ANNUELLE!$P:$P,RECAP_VENTE_ANNUELLE!$R:$R,"2020",RECAP_VENTE_ANNUELLE!$B:$B,Tableau2[[#This Row],[Nom_prenom ]])</f>
        <v>0</v>
      </c>
      <c r="O98" s="277"/>
      <c r="P98" s="277">
        <f>Tableau2[[#This Row],[Total PV client 2020]]-Tableau2[[#This Row],[PV client 
utilisés 2020]]</f>
        <v>0</v>
      </c>
      <c r="Q98" s="278"/>
      <c r="R98" s="277">
        <f>SUMIFS(RECAP_VENTE_ANNUELLE!$P:$P,RECAP_VENTE_ANNUELLE!$R:$R,"2021",RECAP_VENTE_ANNUELLE!$B:$B,Tableau2[[#This Row],[Nom_prenom ]])</f>
        <v>0</v>
      </c>
      <c r="S98" s="277"/>
      <c r="T98" s="277">
        <f>Tableau2[[#This Row],[Total PV client 2021]]-Tableau2[[#This Row],[PV client 
utilisés 2021]]</f>
        <v>0</v>
      </c>
      <c r="U98" s="278"/>
      <c r="V98" s="277">
        <f>SUMIFS(RECAP_VENTE_ANNUELLE!$P:$P,RECAP_VENTE_ANNUELLE!$R:$R,"2022",RECAP_VENTE_ANNUELLE!$B:$B,Tableau2[[#This Row],[Nom_prenom ]])</f>
        <v>0</v>
      </c>
      <c r="W98" s="277"/>
      <c r="X98" s="277">
        <f>Tableau2[[#This Row],[Total PV
 client 2022]]-Tableau2[[#This Row],[PV client 
utilisés 2022]]</f>
        <v>0</v>
      </c>
      <c r="Y98" s="278"/>
      <c r="Z98" s="277">
        <f>SUMIFS(RECAP_VENTE_ANNUELLE!$P:$P,RECAP_VENTE_ANNUELLE!$R:$R,"2023",RECAP_VENTE_ANNUELLE!$B:$B,Tableau2[[#This Row],[Nom_prenom ]])</f>
        <v>0</v>
      </c>
      <c r="AA98" s="277"/>
      <c r="AB98" s="277">
        <f>Tableau2[[#This Row],[Total PV
 client 2023]]-Tableau2[[#This Row],[PV client 
utilisés 2023]]</f>
        <v>0</v>
      </c>
      <c r="AC98" s="278"/>
      <c r="AD98" s="277">
        <f>SUMIFS(RECAP_VENTE_ANNUELLE!$P:$P,RECAP_VENTE_ANNUELLE!$R:$R,"2024",RECAP_VENTE_ANNUELLE!$B:$B,Tableau2[[#This Row],[Nom_prenom ]])</f>
        <v>0</v>
      </c>
      <c r="AE98" s="277"/>
      <c r="AF98" s="277">
        <f>Tableau2[[#This Row],[Total PV
 client 2024]]-Tableau2[[#This Row],[PV client 
utilisés 2024]]</f>
        <v>0</v>
      </c>
      <c r="AG98" s="278"/>
      <c r="AH98" s="277">
        <f>SUMIFS(RECAP_VENTE_ANNUELLE!$P:$P,RECAP_VENTE_ANNUELLE!$R:$R,"2025",RECAP_VENTE_ANNUELLE!$B:$B,Tableau2[[#This Row],[Nom_prenom ]])</f>
        <v>0</v>
      </c>
      <c r="AI98" s="277"/>
      <c r="AJ98" s="277">
        <f>Tableau2[[#This Row],[Total PV
 client 2025]]-Tableau2[[#This Row],[PV client 
utilisés 2025]]</f>
        <v>0</v>
      </c>
      <c r="AK98" s="279"/>
    </row>
    <row r="99" spans="1:37">
      <c r="A99" s="85" t="s">
        <v>41</v>
      </c>
      <c r="B99" s="275" t="s">
        <v>896</v>
      </c>
      <c r="C99" s="242" t="s">
        <v>603</v>
      </c>
      <c r="D99" s="242" t="s">
        <v>604</v>
      </c>
      <c r="E99" s="86" t="s">
        <v>605</v>
      </c>
      <c r="F99" s="242" t="s">
        <v>606</v>
      </c>
      <c r="G99" s="149" t="s">
        <v>607</v>
      </c>
      <c r="H99" s="151">
        <f>SUMPRODUCT((Tableau4[Nom_prenom ]=B99)*(Tableau4[Quantités]))</f>
        <v>21</v>
      </c>
      <c r="I99" s="71">
        <f>SUMPRODUCT((Tableau4[Nom_prenom ]=$B99)*(Tableau4[Total_Client]))</f>
        <v>315.5</v>
      </c>
      <c r="J99" s="277">
        <f>SUMIFS(RECAP_VENTE_ANNUELLE!$P:$P,RECAP_VENTE_ANNUELLE!$R:$R,"2019",RECAP_VENTE_ANNUELLE!$B:$B,Tableau2[[#This Row],[Nom_prenom ]])</f>
        <v>64.5</v>
      </c>
      <c r="K99" s="277"/>
      <c r="L99" s="277">
        <f>Tableau2[[#This Row],[Total PV client 2019]]-Tableau2[[#This Row],[PV client 
utilisés 2019]]</f>
        <v>64.5</v>
      </c>
      <c r="M99" s="278"/>
      <c r="N99" s="277">
        <f>SUMIFS(RECAP_VENTE_ANNUELLE!$P:$P,RECAP_VENTE_ANNUELLE!$R:$R,"2020",RECAP_VENTE_ANNUELLE!$B:$B,Tableau2[[#This Row],[Nom_prenom ]])</f>
        <v>98</v>
      </c>
      <c r="O99" s="277"/>
      <c r="P99" s="277">
        <f>Tableau2[[#This Row],[Total PV client 2020]]-Tableau2[[#This Row],[PV client 
utilisés 2020]]</f>
        <v>98</v>
      </c>
      <c r="Q99" s="278"/>
      <c r="R99" s="277">
        <f>SUMIFS(RECAP_VENTE_ANNUELLE!$P:$P,RECAP_VENTE_ANNUELLE!$R:$R,"2021",RECAP_VENTE_ANNUELLE!$B:$B,Tableau2[[#This Row],[Nom_prenom ]])</f>
        <v>0</v>
      </c>
      <c r="S99" s="277"/>
      <c r="T99" s="277">
        <f>Tableau2[[#This Row],[Total PV client 2021]]-Tableau2[[#This Row],[PV client 
utilisés 2021]]</f>
        <v>0</v>
      </c>
      <c r="U99" s="278"/>
      <c r="V99" s="277">
        <f>SUMIFS(RECAP_VENTE_ANNUELLE!$P:$P,RECAP_VENTE_ANNUELLE!$R:$R,"2022",RECAP_VENTE_ANNUELLE!$B:$B,Tableau2[[#This Row],[Nom_prenom ]])</f>
        <v>0</v>
      </c>
      <c r="W99" s="277"/>
      <c r="X99" s="277">
        <f>Tableau2[[#This Row],[Total PV
 client 2022]]-Tableau2[[#This Row],[PV client 
utilisés 2022]]</f>
        <v>0</v>
      </c>
      <c r="Y99" s="278"/>
      <c r="Z99" s="277">
        <f>SUMIFS(RECAP_VENTE_ANNUELLE!$P:$P,RECAP_VENTE_ANNUELLE!$R:$R,"2023",RECAP_VENTE_ANNUELLE!$B:$B,Tableau2[[#This Row],[Nom_prenom ]])</f>
        <v>0</v>
      </c>
      <c r="AA99" s="277"/>
      <c r="AB99" s="277">
        <f>Tableau2[[#This Row],[Total PV
 client 2023]]-Tableau2[[#This Row],[PV client 
utilisés 2023]]</f>
        <v>0</v>
      </c>
      <c r="AC99" s="278"/>
      <c r="AD99" s="277">
        <f>SUMIFS(RECAP_VENTE_ANNUELLE!$P:$P,RECAP_VENTE_ANNUELLE!$R:$R,"2024",RECAP_VENTE_ANNUELLE!$B:$B,Tableau2[[#This Row],[Nom_prenom ]])</f>
        <v>0</v>
      </c>
      <c r="AE99" s="277"/>
      <c r="AF99" s="277">
        <f>Tableau2[[#This Row],[Total PV
 client 2024]]-Tableau2[[#This Row],[PV client 
utilisés 2024]]</f>
        <v>0</v>
      </c>
      <c r="AG99" s="278"/>
      <c r="AH99" s="277">
        <f>SUMIFS(RECAP_VENTE_ANNUELLE!$P:$P,RECAP_VENTE_ANNUELLE!$R:$R,"2025",RECAP_VENTE_ANNUELLE!$B:$B,Tableau2[[#This Row],[Nom_prenom ]])</f>
        <v>0</v>
      </c>
      <c r="AI99" s="277"/>
      <c r="AJ99" s="277">
        <f>Tableau2[[#This Row],[Total PV
 client 2025]]-Tableau2[[#This Row],[PV client 
utilisés 2025]]</f>
        <v>0</v>
      </c>
      <c r="AK99" s="279"/>
    </row>
    <row r="100" spans="1:37">
      <c r="A100" s="85" t="s">
        <v>39</v>
      </c>
      <c r="B100" s="275" t="s">
        <v>897</v>
      </c>
      <c r="C100" s="242" t="s">
        <v>608</v>
      </c>
      <c r="D100" s="242" t="s">
        <v>609</v>
      </c>
      <c r="E100" s="86" t="s">
        <v>610</v>
      </c>
      <c r="F100" s="242" t="s">
        <v>611</v>
      </c>
      <c r="G100" s="149" t="s">
        <v>612</v>
      </c>
      <c r="H100" s="151">
        <f>SUMPRODUCT((Tableau4[Nom_prenom ]=B100)*(Tableau4[Quantités]))</f>
        <v>8</v>
      </c>
      <c r="I100" s="71">
        <f>SUMPRODUCT((Tableau4[Nom_prenom ]=$B100)*(Tableau4[Total_Client]))</f>
        <v>117.5</v>
      </c>
      <c r="J100" s="277">
        <f>SUMIFS(RECAP_VENTE_ANNUELLE!$P:$P,RECAP_VENTE_ANNUELLE!$R:$R,"2019",RECAP_VENTE_ANNUELLE!$B:$B,Tableau2[[#This Row],[Nom_prenom ]])</f>
        <v>46</v>
      </c>
      <c r="K100" s="277"/>
      <c r="L100" s="277">
        <f>Tableau2[[#This Row],[Total PV client 2019]]-Tableau2[[#This Row],[PV client 
utilisés 2019]]</f>
        <v>46</v>
      </c>
      <c r="M100" s="278"/>
      <c r="N100" s="277">
        <f>SUMIFS(RECAP_VENTE_ANNUELLE!$P:$P,RECAP_VENTE_ANNUELLE!$R:$R,"2020",RECAP_VENTE_ANNUELLE!$B:$B,Tableau2[[#This Row],[Nom_prenom ]])</f>
        <v>17.5</v>
      </c>
      <c r="O100" s="277"/>
      <c r="P100" s="277">
        <f>Tableau2[[#This Row],[Total PV client 2020]]-Tableau2[[#This Row],[PV client 
utilisés 2020]]</f>
        <v>17.5</v>
      </c>
      <c r="Q100" s="278"/>
      <c r="R100" s="277">
        <f>SUMIFS(RECAP_VENTE_ANNUELLE!$P:$P,RECAP_VENTE_ANNUELLE!$R:$R,"2021",RECAP_VENTE_ANNUELLE!$B:$B,Tableau2[[#This Row],[Nom_prenom ]])</f>
        <v>0</v>
      </c>
      <c r="S100" s="277"/>
      <c r="T100" s="277">
        <f>Tableau2[[#This Row],[Total PV client 2021]]-Tableau2[[#This Row],[PV client 
utilisés 2021]]</f>
        <v>0</v>
      </c>
      <c r="U100" s="278"/>
      <c r="V100" s="277">
        <f>SUMIFS(RECAP_VENTE_ANNUELLE!$P:$P,RECAP_VENTE_ANNUELLE!$R:$R,"2022",RECAP_VENTE_ANNUELLE!$B:$B,Tableau2[[#This Row],[Nom_prenom ]])</f>
        <v>0</v>
      </c>
      <c r="W100" s="277"/>
      <c r="X100" s="277">
        <f>Tableau2[[#This Row],[Total PV
 client 2022]]-Tableau2[[#This Row],[PV client 
utilisés 2022]]</f>
        <v>0</v>
      </c>
      <c r="Y100" s="278"/>
      <c r="Z100" s="277">
        <f>SUMIFS(RECAP_VENTE_ANNUELLE!$P:$P,RECAP_VENTE_ANNUELLE!$R:$R,"2023",RECAP_VENTE_ANNUELLE!$B:$B,Tableau2[[#This Row],[Nom_prenom ]])</f>
        <v>0</v>
      </c>
      <c r="AA100" s="277"/>
      <c r="AB100" s="277">
        <f>Tableau2[[#This Row],[Total PV
 client 2023]]-Tableau2[[#This Row],[PV client 
utilisés 2023]]</f>
        <v>0</v>
      </c>
      <c r="AC100" s="278"/>
      <c r="AD100" s="277">
        <f>SUMIFS(RECAP_VENTE_ANNUELLE!$P:$P,RECAP_VENTE_ANNUELLE!$R:$R,"2024",RECAP_VENTE_ANNUELLE!$B:$B,Tableau2[[#This Row],[Nom_prenom ]])</f>
        <v>0</v>
      </c>
      <c r="AE100" s="277"/>
      <c r="AF100" s="277">
        <f>Tableau2[[#This Row],[Total PV
 client 2024]]-Tableau2[[#This Row],[PV client 
utilisés 2024]]</f>
        <v>0</v>
      </c>
      <c r="AG100" s="278"/>
      <c r="AH100" s="277">
        <f>SUMIFS(RECAP_VENTE_ANNUELLE!$P:$P,RECAP_VENTE_ANNUELLE!$R:$R,"2025",RECAP_VENTE_ANNUELLE!$B:$B,Tableau2[[#This Row],[Nom_prenom ]])</f>
        <v>0</v>
      </c>
      <c r="AI100" s="277"/>
      <c r="AJ100" s="277">
        <f>Tableau2[[#This Row],[Total PV
 client 2025]]-Tableau2[[#This Row],[PV client 
utilisés 2025]]</f>
        <v>0</v>
      </c>
      <c r="AK100" s="279"/>
    </row>
    <row r="101" spans="1:37">
      <c r="A101" s="85" t="s">
        <v>41</v>
      </c>
      <c r="B101" s="275" t="s">
        <v>688</v>
      </c>
      <c r="C101" s="242" t="s">
        <v>613</v>
      </c>
      <c r="D101" s="242" t="s">
        <v>614</v>
      </c>
      <c r="E101" s="86" t="s">
        <v>615</v>
      </c>
      <c r="F101" s="242" t="s">
        <v>616</v>
      </c>
      <c r="G101" s="149" t="s">
        <v>617</v>
      </c>
      <c r="H101" s="151">
        <f>SUMPRODUCT((Tableau4[Nom_prenom ]=B101)*(Tableau4[Quantités]))</f>
        <v>1</v>
      </c>
      <c r="I101" s="71">
        <f>SUMPRODUCT((Tableau4[Nom_prenom ]=$B101)*(Tableau4[Total_Client]))</f>
        <v>19.899999999999999</v>
      </c>
      <c r="J101" s="277">
        <f>SUMIFS(RECAP_VENTE_ANNUELLE!$P:$P,RECAP_VENTE_ANNUELLE!$R:$R,"2019",RECAP_VENTE_ANNUELLE!$B:$B,Tableau2[[#This Row],[Nom_prenom ]])</f>
        <v>11</v>
      </c>
      <c r="K101" s="277"/>
      <c r="L101" s="277">
        <f>Tableau2[[#This Row],[Total PV client 2019]]-Tableau2[[#This Row],[PV client 
utilisés 2019]]</f>
        <v>11</v>
      </c>
      <c r="M101" s="278"/>
      <c r="N101" s="277">
        <f>SUMIFS(RECAP_VENTE_ANNUELLE!$P:$P,RECAP_VENTE_ANNUELLE!$R:$R,"2020",RECAP_VENTE_ANNUELLE!$B:$B,Tableau2[[#This Row],[Nom_prenom ]])</f>
        <v>0</v>
      </c>
      <c r="O101" s="277"/>
      <c r="P101" s="277">
        <f>Tableau2[[#This Row],[Total PV client 2020]]-Tableau2[[#This Row],[PV client 
utilisés 2020]]</f>
        <v>0</v>
      </c>
      <c r="Q101" s="278"/>
      <c r="R101" s="277">
        <f>SUMIFS(RECAP_VENTE_ANNUELLE!$P:$P,RECAP_VENTE_ANNUELLE!$R:$R,"2021",RECAP_VENTE_ANNUELLE!$B:$B,Tableau2[[#This Row],[Nom_prenom ]])</f>
        <v>0</v>
      </c>
      <c r="S101" s="277"/>
      <c r="T101" s="277">
        <f>Tableau2[[#This Row],[Total PV client 2021]]-Tableau2[[#This Row],[PV client 
utilisés 2021]]</f>
        <v>0</v>
      </c>
      <c r="U101" s="278"/>
      <c r="V101" s="277">
        <f>SUMIFS(RECAP_VENTE_ANNUELLE!$P:$P,RECAP_VENTE_ANNUELLE!$R:$R,"2022",RECAP_VENTE_ANNUELLE!$B:$B,Tableau2[[#This Row],[Nom_prenom ]])</f>
        <v>0</v>
      </c>
      <c r="W101" s="277"/>
      <c r="X101" s="277">
        <f>Tableau2[[#This Row],[Total PV
 client 2022]]-Tableau2[[#This Row],[PV client 
utilisés 2022]]</f>
        <v>0</v>
      </c>
      <c r="Y101" s="278"/>
      <c r="Z101" s="277">
        <f>SUMIFS(RECAP_VENTE_ANNUELLE!$P:$P,RECAP_VENTE_ANNUELLE!$R:$R,"2023",RECAP_VENTE_ANNUELLE!$B:$B,Tableau2[[#This Row],[Nom_prenom ]])</f>
        <v>0</v>
      </c>
      <c r="AA101" s="277"/>
      <c r="AB101" s="277">
        <f>Tableau2[[#This Row],[Total PV
 client 2023]]-Tableau2[[#This Row],[PV client 
utilisés 2023]]</f>
        <v>0</v>
      </c>
      <c r="AC101" s="278"/>
      <c r="AD101" s="277">
        <f>SUMIFS(RECAP_VENTE_ANNUELLE!$P:$P,RECAP_VENTE_ANNUELLE!$R:$R,"2024",RECAP_VENTE_ANNUELLE!$B:$B,Tableau2[[#This Row],[Nom_prenom ]])</f>
        <v>0</v>
      </c>
      <c r="AE101" s="277"/>
      <c r="AF101" s="277">
        <f>Tableau2[[#This Row],[Total PV
 client 2024]]-Tableau2[[#This Row],[PV client 
utilisés 2024]]</f>
        <v>0</v>
      </c>
      <c r="AG101" s="278"/>
      <c r="AH101" s="277">
        <f>SUMIFS(RECAP_VENTE_ANNUELLE!$P:$P,RECAP_VENTE_ANNUELLE!$R:$R,"2025",RECAP_VENTE_ANNUELLE!$B:$B,Tableau2[[#This Row],[Nom_prenom ]])</f>
        <v>0</v>
      </c>
      <c r="AI101" s="277"/>
      <c r="AJ101" s="277">
        <f>Tableau2[[#This Row],[Total PV
 client 2025]]-Tableau2[[#This Row],[PV client 
utilisés 2025]]</f>
        <v>0</v>
      </c>
      <c r="AK101" s="279"/>
    </row>
    <row r="102" spans="1:37">
      <c r="A102" s="148" t="s">
        <v>41</v>
      </c>
      <c r="B102" s="275" t="s">
        <v>689</v>
      </c>
      <c r="C102" s="242" t="s">
        <v>618</v>
      </c>
      <c r="D102" s="242" t="s">
        <v>619</v>
      </c>
      <c r="E102" s="86" t="s">
        <v>620</v>
      </c>
      <c r="F102" s="242" t="s">
        <v>621</v>
      </c>
      <c r="G102" s="149" t="s">
        <v>622</v>
      </c>
      <c r="H102" s="151">
        <f>SUMPRODUCT((Tableau4[Nom_prenom ]=B102)*(Tableau4[Quantités]))</f>
        <v>28</v>
      </c>
      <c r="I102" s="71">
        <f>SUMPRODUCT((Tableau4[Nom_prenom ]=$B102)*(Tableau4[Total_Client]))</f>
        <v>441.4</v>
      </c>
      <c r="J102" s="277">
        <f>SUMIFS(RECAP_VENTE_ANNUELLE!$P:$P,RECAP_VENTE_ANNUELLE!$R:$R,"2019",RECAP_VENTE_ANNUELLE!$B:$B,Tableau2[[#This Row],[Nom_prenom ]])</f>
        <v>172.5</v>
      </c>
      <c r="K102" s="277"/>
      <c r="L102" s="277">
        <f>Tableau2[[#This Row],[Total PV client 2019]]-Tableau2[[#This Row],[PV client 
utilisés 2019]]</f>
        <v>172.5</v>
      </c>
      <c r="M102" s="278"/>
      <c r="N102" s="277">
        <f>SUMIFS(RECAP_VENTE_ANNUELLE!$P:$P,RECAP_VENTE_ANNUELLE!$R:$R,"2020",RECAP_VENTE_ANNUELLE!$B:$B,Tableau2[[#This Row],[Nom_prenom ]])</f>
        <v>84</v>
      </c>
      <c r="O102" s="277"/>
      <c r="P102" s="277">
        <f>Tableau2[[#This Row],[Total PV client 2020]]-Tableau2[[#This Row],[PV client 
utilisés 2020]]</f>
        <v>84</v>
      </c>
      <c r="Q102" s="278"/>
      <c r="R102" s="277">
        <f>SUMIFS(RECAP_VENTE_ANNUELLE!$P:$P,RECAP_VENTE_ANNUELLE!$R:$R,"2021",RECAP_VENTE_ANNUELLE!$B:$B,Tableau2[[#This Row],[Nom_prenom ]])</f>
        <v>0</v>
      </c>
      <c r="S102" s="277"/>
      <c r="T102" s="277">
        <f>Tableau2[[#This Row],[Total PV client 2021]]-Tableau2[[#This Row],[PV client 
utilisés 2021]]</f>
        <v>0</v>
      </c>
      <c r="U102" s="278"/>
      <c r="V102" s="277">
        <f>SUMIFS(RECAP_VENTE_ANNUELLE!$P:$P,RECAP_VENTE_ANNUELLE!$R:$R,"2022",RECAP_VENTE_ANNUELLE!$B:$B,Tableau2[[#This Row],[Nom_prenom ]])</f>
        <v>0</v>
      </c>
      <c r="W102" s="277"/>
      <c r="X102" s="277">
        <f>Tableau2[[#This Row],[Total PV
 client 2022]]-Tableau2[[#This Row],[PV client 
utilisés 2022]]</f>
        <v>0</v>
      </c>
      <c r="Y102" s="278"/>
      <c r="Z102" s="277">
        <f>SUMIFS(RECAP_VENTE_ANNUELLE!$P:$P,RECAP_VENTE_ANNUELLE!$R:$R,"2023",RECAP_VENTE_ANNUELLE!$B:$B,Tableau2[[#This Row],[Nom_prenom ]])</f>
        <v>0</v>
      </c>
      <c r="AA102" s="277"/>
      <c r="AB102" s="277">
        <f>Tableau2[[#This Row],[Total PV
 client 2023]]-Tableau2[[#This Row],[PV client 
utilisés 2023]]</f>
        <v>0</v>
      </c>
      <c r="AC102" s="278"/>
      <c r="AD102" s="277">
        <f>SUMIFS(RECAP_VENTE_ANNUELLE!$P:$P,RECAP_VENTE_ANNUELLE!$R:$R,"2024",RECAP_VENTE_ANNUELLE!$B:$B,Tableau2[[#This Row],[Nom_prenom ]])</f>
        <v>0</v>
      </c>
      <c r="AE102" s="277"/>
      <c r="AF102" s="277">
        <f>Tableau2[[#This Row],[Total PV
 client 2024]]-Tableau2[[#This Row],[PV client 
utilisés 2024]]</f>
        <v>0</v>
      </c>
      <c r="AG102" s="278"/>
      <c r="AH102" s="277">
        <f>SUMIFS(RECAP_VENTE_ANNUELLE!$P:$P,RECAP_VENTE_ANNUELLE!$R:$R,"2025",RECAP_VENTE_ANNUELLE!$B:$B,Tableau2[[#This Row],[Nom_prenom ]])</f>
        <v>0</v>
      </c>
      <c r="AI102" s="277"/>
      <c r="AJ102" s="277">
        <f>Tableau2[[#This Row],[Total PV
 client 2025]]-Tableau2[[#This Row],[PV client 
utilisés 2025]]</f>
        <v>0</v>
      </c>
      <c r="AK102" s="279"/>
    </row>
    <row r="103" spans="1:37">
      <c r="A103" s="85" t="s">
        <v>41</v>
      </c>
      <c r="B103" s="275" t="s">
        <v>690</v>
      </c>
      <c r="C103" s="242" t="s">
        <v>623</v>
      </c>
      <c r="D103" s="242" t="s">
        <v>624</v>
      </c>
      <c r="E103" s="86" t="s">
        <v>625</v>
      </c>
      <c r="F103" s="242" t="s">
        <v>626</v>
      </c>
      <c r="G103" s="149" t="s">
        <v>627</v>
      </c>
      <c r="H103" s="151">
        <f>SUMPRODUCT((Tableau4[Nom_prenom ]=B103)*(Tableau4[Quantités]))</f>
        <v>22</v>
      </c>
      <c r="I103" s="71">
        <f>SUMPRODUCT((Tableau4[Nom_prenom ]=$B103)*(Tableau4[Total_Client]))</f>
        <v>345.6</v>
      </c>
      <c r="J103" s="277">
        <f>SUMIFS(RECAP_VENTE_ANNUELLE!$P:$P,RECAP_VENTE_ANNUELLE!$R:$R,"2019",RECAP_VENTE_ANNUELLE!$B:$B,Tableau2[[#This Row],[Nom_prenom ]])</f>
        <v>168.7</v>
      </c>
      <c r="K103" s="277"/>
      <c r="L103" s="277">
        <f>Tableau2[[#This Row],[Total PV client 2019]]-Tableau2[[#This Row],[PV client 
utilisés 2019]]</f>
        <v>168.7</v>
      </c>
      <c r="M103" s="278"/>
      <c r="N103" s="277">
        <f>SUMIFS(RECAP_VENTE_ANNUELLE!$P:$P,RECAP_VENTE_ANNUELLE!$R:$R,"2020",RECAP_VENTE_ANNUELLE!$B:$B,Tableau2[[#This Row],[Nom_prenom ]])</f>
        <v>38</v>
      </c>
      <c r="O103" s="277"/>
      <c r="P103" s="277">
        <f>Tableau2[[#This Row],[Total PV client 2020]]-Tableau2[[#This Row],[PV client 
utilisés 2020]]</f>
        <v>38</v>
      </c>
      <c r="Q103" s="278"/>
      <c r="R103" s="277">
        <f>SUMIFS(RECAP_VENTE_ANNUELLE!$P:$P,RECAP_VENTE_ANNUELLE!$R:$R,"2021",RECAP_VENTE_ANNUELLE!$B:$B,Tableau2[[#This Row],[Nom_prenom ]])</f>
        <v>0</v>
      </c>
      <c r="S103" s="277"/>
      <c r="T103" s="277">
        <f>Tableau2[[#This Row],[Total PV client 2021]]-Tableau2[[#This Row],[PV client 
utilisés 2021]]</f>
        <v>0</v>
      </c>
      <c r="U103" s="278"/>
      <c r="V103" s="277">
        <f>SUMIFS(RECAP_VENTE_ANNUELLE!$P:$P,RECAP_VENTE_ANNUELLE!$R:$R,"2022",RECAP_VENTE_ANNUELLE!$B:$B,Tableau2[[#This Row],[Nom_prenom ]])</f>
        <v>0</v>
      </c>
      <c r="W103" s="277"/>
      <c r="X103" s="277">
        <f>Tableau2[[#This Row],[Total PV
 client 2022]]-Tableau2[[#This Row],[PV client 
utilisés 2022]]</f>
        <v>0</v>
      </c>
      <c r="Y103" s="278"/>
      <c r="Z103" s="277">
        <f>SUMIFS(RECAP_VENTE_ANNUELLE!$P:$P,RECAP_VENTE_ANNUELLE!$R:$R,"2023",RECAP_VENTE_ANNUELLE!$B:$B,Tableau2[[#This Row],[Nom_prenom ]])</f>
        <v>0</v>
      </c>
      <c r="AA103" s="277"/>
      <c r="AB103" s="277">
        <f>Tableau2[[#This Row],[Total PV
 client 2023]]-Tableau2[[#This Row],[PV client 
utilisés 2023]]</f>
        <v>0</v>
      </c>
      <c r="AC103" s="278"/>
      <c r="AD103" s="277">
        <f>SUMIFS(RECAP_VENTE_ANNUELLE!$P:$P,RECAP_VENTE_ANNUELLE!$R:$R,"2024",RECAP_VENTE_ANNUELLE!$B:$B,Tableau2[[#This Row],[Nom_prenom ]])</f>
        <v>0</v>
      </c>
      <c r="AE103" s="277"/>
      <c r="AF103" s="277">
        <f>Tableau2[[#This Row],[Total PV
 client 2024]]-Tableau2[[#This Row],[PV client 
utilisés 2024]]</f>
        <v>0</v>
      </c>
      <c r="AG103" s="278"/>
      <c r="AH103" s="277">
        <f>SUMIFS(RECAP_VENTE_ANNUELLE!$P:$P,RECAP_VENTE_ANNUELLE!$R:$R,"2025",RECAP_VENTE_ANNUELLE!$B:$B,Tableau2[[#This Row],[Nom_prenom ]])</f>
        <v>0</v>
      </c>
      <c r="AI103" s="277"/>
      <c r="AJ103" s="277">
        <f>Tableau2[[#This Row],[Total PV
 client 2025]]-Tableau2[[#This Row],[PV client 
utilisés 2025]]</f>
        <v>0</v>
      </c>
      <c r="AK103" s="279"/>
    </row>
    <row r="104" spans="1:37">
      <c r="A104" s="85" t="s">
        <v>39</v>
      </c>
      <c r="B104" s="275" t="s">
        <v>691</v>
      </c>
      <c r="C104" s="242" t="s">
        <v>628</v>
      </c>
      <c r="D104" s="242" t="s">
        <v>629</v>
      </c>
      <c r="E104" s="86" t="s">
        <v>630</v>
      </c>
      <c r="F104" s="242" t="s">
        <v>631</v>
      </c>
      <c r="G104" s="149" t="s">
        <v>632</v>
      </c>
      <c r="H104" s="151">
        <f>SUMPRODUCT((Tableau4[Nom_prenom ]=B104)*(Tableau4[Quantités]))</f>
        <v>10</v>
      </c>
      <c r="I104" s="71">
        <f>SUMPRODUCT((Tableau4[Nom_prenom ]=$B104)*(Tableau4[Total_Client]))</f>
        <v>114.69999999999999</v>
      </c>
      <c r="J104" s="277">
        <f>SUMIFS(RECAP_VENTE_ANNUELLE!$P:$P,RECAP_VENTE_ANNUELLE!$R:$R,"2019",RECAP_VENTE_ANNUELLE!$B:$B,Tableau2[[#This Row],[Nom_prenom ]])</f>
        <v>41</v>
      </c>
      <c r="K104" s="277"/>
      <c r="L104" s="277">
        <f>Tableau2[[#This Row],[Total PV client 2019]]-Tableau2[[#This Row],[PV client 
utilisés 2019]]</f>
        <v>41</v>
      </c>
      <c r="M104" s="278"/>
      <c r="N104" s="277">
        <f>SUMIFS(RECAP_VENTE_ANNUELLE!$P:$P,RECAP_VENTE_ANNUELLE!$R:$R,"2020",RECAP_VENTE_ANNUELLE!$B:$B,Tableau2[[#This Row],[Nom_prenom ]])</f>
        <v>10</v>
      </c>
      <c r="O104" s="277"/>
      <c r="P104" s="277">
        <f>Tableau2[[#This Row],[Total PV client 2020]]-Tableau2[[#This Row],[PV client 
utilisés 2020]]</f>
        <v>10</v>
      </c>
      <c r="Q104" s="278"/>
      <c r="R104" s="277">
        <f>SUMIFS(RECAP_VENTE_ANNUELLE!$P:$P,RECAP_VENTE_ANNUELLE!$R:$R,"2021",RECAP_VENTE_ANNUELLE!$B:$B,Tableau2[[#This Row],[Nom_prenom ]])</f>
        <v>0</v>
      </c>
      <c r="S104" s="277"/>
      <c r="T104" s="277">
        <f>Tableau2[[#This Row],[Total PV client 2021]]-Tableau2[[#This Row],[PV client 
utilisés 2021]]</f>
        <v>0</v>
      </c>
      <c r="U104" s="278"/>
      <c r="V104" s="277">
        <f>SUMIFS(RECAP_VENTE_ANNUELLE!$P:$P,RECAP_VENTE_ANNUELLE!$R:$R,"2022",RECAP_VENTE_ANNUELLE!$B:$B,Tableau2[[#This Row],[Nom_prenom ]])</f>
        <v>0</v>
      </c>
      <c r="W104" s="277"/>
      <c r="X104" s="277">
        <f>Tableau2[[#This Row],[Total PV
 client 2022]]-Tableau2[[#This Row],[PV client 
utilisés 2022]]</f>
        <v>0</v>
      </c>
      <c r="Y104" s="278"/>
      <c r="Z104" s="277">
        <f>SUMIFS(RECAP_VENTE_ANNUELLE!$P:$P,RECAP_VENTE_ANNUELLE!$R:$R,"2023",RECAP_VENTE_ANNUELLE!$B:$B,Tableau2[[#This Row],[Nom_prenom ]])</f>
        <v>0</v>
      </c>
      <c r="AA104" s="277"/>
      <c r="AB104" s="277">
        <f>Tableau2[[#This Row],[Total PV
 client 2023]]-Tableau2[[#This Row],[PV client 
utilisés 2023]]</f>
        <v>0</v>
      </c>
      <c r="AC104" s="278"/>
      <c r="AD104" s="277">
        <f>SUMIFS(RECAP_VENTE_ANNUELLE!$P:$P,RECAP_VENTE_ANNUELLE!$R:$R,"2024",RECAP_VENTE_ANNUELLE!$B:$B,Tableau2[[#This Row],[Nom_prenom ]])</f>
        <v>0</v>
      </c>
      <c r="AE104" s="277"/>
      <c r="AF104" s="277">
        <f>Tableau2[[#This Row],[Total PV
 client 2024]]-Tableau2[[#This Row],[PV client 
utilisés 2024]]</f>
        <v>0</v>
      </c>
      <c r="AG104" s="278"/>
      <c r="AH104" s="277">
        <f>SUMIFS(RECAP_VENTE_ANNUELLE!$P:$P,RECAP_VENTE_ANNUELLE!$R:$R,"2025",RECAP_VENTE_ANNUELLE!$B:$B,Tableau2[[#This Row],[Nom_prenom ]])</f>
        <v>0</v>
      </c>
      <c r="AI104" s="277"/>
      <c r="AJ104" s="277">
        <f>Tableau2[[#This Row],[Total PV
 client 2025]]-Tableau2[[#This Row],[PV client 
utilisés 2025]]</f>
        <v>0</v>
      </c>
      <c r="AK104" s="279"/>
    </row>
    <row r="105" spans="1:37">
      <c r="A105" s="85" t="s">
        <v>41</v>
      </c>
      <c r="B105" s="275" t="s">
        <v>899</v>
      </c>
      <c r="C105" s="242" t="s">
        <v>633</v>
      </c>
      <c r="D105" s="242" t="s">
        <v>634</v>
      </c>
      <c r="E105" s="86" t="s">
        <v>635</v>
      </c>
      <c r="F105" s="242" t="s">
        <v>636</v>
      </c>
      <c r="G105" s="149" t="s">
        <v>637</v>
      </c>
      <c r="H105" s="151">
        <f>SUMPRODUCT((Tableau4[Nom_prenom ]=B105)*(Tableau4[Quantités]))</f>
        <v>0</v>
      </c>
      <c r="I105" s="71">
        <f>SUMPRODUCT((Tableau4[Nom_prenom ]=$B105)*(Tableau4[Total_Client]))</f>
        <v>0</v>
      </c>
      <c r="J105" s="277">
        <f>SUMIFS(RECAP_VENTE_ANNUELLE!$P:$P,RECAP_VENTE_ANNUELLE!$R:$R,"2019",RECAP_VENTE_ANNUELLE!$B:$B,Tableau2[[#This Row],[Nom_prenom ]])</f>
        <v>0</v>
      </c>
      <c r="K105" s="277"/>
      <c r="L105" s="277">
        <f>Tableau2[[#This Row],[Total PV client 2019]]-Tableau2[[#This Row],[PV client 
utilisés 2019]]</f>
        <v>0</v>
      </c>
      <c r="M105" s="278"/>
      <c r="N105" s="277">
        <f>SUMIFS(RECAP_VENTE_ANNUELLE!$P:$P,RECAP_VENTE_ANNUELLE!$R:$R,"2020",RECAP_VENTE_ANNUELLE!$B:$B,Tableau2[[#This Row],[Nom_prenom ]])</f>
        <v>0</v>
      </c>
      <c r="O105" s="277"/>
      <c r="P105" s="277">
        <f>Tableau2[[#This Row],[Total PV client 2020]]-Tableau2[[#This Row],[PV client 
utilisés 2020]]</f>
        <v>0</v>
      </c>
      <c r="Q105" s="278"/>
      <c r="R105" s="277">
        <f>SUMIFS(RECAP_VENTE_ANNUELLE!$P:$P,RECAP_VENTE_ANNUELLE!$R:$R,"2021",RECAP_VENTE_ANNUELLE!$B:$B,Tableau2[[#This Row],[Nom_prenom ]])</f>
        <v>0</v>
      </c>
      <c r="S105" s="277"/>
      <c r="T105" s="277">
        <f>Tableau2[[#This Row],[Total PV client 2021]]-Tableau2[[#This Row],[PV client 
utilisés 2021]]</f>
        <v>0</v>
      </c>
      <c r="U105" s="278"/>
      <c r="V105" s="277">
        <f>SUMIFS(RECAP_VENTE_ANNUELLE!$P:$P,RECAP_VENTE_ANNUELLE!$R:$R,"2022",RECAP_VENTE_ANNUELLE!$B:$B,Tableau2[[#This Row],[Nom_prenom ]])</f>
        <v>0</v>
      </c>
      <c r="W105" s="277"/>
      <c r="X105" s="277">
        <f>Tableau2[[#This Row],[Total PV
 client 2022]]-Tableau2[[#This Row],[PV client 
utilisés 2022]]</f>
        <v>0</v>
      </c>
      <c r="Y105" s="278"/>
      <c r="Z105" s="277">
        <f>SUMIFS(RECAP_VENTE_ANNUELLE!$P:$P,RECAP_VENTE_ANNUELLE!$R:$R,"2023",RECAP_VENTE_ANNUELLE!$B:$B,Tableau2[[#This Row],[Nom_prenom ]])</f>
        <v>0</v>
      </c>
      <c r="AA105" s="277"/>
      <c r="AB105" s="277">
        <f>Tableau2[[#This Row],[Total PV
 client 2023]]-Tableau2[[#This Row],[PV client 
utilisés 2023]]</f>
        <v>0</v>
      </c>
      <c r="AC105" s="278"/>
      <c r="AD105" s="277">
        <f>SUMIFS(RECAP_VENTE_ANNUELLE!$P:$P,RECAP_VENTE_ANNUELLE!$R:$R,"2024",RECAP_VENTE_ANNUELLE!$B:$B,Tableau2[[#This Row],[Nom_prenom ]])</f>
        <v>0</v>
      </c>
      <c r="AE105" s="277"/>
      <c r="AF105" s="277">
        <f>Tableau2[[#This Row],[Total PV
 client 2024]]-Tableau2[[#This Row],[PV client 
utilisés 2024]]</f>
        <v>0</v>
      </c>
      <c r="AG105" s="278"/>
      <c r="AH105" s="277">
        <f>SUMIFS(RECAP_VENTE_ANNUELLE!$P:$P,RECAP_VENTE_ANNUELLE!$R:$R,"2025",RECAP_VENTE_ANNUELLE!$B:$B,Tableau2[[#This Row],[Nom_prenom ]])</f>
        <v>0</v>
      </c>
      <c r="AI105" s="277"/>
      <c r="AJ105" s="277">
        <f>Tableau2[[#This Row],[Total PV
 client 2025]]-Tableau2[[#This Row],[PV client 
utilisés 2025]]</f>
        <v>0</v>
      </c>
      <c r="AK105" s="279"/>
    </row>
    <row r="106" spans="1:37">
      <c r="A106" s="85" t="s">
        <v>39</v>
      </c>
      <c r="B106" s="275" t="s">
        <v>900</v>
      </c>
      <c r="C106" s="242" t="s">
        <v>638</v>
      </c>
      <c r="D106" s="242" t="s">
        <v>639</v>
      </c>
      <c r="E106" s="86" t="s">
        <v>640</v>
      </c>
      <c r="F106" s="242" t="s">
        <v>641</v>
      </c>
      <c r="G106" s="149" t="s">
        <v>642</v>
      </c>
      <c r="H106" s="151">
        <f>SUMPRODUCT((Tableau4[Nom_prenom ]=B106)*(Tableau4[Quantités]))</f>
        <v>0</v>
      </c>
      <c r="I106" s="71">
        <f>SUMPRODUCT((Tableau4[Nom_prenom ]=$B106)*(Tableau4[Total_Client]))</f>
        <v>0</v>
      </c>
      <c r="J106" s="277">
        <f>SUMIFS(RECAP_VENTE_ANNUELLE!$P:$P,RECAP_VENTE_ANNUELLE!$R:$R,"2019",RECAP_VENTE_ANNUELLE!$B:$B,Tableau2[[#This Row],[Nom_prenom ]])</f>
        <v>0</v>
      </c>
      <c r="K106" s="277"/>
      <c r="L106" s="277">
        <f>Tableau2[[#This Row],[Total PV client 2019]]-Tableau2[[#This Row],[PV client 
utilisés 2019]]</f>
        <v>0</v>
      </c>
      <c r="M106" s="278"/>
      <c r="N106" s="277">
        <f>SUMIFS(RECAP_VENTE_ANNUELLE!$P:$P,RECAP_VENTE_ANNUELLE!$R:$R,"2020",RECAP_VENTE_ANNUELLE!$B:$B,Tableau2[[#This Row],[Nom_prenom ]])</f>
        <v>0</v>
      </c>
      <c r="O106" s="277"/>
      <c r="P106" s="277">
        <f>Tableau2[[#This Row],[Total PV client 2020]]-Tableau2[[#This Row],[PV client 
utilisés 2020]]</f>
        <v>0</v>
      </c>
      <c r="Q106" s="278"/>
      <c r="R106" s="277">
        <f>SUMIFS(RECAP_VENTE_ANNUELLE!$P:$P,RECAP_VENTE_ANNUELLE!$R:$R,"2021",RECAP_VENTE_ANNUELLE!$B:$B,Tableau2[[#This Row],[Nom_prenom ]])</f>
        <v>0</v>
      </c>
      <c r="S106" s="277"/>
      <c r="T106" s="277">
        <f>Tableau2[[#This Row],[Total PV client 2021]]-Tableau2[[#This Row],[PV client 
utilisés 2021]]</f>
        <v>0</v>
      </c>
      <c r="U106" s="278"/>
      <c r="V106" s="277">
        <f>SUMIFS(RECAP_VENTE_ANNUELLE!$P:$P,RECAP_VENTE_ANNUELLE!$R:$R,"2022",RECAP_VENTE_ANNUELLE!$B:$B,Tableau2[[#This Row],[Nom_prenom ]])</f>
        <v>0</v>
      </c>
      <c r="W106" s="277"/>
      <c r="X106" s="277">
        <f>Tableau2[[#This Row],[Total PV
 client 2022]]-Tableau2[[#This Row],[PV client 
utilisés 2022]]</f>
        <v>0</v>
      </c>
      <c r="Y106" s="278"/>
      <c r="Z106" s="277">
        <f>SUMIFS(RECAP_VENTE_ANNUELLE!$P:$P,RECAP_VENTE_ANNUELLE!$R:$R,"2023",RECAP_VENTE_ANNUELLE!$B:$B,Tableau2[[#This Row],[Nom_prenom ]])</f>
        <v>0</v>
      </c>
      <c r="AA106" s="277"/>
      <c r="AB106" s="277">
        <f>Tableau2[[#This Row],[Total PV
 client 2023]]-Tableau2[[#This Row],[PV client 
utilisés 2023]]</f>
        <v>0</v>
      </c>
      <c r="AC106" s="278"/>
      <c r="AD106" s="277">
        <f>SUMIFS(RECAP_VENTE_ANNUELLE!$P:$P,RECAP_VENTE_ANNUELLE!$R:$R,"2024",RECAP_VENTE_ANNUELLE!$B:$B,Tableau2[[#This Row],[Nom_prenom ]])</f>
        <v>0</v>
      </c>
      <c r="AE106" s="277"/>
      <c r="AF106" s="277">
        <f>Tableau2[[#This Row],[Total PV
 client 2024]]-Tableau2[[#This Row],[PV client 
utilisés 2024]]</f>
        <v>0</v>
      </c>
      <c r="AG106" s="278"/>
      <c r="AH106" s="277">
        <f>SUMIFS(RECAP_VENTE_ANNUELLE!$P:$P,RECAP_VENTE_ANNUELLE!$R:$R,"2025",RECAP_VENTE_ANNUELLE!$B:$B,Tableau2[[#This Row],[Nom_prenom ]])</f>
        <v>0</v>
      </c>
      <c r="AI106" s="277"/>
      <c r="AJ106" s="277">
        <f>Tableau2[[#This Row],[Total PV
 client 2025]]-Tableau2[[#This Row],[PV client 
utilisés 2025]]</f>
        <v>0</v>
      </c>
      <c r="AK106" s="279"/>
    </row>
    <row r="107" spans="1:37">
      <c r="A107" s="213" t="s">
        <v>41</v>
      </c>
      <c r="B107" s="275" t="s">
        <v>901</v>
      </c>
      <c r="C107" s="243" t="s">
        <v>643</v>
      </c>
      <c r="D107" s="243" t="s">
        <v>644</v>
      </c>
      <c r="E107" s="87" t="s">
        <v>645</v>
      </c>
      <c r="F107" s="243" t="s">
        <v>646</v>
      </c>
      <c r="G107" s="216" t="s">
        <v>647</v>
      </c>
      <c r="H107" s="152">
        <f>SUMPRODUCT((Tableau4[Nom_prenom ]=B107)*(Tableau4[Quantités]))</f>
        <v>0</v>
      </c>
      <c r="I107" s="280">
        <f>SUMPRODUCT((Tableau4[Nom_prenom ]=$B107)*(Tableau4[Total_Client]))</f>
        <v>0</v>
      </c>
      <c r="J107" s="281">
        <f>SUMIFS(RECAP_VENTE_ANNUELLE!$P:$P,RECAP_VENTE_ANNUELLE!$R:$R,"2019",RECAP_VENTE_ANNUELLE!$B:$B,Tableau2[[#This Row],[Nom_prenom ]])</f>
        <v>0</v>
      </c>
      <c r="K107" s="281"/>
      <c r="L107" s="281">
        <f>Tableau2[[#This Row],[Total PV client 2019]]-Tableau2[[#This Row],[PV client 
utilisés 2019]]</f>
        <v>0</v>
      </c>
      <c r="M107" s="282"/>
      <c r="N107" s="281">
        <f>SUMIFS(RECAP_VENTE_ANNUELLE!$P:$P,RECAP_VENTE_ANNUELLE!$R:$R,"2020",RECAP_VENTE_ANNUELLE!$B:$B,Tableau2[[#This Row],[Nom_prenom ]])</f>
        <v>0</v>
      </c>
      <c r="O107" s="281"/>
      <c r="P107" s="281">
        <f>Tableau2[[#This Row],[Total PV client 2020]]-Tableau2[[#This Row],[PV client 
utilisés 2020]]</f>
        <v>0</v>
      </c>
      <c r="Q107" s="282"/>
      <c r="R107" s="281">
        <f>SUMIFS(RECAP_VENTE_ANNUELLE!$P:$P,RECAP_VENTE_ANNUELLE!$R:$R,"2021",RECAP_VENTE_ANNUELLE!$B:$B,Tableau2[[#This Row],[Nom_prenom ]])</f>
        <v>0</v>
      </c>
      <c r="S107" s="281"/>
      <c r="T107" s="281">
        <f>Tableau2[[#This Row],[Total PV client 2021]]-Tableau2[[#This Row],[PV client 
utilisés 2021]]</f>
        <v>0</v>
      </c>
      <c r="U107" s="282"/>
      <c r="V107" s="281">
        <f>SUMIFS(RECAP_VENTE_ANNUELLE!$P:$P,RECAP_VENTE_ANNUELLE!$R:$R,"2022",RECAP_VENTE_ANNUELLE!$B:$B,Tableau2[[#This Row],[Nom_prenom ]])</f>
        <v>0</v>
      </c>
      <c r="W107" s="281"/>
      <c r="X107" s="281">
        <f>Tableau2[[#This Row],[Total PV
 client 2022]]-Tableau2[[#This Row],[PV client 
utilisés 2022]]</f>
        <v>0</v>
      </c>
      <c r="Y107" s="282"/>
      <c r="Z107" s="281">
        <f>SUMIFS(RECAP_VENTE_ANNUELLE!$P:$P,RECAP_VENTE_ANNUELLE!$R:$R,"2023",RECAP_VENTE_ANNUELLE!$B:$B,Tableau2[[#This Row],[Nom_prenom ]])</f>
        <v>0</v>
      </c>
      <c r="AA107" s="281"/>
      <c r="AB107" s="281">
        <f>Tableau2[[#This Row],[Total PV
 client 2023]]-Tableau2[[#This Row],[PV client 
utilisés 2023]]</f>
        <v>0</v>
      </c>
      <c r="AC107" s="282"/>
      <c r="AD107" s="281">
        <f>SUMIFS(RECAP_VENTE_ANNUELLE!$P:$P,RECAP_VENTE_ANNUELLE!$R:$R,"2024",RECAP_VENTE_ANNUELLE!$B:$B,Tableau2[[#This Row],[Nom_prenom ]])</f>
        <v>0</v>
      </c>
      <c r="AE107" s="281"/>
      <c r="AF107" s="281">
        <f>Tableau2[[#This Row],[Total PV
 client 2024]]-Tableau2[[#This Row],[PV client 
utilisés 2024]]</f>
        <v>0</v>
      </c>
      <c r="AG107" s="282"/>
      <c r="AH107" s="281">
        <f>SUMIFS(RECAP_VENTE_ANNUELLE!$P:$P,RECAP_VENTE_ANNUELLE!$R:$R,"2025",RECAP_VENTE_ANNUELLE!$B:$B,Tableau2[[#This Row],[Nom_prenom ]])</f>
        <v>0</v>
      </c>
      <c r="AI107" s="281"/>
      <c r="AJ107" s="281">
        <f>Tableau2[[#This Row],[Total PV
 client 2025]]-Tableau2[[#This Row],[PV client 
utilisés 2025]]</f>
        <v>0</v>
      </c>
      <c r="AK107" s="283"/>
    </row>
  </sheetData>
  <conditionalFormatting sqref="L1:L1048576">
    <cfRule type="expression" dxfId="3" priority="2">
      <formula>YEAR(L1)&lt;YEAR(TODAY())</formula>
    </cfRule>
  </conditionalFormatting>
  <conditionalFormatting sqref="P1:P1048576">
    <cfRule type="expression" dxfId="2" priority="1">
      <formula>YEAR($P$1)&lt;YEAR(TODAY())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:AC158"/>
  <sheetViews>
    <sheetView topLeftCell="A58" zoomScaleNormal="100" workbookViewId="0">
      <selection activeCell="L89" sqref="L89"/>
    </sheetView>
  </sheetViews>
  <sheetFormatPr baseColWidth="10" defaultColWidth="9.109375" defaultRowHeight="14.4"/>
  <cols>
    <col min="1" max="1" width="4" style="15" bestFit="1" customWidth="1"/>
    <col min="2" max="2" width="15.6640625" style="3" bestFit="1" customWidth="1"/>
    <col min="3" max="3" width="4" style="15" bestFit="1" customWidth="1"/>
    <col min="4" max="4" width="21.44140625" style="4" bestFit="1" customWidth="1"/>
    <col min="5" max="5" width="37.6640625" style="3" bestFit="1" customWidth="1"/>
    <col min="6" max="6" width="12" style="111" bestFit="1" customWidth="1"/>
    <col min="7" max="9" width="11.5546875" style="111" customWidth="1"/>
    <col min="10" max="10" width="6" style="111" bestFit="1" customWidth="1"/>
    <col min="11" max="11" width="4" style="17" bestFit="1" customWidth="1"/>
    <col min="12" max="12" width="36.33203125" style="3" customWidth="1"/>
    <col min="13" max="13" width="4" style="15" bestFit="1" customWidth="1"/>
    <col min="14" max="14" width="37.6640625" style="3" bestFit="1" customWidth="1"/>
    <col min="15" max="15" width="4" style="15" bestFit="1" customWidth="1"/>
    <col min="16" max="16" width="4" style="3" bestFit="1" customWidth="1"/>
    <col min="17" max="18" width="9.109375" style="3"/>
    <col min="19" max="19" width="9.109375" style="6"/>
    <col min="20" max="20" width="21.5546875" style="6" bestFit="1" customWidth="1"/>
    <col min="21" max="21" width="16.44140625" style="6" bestFit="1" customWidth="1"/>
    <col min="22" max="22" width="11.44140625" style="6" customWidth="1"/>
    <col min="23" max="23" width="9.33203125" style="6" customWidth="1"/>
    <col min="24" max="24" width="8.33203125" style="6" customWidth="1"/>
    <col min="25" max="25" width="5.5546875" style="6" bestFit="1" customWidth="1"/>
    <col min="26" max="26" width="6.6640625" style="6" bestFit="1" customWidth="1"/>
    <col min="27" max="29" width="9.109375" style="6"/>
    <col min="30" max="16384" width="9.109375" style="3"/>
  </cols>
  <sheetData>
    <row r="1" spans="1:29" s="1" customFormat="1">
      <c r="A1" s="14" t="s">
        <v>13</v>
      </c>
      <c r="B1" s="7"/>
      <c r="C1" s="14" t="s">
        <v>13</v>
      </c>
      <c r="D1" s="7"/>
      <c r="E1" s="7"/>
      <c r="F1" s="10"/>
      <c r="G1" s="10"/>
      <c r="H1" s="10"/>
      <c r="I1" s="10"/>
      <c r="J1" s="10"/>
      <c r="K1" s="14" t="s">
        <v>13</v>
      </c>
      <c r="L1" s="7"/>
      <c r="M1" s="14" t="s">
        <v>13</v>
      </c>
      <c r="N1" s="7"/>
      <c r="O1" s="14" t="s">
        <v>13</v>
      </c>
      <c r="P1" s="10"/>
      <c r="Q1" s="7"/>
    </row>
    <row r="2" spans="1:29" s="2" customFormat="1">
      <c r="A2" s="14"/>
      <c r="B2" s="7"/>
      <c r="C2" s="14"/>
      <c r="D2" s="7"/>
      <c r="E2" s="7"/>
      <c r="F2" s="10"/>
      <c r="G2" s="10"/>
      <c r="H2" s="10"/>
      <c r="I2" s="110"/>
      <c r="J2" s="10"/>
      <c r="K2" s="14"/>
      <c r="L2" s="7"/>
      <c r="M2" s="14"/>
      <c r="N2" s="7"/>
      <c r="O2" s="14"/>
      <c r="P2" s="10"/>
      <c r="Q2" s="7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</row>
    <row r="3" spans="1:29" s="2" customFormat="1">
      <c r="A3" s="14"/>
      <c r="B3" s="13" t="s">
        <v>11</v>
      </c>
      <c r="C3" s="14"/>
      <c r="D3" s="7"/>
      <c r="F3" s="110"/>
      <c r="G3" s="110"/>
      <c r="H3" s="110"/>
      <c r="I3" s="110"/>
      <c r="J3" s="110"/>
      <c r="K3" s="14"/>
      <c r="L3" s="7"/>
      <c r="M3" s="14"/>
      <c r="N3" s="7"/>
      <c r="O3" s="14"/>
      <c r="P3" s="10"/>
      <c r="Q3" s="7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</row>
    <row r="4" spans="1:29" s="2" customFormat="1">
      <c r="A4" s="14"/>
      <c r="C4" s="14"/>
      <c r="D4" s="7"/>
      <c r="F4" s="110"/>
      <c r="G4" s="110"/>
      <c r="H4" s="110"/>
      <c r="I4" s="110"/>
      <c r="J4" s="110"/>
      <c r="K4" s="16"/>
      <c r="L4" s="7"/>
      <c r="M4" s="14"/>
      <c r="N4" s="7"/>
      <c r="O4" s="14"/>
      <c r="P4" s="10"/>
      <c r="Q4" s="7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</row>
    <row r="5" spans="1:29" s="2" customFormat="1">
      <c r="A5" s="14"/>
      <c r="C5" s="14"/>
      <c r="D5" s="7"/>
      <c r="F5" s="110"/>
      <c r="G5" s="110"/>
      <c r="H5" s="110"/>
      <c r="I5" s="110"/>
      <c r="J5" s="110"/>
      <c r="K5" s="16"/>
      <c r="L5" s="7"/>
      <c r="M5" s="14"/>
      <c r="N5" s="7"/>
      <c r="O5" s="14"/>
      <c r="P5" s="10"/>
      <c r="Q5" s="7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</row>
    <row r="6" spans="1:29" s="2" customFormat="1">
      <c r="A6" s="14"/>
      <c r="C6" s="14"/>
      <c r="D6" s="7"/>
      <c r="F6" s="110"/>
      <c r="G6" s="110"/>
      <c r="H6" s="110"/>
      <c r="I6" s="110"/>
      <c r="J6" s="110"/>
      <c r="K6" s="16"/>
      <c r="L6" s="7"/>
      <c r="M6" s="14"/>
      <c r="N6" s="7"/>
      <c r="O6" s="14"/>
      <c r="P6" s="10"/>
      <c r="Q6" s="7"/>
      <c r="S6" s="42"/>
      <c r="T6" s="42"/>
      <c r="U6" s="42"/>
      <c r="V6" s="42"/>
      <c r="W6" s="42"/>
      <c r="X6" s="42"/>
      <c r="Y6" s="42"/>
      <c r="Z6" s="42"/>
      <c r="AA6" s="42"/>
      <c r="AB6" s="42"/>
      <c r="AC6" s="42"/>
    </row>
    <row r="7" spans="1:29" s="2" customFormat="1">
      <c r="A7" s="14"/>
      <c r="C7" s="14"/>
      <c r="D7" s="7"/>
      <c r="F7" s="110"/>
      <c r="G7" s="110"/>
      <c r="H7" s="110"/>
      <c r="I7" s="110"/>
      <c r="J7" s="110"/>
      <c r="K7" s="16"/>
      <c r="L7" s="7"/>
      <c r="M7" s="14"/>
      <c r="N7" s="7"/>
      <c r="O7" s="14"/>
      <c r="P7" s="10"/>
      <c r="Q7" s="7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</row>
    <row r="8" spans="1:29">
      <c r="A8" s="14"/>
      <c r="C8" s="14"/>
      <c r="D8" s="7"/>
      <c r="E8" s="7" t="s">
        <v>48</v>
      </c>
      <c r="F8" s="10"/>
      <c r="G8" s="10"/>
      <c r="H8" s="10"/>
      <c r="I8" s="10"/>
      <c r="J8" s="10"/>
      <c r="K8" s="14"/>
      <c r="L8" s="7"/>
      <c r="M8" s="14"/>
      <c r="N8" s="7"/>
      <c r="O8" s="14"/>
      <c r="P8" s="10"/>
      <c r="Q8" s="7"/>
    </row>
    <row r="9" spans="1:29">
      <c r="A9" s="14"/>
      <c r="B9" s="7"/>
      <c r="C9" s="14"/>
      <c r="J9" s="112"/>
      <c r="K9" s="14"/>
      <c r="L9" s="7"/>
      <c r="M9" s="14"/>
      <c r="N9" s="7"/>
      <c r="O9" s="14"/>
      <c r="P9" s="10"/>
      <c r="Q9" s="7"/>
    </row>
    <row r="10" spans="1:29" s="209" customFormat="1">
      <c r="A10" s="203"/>
      <c r="B10" s="204" t="s">
        <v>7</v>
      </c>
      <c r="C10" s="203"/>
      <c r="D10" s="197" t="s">
        <v>23</v>
      </c>
      <c r="E10" s="196" t="s">
        <v>35</v>
      </c>
      <c r="F10" s="196" t="s">
        <v>14</v>
      </c>
      <c r="G10" s="196" t="s">
        <v>5</v>
      </c>
      <c r="H10" s="196" t="s">
        <v>2</v>
      </c>
      <c r="I10" s="196" t="s">
        <v>3</v>
      </c>
      <c r="J10" s="205" t="s">
        <v>4</v>
      </c>
      <c r="K10" s="203"/>
      <c r="L10" s="204" t="s">
        <v>9</v>
      </c>
      <c r="M10" s="203"/>
      <c r="N10" s="206" t="s">
        <v>12</v>
      </c>
      <c r="O10" s="203"/>
      <c r="P10" s="207" t="s">
        <v>24</v>
      </c>
      <c r="Q10" s="208"/>
      <c r="S10" s="208"/>
      <c r="T10" s="208"/>
      <c r="U10" s="208"/>
      <c r="V10" s="208"/>
      <c r="W10" s="208"/>
      <c r="X10" s="208"/>
      <c r="Y10" s="208"/>
      <c r="Z10" s="208"/>
      <c r="AA10" s="208"/>
      <c r="AB10" s="208"/>
      <c r="AC10" s="208"/>
    </row>
    <row r="11" spans="1:29">
      <c r="A11" s="14"/>
      <c r="B11" s="84" t="s">
        <v>749</v>
      </c>
      <c r="C11" s="14"/>
      <c r="D11" s="179" t="s">
        <v>72</v>
      </c>
      <c r="E11" s="198" t="s">
        <v>44</v>
      </c>
      <c r="F11" s="113">
        <v>0</v>
      </c>
      <c r="G11" s="113">
        <v>0</v>
      </c>
      <c r="H11" s="188">
        <f t="shared" ref="H11:H42" si="0">IF(F11=0,0,(F11-G11))</f>
        <v>0</v>
      </c>
      <c r="I11" s="115" t="s">
        <v>77</v>
      </c>
      <c r="J11" s="116" t="s">
        <v>77</v>
      </c>
      <c r="K11" s="82"/>
      <c r="L11" s="193" t="s">
        <v>692</v>
      </c>
      <c r="M11" s="14"/>
      <c r="N11" s="183" t="s">
        <v>724</v>
      </c>
      <c r="O11" s="14"/>
      <c r="P11" s="89">
        <v>0</v>
      </c>
      <c r="Q11" s="7"/>
    </row>
    <row r="12" spans="1:29">
      <c r="A12" s="14"/>
      <c r="B12" s="84" t="s">
        <v>750</v>
      </c>
      <c r="C12" s="14"/>
      <c r="D12" s="83" t="s">
        <v>72</v>
      </c>
      <c r="E12" s="199" t="s">
        <v>73</v>
      </c>
      <c r="F12" s="113">
        <v>1.49</v>
      </c>
      <c r="G12" s="113">
        <v>0.99</v>
      </c>
      <c r="H12" s="188">
        <f t="shared" si="0"/>
        <v>0.5</v>
      </c>
      <c r="I12" s="115">
        <v>0.5</v>
      </c>
      <c r="J12" s="116">
        <v>0.2</v>
      </c>
      <c r="K12" s="82"/>
      <c r="L12" s="193" t="s">
        <v>701</v>
      </c>
      <c r="M12" s="14"/>
      <c r="N12" s="183" t="s">
        <v>725</v>
      </c>
      <c r="O12" s="14"/>
      <c r="P12" s="89">
        <v>1</v>
      </c>
      <c r="Q12" s="7"/>
    </row>
    <row r="13" spans="1:29">
      <c r="A13" s="14"/>
      <c r="B13" s="84" t="s">
        <v>751</v>
      </c>
      <c r="C13" s="14"/>
      <c r="D13" s="83" t="s">
        <v>72</v>
      </c>
      <c r="E13" s="199" t="s">
        <v>74</v>
      </c>
      <c r="F13" s="113">
        <v>9.9</v>
      </c>
      <c r="G13" s="113">
        <v>6.9</v>
      </c>
      <c r="H13" s="188">
        <f t="shared" si="0"/>
        <v>3</v>
      </c>
      <c r="I13" s="115">
        <v>4.5999999999999996</v>
      </c>
      <c r="J13" s="116">
        <v>2.9</v>
      </c>
      <c r="K13" s="82"/>
      <c r="L13" s="193" t="s">
        <v>702</v>
      </c>
      <c r="M13" s="14"/>
      <c r="N13" s="183" t="s">
        <v>726</v>
      </c>
      <c r="O13" s="14"/>
      <c r="P13" s="89">
        <v>2</v>
      </c>
      <c r="Q13" s="7"/>
    </row>
    <row r="14" spans="1:29">
      <c r="A14" s="14"/>
      <c r="B14" s="84" t="s">
        <v>752</v>
      </c>
      <c r="C14" s="14"/>
      <c r="D14" s="83" t="s">
        <v>72</v>
      </c>
      <c r="E14" s="199" t="s">
        <v>75</v>
      </c>
      <c r="F14" s="113">
        <v>19.899999999999999</v>
      </c>
      <c r="G14" s="113">
        <v>13.3</v>
      </c>
      <c r="H14" s="188">
        <f t="shared" si="0"/>
        <v>6.5999999999999979</v>
      </c>
      <c r="I14" s="115">
        <v>11</v>
      </c>
      <c r="J14" s="116">
        <v>9</v>
      </c>
      <c r="K14" s="82"/>
      <c r="L14" s="193" t="s">
        <v>703</v>
      </c>
      <c r="M14" s="14"/>
      <c r="N14" s="183" t="s">
        <v>727</v>
      </c>
      <c r="O14" s="14"/>
      <c r="P14" s="89">
        <v>3</v>
      </c>
      <c r="Q14" s="7"/>
    </row>
    <row r="15" spans="1:29">
      <c r="A15" s="14"/>
      <c r="B15" s="84" t="s">
        <v>753</v>
      </c>
      <c r="C15" s="14"/>
      <c r="D15" s="179" t="s">
        <v>72</v>
      </c>
      <c r="E15" s="199" t="s">
        <v>76</v>
      </c>
      <c r="F15" s="113">
        <v>32.9</v>
      </c>
      <c r="G15" s="113">
        <v>21.9</v>
      </c>
      <c r="H15" s="188">
        <f t="shared" si="0"/>
        <v>11</v>
      </c>
      <c r="I15" s="115">
        <v>18</v>
      </c>
      <c r="J15" s="116">
        <v>16.55</v>
      </c>
      <c r="K15" s="82"/>
      <c r="L15" s="193" t="s">
        <v>704</v>
      </c>
      <c r="M15" s="14"/>
      <c r="N15" s="183" t="s">
        <v>728</v>
      </c>
      <c r="O15" s="14"/>
      <c r="P15" s="89">
        <v>4</v>
      </c>
      <c r="Q15" s="7"/>
    </row>
    <row r="16" spans="1:29">
      <c r="A16" s="14"/>
      <c r="B16" s="84" t="s">
        <v>754</v>
      </c>
      <c r="C16" s="14"/>
      <c r="D16" s="83" t="s">
        <v>8</v>
      </c>
      <c r="E16" s="182" t="s">
        <v>745</v>
      </c>
      <c r="F16" s="113">
        <v>0</v>
      </c>
      <c r="G16" s="113">
        <v>4.9000000000000004</v>
      </c>
      <c r="H16" s="185">
        <f t="shared" si="0"/>
        <v>0</v>
      </c>
      <c r="I16" s="115">
        <v>0</v>
      </c>
      <c r="J16" s="116">
        <v>0</v>
      </c>
      <c r="K16" s="82"/>
      <c r="L16" s="193" t="s">
        <v>705</v>
      </c>
      <c r="M16" s="14"/>
      <c r="N16" s="183" t="s">
        <v>729</v>
      </c>
      <c r="O16" s="14"/>
      <c r="P16" s="89">
        <v>5</v>
      </c>
      <c r="Q16" s="7"/>
    </row>
    <row r="17" spans="1:17">
      <c r="A17" s="14"/>
      <c r="B17" s="84" t="s">
        <v>755</v>
      </c>
      <c r="C17" s="14"/>
      <c r="D17" s="83" t="s">
        <v>8</v>
      </c>
      <c r="E17" s="182" t="s">
        <v>746</v>
      </c>
      <c r="F17" s="113">
        <v>0</v>
      </c>
      <c r="G17" s="113">
        <v>9.5</v>
      </c>
      <c r="H17" s="185">
        <f t="shared" si="0"/>
        <v>0</v>
      </c>
      <c r="I17" s="115">
        <v>0</v>
      </c>
      <c r="J17" s="116">
        <v>0</v>
      </c>
      <c r="K17" s="82"/>
      <c r="L17" s="193" t="s">
        <v>706</v>
      </c>
      <c r="M17" s="14"/>
      <c r="N17" s="183" t="s">
        <v>730</v>
      </c>
      <c r="O17" s="14"/>
      <c r="P17" s="89">
        <v>6</v>
      </c>
      <c r="Q17" s="7"/>
    </row>
    <row r="18" spans="1:17">
      <c r="A18" s="14"/>
      <c r="B18" s="84" t="s">
        <v>756</v>
      </c>
      <c r="C18" s="14"/>
      <c r="D18" s="179" t="s">
        <v>8</v>
      </c>
      <c r="E18" s="182" t="s">
        <v>747</v>
      </c>
      <c r="F18" s="113">
        <v>0</v>
      </c>
      <c r="G18" s="113">
        <v>0.59</v>
      </c>
      <c r="H18" s="185">
        <f t="shared" si="0"/>
        <v>0</v>
      </c>
      <c r="I18" s="115">
        <v>0</v>
      </c>
      <c r="J18" s="116">
        <v>0</v>
      </c>
      <c r="K18" s="82"/>
      <c r="L18" s="193" t="s">
        <v>709</v>
      </c>
      <c r="M18" s="14"/>
      <c r="N18" s="183" t="s">
        <v>731</v>
      </c>
      <c r="O18" s="14"/>
      <c r="P18" s="89">
        <v>7</v>
      </c>
      <c r="Q18" s="7"/>
    </row>
    <row r="19" spans="1:17">
      <c r="A19" s="14"/>
      <c r="B19" s="84" t="s">
        <v>757</v>
      </c>
      <c r="C19" s="14"/>
      <c r="D19" s="83" t="s">
        <v>8</v>
      </c>
      <c r="E19" s="182" t="s">
        <v>748</v>
      </c>
      <c r="F19" s="113">
        <v>0</v>
      </c>
      <c r="G19" s="113">
        <v>0.99</v>
      </c>
      <c r="H19" s="185">
        <f t="shared" si="0"/>
        <v>0</v>
      </c>
      <c r="I19" s="115">
        <v>0</v>
      </c>
      <c r="J19" s="116">
        <v>0</v>
      </c>
      <c r="K19" s="82"/>
      <c r="L19" s="193" t="s">
        <v>707</v>
      </c>
      <c r="M19" s="14"/>
      <c r="N19" s="39"/>
      <c r="O19" s="14"/>
      <c r="P19" s="89">
        <v>8</v>
      </c>
      <c r="Q19" s="7"/>
    </row>
    <row r="20" spans="1:17">
      <c r="A20" s="14"/>
      <c r="B20" s="84" t="s">
        <v>758</v>
      </c>
      <c r="C20" s="14"/>
      <c r="D20" s="179" t="s">
        <v>9</v>
      </c>
      <c r="E20" s="193" t="s">
        <v>692</v>
      </c>
      <c r="F20" s="113">
        <v>49.9</v>
      </c>
      <c r="G20" s="113">
        <v>39.9</v>
      </c>
      <c r="H20" s="188">
        <f t="shared" si="0"/>
        <v>10</v>
      </c>
      <c r="I20" s="192">
        <v>40</v>
      </c>
      <c r="J20" s="124">
        <v>29</v>
      </c>
      <c r="K20" s="82"/>
      <c r="L20" s="193" t="s">
        <v>694</v>
      </c>
      <c r="M20" s="14"/>
      <c r="N20" s="39"/>
      <c r="O20" s="14"/>
      <c r="P20" s="89">
        <v>9</v>
      </c>
      <c r="Q20" s="7"/>
    </row>
    <row r="21" spans="1:17">
      <c r="A21" s="14"/>
      <c r="B21" s="84" t="s">
        <v>759</v>
      </c>
      <c r="C21" s="14"/>
      <c r="D21" s="83" t="s">
        <v>9</v>
      </c>
      <c r="E21" s="193" t="s">
        <v>701</v>
      </c>
      <c r="F21" s="113">
        <v>29.9</v>
      </c>
      <c r="G21" s="113">
        <v>21</v>
      </c>
      <c r="H21" s="188">
        <f t="shared" si="0"/>
        <v>8.8999999999999986</v>
      </c>
      <c r="I21" s="192">
        <v>15</v>
      </c>
      <c r="J21" s="124">
        <v>11.96</v>
      </c>
      <c r="K21" s="82"/>
      <c r="L21" s="193" t="s">
        <v>693</v>
      </c>
      <c r="M21" s="14"/>
      <c r="N21" s="39"/>
      <c r="O21" s="14"/>
      <c r="P21" s="89">
        <v>10</v>
      </c>
      <c r="Q21" s="7"/>
    </row>
    <row r="22" spans="1:17">
      <c r="A22" s="14"/>
      <c r="B22" s="84" t="s">
        <v>760</v>
      </c>
      <c r="C22" s="14"/>
      <c r="D22" s="83" t="s">
        <v>9</v>
      </c>
      <c r="E22" s="193" t="s">
        <v>702</v>
      </c>
      <c r="F22" s="113">
        <v>31.5</v>
      </c>
      <c r="G22" s="113">
        <v>23</v>
      </c>
      <c r="H22" s="185">
        <f t="shared" si="0"/>
        <v>8.5</v>
      </c>
      <c r="I22" s="192">
        <v>20</v>
      </c>
      <c r="J22" s="116">
        <v>17.649999999999999</v>
      </c>
      <c r="K22" s="82"/>
      <c r="L22" s="193" t="s">
        <v>708</v>
      </c>
      <c r="M22" s="14"/>
      <c r="N22" s="39"/>
      <c r="O22" s="14"/>
      <c r="P22" s="89">
        <v>11</v>
      </c>
      <c r="Q22" s="7"/>
    </row>
    <row r="23" spans="1:17">
      <c r="A23" s="14"/>
      <c r="B23" s="84" t="s">
        <v>761</v>
      </c>
      <c r="C23" s="14"/>
      <c r="D23" s="179" t="s">
        <v>9</v>
      </c>
      <c r="E23" s="193" t="s">
        <v>703</v>
      </c>
      <c r="F23" s="113">
        <v>89.8</v>
      </c>
      <c r="G23" s="113">
        <v>65.5</v>
      </c>
      <c r="H23" s="185">
        <f t="shared" si="0"/>
        <v>24.299999999999997</v>
      </c>
      <c r="I23" s="192">
        <v>60</v>
      </c>
      <c r="J23" s="116">
        <v>35</v>
      </c>
      <c r="K23" s="82"/>
      <c r="L23" s="193" t="s">
        <v>695</v>
      </c>
      <c r="M23" s="14"/>
      <c r="N23" s="39"/>
      <c r="O23" s="14"/>
      <c r="P23" s="89">
        <v>12</v>
      </c>
      <c r="Q23" s="7"/>
    </row>
    <row r="24" spans="1:17">
      <c r="A24" s="14"/>
      <c r="B24" s="84" t="s">
        <v>762</v>
      </c>
      <c r="C24" s="14"/>
      <c r="D24" s="179" t="s">
        <v>9</v>
      </c>
      <c r="E24" s="193" t="s">
        <v>704</v>
      </c>
      <c r="F24" s="113">
        <v>169</v>
      </c>
      <c r="G24" s="113">
        <v>124</v>
      </c>
      <c r="H24" s="185">
        <f t="shared" si="0"/>
        <v>45</v>
      </c>
      <c r="I24" s="192">
        <v>120</v>
      </c>
      <c r="J24" s="116">
        <v>81</v>
      </c>
      <c r="K24" s="82"/>
      <c r="L24" s="193" t="s">
        <v>696</v>
      </c>
      <c r="M24" s="14"/>
      <c r="N24" s="39"/>
      <c r="O24" s="14"/>
      <c r="P24" s="89">
        <v>13</v>
      </c>
      <c r="Q24" s="7"/>
    </row>
    <row r="25" spans="1:17">
      <c r="A25" s="14"/>
      <c r="B25" s="84" t="s">
        <v>763</v>
      </c>
      <c r="C25" s="14"/>
      <c r="D25" s="179" t="s">
        <v>9</v>
      </c>
      <c r="E25" s="193" t="s">
        <v>705</v>
      </c>
      <c r="F25" s="113">
        <v>8.9</v>
      </c>
      <c r="G25" s="113">
        <v>6.35</v>
      </c>
      <c r="H25" s="185">
        <f t="shared" si="0"/>
        <v>2.5500000000000007</v>
      </c>
      <c r="I25" s="115">
        <v>5</v>
      </c>
      <c r="J25" s="116">
        <v>2.67</v>
      </c>
      <c r="K25" s="82"/>
      <c r="L25" s="193" t="s">
        <v>697</v>
      </c>
      <c r="M25" s="14"/>
      <c r="N25" s="40"/>
      <c r="O25" s="14"/>
      <c r="P25" s="89">
        <v>16</v>
      </c>
      <c r="Q25" s="7"/>
    </row>
    <row r="26" spans="1:17">
      <c r="A26" s="14"/>
      <c r="B26" s="84" t="s">
        <v>764</v>
      </c>
      <c r="C26" s="14"/>
      <c r="D26" s="179" t="s">
        <v>9</v>
      </c>
      <c r="E26" s="193" t="s">
        <v>706</v>
      </c>
      <c r="F26" s="113">
        <v>19.3</v>
      </c>
      <c r="G26" s="113">
        <v>13.8</v>
      </c>
      <c r="H26" s="185">
        <f t="shared" si="0"/>
        <v>5.5</v>
      </c>
      <c r="I26" s="115">
        <v>11</v>
      </c>
      <c r="J26" s="116">
        <v>11.6</v>
      </c>
      <c r="K26" s="82"/>
      <c r="L26" s="193" t="s">
        <v>698</v>
      </c>
      <c r="M26" s="14"/>
      <c r="N26" s="40"/>
      <c r="O26" s="14"/>
      <c r="P26" s="89">
        <v>17</v>
      </c>
      <c r="Q26" s="7"/>
    </row>
    <row r="27" spans="1:17">
      <c r="A27" s="14"/>
      <c r="B27" s="84" t="s">
        <v>765</v>
      </c>
      <c r="C27" s="14"/>
      <c r="D27" s="83" t="s">
        <v>9</v>
      </c>
      <c r="E27" s="193" t="s">
        <v>709</v>
      </c>
      <c r="F27" s="113">
        <v>22.9</v>
      </c>
      <c r="G27" s="113">
        <v>16.350000000000001</v>
      </c>
      <c r="H27" s="188">
        <f t="shared" si="0"/>
        <v>6.5499999999999972</v>
      </c>
      <c r="I27" s="192">
        <v>13.5</v>
      </c>
      <c r="J27" s="124">
        <v>13.74</v>
      </c>
      <c r="K27" s="82"/>
      <c r="L27" s="193" t="s">
        <v>699</v>
      </c>
      <c r="M27" s="14"/>
      <c r="N27" s="41"/>
      <c r="O27" s="14"/>
      <c r="P27" s="89">
        <v>18</v>
      </c>
      <c r="Q27" s="7"/>
    </row>
    <row r="28" spans="1:17">
      <c r="A28" s="14"/>
      <c r="B28" s="84" t="s">
        <v>766</v>
      </c>
      <c r="C28" s="14"/>
      <c r="D28" s="83" t="s">
        <v>9</v>
      </c>
      <c r="E28" s="193" t="s">
        <v>707</v>
      </c>
      <c r="F28" s="113">
        <v>9.9</v>
      </c>
      <c r="G28" s="113">
        <v>7</v>
      </c>
      <c r="H28" s="188">
        <f t="shared" si="0"/>
        <v>2.9000000000000004</v>
      </c>
      <c r="I28" s="192">
        <v>5</v>
      </c>
      <c r="J28" s="124">
        <v>2.94</v>
      </c>
      <c r="K28" s="82"/>
      <c r="L28" s="193" t="s">
        <v>700</v>
      </c>
      <c r="M28" s="14"/>
      <c r="N28" s="7"/>
      <c r="O28" s="14"/>
      <c r="P28" s="89">
        <v>19</v>
      </c>
      <c r="Q28" s="7"/>
    </row>
    <row r="29" spans="1:17">
      <c r="A29" s="14"/>
      <c r="B29" s="84" t="s">
        <v>767</v>
      </c>
      <c r="C29" s="14"/>
      <c r="D29" s="83" t="s">
        <v>9</v>
      </c>
      <c r="E29" s="193" t="s">
        <v>694</v>
      </c>
      <c r="F29" s="113">
        <v>19.899999999999999</v>
      </c>
      <c r="G29" s="113">
        <v>10.65</v>
      </c>
      <c r="H29" s="185">
        <f t="shared" si="0"/>
        <v>9.2499999999999982</v>
      </c>
      <c r="I29" s="115">
        <v>8.5</v>
      </c>
      <c r="J29" s="116">
        <v>8.9499999999999993</v>
      </c>
      <c r="K29" s="82"/>
      <c r="L29" s="9"/>
      <c r="M29" s="14"/>
      <c r="O29" s="14"/>
      <c r="P29" s="89">
        <v>20</v>
      </c>
      <c r="Q29" s="7"/>
    </row>
    <row r="30" spans="1:17">
      <c r="A30" s="14"/>
      <c r="B30" s="84" t="s">
        <v>768</v>
      </c>
      <c r="C30" s="14"/>
      <c r="D30" s="83" t="s">
        <v>9</v>
      </c>
      <c r="E30" s="193" t="s">
        <v>693</v>
      </c>
      <c r="F30" s="113">
        <v>9.9</v>
      </c>
      <c r="G30" s="113">
        <v>7.05</v>
      </c>
      <c r="H30" s="185">
        <f t="shared" si="0"/>
        <v>2.8500000000000005</v>
      </c>
      <c r="I30" s="115">
        <v>5</v>
      </c>
      <c r="J30" s="116">
        <v>3</v>
      </c>
      <c r="K30" s="82"/>
      <c r="M30" s="14"/>
      <c r="O30" s="14"/>
      <c r="P30" s="10"/>
      <c r="Q30" s="7"/>
    </row>
    <row r="31" spans="1:17">
      <c r="A31" s="14"/>
      <c r="B31" s="84" t="s">
        <v>769</v>
      </c>
      <c r="C31" s="14"/>
      <c r="D31" s="83" t="s">
        <v>9</v>
      </c>
      <c r="E31" s="193" t="s">
        <v>708</v>
      </c>
      <c r="F31" s="113">
        <v>19.899999999999999</v>
      </c>
      <c r="G31" s="113">
        <v>13.9</v>
      </c>
      <c r="H31" s="188">
        <f t="shared" si="0"/>
        <v>5.9999999999999982</v>
      </c>
      <c r="I31" s="192">
        <v>11.5</v>
      </c>
      <c r="J31" s="124">
        <v>11.68</v>
      </c>
      <c r="K31" s="82"/>
      <c r="M31" s="14"/>
      <c r="O31" s="14"/>
      <c r="P31" s="10"/>
      <c r="Q31" s="7"/>
    </row>
    <row r="32" spans="1:17">
      <c r="A32" s="14"/>
      <c r="B32" s="84" t="s">
        <v>770</v>
      </c>
      <c r="C32" s="14"/>
      <c r="D32" s="83" t="s">
        <v>9</v>
      </c>
      <c r="E32" s="193" t="s">
        <v>695</v>
      </c>
      <c r="F32" s="113">
        <v>16.899999999999999</v>
      </c>
      <c r="G32" s="113">
        <v>12</v>
      </c>
      <c r="H32" s="185">
        <f t="shared" si="0"/>
        <v>4.8999999999999986</v>
      </c>
      <c r="I32" s="115">
        <v>10</v>
      </c>
      <c r="J32" s="116">
        <v>10.08</v>
      </c>
      <c r="K32" s="82"/>
      <c r="L32" s="175" t="s">
        <v>58</v>
      </c>
      <c r="M32" s="14"/>
      <c r="N32" s="88" t="s">
        <v>8</v>
      </c>
      <c r="O32" s="14"/>
      <c r="P32" s="10"/>
      <c r="Q32" s="7"/>
    </row>
    <row r="33" spans="1:17">
      <c r="A33" s="14"/>
      <c r="B33" s="84" t="s">
        <v>771</v>
      </c>
      <c r="C33" s="14"/>
      <c r="D33" s="83" t="s">
        <v>9</v>
      </c>
      <c r="E33" s="193" t="s">
        <v>696</v>
      </c>
      <c r="F33" s="113">
        <v>19.899999999999999</v>
      </c>
      <c r="G33" s="113">
        <v>15.9</v>
      </c>
      <c r="H33" s="188">
        <f t="shared" si="0"/>
        <v>3.9999999999999982</v>
      </c>
      <c r="I33" s="192">
        <v>12</v>
      </c>
      <c r="J33" s="124">
        <v>11</v>
      </c>
      <c r="K33" s="82"/>
      <c r="L33" s="183" t="s">
        <v>710</v>
      </c>
      <c r="M33" s="14"/>
      <c r="N33" s="182" t="s">
        <v>745</v>
      </c>
      <c r="O33" s="14"/>
      <c r="P33" s="10"/>
      <c r="Q33" s="7"/>
    </row>
    <row r="34" spans="1:17">
      <c r="A34" s="14"/>
      <c r="B34" s="84" t="s">
        <v>772</v>
      </c>
      <c r="C34" s="14"/>
      <c r="D34" s="83" t="s">
        <v>9</v>
      </c>
      <c r="E34" s="84" t="s">
        <v>697</v>
      </c>
      <c r="F34" s="113">
        <v>21.9</v>
      </c>
      <c r="G34" s="113">
        <v>16.899999999999999</v>
      </c>
      <c r="H34" s="185">
        <f t="shared" si="0"/>
        <v>5</v>
      </c>
      <c r="I34" s="115" t="s">
        <v>87</v>
      </c>
      <c r="J34" s="116">
        <v>12.27</v>
      </c>
      <c r="K34" s="82"/>
      <c r="L34" s="183" t="s">
        <v>716</v>
      </c>
      <c r="M34" s="14"/>
      <c r="N34" s="182" t="s">
        <v>746</v>
      </c>
      <c r="O34" s="14"/>
      <c r="P34" s="10"/>
      <c r="Q34" s="7"/>
    </row>
    <row r="35" spans="1:17">
      <c r="A35" s="14"/>
      <c r="B35" s="84" t="s">
        <v>773</v>
      </c>
      <c r="C35" s="14"/>
      <c r="D35" s="83" t="s">
        <v>9</v>
      </c>
      <c r="E35" s="84" t="s">
        <v>698</v>
      </c>
      <c r="F35" s="113">
        <v>11.9</v>
      </c>
      <c r="G35" s="113">
        <v>9</v>
      </c>
      <c r="H35" s="114">
        <f t="shared" si="0"/>
        <v>2.9000000000000004</v>
      </c>
      <c r="I35" s="115" t="s">
        <v>88</v>
      </c>
      <c r="J35" s="116">
        <v>3.28</v>
      </c>
      <c r="K35" s="82"/>
      <c r="L35" s="183" t="s">
        <v>717</v>
      </c>
      <c r="M35" s="14"/>
      <c r="N35" s="182" t="s">
        <v>747</v>
      </c>
      <c r="O35" s="14"/>
      <c r="P35" s="10"/>
      <c r="Q35" s="7"/>
    </row>
    <row r="36" spans="1:17">
      <c r="A36" s="14"/>
      <c r="B36" s="84" t="s">
        <v>774</v>
      </c>
      <c r="C36" s="14"/>
      <c r="D36" s="83" t="s">
        <v>9</v>
      </c>
      <c r="E36" s="84" t="s">
        <v>699</v>
      </c>
      <c r="F36" s="113">
        <v>16.899999999999999</v>
      </c>
      <c r="G36" s="113">
        <v>12.7</v>
      </c>
      <c r="H36" s="185">
        <f t="shared" si="0"/>
        <v>4.1999999999999993</v>
      </c>
      <c r="I36" s="115" t="s">
        <v>86</v>
      </c>
      <c r="J36" s="116">
        <v>5.5</v>
      </c>
      <c r="K36" s="82"/>
      <c r="L36" s="183" t="s">
        <v>718</v>
      </c>
      <c r="M36" s="14"/>
      <c r="N36" s="182" t="s">
        <v>748</v>
      </c>
      <c r="O36" s="14"/>
      <c r="P36" s="10"/>
      <c r="Q36" s="7"/>
    </row>
    <row r="37" spans="1:17">
      <c r="A37" s="14"/>
      <c r="B37" s="84" t="s">
        <v>775</v>
      </c>
      <c r="C37" s="14"/>
      <c r="D37" s="83" t="s">
        <v>9</v>
      </c>
      <c r="E37" s="84" t="s">
        <v>700</v>
      </c>
      <c r="F37" s="113">
        <v>17.899999999999999</v>
      </c>
      <c r="G37" s="113">
        <v>12.9</v>
      </c>
      <c r="H37" s="185">
        <f t="shared" si="0"/>
        <v>4.9999999999999982</v>
      </c>
      <c r="I37" s="192">
        <v>10</v>
      </c>
      <c r="J37" s="116">
        <v>9.25</v>
      </c>
      <c r="K37" s="82"/>
      <c r="L37" s="183" t="s">
        <v>719</v>
      </c>
      <c r="M37" s="14"/>
      <c r="N37" s="132"/>
      <c r="O37" s="14"/>
      <c r="P37" s="10"/>
      <c r="Q37" s="7"/>
    </row>
    <row r="38" spans="1:17">
      <c r="A38" s="14"/>
      <c r="B38" s="84" t="s">
        <v>776</v>
      </c>
      <c r="C38" s="14"/>
      <c r="D38" s="83" t="s">
        <v>58</v>
      </c>
      <c r="E38" s="183" t="s">
        <v>710</v>
      </c>
      <c r="F38" s="113">
        <v>20</v>
      </c>
      <c r="G38" s="113">
        <v>14.3</v>
      </c>
      <c r="H38" s="188">
        <f t="shared" si="0"/>
        <v>5.6999999999999993</v>
      </c>
      <c r="I38" s="192">
        <v>11</v>
      </c>
      <c r="J38" s="116" t="s">
        <v>57</v>
      </c>
      <c r="K38" s="82"/>
      <c r="L38" s="183" t="s">
        <v>720</v>
      </c>
      <c r="M38" s="14"/>
      <c r="N38" s="132"/>
      <c r="O38" s="14"/>
      <c r="P38" s="10"/>
      <c r="Q38" s="7"/>
    </row>
    <row r="39" spans="1:17">
      <c r="A39" s="14"/>
      <c r="B39" s="84" t="s">
        <v>777</v>
      </c>
      <c r="C39" s="14"/>
      <c r="D39" s="83" t="s">
        <v>58</v>
      </c>
      <c r="E39" s="183" t="s">
        <v>716</v>
      </c>
      <c r="F39" s="184">
        <v>39</v>
      </c>
      <c r="G39" s="184">
        <v>27.85</v>
      </c>
      <c r="H39" s="114">
        <f t="shared" si="0"/>
        <v>11.149999999999999</v>
      </c>
      <c r="I39" s="115">
        <v>21</v>
      </c>
      <c r="J39" s="116">
        <v>23.45</v>
      </c>
      <c r="K39" s="82"/>
      <c r="L39" s="183" t="s">
        <v>721</v>
      </c>
      <c r="M39" s="14"/>
      <c r="N39" s="132"/>
      <c r="O39" s="14"/>
      <c r="P39" s="10"/>
      <c r="Q39" s="7"/>
    </row>
    <row r="40" spans="1:17">
      <c r="A40" s="14"/>
      <c r="B40" s="84" t="s">
        <v>778</v>
      </c>
      <c r="C40" s="14"/>
      <c r="D40" s="83" t="s">
        <v>58</v>
      </c>
      <c r="E40" s="183" t="s">
        <v>717</v>
      </c>
      <c r="F40" s="184">
        <v>23.1</v>
      </c>
      <c r="G40" s="184">
        <v>16.5</v>
      </c>
      <c r="H40" s="114">
        <f t="shared" si="0"/>
        <v>6.6000000000000014</v>
      </c>
      <c r="I40" s="192">
        <v>13</v>
      </c>
      <c r="J40" s="124">
        <v>13.87</v>
      </c>
      <c r="K40" s="82"/>
      <c r="L40" s="183" t="s">
        <v>722</v>
      </c>
      <c r="M40" s="14"/>
      <c r="N40" s="132"/>
      <c r="O40" s="14"/>
      <c r="P40" s="10"/>
      <c r="Q40" s="7"/>
    </row>
    <row r="41" spans="1:17">
      <c r="A41" s="14"/>
      <c r="B41" s="84" t="s">
        <v>779</v>
      </c>
      <c r="C41" s="14"/>
      <c r="D41" s="83" t="s">
        <v>58</v>
      </c>
      <c r="E41" s="183" t="s">
        <v>718</v>
      </c>
      <c r="F41" s="113">
        <v>26.2</v>
      </c>
      <c r="G41" s="113">
        <v>18.600000000000001</v>
      </c>
      <c r="H41" s="185">
        <f t="shared" si="0"/>
        <v>7.5999999999999979</v>
      </c>
      <c r="I41" s="115">
        <v>14.5</v>
      </c>
      <c r="J41" s="124">
        <v>15.63</v>
      </c>
      <c r="K41" s="82"/>
      <c r="L41" s="183" t="s">
        <v>723</v>
      </c>
      <c r="M41" s="14"/>
      <c r="N41" s="133"/>
      <c r="O41" s="14"/>
      <c r="P41" s="10"/>
      <c r="Q41" s="7"/>
    </row>
    <row r="42" spans="1:17">
      <c r="A42" s="14"/>
      <c r="B42" s="84" t="s">
        <v>780</v>
      </c>
      <c r="C42" s="14"/>
      <c r="D42" s="83" t="s">
        <v>58</v>
      </c>
      <c r="E42" s="183" t="s">
        <v>719</v>
      </c>
      <c r="F42" s="113">
        <v>49.5</v>
      </c>
      <c r="G42" s="113">
        <v>35.35</v>
      </c>
      <c r="H42" s="185">
        <f t="shared" si="0"/>
        <v>14.149999999999999</v>
      </c>
      <c r="I42" s="115">
        <v>27</v>
      </c>
      <c r="J42" s="116">
        <v>29.71</v>
      </c>
      <c r="K42" s="82"/>
      <c r="L42" s="183" t="s">
        <v>711</v>
      </c>
      <c r="M42" s="14"/>
      <c r="N42" s="8"/>
      <c r="O42" s="14"/>
      <c r="P42" s="10"/>
      <c r="Q42" s="7"/>
    </row>
    <row r="43" spans="1:17">
      <c r="A43" s="14"/>
      <c r="B43" s="84" t="s">
        <v>781</v>
      </c>
      <c r="C43" s="14"/>
      <c r="D43" s="83" t="s">
        <v>58</v>
      </c>
      <c r="E43" s="183" t="s">
        <v>720</v>
      </c>
      <c r="F43" s="113">
        <v>21</v>
      </c>
      <c r="G43" s="113">
        <v>15</v>
      </c>
      <c r="H43" s="185">
        <f t="shared" ref="H43:H74" si="1">IF(F43=0,0,(F43-G43))</f>
        <v>6</v>
      </c>
      <c r="I43" s="115">
        <v>11.5</v>
      </c>
      <c r="J43" s="124">
        <v>12.61</v>
      </c>
      <c r="K43" s="82"/>
      <c r="L43" s="183" t="s">
        <v>712</v>
      </c>
      <c r="M43" s="14"/>
      <c r="N43" s="8"/>
      <c r="O43" s="14"/>
      <c r="P43" s="10"/>
      <c r="Q43" s="7"/>
    </row>
    <row r="44" spans="1:17">
      <c r="A44" s="14"/>
      <c r="B44" s="84" t="s">
        <v>782</v>
      </c>
      <c r="C44" s="14"/>
      <c r="D44" s="83" t="s">
        <v>58</v>
      </c>
      <c r="E44" s="183" t="s">
        <v>721</v>
      </c>
      <c r="F44" s="113">
        <v>24.9</v>
      </c>
      <c r="G44" s="113">
        <v>17.8</v>
      </c>
      <c r="H44" s="185">
        <f t="shared" si="1"/>
        <v>7.0999999999999979</v>
      </c>
      <c r="I44" s="115">
        <v>15</v>
      </c>
      <c r="J44" s="116">
        <v>10</v>
      </c>
      <c r="K44" s="82"/>
      <c r="L44" s="183" t="s">
        <v>713</v>
      </c>
      <c r="M44" s="14"/>
      <c r="N44" s="8"/>
      <c r="O44" s="14"/>
      <c r="P44" s="10"/>
      <c r="Q44" s="7"/>
    </row>
    <row r="45" spans="1:17">
      <c r="A45" s="14"/>
      <c r="B45" s="84" t="s">
        <v>783</v>
      </c>
      <c r="C45" s="14"/>
      <c r="D45" s="83" t="s">
        <v>58</v>
      </c>
      <c r="E45" s="183" t="s">
        <v>722</v>
      </c>
      <c r="F45" s="113">
        <v>43.5</v>
      </c>
      <c r="G45" s="113">
        <v>31</v>
      </c>
      <c r="H45" s="185">
        <f t="shared" si="1"/>
        <v>12.5</v>
      </c>
      <c r="I45" s="115">
        <v>23.5</v>
      </c>
      <c r="J45" s="116">
        <v>26.05</v>
      </c>
      <c r="K45" s="82"/>
      <c r="L45" s="183" t="s">
        <v>714</v>
      </c>
      <c r="M45" s="14"/>
      <c r="N45" s="8"/>
      <c r="O45" s="14"/>
      <c r="P45" s="10"/>
      <c r="Q45" s="7"/>
    </row>
    <row r="46" spans="1:17">
      <c r="A46" s="14"/>
      <c r="B46" s="84" t="s">
        <v>784</v>
      </c>
      <c r="C46" s="14"/>
      <c r="D46" s="83" t="s">
        <v>58</v>
      </c>
      <c r="E46" s="183" t="s">
        <v>723</v>
      </c>
      <c r="F46" s="184">
        <v>0</v>
      </c>
      <c r="G46" s="184">
        <v>80.900000000000006</v>
      </c>
      <c r="H46" s="185">
        <f t="shared" si="1"/>
        <v>0</v>
      </c>
      <c r="I46" s="115">
        <v>56</v>
      </c>
      <c r="J46" s="116">
        <v>27</v>
      </c>
      <c r="K46" s="82"/>
      <c r="L46" s="183" t="s">
        <v>715</v>
      </c>
      <c r="M46" s="14"/>
      <c r="N46" s="7"/>
      <c r="O46" s="14"/>
      <c r="P46" s="10"/>
      <c r="Q46" s="7"/>
    </row>
    <row r="47" spans="1:17">
      <c r="A47" s="14"/>
      <c r="B47" s="84" t="s">
        <v>785</v>
      </c>
      <c r="C47" s="14"/>
      <c r="D47" s="83" t="s">
        <v>58</v>
      </c>
      <c r="E47" s="183" t="s">
        <v>711</v>
      </c>
      <c r="F47" s="186">
        <v>0</v>
      </c>
      <c r="G47" s="186">
        <v>19.899999999999999</v>
      </c>
      <c r="H47" s="114">
        <f t="shared" si="1"/>
        <v>0</v>
      </c>
      <c r="I47" s="117">
        <v>22.5</v>
      </c>
      <c r="J47" s="118">
        <v>14</v>
      </c>
      <c r="K47" s="82"/>
      <c r="M47" s="14"/>
      <c r="O47" s="14"/>
      <c r="P47" s="10"/>
      <c r="Q47" s="7"/>
    </row>
    <row r="48" spans="1:17">
      <c r="A48" s="14"/>
      <c r="B48" s="84" t="s">
        <v>786</v>
      </c>
      <c r="C48" s="14"/>
      <c r="D48" s="180" t="s">
        <v>58</v>
      </c>
      <c r="E48" s="183" t="s">
        <v>712</v>
      </c>
      <c r="F48" s="186">
        <v>0</v>
      </c>
      <c r="G48" s="186">
        <v>49.9</v>
      </c>
      <c r="H48" s="185">
        <f t="shared" si="1"/>
        <v>0</v>
      </c>
      <c r="I48" s="117">
        <v>95</v>
      </c>
      <c r="J48" s="138">
        <v>30</v>
      </c>
      <c r="K48" s="14"/>
      <c r="M48" s="14"/>
      <c r="O48" s="14"/>
      <c r="P48" s="10"/>
      <c r="Q48" s="7"/>
    </row>
    <row r="49" spans="1:29">
      <c r="A49" s="14"/>
      <c r="B49" s="84" t="s">
        <v>787</v>
      </c>
      <c r="C49" s="14"/>
      <c r="D49" s="83" t="s">
        <v>58</v>
      </c>
      <c r="E49" s="183" t="s">
        <v>713</v>
      </c>
      <c r="F49" s="186">
        <v>0</v>
      </c>
      <c r="G49" s="186">
        <v>29.9</v>
      </c>
      <c r="H49" s="185">
        <f t="shared" si="1"/>
        <v>0</v>
      </c>
      <c r="I49" s="117">
        <v>49.5</v>
      </c>
      <c r="J49" s="117">
        <v>25</v>
      </c>
      <c r="K49" s="14"/>
      <c r="M49" s="14"/>
      <c r="O49" s="14"/>
      <c r="P49" s="10"/>
      <c r="Q49" s="7"/>
    </row>
    <row r="50" spans="1:29">
      <c r="A50" s="14"/>
      <c r="B50" s="84" t="s">
        <v>788</v>
      </c>
      <c r="C50" s="14"/>
      <c r="D50" s="83" t="s">
        <v>58</v>
      </c>
      <c r="E50" s="183" t="s">
        <v>714</v>
      </c>
      <c r="F50" s="186">
        <v>21.5</v>
      </c>
      <c r="G50" s="186">
        <v>15.35</v>
      </c>
      <c r="H50" s="187">
        <f t="shared" si="1"/>
        <v>6.15</v>
      </c>
      <c r="I50" s="117">
        <v>11.5</v>
      </c>
      <c r="J50" s="118">
        <v>12.9</v>
      </c>
      <c r="K50" s="14"/>
      <c r="M50" s="14"/>
      <c r="N50" s="3" t="s">
        <v>51</v>
      </c>
      <c r="O50" s="14"/>
      <c r="P50" s="10"/>
      <c r="Q50" s="7"/>
    </row>
    <row r="51" spans="1:29">
      <c r="A51" s="14"/>
      <c r="B51" s="84" t="s">
        <v>789</v>
      </c>
      <c r="C51" s="14"/>
      <c r="D51" s="83" t="s">
        <v>58</v>
      </c>
      <c r="E51" s="183" t="s">
        <v>715</v>
      </c>
      <c r="F51" s="186">
        <v>19.899999999999999</v>
      </c>
      <c r="G51" s="186">
        <v>14.2</v>
      </c>
      <c r="H51" s="187">
        <f t="shared" si="1"/>
        <v>5.6999999999999993</v>
      </c>
      <c r="I51" s="117">
        <v>10.5</v>
      </c>
      <c r="J51" s="118">
        <v>11.93</v>
      </c>
      <c r="K51" s="14"/>
      <c r="M51" s="14"/>
      <c r="N51" s="191" t="s">
        <v>732</v>
      </c>
      <c r="O51" s="14"/>
      <c r="P51" s="10"/>
      <c r="Q51" s="7"/>
    </row>
    <row r="52" spans="1:29">
      <c r="A52" s="14"/>
      <c r="B52" s="84" t="s">
        <v>790</v>
      </c>
      <c r="C52" s="14"/>
      <c r="D52" s="83" t="s">
        <v>72</v>
      </c>
      <c r="E52" s="272" t="s">
        <v>54</v>
      </c>
      <c r="F52" s="186">
        <v>6.49</v>
      </c>
      <c r="G52" s="186">
        <v>2.99</v>
      </c>
      <c r="H52" s="194">
        <f t="shared" si="1"/>
        <v>3.5</v>
      </c>
      <c r="I52" s="117">
        <v>1.5</v>
      </c>
      <c r="J52" s="118">
        <v>1</v>
      </c>
      <c r="K52" s="14"/>
      <c r="M52" s="14"/>
      <c r="N52" s="191" t="s">
        <v>738</v>
      </c>
      <c r="O52" s="14"/>
      <c r="P52" s="10"/>
      <c r="Q52" s="7"/>
    </row>
    <row r="53" spans="1:29">
      <c r="A53" s="14"/>
      <c r="B53" s="84" t="s">
        <v>791</v>
      </c>
      <c r="C53" s="14"/>
      <c r="D53" s="83" t="s">
        <v>72</v>
      </c>
      <c r="E53" s="272" t="s">
        <v>55</v>
      </c>
      <c r="F53" s="186">
        <v>16.649999999999999</v>
      </c>
      <c r="G53" s="186">
        <v>13.3</v>
      </c>
      <c r="H53" s="194">
        <f t="shared" si="1"/>
        <v>3.3499999999999979</v>
      </c>
      <c r="I53" s="117">
        <v>11</v>
      </c>
      <c r="J53" s="118">
        <v>9</v>
      </c>
      <c r="K53" s="14"/>
      <c r="M53" s="14"/>
      <c r="N53" s="191" t="s">
        <v>737</v>
      </c>
      <c r="O53" s="14"/>
      <c r="P53" s="10"/>
      <c r="Q53" s="7"/>
    </row>
    <row r="54" spans="1:29">
      <c r="B54" s="84" t="s">
        <v>792</v>
      </c>
      <c r="D54" s="83" t="s">
        <v>56</v>
      </c>
      <c r="E54" s="183" t="s">
        <v>45</v>
      </c>
      <c r="F54" s="186">
        <v>50.25</v>
      </c>
      <c r="G54" s="186"/>
      <c r="H54" s="194">
        <f t="shared" si="1"/>
        <v>50.25</v>
      </c>
      <c r="I54" s="138">
        <v>32</v>
      </c>
      <c r="J54" s="137">
        <v>33.1</v>
      </c>
      <c r="K54" s="15"/>
      <c r="N54" s="191" t="s">
        <v>739</v>
      </c>
    </row>
    <row r="55" spans="1:29">
      <c r="B55" s="84" t="s">
        <v>793</v>
      </c>
      <c r="D55" s="179" t="s">
        <v>12</v>
      </c>
      <c r="E55" s="183" t="s">
        <v>724</v>
      </c>
      <c r="F55" s="186">
        <v>7.9</v>
      </c>
      <c r="G55" s="186">
        <v>4.5</v>
      </c>
      <c r="H55" s="187">
        <f t="shared" si="1"/>
        <v>3.4000000000000004</v>
      </c>
      <c r="I55" s="117">
        <v>3.8</v>
      </c>
      <c r="J55" s="118">
        <v>3</v>
      </c>
      <c r="K55" s="15"/>
      <c r="N55" s="191" t="s">
        <v>740</v>
      </c>
    </row>
    <row r="56" spans="1:29">
      <c r="B56" s="84" t="s">
        <v>794</v>
      </c>
      <c r="D56" s="180" t="s">
        <v>12</v>
      </c>
      <c r="E56" s="215" t="s">
        <v>725</v>
      </c>
      <c r="F56" s="186">
        <v>37.799999999999997</v>
      </c>
      <c r="G56" s="186">
        <v>27</v>
      </c>
      <c r="H56" s="187">
        <f t="shared" si="1"/>
        <v>10.799999999999997</v>
      </c>
      <c r="I56" s="117">
        <v>13.5</v>
      </c>
      <c r="J56" s="118">
        <v>18.510000000000002</v>
      </c>
      <c r="K56" s="15"/>
      <c r="L56" s="4"/>
      <c r="N56" s="191" t="s">
        <v>741</v>
      </c>
    </row>
    <row r="57" spans="1:29">
      <c r="B57" s="84" t="s">
        <v>795</v>
      </c>
      <c r="D57" s="180" t="s">
        <v>12</v>
      </c>
      <c r="E57" s="181" t="s">
        <v>726</v>
      </c>
      <c r="F57" s="186">
        <v>8.9</v>
      </c>
      <c r="G57" s="186">
        <v>5.9</v>
      </c>
      <c r="H57" s="187">
        <f t="shared" si="1"/>
        <v>3</v>
      </c>
      <c r="I57" s="117">
        <v>5</v>
      </c>
      <c r="J57" s="118">
        <v>1.24</v>
      </c>
      <c r="K57" s="15"/>
      <c r="L57" s="4"/>
      <c r="N57" s="191" t="s">
        <v>742</v>
      </c>
    </row>
    <row r="58" spans="1:29">
      <c r="B58" s="84" t="s">
        <v>796</v>
      </c>
      <c r="D58" s="180" t="s">
        <v>12</v>
      </c>
      <c r="E58" s="181" t="s">
        <v>727</v>
      </c>
      <c r="F58" s="186">
        <v>3.9</v>
      </c>
      <c r="G58" s="186">
        <v>2.7</v>
      </c>
      <c r="H58" s="187">
        <f t="shared" si="1"/>
        <v>1.1999999999999997</v>
      </c>
      <c r="I58" s="117">
        <v>2.5</v>
      </c>
      <c r="J58" s="118">
        <v>0.56999999999999995</v>
      </c>
      <c r="K58" s="15"/>
      <c r="N58" s="191" t="s">
        <v>743</v>
      </c>
    </row>
    <row r="59" spans="1:29">
      <c r="B59" s="84" t="s">
        <v>797</v>
      </c>
      <c r="D59" s="180" t="s">
        <v>12</v>
      </c>
      <c r="E59" s="181" t="s">
        <v>728</v>
      </c>
      <c r="F59" s="186">
        <v>4.9000000000000004</v>
      </c>
      <c r="G59" s="186">
        <v>3.3</v>
      </c>
      <c r="H59" s="187">
        <f t="shared" si="1"/>
        <v>1.6000000000000005</v>
      </c>
      <c r="I59" s="117">
        <v>3</v>
      </c>
      <c r="J59" s="118">
        <v>0.69</v>
      </c>
      <c r="K59" s="15"/>
      <c r="N59" s="191" t="s">
        <v>744</v>
      </c>
    </row>
    <row r="60" spans="1:29">
      <c r="B60" s="84" t="s">
        <v>798</v>
      </c>
      <c r="D60" s="180" t="s">
        <v>12</v>
      </c>
      <c r="E60" s="181" t="s">
        <v>729</v>
      </c>
      <c r="F60" s="186">
        <v>13.9</v>
      </c>
      <c r="G60" s="186">
        <v>9.9</v>
      </c>
      <c r="H60" s="187">
        <f t="shared" si="1"/>
        <v>4</v>
      </c>
      <c r="I60" s="117">
        <v>8.5</v>
      </c>
      <c r="J60" s="118">
        <v>2.08</v>
      </c>
      <c r="K60" s="15"/>
      <c r="N60" s="191" t="s">
        <v>733</v>
      </c>
    </row>
    <row r="61" spans="1:29">
      <c r="B61" s="84" t="s">
        <v>799</v>
      </c>
      <c r="D61" s="179" t="s">
        <v>12</v>
      </c>
      <c r="E61" s="181" t="s">
        <v>730</v>
      </c>
      <c r="F61" s="186">
        <v>27.5</v>
      </c>
      <c r="G61" s="186">
        <v>19.649999999999999</v>
      </c>
      <c r="H61" s="187">
        <f t="shared" si="1"/>
        <v>7.8500000000000014</v>
      </c>
      <c r="I61" s="117">
        <v>13.5</v>
      </c>
      <c r="J61" s="118">
        <v>16.510000000000002</v>
      </c>
      <c r="K61" s="15"/>
      <c r="N61" s="191" t="s">
        <v>734</v>
      </c>
    </row>
    <row r="62" spans="1:29">
      <c r="D62" s="180" t="s">
        <v>12</v>
      </c>
      <c r="E62" s="181" t="s">
        <v>731</v>
      </c>
      <c r="F62" s="186">
        <v>6.9</v>
      </c>
      <c r="G62" s="186">
        <v>5.3</v>
      </c>
      <c r="H62" s="187">
        <f t="shared" si="1"/>
        <v>1.6000000000000005</v>
      </c>
      <c r="I62" s="117">
        <v>3</v>
      </c>
      <c r="J62" s="118">
        <v>2.21</v>
      </c>
      <c r="K62" s="15"/>
      <c r="N62" s="191" t="s">
        <v>735</v>
      </c>
    </row>
    <row r="63" spans="1:29">
      <c r="D63" s="180" t="s">
        <v>72</v>
      </c>
      <c r="E63" s="200" t="s">
        <v>50</v>
      </c>
      <c r="F63" s="186">
        <v>9.9</v>
      </c>
      <c r="G63" s="186">
        <v>7.1</v>
      </c>
      <c r="H63" s="194">
        <f t="shared" si="1"/>
        <v>2.8000000000000007</v>
      </c>
      <c r="I63" s="117">
        <v>6</v>
      </c>
      <c r="J63" s="118">
        <v>3</v>
      </c>
      <c r="K63" s="15"/>
      <c r="N63" s="191" t="s">
        <v>736</v>
      </c>
    </row>
    <row r="64" spans="1:29" s="175" customFormat="1">
      <c r="A64" s="15"/>
      <c r="C64" s="15"/>
      <c r="D64" s="180" t="s">
        <v>72</v>
      </c>
      <c r="E64" s="4" t="s">
        <v>84</v>
      </c>
      <c r="F64" s="186">
        <v>32.9</v>
      </c>
      <c r="G64" s="186">
        <v>9.9</v>
      </c>
      <c r="H64" s="194">
        <f t="shared" si="1"/>
        <v>23</v>
      </c>
      <c r="I64" s="138">
        <v>8</v>
      </c>
      <c r="J64" s="137">
        <v>5</v>
      </c>
      <c r="K64" s="15"/>
      <c r="M64" s="15"/>
      <c r="O64" s="15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</row>
    <row r="65" spans="2:12">
      <c r="D65" s="180" t="s">
        <v>72</v>
      </c>
      <c r="E65" s="202" t="s">
        <v>83</v>
      </c>
      <c r="F65" s="186">
        <v>25</v>
      </c>
      <c r="G65" s="186">
        <v>9.9</v>
      </c>
      <c r="H65" s="194">
        <f t="shared" si="1"/>
        <v>15.1</v>
      </c>
      <c r="I65" s="117">
        <v>8</v>
      </c>
      <c r="J65" s="118">
        <v>5</v>
      </c>
      <c r="K65" s="15"/>
    </row>
    <row r="66" spans="2:12">
      <c r="D66" s="180" t="s">
        <v>72</v>
      </c>
      <c r="E66" s="201" t="s">
        <v>82</v>
      </c>
      <c r="F66" s="186">
        <v>27</v>
      </c>
      <c r="G66" s="186">
        <v>9.9</v>
      </c>
      <c r="H66" s="194">
        <f t="shared" si="1"/>
        <v>17.100000000000001</v>
      </c>
      <c r="I66" s="117">
        <v>8</v>
      </c>
      <c r="J66" s="118">
        <v>5</v>
      </c>
      <c r="K66" s="15"/>
    </row>
    <row r="67" spans="2:12">
      <c r="D67" s="180" t="s">
        <v>72</v>
      </c>
      <c r="E67" s="200" t="s">
        <v>80</v>
      </c>
      <c r="F67" s="186">
        <v>15</v>
      </c>
      <c r="G67" s="186">
        <v>5.8</v>
      </c>
      <c r="H67" s="194">
        <f t="shared" si="1"/>
        <v>9.1999999999999993</v>
      </c>
      <c r="I67" s="117">
        <v>4</v>
      </c>
      <c r="J67" s="118">
        <v>3</v>
      </c>
      <c r="K67" s="15"/>
    </row>
    <row r="68" spans="2:12">
      <c r="D68" s="179" t="s">
        <v>72</v>
      </c>
      <c r="E68" s="199" t="s">
        <v>81</v>
      </c>
      <c r="F68" s="184">
        <v>15</v>
      </c>
      <c r="G68" s="184">
        <v>6.9</v>
      </c>
      <c r="H68" s="228">
        <f t="shared" si="1"/>
        <v>8.1</v>
      </c>
      <c r="I68" s="115">
        <v>4</v>
      </c>
      <c r="J68" s="116">
        <v>3</v>
      </c>
      <c r="K68" s="15"/>
    </row>
    <row r="69" spans="2:12">
      <c r="D69" s="189" t="s">
        <v>51</v>
      </c>
      <c r="E69" s="191" t="s">
        <v>732</v>
      </c>
      <c r="F69" s="184">
        <v>35</v>
      </c>
      <c r="G69" s="184">
        <v>19.899999999999999</v>
      </c>
      <c r="H69" s="228">
        <f t="shared" si="1"/>
        <v>15.100000000000001</v>
      </c>
      <c r="I69" s="115" t="s">
        <v>59</v>
      </c>
      <c r="J69" s="116" t="s">
        <v>60</v>
      </c>
      <c r="K69" s="15"/>
      <c r="L69" s="175" t="s">
        <v>72</v>
      </c>
    </row>
    <row r="70" spans="2:12">
      <c r="D70" s="179" t="s">
        <v>51</v>
      </c>
      <c r="E70" s="191" t="s">
        <v>738</v>
      </c>
      <c r="F70" s="184">
        <v>38</v>
      </c>
      <c r="G70" s="184">
        <v>32.9</v>
      </c>
      <c r="H70" s="228">
        <f t="shared" si="1"/>
        <v>5.1000000000000014</v>
      </c>
      <c r="I70" s="115" t="s">
        <v>61</v>
      </c>
      <c r="J70" s="116" t="s">
        <v>62</v>
      </c>
      <c r="K70" s="15"/>
      <c r="L70" s="175" t="s">
        <v>22</v>
      </c>
    </row>
    <row r="71" spans="2:12">
      <c r="D71" s="189" t="s">
        <v>51</v>
      </c>
      <c r="E71" s="191" t="s">
        <v>737</v>
      </c>
      <c r="F71" s="184">
        <v>44.9</v>
      </c>
      <c r="G71" s="184">
        <v>34.049999999999997</v>
      </c>
      <c r="H71" s="228">
        <f t="shared" si="1"/>
        <v>10.850000000000001</v>
      </c>
      <c r="I71" s="192">
        <v>27</v>
      </c>
      <c r="J71" s="124">
        <v>22.55</v>
      </c>
      <c r="K71" s="15"/>
      <c r="L71" s="175" t="s">
        <v>73</v>
      </c>
    </row>
    <row r="72" spans="2:12">
      <c r="D72" s="179" t="s">
        <v>51</v>
      </c>
      <c r="E72" s="191" t="s">
        <v>739</v>
      </c>
      <c r="F72" s="184">
        <v>34.9</v>
      </c>
      <c r="G72" s="184">
        <v>27.45</v>
      </c>
      <c r="H72" s="228">
        <f t="shared" si="1"/>
        <v>7.4499999999999993</v>
      </c>
      <c r="I72" s="192">
        <v>22</v>
      </c>
      <c r="J72" s="124">
        <v>15</v>
      </c>
      <c r="K72" s="15"/>
      <c r="L72" s="175" t="s">
        <v>74</v>
      </c>
    </row>
    <row r="73" spans="2:12">
      <c r="D73" s="179" t="s">
        <v>51</v>
      </c>
      <c r="E73" s="191" t="s">
        <v>740</v>
      </c>
      <c r="F73" s="184">
        <v>36.950000000000003</v>
      </c>
      <c r="G73" s="184">
        <v>26.95</v>
      </c>
      <c r="H73" s="228">
        <f t="shared" si="1"/>
        <v>10.000000000000004</v>
      </c>
      <c r="I73" s="192">
        <v>21</v>
      </c>
      <c r="J73" s="124">
        <v>19</v>
      </c>
      <c r="K73" s="15"/>
      <c r="L73" s="175" t="s">
        <v>75</v>
      </c>
    </row>
    <row r="74" spans="2:12">
      <c r="D74" s="179" t="s">
        <v>51</v>
      </c>
      <c r="E74" s="191" t="s">
        <v>741</v>
      </c>
      <c r="F74" s="184">
        <v>41.9</v>
      </c>
      <c r="G74" s="184">
        <v>31.5</v>
      </c>
      <c r="H74" s="228">
        <f t="shared" si="1"/>
        <v>10.399999999999999</v>
      </c>
      <c r="I74" s="192">
        <v>25</v>
      </c>
      <c r="J74" s="124">
        <v>25.25</v>
      </c>
      <c r="K74" s="15"/>
      <c r="L74" s="175" t="s">
        <v>76</v>
      </c>
    </row>
    <row r="75" spans="2:12">
      <c r="D75" s="179" t="s">
        <v>51</v>
      </c>
      <c r="E75" s="191" t="s">
        <v>742</v>
      </c>
      <c r="F75" s="252">
        <v>25</v>
      </c>
      <c r="G75" s="252">
        <v>14.9</v>
      </c>
      <c r="H75" s="195">
        <f t="shared" ref="H75:H83" si="2">IF(F75=0,0,(F75-G75))</f>
        <v>10.1</v>
      </c>
      <c r="I75" s="253">
        <v>6</v>
      </c>
      <c r="J75" s="254">
        <v>3</v>
      </c>
      <c r="K75" s="15"/>
      <c r="L75" s="175" t="s">
        <v>54</v>
      </c>
    </row>
    <row r="76" spans="2:12">
      <c r="D76" s="179" t="s">
        <v>51</v>
      </c>
      <c r="E76" s="191" t="s">
        <v>743</v>
      </c>
      <c r="F76" s="184">
        <v>24.9</v>
      </c>
      <c r="G76" s="184">
        <v>10.63</v>
      </c>
      <c r="H76" s="228">
        <f t="shared" si="2"/>
        <v>14.269999999999998</v>
      </c>
      <c r="I76" s="115" t="s">
        <v>77</v>
      </c>
      <c r="J76" s="116" t="s">
        <v>77</v>
      </c>
      <c r="K76" s="15"/>
      <c r="L76" s="175" t="s">
        <v>55</v>
      </c>
    </row>
    <row r="77" spans="2:12">
      <c r="D77" s="179" t="s">
        <v>51</v>
      </c>
      <c r="E77" s="191" t="s">
        <v>744</v>
      </c>
      <c r="F77" s="252">
        <v>0</v>
      </c>
      <c r="G77" s="252">
        <v>7.9</v>
      </c>
      <c r="H77" s="195">
        <f t="shared" si="2"/>
        <v>0</v>
      </c>
      <c r="I77" s="253">
        <v>0</v>
      </c>
      <c r="J77" s="254">
        <v>0</v>
      </c>
      <c r="K77" s="15"/>
      <c r="L77" s="175" t="s">
        <v>50</v>
      </c>
    </row>
    <row r="78" spans="2:12">
      <c r="D78" s="179" t="s">
        <v>51</v>
      </c>
      <c r="E78" s="191" t="s">
        <v>733</v>
      </c>
      <c r="F78" s="184">
        <v>25</v>
      </c>
      <c r="G78" s="184">
        <v>21</v>
      </c>
      <c r="H78" s="228">
        <f t="shared" si="2"/>
        <v>4</v>
      </c>
      <c r="I78" s="192">
        <v>11.7</v>
      </c>
      <c r="J78" s="124">
        <v>8.82</v>
      </c>
      <c r="K78" s="15"/>
      <c r="L78" s="227" t="s">
        <v>84</v>
      </c>
    </row>
    <row r="79" spans="2:12">
      <c r="B79" s="160" t="s">
        <v>36</v>
      </c>
      <c r="D79" s="180" t="s">
        <v>51</v>
      </c>
      <c r="E79" s="191" t="s">
        <v>734</v>
      </c>
      <c r="F79" s="186">
        <v>25</v>
      </c>
      <c r="G79" s="186">
        <v>21</v>
      </c>
      <c r="H79" s="194">
        <f t="shared" si="2"/>
        <v>4</v>
      </c>
      <c r="I79" s="138">
        <v>11.7</v>
      </c>
      <c r="J79" s="137">
        <v>8.82</v>
      </c>
      <c r="K79" s="15"/>
      <c r="L79" s="202" t="s">
        <v>83</v>
      </c>
    </row>
    <row r="80" spans="2:12">
      <c r="B80" s="159">
        <v>43466</v>
      </c>
      <c r="D80" s="180" t="s">
        <v>51</v>
      </c>
      <c r="E80" s="191" t="s">
        <v>735</v>
      </c>
      <c r="F80" s="186">
        <v>15</v>
      </c>
      <c r="G80" s="186">
        <v>5.8</v>
      </c>
      <c r="H80" s="194">
        <f t="shared" si="2"/>
        <v>9.1999999999999993</v>
      </c>
      <c r="I80" s="138">
        <v>4</v>
      </c>
      <c r="J80" s="137">
        <v>3</v>
      </c>
      <c r="K80" s="15"/>
      <c r="L80" s="225" t="s">
        <v>82</v>
      </c>
    </row>
    <row r="81" spans="2:12">
      <c r="B81" s="159">
        <v>43497</v>
      </c>
      <c r="D81" s="180" t="s">
        <v>51</v>
      </c>
      <c r="E81" s="191" t="s">
        <v>736</v>
      </c>
      <c r="F81" s="186">
        <v>40</v>
      </c>
      <c r="G81" s="186">
        <v>19.899999999999999</v>
      </c>
      <c r="H81" s="194">
        <f t="shared" si="2"/>
        <v>20.100000000000001</v>
      </c>
      <c r="I81" s="138">
        <v>20</v>
      </c>
      <c r="J81" s="137">
        <v>8</v>
      </c>
      <c r="K81" s="15"/>
      <c r="L81" s="225" t="s">
        <v>80</v>
      </c>
    </row>
    <row r="82" spans="2:12">
      <c r="B82" s="159">
        <v>43525</v>
      </c>
      <c r="D82" s="180" t="s">
        <v>72</v>
      </c>
      <c r="E82" s="199" t="s">
        <v>52</v>
      </c>
      <c r="F82" s="186">
        <v>5.9</v>
      </c>
      <c r="G82" s="186">
        <v>2.9</v>
      </c>
      <c r="H82" s="194">
        <f t="shared" si="2"/>
        <v>3.0000000000000004</v>
      </c>
      <c r="I82" s="117">
        <v>1.5</v>
      </c>
      <c r="J82" s="118">
        <v>1</v>
      </c>
      <c r="K82" s="15"/>
      <c r="L82" s="202" t="s">
        <v>81</v>
      </c>
    </row>
    <row r="83" spans="2:12">
      <c r="B83" s="159">
        <v>43556</v>
      </c>
      <c r="D83" s="180" t="s">
        <v>72</v>
      </c>
      <c r="E83" s="199" t="s">
        <v>53</v>
      </c>
      <c r="F83" s="186">
        <v>5</v>
      </c>
      <c r="G83" s="186">
        <v>2.9</v>
      </c>
      <c r="H83" s="194">
        <f t="shared" si="2"/>
        <v>2.1</v>
      </c>
      <c r="I83" s="117">
        <v>1.5</v>
      </c>
      <c r="J83" s="118">
        <v>1</v>
      </c>
      <c r="K83" s="15"/>
      <c r="L83" s="226" t="s">
        <v>52</v>
      </c>
    </row>
    <row r="84" spans="2:12">
      <c r="B84" s="159">
        <v>43586</v>
      </c>
      <c r="K84" s="15"/>
      <c r="L84" s="4" t="s">
        <v>53</v>
      </c>
    </row>
    <row r="85" spans="2:12">
      <c r="B85" s="159">
        <v>43617</v>
      </c>
      <c r="K85" s="15"/>
    </row>
    <row r="86" spans="2:12">
      <c r="B86" s="159">
        <v>43647</v>
      </c>
      <c r="K86" s="15"/>
    </row>
    <row r="87" spans="2:12">
      <c r="B87" s="159">
        <v>43678</v>
      </c>
      <c r="K87" s="15"/>
    </row>
    <row r="88" spans="2:12">
      <c r="B88" s="159">
        <v>43709</v>
      </c>
      <c r="K88" s="15"/>
    </row>
    <row r="89" spans="2:12">
      <c r="B89" s="159">
        <v>43739</v>
      </c>
      <c r="K89" s="15"/>
    </row>
    <row r="90" spans="2:12">
      <c r="B90" s="159">
        <v>43770</v>
      </c>
      <c r="K90" s="15"/>
    </row>
    <row r="91" spans="2:12">
      <c r="B91" s="159">
        <v>43800</v>
      </c>
      <c r="K91" s="15"/>
    </row>
    <row r="92" spans="2:12">
      <c r="B92" s="159">
        <v>43831</v>
      </c>
      <c r="K92" s="15"/>
    </row>
    <row r="93" spans="2:12">
      <c r="B93" s="159">
        <v>43862</v>
      </c>
      <c r="K93" s="15"/>
    </row>
    <row r="94" spans="2:12">
      <c r="B94" s="159">
        <v>43891</v>
      </c>
      <c r="K94" s="15"/>
    </row>
    <row r="95" spans="2:12">
      <c r="B95" s="159">
        <v>43922</v>
      </c>
      <c r="K95" s="15"/>
    </row>
    <row r="96" spans="2:12">
      <c r="B96" s="159">
        <v>43952</v>
      </c>
      <c r="K96" s="15"/>
    </row>
    <row r="97" spans="2:11">
      <c r="B97" s="159">
        <v>43983</v>
      </c>
      <c r="K97" s="15"/>
    </row>
    <row r="98" spans="2:11">
      <c r="B98" s="159">
        <v>44013</v>
      </c>
      <c r="K98" s="15"/>
    </row>
    <row r="99" spans="2:11">
      <c r="B99" s="159">
        <v>44044</v>
      </c>
      <c r="K99" s="15"/>
    </row>
    <row r="100" spans="2:11">
      <c r="B100" s="159">
        <v>44075</v>
      </c>
      <c r="K100" s="15"/>
    </row>
    <row r="101" spans="2:11">
      <c r="B101" s="159">
        <v>44105</v>
      </c>
      <c r="K101" s="15"/>
    </row>
    <row r="102" spans="2:11">
      <c r="B102" s="159">
        <v>44136</v>
      </c>
      <c r="K102" s="15"/>
    </row>
    <row r="103" spans="2:11">
      <c r="B103" s="159">
        <v>44166</v>
      </c>
      <c r="K103" s="15"/>
    </row>
    <row r="104" spans="2:11">
      <c r="B104" s="159">
        <v>44197</v>
      </c>
      <c r="K104" s="15"/>
    </row>
    <row r="105" spans="2:11">
      <c r="B105" s="159">
        <v>44228</v>
      </c>
      <c r="K105" s="15"/>
    </row>
    <row r="106" spans="2:11">
      <c r="B106" s="159">
        <v>44256</v>
      </c>
      <c r="K106" s="15"/>
    </row>
    <row r="107" spans="2:11">
      <c r="B107" s="159">
        <v>44287</v>
      </c>
      <c r="K107" s="15"/>
    </row>
    <row r="108" spans="2:11">
      <c r="B108" s="159">
        <v>44317</v>
      </c>
      <c r="K108" s="15"/>
    </row>
    <row r="109" spans="2:11">
      <c r="B109" s="159">
        <v>44348</v>
      </c>
      <c r="K109" s="15"/>
    </row>
    <row r="110" spans="2:11">
      <c r="B110" s="159">
        <v>44378</v>
      </c>
      <c r="K110" s="15"/>
    </row>
    <row r="111" spans="2:11">
      <c r="B111" s="159">
        <v>44409</v>
      </c>
      <c r="K111" s="15"/>
    </row>
    <row r="112" spans="2:11">
      <c r="B112" s="159">
        <v>44440</v>
      </c>
      <c r="K112" s="15"/>
    </row>
    <row r="113" spans="2:11">
      <c r="B113" s="159">
        <v>44470</v>
      </c>
      <c r="K113" s="15"/>
    </row>
    <row r="114" spans="2:11">
      <c r="B114" s="159">
        <v>44501</v>
      </c>
      <c r="K114" s="15"/>
    </row>
    <row r="115" spans="2:11">
      <c r="B115" s="161">
        <v>44531</v>
      </c>
      <c r="K115" s="15"/>
    </row>
    <row r="116" spans="2:11">
      <c r="K116" s="15"/>
    </row>
    <row r="117" spans="2:11">
      <c r="K117" s="15"/>
    </row>
    <row r="118" spans="2:11">
      <c r="K118" s="15"/>
    </row>
    <row r="119" spans="2:11">
      <c r="K119" s="15"/>
    </row>
    <row r="120" spans="2:11">
      <c r="K120" s="15"/>
    </row>
    <row r="121" spans="2:11">
      <c r="K121" s="15"/>
    </row>
    <row r="122" spans="2:11">
      <c r="K122" s="15"/>
    </row>
    <row r="123" spans="2:11">
      <c r="K123" s="15"/>
    </row>
    <row r="124" spans="2:11">
      <c r="K124" s="15"/>
    </row>
    <row r="125" spans="2:11">
      <c r="K125" s="15"/>
    </row>
    <row r="126" spans="2:11">
      <c r="K126" s="15"/>
    </row>
    <row r="127" spans="2:11">
      <c r="K127" s="15"/>
    </row>
    <row r="128" spans="2:11">
      <c r="K128" s="15"/>
    </row>
    <row r="129" spans="2:11">
      <c r="K129" s="15"/>
    </row>
    <row r="130" spans="2:11">
      <c r="K130" s="15"/>
    </row>
    <row r="131" spans="2:11">
      <c r="K131" s="15"/>
    </row>
    <row r="132" spans="2:11">
      <c r="K132" s="15"/>
    </row>
    <row r="133" spans="2:11">
      <c r="B133" s="90" t="s">
        <v>40</v>
      </c>
      <c r="K133" s="15"/>
    </row>
    <row r="134" spans="2:11">
      <c r="B134" s="90" t="s">
        <v>41</v>
      </c>
      <c r="K134" s="15"/>
    </row>
    <row r="135" spans="2:11">
      <c r="B135" s="90" t="s">
        <v>39</v>
      </c>
      <c r="K135" s="15"/>
    </row>
    <row r="136" spans="2:11">
      <c r="K136" s="15"/>
    </row>
    <row r="137" spans="2:11">
      <c r="B137" s="88" t="s">
        <v>49</v>
      </c>
      <c r="K137" s="15"/>
    </row>
    <row r="138" spans="2:11">
      <c r="B138" s="107" t="s">
        <v>7</v>
      </c>
      <c r="K138" s="15"/>
    </row>
    <row r="139" spans="2:11">
      <c r="B139" s="107" t="s">
        <v>9</v>
      </c>
      <c r="K139" s="15"/>
    </row>
    <row r="140" spans="2:11">
      <c r="B140" s="107" t="s">
        <v>58</v>
      </c>
      <c r="K140" s="15"/>
    </row>
    <row r="141" spans="2:11">
      <c r="B141" s="107" t="s">
        <v>12</v>
      </c>
      <c r="K141" s="15"/>
    </row>
    <row r="142" spans="2:11">
      <c r="B142" s="108" t="s">
        <v>8</v>
      </c>
      <c r="K142" s="15"/>
    </row>
    <row r="143" spans="2:11">
      <c r="B143" s="109" t="s">
        <v>51</v>
      </c>
      <c r="K143" s="15"/>
    </row>
    <row r="144" spans="2:11">
      <c r="K144" s="15"/>
    </row>
    <row r="145" spans="11:11">
      <c r="K145" s="15"/>
    </row>
    <row r="146" spans="11:11">
      <c r="K146" s="15"/>
    </row>
    <row r="147" spans="11:11">
      <c r="K147" s="15"/>
    </row>
    <row r="148" spans="11:11">
      <c r="K148" s="15"/>
    </row>
    <row r="149" spans="11:11">
      <c r="K149" s="15"/>
    </row>
    <row r="150" spans="11:11">
      <c r="K150" s="15"/>
    </row>
    <row r="151" spans="11:11">
      <c r="K151" s="15"/>
    </row>
    <row r="152" spans="11:11">
      <c r="K152" s="15"/>
    </row>
    <row r="153" spans="11:11">
      <c r="K153" s="15"/>
    </row>
    <row r="154" spans="11:11">
      <c r="K154" s="15"/>
    </row>
    <row r="155" spans="11:11">
      <c r="K155" s="15"/>
    </row>
    <row r="156" spans="11:11">
      <c r="K156" s="15"/>
    </row>
    <row r="157" spans="11:11">
      <c r="K157" s="15"/>
    </row>
    <row r="158" spans="11:11">
      <c r="K158" s="15"/>
    </row>
  </sheetData>
  <pageMargins left="0.7" right="0.7" top="0.75" bottom="0.75" header="0.3" footer="0.3"/>
  <pageSetup paperSize="9" orientation="portrait" r:id="rId1"/>
  <drawing r:id="rId2"/>
  <legacyDrawing r:id="rId3"/>
  <tableParts count="10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26</vt:i4>
      </vt:variant>
    </vt:vector>
  </HeadingPairs>
  <TitlesOfParts>
    <vt:vector size="32" baseType="lpstr">
      <vt:lpstr>Tableau</vt:lpstr>
      <vt:lpstr>RECAP_VENTE_MENSUELLE</vt:lpstr>
      <vt:lpstr>RECAP_VENTE_ANNUELLE</vt:lpstr>
      <vt:lpstr>ACHAT_Client</vt:lpstr>
      <vt:lpstr>Fiche_client</vt:lpstr>
      <vt:lpstr>BDD</vt:lpstr>
      <vt:lpstr>Accessoires</vt:lpstr>
      <vt:lpstr>Aloe_vera</vt:lpstr>
      <vt:lpstr>base_clients</vt:lpstr>
      <vt:lpstr>Clean_care</vt:lpstr>
      <vt:lpstr>Colonne_Nom_Prenom</vt:lpstr>
      <vt:lpstr>Date</vt:lpstr>
      <vt:lpstr>Date_annuelle</vt:lpstr>
      <vt:lpstr>lieu_commande</vt:lpstr>
      <vt:lpstr>Liste_type</vt:lpstr>
      <vt:lpstr>Make_Up</vt:lpstr>
      <vt:lpstr>Marges_VDI_feuille2</vt:lpstr>
      <vt:lpstr>Mois</vt:lpstr>
      <vt:lpstr>Parfum</vt:lpstr>
      <vt:lpstr>Parfums</vt:lpstr>
      <vt:lpstr>Produits_tarifs_Marge_PV_GV_</vt:lpstr>
      <vt:lpstr>Promotions</vt:lpstr>
      <vt:lpstr>Quantité</vt:lpstr>
      <vt:lpstr>Quantité_annuelle</vt:lpstr>
      <vt:lpstr>Reduction_feuille2</vt:lpstr>
      <vt:lpstr>Total_Client_annuel</vt:lpstr>
      <vt:lpstr>Total_Client_feuille2</vt:lpstr>
      <vt:lpstr>Total_GVs_feuille2</vt:lpstr>
      <vt:lpstr>Total_Marges_feuille2</vt:lpstr>
      <vt:lpstr>Total_PVs_feuille2</vt:lpstr>
      <vt:lpstr>Total_VDIs_feuille2</vt:lpstr>
      <vt:lpstr>Total_vente_clients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meyer</dc:creator>
  <cp:lastModifiedBy>emmanuel meyer</cp:lastModifiedBy>
  <cp:lastPrinted>2020-07-01T11:36:09Z</cp:lastPrinted>
  <dcterms:created xsi:type="dcterms:W3CDTF">2019-04-16T07:53:58Z</dcterms:created>
  <dcterms:modified xsi:type="dcterms:W3CDTF">2020-08-04T08:48:08Z</dcterms:modified>
</cp:coreProperties>
</file>