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alie\Downloads\"/>
    </mc:Choice>
  </mc:AlternateContent>
  <xr:revisionPtr revIDLastSave="0" documentId="13_ncr:1_{141DC8B0-E882-4408-AB37-2234A4F6D82F}" xr6:coauthVersionLast="43" xr6:coauthVersionMax="43" xr10:uidLastSave="{00000000-0000-0000-0000-000000000000}"/>
  <bookViews>
    <workbookView xWindow="-120" yWindow="-120" windowWidth="29040" windowHeight="16440" activeTab="5" xr2:uid="{59C7E299-99D6-45A6-9B8E-4C7E3E4CF5E8}"/>
  </bookViews>
  <sheets>
    <sheet name="Infos adm chantier" sheetId="2" r:id="rId1"/>
    <sheet name="Infos locat + planification" sheetId="1" r:id="rId2"/>
    <sheet name="Fiche EdL avant travaux" sheetId="3" r:id="rId3"/>
    <sheet name="Fiche travaux" sheetId="4" r:id="rId4"/>
    <sheet name="Fiche planification" sheetId="5" r:id="rId5"/>
    <sheet name="Planning" sheetId="8" r:id="rId6"/>
  </sheets>
  <definedNames>
    <definedName name="Calendrier10ans">Planning!$B$127</definedName>
    <definedName name="Calendrier10mois">Planning!$C$127</definedName>
    <definedName name="Calendrier11ans">Planning!$B$141</definedName>
    <definedName name="Calendrier11mois">Planning!$C$141</definedName>
    <definedName name="Calendrier12ans">Planning!$B$155</definedName>
    <definedName name="Calendrier12mois">Planning!$C$155</definedName>
    <definedName name="Calendrier1an">Planning!$B$1</definedName>
    <definedName name="Calendrier1mois">Planning!$C$1</definedName>
    <definedName name="Calendrier2ans">Planning!$B$15</definedName>
    <definedName name="Calendrier2mois">Planning!$C$15</definedName>
    <definedName name="Calendrier3ans">Planning!$B$29</definedName>
    <definedName name="Calendrier3mois">Planning!$C$29</definedName>
    <definedName name="Calendrier4ans">Planning!$B$43</definedName>
    <definedName name="Calendrier4mois">Planning!$C$43</definedName>
    <definedName name="Calendrier5ans">Planning!$B$57</definedName>
    <definedName name="Calendrier5mois">Planning!$C$57</definedName>
    <definedName name="Calendrier6ans">Planning!$B$71</definedName>
    <definedName name="Calendrier6mois">Planning!$C$71</definedName>
    <definedName name="Calendrier7ans">Planning!$B$85</definedName>
    <definedName name="Calendrier7mois">Planning!$C$85</definedName>
    <definedName name="Calendrier8ans">Planning!$B$99</definedName>
    <definedName name="Calendrier8mois">Planning!$C$99</definedName>
    <definedName name="Calendrier9ans">Planning!$B$113</definedName>
    <definedName name="Calendrier9mois">Planning!$C$113</definedName>
    <definedName name="ChoixMois">Planning!$O$2:$O$13</definedName>
    <definedName name="DébutSemaine">Planning!$B$2</definedName>
    <definedName name="Infos_locat">'Infos locat + planification'!$A$4:$K$1000</definedName>
    <definedName name="Jours">{0,1,2,3,4,5,6}</definedName>
    <definedName name="JoursSemaine">{"Lundi","Mardi","Mercredi","Jeudi","Vendredi","Samedi","Dimanche"}</definedName>
    <definedName name="Mois">{"Janvier","Février","Mars","Avril","Mai","Juin","Juillet","Août","Septembre","Octobre","Novembre","Décembre"}</definedName>
    <definedName name="OptionCalendrier10mois">MATCH(Calendrier10mois,Mois,0)</definedName>
    <definedName name="OptionCalendrier11mois">MATCH(Calendrier11mois,Mois,0)</definedName>
    <definedName name="OptionCalendrier12mois">MATCH(Calendrier12mois,Mois,0)</definedName>
    <definedName name="OptionCalendrier1mois">MATCH(Calendrier1mois,Mois,0)</definedName>
    <definedName name="OptionCalendrier2mois">MATCH(Calendrier2mois,Mois,0)</definedName>
    <definedName name="OptionCalendrier3mois">MATCH(Calendrier3mois,Mois,0)</definedName>
    <definedName name="OptionCalendrier4mois">MATCH(Calendrier4mois,Mois,0)</definedName>
    <definedName name="OptionCalendrier5mois">MATCH(Calendrier5mois,Mois,0)</definedName>
    <definedName name="OptionCalendrier6mois">MATCH(Calendrier6mois,Mois,0)</definedName>
    <definedName name="OptionCalendrier7mois">MATCH(Calendrier7mois,Mois,0)</definedName>
    <definedName name="OptionCalendrier8mois">MATCH(Calendrier8mois,Mois,0)</definedName>
    <definedName name="OptionCalendrier9mois">MATCH(Calendrier9mois,Mois,0)</definedName>
    <definedName name="OptionJourSemaine">MATCH(DébutSemaine,JoursSemaine,0)+10</definedName>
    <definedName name="ValeurDébutSemaine">IF(DébutSemaine="Lundi",2,1)</definedName>
    <definedName name="_xlnm.Print_Area" localSheetId="3">'Fiche travaux'!$A$1:$H$48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8" i="5" l="1"/>
  <c r="D35" i="5"/>
  <c r="D32" i="5"/>
  <c r="D29" i="5"/>
  <c r="D26" i="5"/>
  <c r="D23" i="5"/>
  <c r="D20" i="5"/>
  <c r="D17" i="5"/>
  <c r="B53" i="5"/>
  <c r="B32" i="5"/>
  <c r="B29" i="5"/>
  <c r="B26" i="5"/>
  <c r="B23" i="5"/>
  <c r="B20" i="5"/>
  <c r="B17" i="5"/>
  <c r="I11" i="5"/>
  <c r="B12" i="5"/>
  <c r="B11" i="5"/>
  <c r="B10" i="5"/>
  <c r="B1" i="8" l="1"/>
  <c r="C15" i="8" s="1"/>
  <c r="B15" i="8" l="1"/>
  <c r="B27" i="8" s="1" a="1"/>
  <c r="B29" i="8"/>
  <c r="B23" i="8" a="1"/>
  <c r="B25" i="8" a="1"/>
  <c r="B17" i="8" a="1"/>
  <c r="B19" i="8" a="1"/>
  <c r="B21" i="8" a="1"/>
  <c r="C29" i="8"/>
  <c r="C43" i="8" l="1"/>
  <c r="B39" i="8" a="1"/>
  <c r="F39" i="8" s="1"/>
  <c r="B35" i="8" a="1"/>
  <c r="G35" i="8" s="1"/>
  <c r="B31" i="8" a="1"/>
  <c r="E31" i="8" s="1"/>
  <c r="E30" i="8" s="1"/>
  <c r="B41" i="8" a="1"/>
  <c r="B41" i="8" s="1"/>
  <c r="B37" i="8" a="1"/>
  <c r="C37" i="8" s="1"/>
  <c r="B33" i="8" a="1"/>
  <c r="E33" i="8" s="1"/>
  <c r="B43" i="8"/>
  <c r="F35" i="8" l="1"/>
  <c r="F31" i="8"/>
  <c r="F30" i="8" s="1"/>
  <c r="C31" i="8"/>
  <c r="C30" i="8" s="1"/>
  <c r="D31" i="8"/>
  <c r="D30" i="8" s="1"/>
  <c r="E35" i="8"/>
  <c r="D35" i="8"/>
  <c r="C35" i="8"/>
  <c r="H35" i="8"/>
  <c r="B31" i="8"/>
  <c r="B30" i="8" s="1"/>
  <c r="B35" i="8"/>
  <c r="F33" i="8"/>
  <c r="G33" i="8"/>
  <c r="C33" i="8"/>
  <c r="B33" i="8"/>
  <c r="D37" i="8"/>
  <c r="H33" i="8"/>
  <c r="D33" i="8"/>
  <c r="G37" i="8"/>
  <c r="F37" i="8"/>
  <c r="B37" i="8"/>
  <c r="C41" i="8"/>
  <c r="B39" i="8"/>
  <c r="G31" i="8"/>
  <c r="G30" i="8" s="1"/>
  <c r="D39" i="8"/>
  <c r="E37" i="8"/>
  <c r="H31" i="8"/>
  <c r="H30" i="8" s="1"/>
  <c r="E39" i="8"/>
  <c r="H39" i="8"/>
  <c r="G39" i="8"/>
  <c r="B55" i="8" a="1"/>
  <c r="B53" i="8" a="1"/>
  <c r="B51" i="8" a="1"/>
  <c r="B49" i="8" a="1"/>
  <c r="B47" i="8" a="1"/>
  <c r="B45" i="8" a="1"/>
  <c r="C57" i="8"/>
  <c r="B57" i="8"/>
  <c r="H37" i="8"/>
  <c r="C39" i="8"/>
  <c r="C47" i="8" l="1"/>
  <c r="D47" i="8"/>
  <c r="B47" i="8"/>
  <c r="E47" i="8"/>
  <c r="H47" i="8"/>
  <c r="G47" i="8"/>
  <c r="F47" i="8"/>
  <c r="C49" i="8"/>
  <c r="D49" i="8"/>
  <c r="G49" i="8"/>
  <c r="B49" i="8"/>
  <c r="E49" i="8"/>
  <c r="F49" i="8"/>
  <c r="H49" i="8"/>
  <c r="C53" i="8"/>
  <c r="D53" i="8"/>
  <c r="B53" i="8"/>
  <c r="G53" i="8"/>
  <c r="E53" i="8"/>
  <c r="H53" i="8"/>
  <c r="F53" i="8"/>
  <c r="C55" i="8"/>
  <c r="B55" i="8"/>
  <c r="C51" i="8"/>
  <c r="D51" i="8"/>
  <c r="B51" i="8"/>
  <c r="E51" i="8"/>
  <c r="H51" i="8"/>
  <c r="G51" i="8"/>
  <c r="F51" i="8"/>
  <c r="C71" i="8"/>
  <c r="B71" i="8"/>
  <c r="B67" i="8" a="1"/>
  <c r="B63" i="8" a="1"/>
  <c r="B69" i="8" a="1"/>
  <c r="B65" i="8" a="1"/>
  <c r="B61" i="8" a="1"/>
  <c r="B59" i="8" a="1"/>
  <c r="C45" i="8"/>
  <c r="G45" i="8"/>
  <c r="E45" i="8"/>
  <c r="H45" i="8"/>
  <c r="F45" i="8"/>
  <c r="B45" i="8"/>
  <c r="B44" i="8" s="1"/>
  <c r="D45" i="8"/>
  <c r="B79" i="8" l="1" a="1"/>
  <c r="B73" i="8" a="1"/>
  <c r="B85" i="8"/>
  <c r="B81" i="8" a="1"/>
  <c r="B77" i="8" a="1"/>
  <c r="B83" i="8" a="1"/>
  <c r="B75" i="8" a="1"/>
  <c r="C85" i="8"/>
  <c r="G59" i="8"/>
  <c r="G58" i="8" s="1"/>
  <c r="F59" i="8"/>
  <c r="F58" i="8" s="1"/>
  <c r="E59" i="8"/>
  <c r="E58" i="8" s="1"/>
  <c r="H59" i="8"/>
  <c r="H58" i="8" s="1"/>
  <c r="D59" i="8"/>
  <c r="D58" i="8" s="1"/>
  <c r="C59" i="8"/>
  <c r="C58" i="8" s="1"/>
  <c r="B59" i="8"/>
  <c r="B58" i="8" s="1"/>
  <c r="G61" i="8"/>
  <c r="F61" i="8"/>
  <c r="E61" i="8"/>
  <c r="D61" i="8"/>
  <c r="C61" i="8"/>
  <c r="B61" i="8"/>
  <c r="H61" i="8"/>
  <c r="G65" i="8"/>
  <c r="H65" i="8"/>
  <c r="F65" i="8"/>
  <c r="E65" i="8"/>
  <c r="D65" i="8"/>
  <c r="C65" i="8"/>
  <c r="B65" i="8"/>
  <c r="C69" i="8"/>
  <c r="B69" i="8"/>
  <c r="G63" i="8"/>
  <c r="F63" i="8"/>
  <c r="E63" i="8"/>
  <c r="D63" i="8"/>
  <c r="C63" i="8"/>
  <c r="B63" i="8"/>
  <c r="H63" i="8"/>
  <c r="G67" i="8"/>
  <c r="F67" i="8"/>
  <c r="E67" i="8"/>
  <c r="H67" i="8"/>
  <c r="D67" i="8"/>
  <c r="C67" i="8"/>
  <c r="B67" i="8"/>
  <c r="C75" i="8" l="1"/>
  <c r="B75" i="8"/>
  <c r="H75" i="8"/>
  <c r="G75" i="8"/>
  <c r="F75" i="8"/>
  <c r="E75" i="8"/>
  <c r="D75" i="8"/>
  <c r="C83" i="8"/>
  <c r="B83" i="8"/>
  <c r="C77" i="8"/>
  <c r="B77" i="8"/>
  <c r="D77" i="8"/>
  <c r="H77" i="8"/>
  <c r="G77" i="8"/>
  <c r="F77" i="8"/>
  <c r="E77" i="8"/>
  <c r="C81" i="8"/>
  <c r="B81" i="8"/>
  <c r="D81" i="8"/>
  <c r="H81" i="8"/>
  <c r="G81" i="8"/>
  <c r="F81" i="8"/>
  <c r="E81" i="8"/>
  <c r="C99" i="8"/>
  <c r="B99" i="8"/>
  <c r="B95" i="8" a="1"/>
  <c r="B91" i="8" a="1"/>
  <c r="B87" i="8" a="1"/>
  <c r="B97" i="8" a="1"/>
  <c r="B93" i="8" a="1"/>
  <c r="B89" i="8" a="1"/>
  <c r="C73" i="8"/>
  <c r="C72" i="8" s="1"/>
  <c r="B73" i="8"/>
  <c r="B72" i="8" s="1"/>
  <c r="H73" i="8"/>
  <c r="H72" i="8" s="1"/>
  <c r="G73" i="8"/>
  <c r="G72" i="8" s="1"/>
  <c r="F73" i="8"/>
  <c r="F72" i="8" s="1"/>
  <c r="D73" i="8"/>
  <c r="D72" i="8" s="1"/>
  <c r="E73" i="8"/>
  <c r="E72" i="8" s="1"/>
  <c r="C79" i="8"/>
  <c r="B79" i="8"/>
  <c r="H79" i="8"/>
  <c r="G79" i="8"/>
  <c r="F79" i="8"/>
  <c r="D79" i="8"/>
  <c r="E79" i="8"/>
  <c r="G89" i="8" l="1"/>
  <c r="F89" i="8"/>
  <c r="H89" i="8"/>
  <c r="E89" i="8"/>
  <c r="D89" i="8"/>
  <c r="C89" i="8"/>
  <c r="B89" i="8"/>
  <c r="G93" i="8"/>
  <c r="F93" i="8"/>
  <c r="E93" i="8"/>
  <c r="D93" i="8"/>
  <c r="C93" i="8"/>
  <c r="B93" i="8"/>
  <c r="H93" i="8"/>
  <c r="C97" i="8"/>
  <c r="B97" i="8"/>
  <c r="G87" i="8"/>
  <c r="G86" i="8" s="1"/>
  <c r="F87" i="8"/>
  <c r="F86" i="8" s="1"/>
  <c r="E87" i="8"/>
  <c r="E86" i="8" s="1"/>
  <c r="D87" i="8"/>
  <c r="D86" i="8" s="1"/>
  <c r="C87" i="8"/>
  <c r="C86" i="8" s="1"/>
  <c r="B87" i="8"/>
  <c r="B86" i="8" s="1"/>
  <c r="H87" i="8"/>
  <c r="H86" i="8" s="1"/>
  <c r="G91" i="8"/>
  <c r="H91" i="8"/>
  <c r="F91" i="8"/>
  <c r="E91" i="8"/>
  <c r="D91" i="8"/>
  <c r="C91" i="8"/>
  <c r="B91" i="8"/>
  <c r="G95" i="8"/>
  <c r="F95" i="8"/>
  <c r="E95" i="8"/>
  <c r="D95" i="8"/>
  <c r="C95" i="8"/>
  <c r="B95" i="8"/>
  <c r="H95" i="8"/>
  <c r="B103" i="8" a="1"/>
  <c r="B105" i="8" a="1"/>
  <c r="B113" i="8"/>
  <c r="B111" i="8" a="1"/>
  <c r="B109" i="8" a="1"/>
  <c r="B107" i="8" a="1"/>
  <c r="B101" i="8" a="1"/>
  <c r="C113" i="8"/>
  <c r="C127" i="8" l="1"/>
  <c r="B127" i="8"/>
  <c r="B125" i="8" a="1"/>
  <c r="B123" i="8" a="1"/>
  <c r="B121" i="8" a="1"/>
  <c r="B119" i="8" a="1"/>
  <c r="B117" i="8" a="1"/>
  <c r="B115" i="8" a="1"/>
  <c r="C105" i="8"/>
  <c r="D105" i="8"/>
  <c r="B105" i="8"/>
  <c r="H105" i="8"/>
  <c r="G105" i="8"/>
  <c r="F105" i="8"/>
  <c r="E105" i="8"/>
  <c r="C103" i="8"/>
  <c r="B103" i="8"/>
  <c r="H103" i="8"/>
  <c r="G103" i="8"/>
  <c r="F103" i="8"/>
  <c r="D103" i="8"/>
  <c r="E103" i="8"/>
  <c r="C101" i="8"/>
  <c r="C100" i="8" s="1"/>
  <c r="B101" i="8"/>
  <c r="B100" i="8" s="1"/>
  <c r="D101" i="8"/>
  <c r="D100" i="8" s="1"/>
  <c r="H101" i="8"/>
  <c r="H100" i="8" s="1"/>
  <c r="G101" i="8"/>
  <c r="G100" i="8" s="1"/>
  <c r="F101" i="8"/>
  <c r="F100" i="8" s="1"/>
  <c r="E101" i="8"/>
  <c r="E100" i="8" s="1"/>
  <c r="C107" i="8"/>
  <c r="B107" i="8"/>
  <c r="H107" i="8"/>
  <c r="G107" i="8"/>
  <c r="F107" i="8"/>
  <c r="E107" i="8"/>
  <c r="D107" i="8"/>
  <c r="C109" i="8"/>
  <c r="B109" i="8"/>
  <c r="D109" i="8"/>
  <c r="H109" i="8"/>
  <c r="G109" i="8"/>
  <c r="F109" i="8"/>
  <c r="E109" i="8"/>
  <c r="C111" i="8"/>
  <c r="B111" i="8"/>
  <c r="G117" i="8" l="1"/>
  <c r="H117" i="8"/>
  <c r="F117" i="8"/>
  <c r="E117" i="8"/>
  <c r="D117" i="8"/>
  <c r="C117" i="8"/>
  <c r="B117" i="8"/>
  <c r="G119" i="8"/>
  <c r="F119" i="8"/>
  <c r="H119" i="8"/>
  <c r="E119" i="8"/>
  <c r="D119" i="8"/>
  <c r="C119" i="8"/>
  <c r="B119" i="8"/>
  <c r="G121" i="8"/>
  <c r="F121" i="8"/>
  <c r="E121" i="8"/>
  <c r="H121" i="8"/>
  <c r="D121" i="8"/>
  <c r="C121" i="8"/>
  <c r="B121" i="8"/>
  <c r="G115" i="8"/>
  <c r="G114" i="8" s="1"/>
  <c r="F115" i="8"/>
  <c r="F114" i="8" s="1"/>
  <c r="E115" i="8"/>
  <c r="E114" i="8" s="1"/>
  <c r="D115" i="8"/>
  <c r="D114" i="8" s="1"/>
  <c r="C115" i="8"/>
  <c r="C114" i="8" s="1"/>
  <c r="B115" i="8"/>
  <c r="B114" i="8" s="1"/>
  <c r="H115" i="8"/>
  <c r="H114" i="8" s="1"/>
  <c r="G123" i="8"/>
  <c r="F123" i="8"/>
  <c r="H123" i="8"/>
  <c r="E123" i="8"/>
  <c r="D123" i="8"/>
  <c r="C123" i="8"/>
  <c r="B123" i="8"/>
  <c r="C125" i="8"/>
  <c r="B125" i="8"/>
  <c r="B139" i="8" a="1"/>
  <c r="B137" i="8" a="1"/>
  <c r="B135" i="8" a="1"/>
  <c r="B133" i="8" a="1"/>
  <c r="B131" i="8" a="1"/>
  <c r="B129" i="8" a="1"/>
  <c r="B141" i="8"/>
  <c r="C141" i="8"/>
  <c r="C137" i="8" l="1"/>
  <c r="B137" i="8"/>
  <c r="H137" i="8"/>
  <c r="G137" i="8"/>
  <c r="F137" i="8"/>
  <c r="D137" i="8"/>
  <c r="E137" i="8"/>
  <c r="C139" i="8"/>
  <c r="B139" i="8"/>
  <c r="C155" i="8"/>
  <c r="B155" i="8"/>
  <c r="B153" i="8" a="1"/>
  <c r="B151" i="8" a="1"/>
  <c r="B149" i="8" a="1"/>
  <c r="B147" i="8" a="1"/>
  <c r="B145" i="8" a="1"/>
  <c r="B143" i="8" a="1"/>
  <c r="C129" i="8"/>
  <c r="C128" i="8" s="1"/>
  <c r="B129" i="8"/>
  <c r="B128" i="8" s="1"/>
  <c r="D129" i="8"/>
  <c r="D128" i="8" s="1"/>
  <c r="H129" i="8"/>
  <c r="H128" i="8" s="1"/>
  <c r="G129" i="8"/>
  <c r="G128" i="8" s="1"/>
  <c r="F129" i="8"/>
  <c r="F128" i="8" s="1"/>
  <c r="E129" i="8"/>
  <c r="E128" i="8" s="1"/>
  <c r="C135" i="8"/>
  <c r="D135" i="8"/>
  <c r="B135" i="8"/>
  <c r="H135" i="8"/>
  <c r="G135" i="8"/>
  <c r="F135" i="8"/>
  <c r="E135" i="8"/>
  <c r="C131" i="8"/>
  <c r="B131" i="8"/>
  <c r="H131" i="8"/>
  <c r="G131" i="8"/>
  <c r="F131" i="8"/>
  <c r="D131" i="8"/>
  <c r="E131" i="8"/>
  <c r="C133" i="8"/>
  <c r="B133" i="8"/>
  <c r="H133" i="8"/>
  <c r="G133" i="8"/>
  <c r="F133" i="8"/>
  <c r="E133" i="8"/>
  <c r="D133" i="8"/>
  <c r="G145" i="8" l="1"/>
  <c r="F145" i="8"/>
  <c r="H145" i="8"/>
  <c r="E145" i="8"/>
  <c r="D145" i="8"/>
  <c r="C145" i="8"/>
  <c r="B145" i="8"/>
  <c r="G147" i="8"/>
  <c r="F147" i="8"/>
  <c r="E147" i="8"/>
  <c r="D147" i="8"/>
  <c r="C147" i="8"/>
  <c r="B147" i="8"/>
  <c r="H147" i="8"/>
  <c r="C153" i="8"/>
  <c r="B153" i="8"/>
  <c r="G149" i="8"/>
  <c r="F149" i="8"/>
  <c r="E149" i="8"/>
  <c r="H149" i="8"/>
  <c r="D149" i="8"/>
  <c r="C149" i="8"/>
  <c r="B149" i="8"/>
  <c r="B167" i="8" a="1"/>
  <c r="B165" i="8" a="1"/>
  <c r="B163" i="8" a="1"/>
  <c r="B161" i="8" a="1"/>
  <c r="B159" i="8" a="1"/>
  <c r="B157" i="8" a="1"/>
  <c r="G151" i="8"/>
  <c r="F151" i="8"/>
  <c r="E151" i="8"/>
  <c r="D151" i="8"/>
  <c r="C151" i="8"/>
  <c r="B151" i="8"/>
  <c r="H151" i="8"/>
  <c r="G143" i="8"/>
  <c r="G142" i="8" s="1"/>
  <c r="F143" i="8"/>
  <c r="F142" i="8" s="1"/>
  <c r="E143" i="8"/>
  <c r="E142" i="8" s="1"/>
  <c r="D143" i="8"/>
  <c r="D142" i="8" s="1"/>
  <c r="C143" i="8"/>
  <c r="C142" i="8" s="1"/>
  <c r="B143" i="8"/>
  <c r="B142" i="8" s="1"/>
  <c r="H143" i="8"/>
  <c r="H142" i="8" s="1"/>
  <c r="C167" i="8" l="1"/>
  <c r="B167" i="8"/>
  <c r="C159" i="8"/>
  <c r="D159" i="8"/>
  <c r="B159" i="8"/>
  <c r="H159" i="8"/>
  <c r="G159" i="8"/>
  <c r="F159" i="8"/>
  <c r="E159" i="8"/>
  <c r="C157" i="8"/>
  <c r="C156" i="8" s="1"/>
  <c r="B157" i="8"/>
  <c r="B156" i="8" s="1"/>
  <c r="H157" i="8"/>
  <c r="H156" i="8" s="1"/>
  <c r="G157" i="8"/>
  <c r="G156" i="8" s="1"/>
  <c r="F157" i="8"/>
  <c r="F156" i="8" s="1"/>
  <c r="E157" i="8"/>
  <c r="E156" i="8" s="1"/>
  <c r="D157" i="8"/>
  <c r="D156" i="8" s="1"/>
  <c r="C161" i="8"/>
  <c r="B161" i="8"/>
  <c r="D161" i="8"/>
  <c r="H161" i="8"/>
  <c r="G161" i="8"/>
  <c r="F161" i="8"/>
  <c r="E161" i="8"/>
  <c r="C163" i="8"/>
  <c r="B163" i="8"/>
  <c r="D163" i="8"/>
  <c r="H163" i="8"/>
  <c r="G163" i="8"/>
  <c r="F163" i="8"/>
  <c r="E163" i="8"/>
  <c r="C165" i="8"/>
  <c r="B165" i="8"/>
  <c r="H165" i="8"/>
  <c r="G165" i="8"/>
  <c r="F165" i="8"/>
  <c r="D165" i="8"/>
  <c r="E165" i="8"/>
  <c r="B13" i="8" l="1" a="1"/>
  <c r="B11" i="8" a="1"/>
  <c r="B9" i="8" a="1"/>
  <c r="B5" i="8" a="1"/>
  <c r="F5" i="8" s="1"/>
  <c r="B7" i="8" a="1"/>
  <c r="B3" i="8" a="1"/>
  <c r="F3" i="8" s="1"/>
  <c r="M3" i="1"/>
  <c r="S3" i="1"/>
  <c r="R3" i="1"/>
  <c r="Q3" i="1"/>
  <c r="P3" i="1"/>
  <c r="O3" i="1"/>
  <c r="N3" i="1"/>
  <c r="C46" i="2"/>
  <c r="C47" i="2" s="1"/>
  <c r="C48" i="2" s="1"/>
  <c r="C49" i="2" s="1"/>
  <c r="C50" i="2" s="1"/>
  <c r="C51" i="2" s="1"/>
  <c r="C52" i="2" s="1"/>
  <c r="C53" i="2" s="1"/>
  <c r="C54" i="2" s="1"/>
  <c r="K19" i="4"/>
  <c r="L19" i="4"/>
  <c r="N19" i="4" s="1"/>
  <c r="M19" i="4"/>
  <c r="K20" i="4"/>
  <c r="L20" i="4"/>
  <c r="N20" i="4" s="1"/>
  <c r="M20" i="4"/>
  <c r="K21" i="4"/>
  <c r="L21" i="4"/>
  <c r="N21" i="4" s="1"/>
  <c r="M21" i="4"/>
  <c r="K22" i="4"/>
  <c r="L22" i="4"/>
  <c r="N22" i="4" s="1"/>
  <c r="M22" i="4"/>
  <c r="K23" i="4"/>
  <c r="L23" i="4"/>
  <c r="N23" i="4" s="1"/>
  <c r="M23" i="4"/>
  <c r="K24" i="4"/>
  <c r="L24" i="4"/>
  <c r="N24" i="4" s="1"/>
  <c r="M24" i="4"/>
  <c r="K25" i="4"/>
  <c r="L25" i="4"/>
  <c r="N25" i="4" s="1"/>
  <c r="M25" i="4"/>
  <c r="K26" i="4"/>
  <c r="L26" i="4"/>
  <c r="N26" i="4" s="1"/>
  <c r="M26" i="4"/>
  <c r="K27" i="4"/>
  <c r="L27" i="4"/>
  <c r="N27" i="4" s="1"/>
  <c r="M27" i="4"/>
  <c r="K28" i="4"/>
  <c r="L28" i="4"/>
  <c r="N28" i="4" s="1"/>
  <c r="M28" i="4"/>
  <c r="K29" i="4"/>
  <c r="L29" i="4"/>
  <c r="N29" i="4" s="1"/>
  <c r="M29" i="4"/>
  <c r="M18" i="4"/>
  <c r="L18" i="4"/>
  <c r="N18" i="4" s="1"/>
  <c r="K18" i="4"/>
  <c r="B16" i="4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13" i="4"/>
  <c r="B1" i="4"/>
  <c r="F2" i="8" l="1"/>
  <c r="H11" i="8"/>
  <c r="G11" i="8"/>
  <c r="F11" i="8"/>
  <c r="E11" i="8"/>
  <c r="D11" i="8"/>
  <c r="C11" i="8"/>
  <c r="B11" i="8"/>
  <c r="C13" i="8"/>
  <c r="B13" i="8"/>
  <c r="H9" i="8"/>
  <c r="G9" i="8"/>
  <c r="F9" i="8"/>
  <c r="E9" i="8"/>
  <c r="D9" i="8"/>
  <c r="C9" i="8"/>
  <c r="B9" i="8"/>
  <c r="H5" i="8"/>
  <c r="D5" i="8"/>
  <c r="G5" i="8"/>
  <c r="C5" i="8"/>
  <c r="E5" i="8"/>
  <c r="B5" i="8"/>
  <c r="G7" i="8"/>
  <c r="F7" i="8"/>
  <c r="E7" i="8"/>
  <c r="D7" i="8"/>
  <c r="C7" i="8"/>
  <c r="B7" i="8"/>
  <c r="H7" i="8"/>
  <c r="C3" i="8"/>
  <c r="H3" i="8"/>
  <c r="G3" i="8"/>
  <c r="E3" i="8"/>
  <c r="B3" i="8"/>
  <c r="D3" i="8"/>
  <c r="F33" i="4"/>
  <c r="F31" i="4"/>
  <c r="F24" i="4"/>
  <c r="F25" i="4"/>
  <c r="F26" i="4"/>
  <c r="F28" i="4"/>
  <c r="F27" i="4"/>
  <c r="F29" i="4"/>
  <c r="F30" i="4"/>
  <c r="F23" i="4"/>
  <c r="F22" i="4"/>
  <c r="F19" i="4"/>
  <c r="F20" i="4"/>
  <c r="F21" i="4"/>
  <c r="F16" i="4"/>
  <c r="F32" i="4"/>
  <c r="F17" i="4"/>
  <c r="F18" i="4"/>
  <c r="F15" i="4"/>
  <c r="C2" i="8" l="1"/>
  <c r="E2" i="8"/>
  <c r="H2" i="8"/>
  <c r="D2" i="8"/>
  <c r="G2" i="8"/>
  <c r="E21" i="8"/>
  <c r="F21" i="8"/>
  <c r="H25" i="8"/>
  <c r="C25" i="8"/>
  <c r="G25" i="8"/>
  <c r="F25" i="8"/>
  <c r="B19" i="8"/>
  <c r="F23" i="8"/>
  <c r="C21" i="8"/>
  <c r="D23" i="8"/>
  <c r="G19" i="8"/>
  <c r="C27" i="8"/>
  <c r="D25" i="8"/>
  <c r="B21" i="8"/>
  <c r="E23" i="8"/>
  <c r="B23" i="8"/>
  <c r="H23" i="8"/>
  <c r="E19" i="8"/>
  <c r="B17" i="8"/>
  <c r="H21" i="8"/>
  <c r="D19" i="8"/>
  <c r="G21" i="8"/>
  <c r="E25" i="8"/>
  <c r="B27" i="8"/>
  <c r="C19" i="8"/>
  <c r="B25" i="8"/>
  <c r="H19" i="8"/>
  <c r="C23" i="8"/>
  <c r="F19" i="8"/>
  <c r="G23" i="8"/>
  <c r="D21" i="8"/>
  <c r="F17" i="8"/>
  <c r="F16" i="8" s="1"/>
  <c r="C17" i="8"/>
  <c r="C16" i="8" s="1"/>
  <c r="G17" i="8"/>
  <c r="G16" i="8" s="1"/>
  <c r="F44" i="8"/>
  <c r="C44" i="8"/>
  <c r="G44" i="8"/>
  <c r="E17" i="8"/>
  <c r="E16" i="8" s="1"/>
  <c r="H44" i="8"/>
  <c r="H17" i="8"/>
  <c r="H16" i="8" s="1"/>
  <c r="D17" i="8"/>
  <c r="D16" i="8" s="1"/>
  <c r="E44" i="8"/>
  <c r="D44" i="8"/>
</calcChain>
</file>

<file path=xl/sharedStrings.xml><?xml version="1.0" encoding="utf-8"?>
<sst xmlns="http://schemas.openxmlformats.org/spreadsheetml/2006/main" count="394" uniqueCount="199">
  <si>
    <t>n° logement</t>
  </si>
  <si>
    <t>NOM</t>
  </si>
  <si>
    <t>Prénom</t>
  </si>
  <si>
    <t>Téléphone
portable</t>
  </si>
  <si>
    <t>Téléphone
fixe</t>
  </si>
  <si>
    <t>Type</t>
  </si>
  <si>
    <t>Cave</t>
  </si>
  <si>
    <t>Garage</t>
  </si>
  <si>
    <t>EdL avant travaux</t>
  </si>
  <si>
    <t>Bâtiment</t>
  </si>
  <si>
    <t xml:space="preserve">Absences </t>
  </si>
  <si>
    <t>LOCATAIRES</t>
  </si>
  <si>
    <t>PLANNIFICATION</t>
  </si>
  <si>
    <t xml:space="preserve">Informations administratives </t>
  </si>
  <si>
    <t>Maitre d'Ouvrage:</t>
  </si>
  <si>
    <t>Maitre d'Œuvre:</t>
  </si>
  <si>
    <t>Coordonnées du chantier:</t>
  </si>
  <si>
    <t>Responsable locataire:</t>
  </si>
  <si>
    <t>Téléphone :</t>
  </si>
  <si>
    <t>Directeur de travaux</t>
  </si>
  <si>
    <t>Interventions</t>
  </si>
  <si>
    <t>Nom de l'entreprise</t>
  </si>
  <si>
    <t>Télephone</t>
  </si>
  <si>
    <t>Chauffage</t>
  </si>
  <si>
    <t>Ventilation</t>
  </si>
  <si>
    <t>Electricité</t>
  </si>
  <si>
    <t>Menuiseries intérieures</t>
  </si>
  <si>
    <t>Peinture intérieure</t>
  </si>
  <si>
    <t>Peinture extérieure</t>
  </si>
  <si>
    <t>Lot</t>
  </si>
  <si>
    <t>FICHE ADMINISTRATIVE:</t>
  </si>
  <si>
    <t>N° logement:</t>
  </si>
  <si>
    <t>Etage</t>
  </si>
  <si>
    <t>NOM Locataire:</t>
  </si>
  <si>
    <t>OCCUPANTS:</t>
  </si>
  <si>
    <t>TELEPHONE - MAIL:</t>
  </si>
  <si>
    <t>Adultes:</t>
  </si>
  <si>
    <t>Tél fixe:</t>
  </si>
  <si>
    <t>Enfants:</t>
  </si>
  <si>
    <t>Tél port 1:</t>
  </si>
  <si>
    <t>Personnes agées:</t>
  </si>
  <si>
    <t>Tél travail:</t>
  </si>
  <si>
    <t>Personnes handicapées:</t>
  </si>
  <si>
    <t>Mail</t>
  </si>
  <si>
    <t>Animaux:</t>
  </si>
  <si>
    <t xml:space="preserve"> - Travail de nuit:</t>
  </si>
  <si>
    <t>OUI</t>
  </si>
  <si>
    <t>NON</t>
  </si>
  <si>
    <t xml:space="preserve"> - Date de congés:</t>
  </si>
  <si>
    <t>du</t>
  </si>
  <si>
    <t>au</t>
  </si>
  <si>
    <t>GESTION DES CLES:</t>
  </si>
  <si>
    <t xml:space="preserve"> - Le locataire souhaite être présent pendant les travaux:</t>
  </si>
  <si>
    <t xml:space="preserve">OUI </t>
  </si>
  <si>
    <t xml:space="preserve"> - Le locataire accepte de confier un double de ses clés à CRESPY :</t>
  </si>
  <si>
    <t xml:space="preserve"> - Le locataire accepte de confier ses clès à un voisin, un gardien…</t>
  </si>
  <si>
    <t xml:space="preserve"> - Remarques :</t>
  </si>
  <si>
    <t>REMARQUES:</t>
  </si>
  <si>
    <t>ETAT DES LIEUX:</t>
  </si>
  <si>
    <t>TB:</t>
  </si>
  <si>
    <t>Très Bien</t>
  </si>
  <si>
    <t>B:</t>
  </si>
  <si>
    <t>Etat usage</t>
  </si>
  <si>
    <t>M:</t>
  </si>
  <si>
    <t>Moyen</t>
  </si>
  <si>
    <t>V:</t>
  </si>
  <si>
    <t>Vétuste</t>
  </si>
  <si>
    <t>Etat général du logement:</t>
  </si>
  <si>
    <t>Entrée</t>
  </si>
  <si>
    <t>Cuisine</t>
  </si>
  <si>
    <t>SAS</t>
  </si>
  <si>
    <t>WC</t>
  </si>
  <si>
    <t>SdB</t>
  </si>
  <si>
    <t>Ch 1</t>
  </si>
  <si>
    <t>Ch 2</t>
  </si>
  <si>
    <t>Séjour</t>
  </si>
  <si>
    <t>Sol:</t>
  </si>
  <si>
    <t>Peinture:</t>
  </si>
  <si>
    <t>Menuiseries EXT:</t>
  </si>
  <si>
    <t>Menuiseries INT:</t>
  </si>
  <si>
    <t>Chute EU/EV:</t>
  </si>
  <si>
    <t>Colonne EF:</t>
  </si>
  <si>
    <t>Robinet arrêt EF:</t>
  </si>
  <si>
    <t>TV satellite:</t>
  </si>
  <si>
    <t>Remarques :</t>
  </si>
  <si>
    <t>Bon pour accord</t>
  </si>
  <si>
    <t xml:space="preserve">Entreprise </t>
  </si>
  <si>
    <t>Locataire</t>
  </si>
  <si>
    <t>Désignation</t>
  </si>
  <si>
    <t>A faire</t>
  </si>
  <si>
    <t>Entreprise</t>
  </si>
  <si>
    <t>Sdb</t>
  </si>
  <si>
    <t>Signature CREPSY :</t>
  </si>
  <si>
    <t>Signature Maître d'ouvrage :</t>
  </si>
  <si>
    <t>Signature Maître d'œuvre :</t>
  </si>
  <si>
    <t>Signature locataire :</t>
  </si>
  <si>
    <t xml:space="preserve">N° Appt :              Nom Locataire :                                                                                                                                                       </t>
  </si>
  <si>
    <t xml:space="preserve">  Date :        /        /                       </t>
  </si>
  <si>
    <t>n°</t>
  </si>
  <si>
    <t>Pièce</t>
  </si>
  <si>
    <t>Liste des entreprises :</t>
  </si>
  <si>
    <t>Types de travaux</t>
  </si>
  <si>
    <t>Code travaux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</si>
  <si>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</si>
  <si>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</si>
  <si>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</si>
  <si>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</si>
  <si>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</si>
  <si>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</si>
  <si>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</si>
  <si>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</si>
  <si>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</si>
  <si>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</si>
  <si>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</si>
  <si>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</si>
  <si>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</si>
  <si>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</si>
  <si>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</si>
  <si>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</si>
  <si>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</si>
  <si>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</si>
  <si>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</si>
  <si>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…</t>
  </si>
  <si>
    <t>Ent A</t>
  </si>
  <si>
    <t>Ent B</t>
  </si>
  <si>
    <t>Ent C</t>
  </si>
  <si>
    <t>Ent D</t>
  </si>
  <si>
    <t>Ent E</t>
  </si>
  <si>
    <t>Ent F</t>
  </si>
  <si>
    <t>Adresse</t>
  </si>
  <si>
    <t>Ent G</t>
  </si>
  <si>
    <t>Ent H</t>
  </si>
  <si>
    <t>Ent I</t>
  </si>
  <si>
    <t>Ent J</t>
  </si>
  <si>
    <t>AA</t>
  </si>
  <si>
    <t>BB</t>
  </si>
  <si>
    <t>CC</t>
  </si>
  <si>
    <t>DD</t>
  </si>
  <si>
    <t>EE</t>
  </si>
  <si>
    <t>FF</t>
  </si>
  <si>
    <t>GG</t>
  </si>
  <si>
    <t>HH</t>
  </si>
  <si>
    <t>GRIS : à faire partout</t>
  </si>
  <si>
    <t>Blanc : en fonction type de logement</t>
  </si>
  <si>
    <t>Liste des intervenants dans le logement :</t>
  </si>
  <si>
    <t>Liste des intervenants sur le chantier:</t>
  </si>
  <si>
    <t>Z</t>
  </si>
  <si>
    <t>Y</t>
  </si>
  <si>
    <t>X</t>
  </si>
  <si>
    <t>W</t>
  </si>
  <si>
    <t>V</t>
  </si>
  <si>
    <t>U</t>
  </si>
  <si>
    <t>T</t>
  </si>
  <si>
    <t>Réception</t>
  </si>
  <si>
    <t>LUNDI</t>
  </si>
  <si>
    <t>Notes 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</si>
  <si>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</si>
  <si>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</si>
  <si>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</si>
  <si>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</si>
  <si>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</si>
  <si>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</si>
  <si>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</si>
  <si>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</si>
  <si>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</si>
  <si>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</si>
  <si>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</si>
  <si>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</si>
  <si>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chantier</t>
  </si>
  <si>
    <t>PLANIFICATION des TRAVAUX</t>
  </si>
  <si>
    <t>n° logement :</t>
  </si>
  <si>
    <t>Nom locataire</t>
  </si>
  <si>
    <t>Travaux</t>
  </si>
  <si>
    <t>Jours d'interventions</t>
  </si>
  <si>
    <t>Remarques</t>
  </si>
  <si>
    <t>Etat</t>
  </si>
  <si>
    <t>Contrôle</t>
  </si>
  <si>
    <t>MERCI DE LAISSER CETTE FEUILLE ACCROCHEE A VOTRE PORTE</t>
  </si>
  <si>
    <t>Remarques Locataire :</t>
  </si>
  <si>
    <t>Remarques CRESPY :</t>
  </si>
  <si>
    <t>Votre interlocuteur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</si>
  <si>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</si>
  <si>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</si>
  <si>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</si>
  <si>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</si>
  <si>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</si>
  <si>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</si>
  <si>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</si>
  <si>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</si>
  <si>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</si>
  <si>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</si>
  <si>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</si>
  <si>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</si>
  <si>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</si>
  <si>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</si>
  <si>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</si>
  <si>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XX</t>
  </si>
  <si>
    <t>06 00 00 00 00</t>
  </si>
  <si>
    <t>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</si>
</sst>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#&quot; &quot;##&quot; &quot;##&quot; &quot;##&quot; &quot;##"/>
    <numFmt numFmtId="165" formatCode="ddd\ dd/mm"/>
    <numFmt numFmtId="166" formatCode="dd"/>
    <numFmt numFmtId="168" formatCode="ddd\ dd\ mmmm\ 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i/>
      <u/>
      <sz val="14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u/>
      <sz val="10"/>
      <name val="Arial"/>
      <family val="2"/>
    </font>
    <font>
      <sz val="10"/>
      <color theme="0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28"/>
      <color theme="0"/>
      <name val="Arial"/>
      <family val="2"/>
    </font>
    <font>
      <b/>
      <sz val="36"/>
      <color theme="7"/>
      <name val="Trebuchet MS"/>
      <family val="2"/>
    </font>
    <font>
      <b/>
      <sz val="14"/>
      <color theme="0"/>
      <name val="Arial"/>
      <family val="2"/>
    </font>
    <font>
      <sz val="14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u/>
      <sz val="12"/>
      <color theme="1"/>
      <name val="Arial"/>
      <family val="2"/>
    </font>
    <font>
      <b/>
      <i/>
      <u/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6DD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 style="thin">
        <color theme="0" tint="-0.14993743705557422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/>
      <diagonal/>
    </border>
    <border>
      <left/>
      <right/>
      <top style="thin">
        <color theme="0" tint="-0.14993743705557422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6" fontId="16" fillId="0" borderId="58" applyFill="0" applyProtection="0">
      <alignment horizontal="left" vertical="center" wrapText="1" indent="1"/>
    </xf>
    <xf numFmtId="166" fontId="17" fillId="0" borderId="60" applyFill="0" applyProtection="0">
      <alignment horizontal="left" vertical="top" wrapText="1" indent="1"/>
    </xf>
    <xf numFmtId="166" fontId="4" fillId="0" borderId="62" applyNumberFormat="0" applyFill="0" applyProtection="0">
      <alignment horizontal="left" vertical="center" wrapText="1" indent="1"/>
    </xf>
    <xf numFmtId="166" fontId="1" fillId="0" borderId="0" applyNumberFormat="0" applyFill="0" applyProtection="0">
      <alignment horizontal="left" vertical="top" wrapText="1" indent="1"/>
    </xf>
  </cellStyleXfs>
  <cellXfs count="3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textRotation="90"/>
    </xf>
    <xf numFmtId="0" fontId="3" fillId="0" borderId="0" xfId="0" applyFont="1" applyAlignment="1">
      <alignment horizontal="center" vertical="center" textRotation="90" wrapText="1"/>
    </xf>
    <xf numFmtId="0" fontId="3" fillId="4" borderId="4" xfId="0" applyFont="1" applyFill="1" applyBorder="1" applyAlignment="1">
      <alignment horizontal="center" vertical="center" textRotation="90"/>
    </xf>
    <xf numFmtId="0" fontId="6" fillId="7" borderId="13" xfId="2" applyFill="1" applyBorder="1"/>
    <xf numFmtId="0" fontId="6" fillId="7" borderId="14" xfId="2" applyFill="1" applyBorder="1"/>
    <xf numFmtId="0" fontId="6" fillId="7" borderId="15" xfId="2" applyFill="1" applyBorder="1"/>
    <xf numFmtId="0" fontId="6" fillId="7" borderId="16" xfId="2" applyFill="1" applyBorder="1"/>
    <xf numFmtId="0" fontId="6" fillId="7" borderId="17" xfId="2" applyFill="1" applyBorder="1"/>
    <xf numFmtId="0" fontId="6" fillId="7" borderId="10" xfId="2" applyFill="1" applyBorder="1"/>
    <xf numFmtId="0" fontId="6" fillId="7" borderId="11" xfId="2" applyFill="1" applyBorder="1"/>
    <xf numFmtId="0" fontId="6" fillId="7" borderId="12" xfId="2" applyFill="1" applyBorder="1"/>
    <xf numFmtId="0" fontId="6" fillId="8" borderId="4" xfId="2" applyFont="1" applyFill="1" applyBorder="1"/>
    <xf numFmtId="0" fontId="12" fillId="8" borderId="27" xfId="2" applyFont="1" applyFill="1" applyBorder="1" applyAlignment="1">
      <alignment horizontal="left"/>
    </xf>
    <xf numFmtId="0" fontId="12" fillId="8" borderId="28" xfId="2" applyFont="1" applyFill="1" applyBorder="1" applyAlignment="1">
      <alignment horizontal="left"/>
    </xf>
    <xf numFmtId="0" fontId="12" fillId="8" borderId="29" xfId="2" applyFont="1" applyFill="1" applyBorder="1" applyAlignment="1">
      <alignment horizontal="left"/>
    </xf>
    <xf numFmtId="0" fontId="7" fillId="7" borderId="30" xfId="2" applyFont="1" applyFill="1" applyBorder="1" applyAlignment="1">
      <alignment horizontal="center"/>
    </xf>
    <xf numFmtId="0" fontId="7" fillId="7" borderId="4" xfId="2" applyFont="1" applyFill="1" applyBorder="1" applyAlignment="1">
      <alignment horizontal="center"/>
    </xf>
    <xf numFmtId="0" fontId="7" fillId="7" borderId="21" xfId="2" applyFont="1" applyFill="1" applyBorder="1" applyAlignment="1">
      <alignment horizontal="center"/>
    </xf>
    <xf numFmtId="164" fontId="6" fillId="8" borderId="4" xfId="2" applyNumberFormat="1" applyFont="1" applyFill="1" applyBorder="1" applyAlignment="1">
      <alignment horizontal="left"/>
    </xf>
    <xf numFmtId="0" fontId="6" fillId="8" borderId="40" xfId="2" applyFont="1" applyFill="1" applyBorder="1" applyAlignment="1">
      <alignment horizontal="left"/>
    </xf>
    <xf numFmtId="0" fontId="6" fillId="8" borderId="41" xfId="2" applyFont="1" applyFill="1" applyBorder="1" applyAlignment="1">
      <alignment horizontal="left"/>
    </xf>
    <xf numFmtId="0" fontId="6" fillId="8" borderId="42" xfId="2" applyFont="1" applyFill="1" applyBorder="1" applyAlignment="1">
      <alignment horizontal="left"/>
    </xf>
    <xf numFmtId="0" fontId="6" fillId="8" borderId="18" xfId="2" applyFont="1" applyFill="1" applyBorder="1"/>
    <xf numFmtId="0" fontId="6" fillId="8" borderId="19" xfId="2" applyFont="1" applyFill="1" applyBorder="1"/>
    <xf numFmtId="0" fontId="6" fillId="8" borderId="20" xfId="2" applyFont="1" applyFill="1" applyBorder="1"/>
    <xf numFmtId="0" fontId="7" fillId="7" borderId="27" xfId="2" applyFont="1" applyFill="1" applyBorder="1" applyAlignment="1">
      <alignment horizontal="center"/>
    </xf>
    <xf numFmtId="164" fontId="6" fillId="8" borderId="18" xfId="2" applyNumberFormat="1" applyFont="1" applyFill="1" applyBorder="1" applyAlignment="1">
      <alignment horizontal="center"/>
    </xf>
    <xf numFmtId="0" fontId="6" fillId="8" borderId="51" xfId="2" applyFont="1" applyFill="1" applyBorder="1"/>
    <xf numFmtId="0" fontId="6" fillId="8" borderId="52" xfId="2" applyFont="1" applyFill="1" applyBorder="1"/>
    <xf numFmtId="164" fontId="6" fillId="8" borderId="39" xfId="2" applyNumberFormat="1" applyFont="1" applyFill="1" applyBorder="1" applyAlignment="1">
      <alignment horizontal="center"/>
    </xf>
    <xf numFmtId="0" fontId="6" fillId="8" borderId="53" xfId="2" applyFont="1" applyFill="1" applyBorder="1"/>
    <xf numFmtId="164" fontId="6" fillId="8" borderId="29" xfId="2" applyNumberFormat="1" applyFont="1" applyFill="1" applyBorder="1" applyAlignment="1">
      <alignment horizontal="center"/>
    </xf>
    <xf numFmtId="0" fontId="6" fillId="8" borderId="51" xfId="4" applyFont="1" applyFill="1" applyBorder="1"/>
    <xf numFmtId="0" fontId="6" fillId="8" borderId="52" xfId="4" applyFont="1" applyFill="1" applyBorder="1"/>
    <xf numFmtId="0" fontId="6" fillId="8" borderId="19" xfId="4" applyFont="1" applyFill="1" applyBorder="1" applyAlignment="1">
      <alignment horizontal="left"/>
    </xf>
    <xf numFmtId="0" fontId="6" fillId="8" borderId="53" xfId="4" applyFont="1" applyFill="1" applyBorder="1"/>
    <xf numFmtId="0" fontId="6" fillId="8" borderId="18" xfId="4" applyFont="1" applyFill="1" applyBorder="1" applyAlignment="1">
      <alignment horizontal="left"/>
    </xf>
    <xf numFmtId="0" fontId="6" fillId="7" borderId="0" xfId="2" applyFill="1" applyBorder="1"/>
    <xf numFmtId="0" fontId="11" fillId="7" borderId="0" xfId="2" applyFont="1" applyFill="1" applyBorder="1" applyAlignment="1">
      <alignment horizontal="right"/>
    </xf>
    <xf numFmtId="0" fontId="12" fillId="7" borderId="0" xfId="2" applyFont="1" applyFill="1" applyBorder="1" applyAlignment="1">
      <alignment horizontal="right"/>
    </xf>
    <xf numFmtId="0" fontId="6" fillId="7" borderId="0" xfId="2" applyFont="1" applyFill="1" applyBorder="1"/>
    <xf numFmtId="0" fontId="11" fillId="7" borderId="0" xfId="2" applyFont="1" applyFill="1" applyBorder="1"/>
    <xf numFmtId="0" fontId="6" fillId="9" borderId="9" xfId="3" applyFill="1" applyBorder="1"/>
    <xf numFmtId="0" fontId="6" fillId="9" borderId="8" xfId="3" applyFill="1" applyBorder="1"/>
    <xf numFmtId="0" fontId="9" fillId="9" borderId="0" xfId="3" applyFont="1" applyFill="1"/>
    <xf numFmtId="0" fontId="6" fillId="9" borderId="0" xfId="3" applyFill="1" applyAlignment="1">
      <alignment horizontal="center"/>
    </xf>
    <xf numFmtId="0" fontId="6" fillId="5" borderId="0" xfId="3" applyFill="1"/>
    <xf numFmtId="0" fontId="6" fillId="5" borderId="8" xfId="3" applyFill="1" applyBorder="1"/>
    <xf numFmtId="0" fontId="6" fillId="5" borderId="9" xfId="3" applyFill="1" applyBorder="1"/>
    <xf numFmtId="0" fontId="6" fillId="0" borderId="4" xfId="3" applyBorder="1"/>
    <xf numFmtId="0" fontId="13" fillId="5" borderId="0" xfId="3" applyFont="1" applyFill="1" applyAlignment="1">
      <alignment horizontal="right"/>
    </xf>
    <xf numFmtId="0" fontId="13" fillId="5" borderId="0" xfId="3" applyFont="1" applyFill="1"/>
    <xf numFmtId="0" fontId="13" fillId="5" borderId="0" xfId="3" quotePrefix="1" applyFont="1" applyFill="1" applyAlignment="1">
      <alignment horizontal="right"/>
    </xf>
    <xf numFmtId="0" fontId="9" fillId="5" borderId="0" xfId="3" applyFont="1" applyFill="1"/>
    <xf numFmtId="0" fontId="9" fillId="5" borderId="0" xfId="3" applyFont="1" applyFill="1" applyAlignment="1">
      <alignment horizontal="left"/>
    </xf>
    <xf numFmtId="0" fontId="6" fillId="5" borderId="0" xfId="3" applyFill="1" applyAlignment="1">
      <alignment horizontal="right"/>
    </xf>
    <xf numFmtId="0" fontId="6" fillId="0" borderId="4" xfId="3" applyBorder="1" applyAlignment="1">
      <alignment horizontal="center"/>
    </xf>
    <xf numFmtId="0" fontId="6" fillId="0" borderId="27" xfId="3" applyBorder="1" applyAlignment="1">
      <alignment horizontal="center"/>
    </xf>
    <xf numFmtId="0" fontId="6" fillId="0" borderId="9" xfId="3" applyBorder="1" applyAlignment="1">
      <alignment horizontal="center"/>
    </xf>
    <xf numFmtId="0" fontId="6" fillId="0" borderId="8" xfId="3" applyBorder="1" applyAlignment="1">
      <alignment horizontal="center"/>
    </xf>
    <xf numFmtId="0" fontId="6" fillId="0" borderId="21" xfId="3" applyBorder="1" applyAlignment="1">
      <alignment horizontal="center"/>
    </xf>
    <xf numFmtId="0" fontId="9" fillId="5" borderId="8" xfId="3" applyFont="1" applyFill="1" applyBorder="1"/>
    <xf numFmtId="0" fontId="6" fillId="0" borderId="4" xfId="3" applyBorder="1"/>
    <xf numFmtId="0" fontId="6" fillId="9" borderId="0" xfId="3" applyFill="1"/>
    <xf numFmtId="0" fontId="6" fillId="9" borderId="0" xfId="3" applyFont="1" applyFill="1"/>
    <xf numFmtId="0" fontId="6" fillId="9" borderId="54" xfId="3" applyFill="1" applyBorder="1"/>
    <xf numFmtId="0" fontId="6" fillId="9" borderId="11" xfId="3" applyFill="1" applyBorder="1"/>
    <xf numFmtId="0" fontId="7" fillId="9" borderId="11" xfId="3" applyFont="1" applyFill="1" applyBorder="1" applyAlignment="1">
      <alignment horizontal="right"/>
    </xf>
    <xf numFmtId="0" fontId="6" fillId="9" borderId="55" xfId="3" applyFill="1" applyBorder="1"/>
    <xf numFmtId="0" fontId="9" fillId="9" borderId="8" xfId="3" applyFont="1" applyFill="1" applyBorder="1"/>
    <xf numFmtId="0" fontId="6" fillId="9" borderId="30" xfId="3" applyFill="1" applyBorder="1" applyAlignment="1">
      <alignment horizontal="center"/>
    </xf>
    <xf numFmtId="0" fontId="6" fillId="9" borderId="4" xfId="3" applyFill="1" applyBorder="1" applyAlignment="1">
      <alignment horizontal="center"/>
    </xf>
    <xf numFmtId="0" fontId="6" fillId="9" borderId="31" xfId="3" applyFont="1" applyFill="1" applyBorder="1" applyAlignment="1">
      <alignment horizontal="center"/>
    </xf>
    <xf numFmtId="0" fontId="6" fillId="9" borderId="32" xfId="3" applyFill="1" applyBorder="1" applyAlignment="1">
      <alignment horizontal="center"/>
    </xf>
    <xf numFmtId="0" fontId="6" fillId="9" borderId="0" xfId="3" applyFill="1" applyAlignment="1">
      <alignment horizontal="right"/>
    </xf>
    <xf numFmtId="0" fontId="6" fillId="9" borderId="0" xfId="3" applyFont="1" applyFill="1" applyAlignment="1">
      <alignment horizontal="right"/>
    </xf>
    <xf numFmtId="0" fontId="9" fillId="9" borderId="13" xfId="3" applyFont="1" applyFill="1" applyBorder="1" applyAlignment="1">
      <alignment horizontal="right"/>
    </xf>
    <xf numFmtId="0" fontId="7" fillId="9" borderId="0" xfId="3" applyFont="1" applyFill="1"/>
    <xf numFmtId="0" fontId="6" fillId="9" borderId="24" xfId="3" applyFill="1" applyBorder="1"/>
    <xf numFmtId="0" fontId="6" fillId="9" borderId="25" xfId="3" applyFill="1" applyBorder="1"/>
    <xf numFmtId="0" fontId="6" fillId="9" borderId="26" xfId="3" applyFill="1" applyBorder="1"/>
    <xf numFmtId="0" fontId="6" fillId="0" borderId="30" xfId="3" applyFill="1" applyBorder="1" applyAlignment="1">
      <alignment horizontal="center"/>
    </xf>
    <xf numFmtId="0" fontId="6" fillId="0" borderId="4" xfId="3" applyFill="1" applyBorder="1" applyAlignment="1">
      <alignment horizontal="center"/>
    </xf>
    <xf numFmtId="0" fontId="6" fillId="0" borderId="43" xfId="3" applyFill="1" applyBorder="1"/>
    <xf numFmtId="0" fontId="6" fillId="0" borderId="50" xfId="3" applyFill="1" applyBorder="1"/>
    <xf numFmtId="0" fontId="6" fillId="0" borderId="5" xfId="3" applyFill="1" applyBorder="1"/>
    <xf numFmtId="0" fontId="6" fillId="0" borderId="7" xfId="3" applyFill="1" applyBorder="1"/>
    <xf numFmtId="0" fontId="6" fillId="8" borderId="19" xfId="4" applyFont="1" applyFill="1" applyBorder="1" applyAlignment="1">
      <alignment horizontal="left"/>
    </xf>
    <xf numFmtId="0" fontId="0" fillId="0" borderId="21" xfId="0" applyBorder="1"/>
    <xf numFmtId="0" fontId="0" fillId="0" borderId="8" xfId="0" applyBorder="1"/>
    <xf numFmtId="0" fontId="7" fillId="0" borderId="0" xfId="0" applyFont="1" applyBorder="1"/>
    <xf numFmtId="0" fontId="0" fillId="0" borderId="0" xfId="0" applyBorder="1"/>
    <xf numFmtId="0" fontId="0" fillId="0" borderId="9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8" fillId="6" borderId="30" xfId="0" applyFont="1" applyFill="1" applyBorder="1" applyAlignment="1">
      <alignment vertical="center"/>
    </xf>
    <xf numFmtId="0" fontId="8" fillId="6" borderId="31" xfId="0" applyFont="1" applyFill="1" applyBorder="1" applyAlignment="1">
      <alignment vertical="center"/>
    </xf>
    <xf numFmtId="0" fontId="8" fillId="6" borderId="32" xfId="0" applyFont="1" applyFill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6" fillId="9" borderId="19" xfId="0" applyFont="1" applyFill="1" applyBorder="1" applyAlignment="1">
      <alignment vertical="center"/>
    </xf>
    <xf numFmtId="0" fontId="0" fillId="9" borderId="19" xfId="0" applyFill="1" applyBorder="1" applyAlignment="1">
      <alignment vertical="center"/>
    </xf>
    <xf numFmtId="0" fontId="0" fillId="9" borderId="20" xfId="0" applyFill="1" applyBorder="1" applyAlignment="1">
      <alignment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52" xfId="0" applyBorder="1"/>
    <xf numFmtId="0" fontId="0" fillId="0" borderId="41" xfId="0" applyBorder="1"/>
    <xf numFmtId="0" fontId="0" fillId="0" borderId="53" xfId="0" applyBorder="1"/>
    <xf numFmtId="0" fontId="0" fillId="0" borderId="42" xfId="0" applyBorder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10" borderId="0" xfId="0" applyFont="1" applyFill="1"/>
    <xf numFmtId="0" fontId="0" fillId="0" borderId="23" xfId="0" applyBorder="1"/>
    <xf numFmtId="0" fontId="0" fillId="0" borderId="4" xfId="0" applyBorder="1"/>
    <xf numFmtId="0" fontId="12" fillId="8" borderId="21" xfId="2" applyFont="1" applyFill="1" applyBorder="1" applyAlignment="1">
      <alignment horizontal="left"/>
    </xf>
    <xf numFmtId="0" fontId="12" fillId="8" borderId="23" xfId="2" applyFont="1" applyFill="1" applyBorder="1" applyAlignment="1">
      <alignment horizontal="left"/>
    </xf>
    <xf numFmtId="0" fontId="12" fillId="8" borderId="8" xfId="2" applyFont="1" applyFill="1" applyBorder="1" applyAlignment="1">
      <alignment horizontal="left"/>
    </xf>
    <xf numFmtId="0" fontId="12" fillId="8" borderId="9" xfId="2" applyFont="1" applyFill="1" applyBorder="1" applyAlignment="1">
      <alignment horizontal="left"/>
    </xf>
    <xf numFmtId="0" fontId="12" fillId="8" borderId="24" xfId="2" applyFont="1" applyFill="1" applyBorder="1" applyAlignment="1">
      <alignment horizontal="left"/>
    </xf>
    <xf numFmtId="0" fontId="12" fillId="8" borderId="26" xfId="2" applyFont="1" applyFill="1" applyBorder="1" applyAlignment="1">
      <alignment horizontal="left"/>
    </xf>
    <xf numFmtId="0" fontId="6" fillId="8" borderId="51" xfId="4" applyFont="1" applyFill="1" applyBorder="1" applyAlignment="1">
      <alignment horizontal="center"/>
    </xf>
    <xf numFmtId="0" fontId="6" fillId="8" borderId="52" xfId="4" applyFont="1" applyFill="1" applyBorder="1" applyAlignment="1">
      <alignment horizontal="center"/>
    </xf>
    <xf numFmtId="0" fontId="6" fillId="8" borderId="53" xfId="4" applyFont="1" applyFill="1" applyBorder="1" applyAlignment="1">
      <alignment horizontal="center"/>
    </xf>
    <xf numFmtId="165" fontId="0" fillId="3" borderId="36" xfId="0" applyNumberFormat="1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5" fontId="0" fillId="3" borderId="37" xfId="0" applyNumberFormat="1" applyFill="1" applyBorder="1" applyAlignment="1">
      <alignment horizontal="center"/>
    </xf>
    <xf numFmtId="165" fontId="0" fillId="0" borderId="0" xfId="0" applyNumberFormat="1"/>
    <xf numFmtId="165" fontId="4" fillId="2" borderId="33" xfId="0" applyNumberFormat="1" applyFont="1" applyFill="1" applyBorder="1" applyAlignment="1">
      <alignment horizontal="center"/>
    </xf>
    <xf numFmtId="165" fontId="4" fillId="2" borderId="2" xfId="0" applyNumberFormat="1" applyFont="1" applyFill="1" applyBorder="1" applyAlignment="1">
      <alignment horizontal="center"/>
    </xf>
    <xf numFmtId="165" fontId="4" fillId="2" borderId="35" xfId="0" applyNumberFormat="1" applyFont="1" applyFill="1" applyBorder="1" applyAlignment="1">
      <alignment horizontal="center"/>
    </xf>
    <xf numFmtId="165" fontId="0" fillId="3" borderId="33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/>
    </xf>
    <xf numFmtId="165" fontId="0" fillId="3" borderId="35" xfId="0" applyNumberFormat="1" applyFill="1" applyBorder="1" applyAlignment="1">
      <alignment horizontal="center"/>
    </xf>
    <xf numFmtId="165" fontId="4" fillId="2" borderId="34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/>
    </xf>
    <xf numFmtId="165" fontId="4" fillId="2" borderId="3" xfId="0" applyNumberFormat="1" applyFont="1" applyFill="1" applyBorder="1" applyAlignment="1">
      <alignment horizontal="center" wrapText="1"/>
    </xf>
    <xf numFmtId="165" fontId="4" fillId="2" borderId="6" xfId="0" applyNumberFormat="1" applyFont="1" applyFill="1" applyBorder="1" applyAlignment="1">
      <alignment horizontal="center"/>
    </xf>
    <xf numFmtId="14" fontId="0" fillId="0" borderId="0" xfId="0" applyNumberFormat="1"/>
    <xf numFmtId="0" fontId="10" fillId="7" borderId="10" xfId="2" applyFont="1" applyFill="1" applyBorder="1" applyAlignment="1">
      <alignment horizontal="center" vertical="center"/>
    </xf>
    <xf numFmtId="0" fontId="10" fillId="7" borderId="11" xfId="2" applyFont="1" applyFill="1" applyBorder="1" applyAlignment="1">
      <alignment horizontal="center" vertical="center"/>
    </xf>
    <xf numFmtId="0" fontId="10" fillId="7" borderId="12" xfId="2" applyFont="1" applyFill="1" applyBorder="1" applyAlignment="1">
      <alignment horizontal="center" vertical="center"/>
    </xf>
    <xf numFmtId="0" fontId="10" fillId="7" borderId="13" xfId="2" applyFont="1" applyFill="1" applyBorder="1" applyAlignment="1">
      <alignment horizontal="center" vertical="center"/>
    </xf>
    <xf numFmtId="0" fontId="10" fillId="7" borderId="0" xfId="2" applyFont="1" applyFill="1" applyBorder="1" applyAlignment="1">
      <alignment horizontal="center" vertical="center"/>
    </xf>
    <xf numFmtId="0" fontId="10" fillId="7" borderId="14" xfId="2" applyFont="1" applyFill="1" applyBorder="1" applyAlignment="1">
      <alignment horizontal="center" vertical="center"/>
    </xf>
    <xf numFmtId="0" fontId="10" fillId="7" borderId="15" xfId="2" applyFont="1" applyFill="1" applyBorder="1" applyAlignment="1">
      <alignment horizontal="center" vertical="center"/>
    </xf>
    <xf numFmtId="0" fontId="10" fillId="7" borderId="16" xfId="2" applyFont="1" applyFill="1" applyBorder="1" applyAlignment="1">
      <alignment horizontal="center" vertical="center"/>
    </xf>
    <xf numFmtId="0" fontId="10" fillId="7" borderId="17" xfId="2" applyFont="1" applyFill="1" applyBorder="1" applyAlignment="1">
      <alignment horizontal="center" vertical="center"/>
    </xf>
    <xf numFmtId="0" fontId="11" fillId="7" borderId="13" xfId="2" applyFont="1" applyFill="1" applyBorder="1" applyAlignment="1">
      <alignment horizontal="right"/>
    </xf>
    <xf numFmtId="0" fontId="11" fillId="7" borderId="0" xfId="2" applyFont="1" applyFill="1" applyBorder="1" applyAlignment="1">
      <alignment horizontal="right"/>
    </xf>
    <xf numFmtId="0" fontId="11" fillId="7" borderId="0" xfId="2" applyFont="1" applyFill="1" applyBorder="1" applyAlignment="1">
      <alignment horizontal="left"/>
    </xf>
    <xf numFmtId="0" fontId="7" fillId="7" borderId="30" xfId="2" applyFont="1" applyFill="1" applyBorder="1" applyAlignment="1">
      <alignment horizontal="center"/>
    </xf>
    <xf numFmtId="0" fontId="7" fillId="7" borderId="32" xfId="2" applyFont="1" applyFill="1" applyBorder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10" fillId="9" borderId="54" xfId="3" applyFont="1" applyFill="1" applyBorder="1" applyAlignment="1">
      <alignment horizontal="center" vertical="center"/>
    </xf>
    <xf numFmtId="0" fontId="10" fillId="9" borderId="11" xfId="3" applyFont="1" applyFill="1" applyBorder="1" applyAlignment="1">
      <alignment horizontal="center" vertical="center"/>
    </xf>
    <xf numFmtId="0" fontId="10" fillId="9" borderId="55" xfId="3" applyFont="1" applyFill="1" applyBorder="1" applyAlignment="1">
      <alignment horizontal="center" vertical="center"/>
    </xf>
    <xf numFmtId="0" fontId="10" fillId="9" borderId="56" xfId="3" applyFont="1" applyFill="1" applyBorder="1" applyAlignment="1">
      <alignment horizontal="center" vertical="center"/>
    </xf>
    <xf numFmtId="0" fontId="10" fillId="9" borderId="16" xfId="3" applyFont="1" applyFill="1" applyBorder="1" applyAlignment="1">
      <alignment horizontal="center" vertical="center"/>
    </xf>
    <xf numFmtId="0" fontId="10" fillId="9" borderId="57" xfId="3" applyFont="1" applyFill="1" applyBorder="1" applyAlignment="1">
      <alignment horizontal="center" vertical="center"/>
    </xf>
    <xf numFmtId="0" fontId="10" fillId="5" borderId="21" xfId="3" applyFont="1" applyFill="1" applyBorder="1" applyAlignment="1">
      <alignment horizontal="center" vertical="center"/>
    </xf>
    <xf numFmtId="0" fontId="10" fillId="5" borderId="22" xfId="3" applyFont="1" applyFill="1" applyBorder="1" applyAlignment="1">
      <alignment horizontal="center" vertical="center"/>
    </xf>
    <xf numFmtId="0" fontId="10" fillId="5" borderId="23" xfId="3" applyFont="1" applyFill="1" applyBorder="1" applyAlignment="1">
      <alignment horizontal="center" vertical="center"/>
    </xf>
    <xf numFmtId="0" fontId="10" fillId="5" borderId="56" xfId="3" applyFont="1" applyFill="1" applyBorder="1" applyAlignment="1">
      <alignment horizontal="center" vertical="center"/>
    </xf>
    <xf numFmtId="0" fontId="10" fillId="7" borderId="16" xfId="3" applyFont="1" applyFill="1" applyBorder="1" applyAlignment="1">
      <alignment horizontal="center" vertical="center"/>
    </xf>
    <xf numFmtId="0" fontId="10" fillId="5" borderId="57" xfId="3" applyFont="1" applyFill="1" applyBorder="1" applyAlignment="1">
      <alignment horizontal="center" vertical="center"/>
    </xf>
    <xf numFmtId="0" fontId="6" fillId="0" borderId="30" xfId="3" applyBorder="1"/>
    <xf numFmtId="0" fontId="6" fillId="0" borderId="32" xfId="3" applyBorder="1"/>
    <xf numFmtId="0" fontId="6" fillId="0" borderId="31" xfId="3" applyBorder="1"/>
    <xf numFmtId="0" fontId="6" fillId="0" borderId="30" xfId="3" quotePrefix="1" applyBorder="1"/>
    <xf numFmtId="0" fontId="6" fillId="0" borderId="31" xfId="3" quotePrefix="1" applyBorder="1"/>
    <xf numFmtId="0" fontId="6" fillId="0" borderId="32" xfId="3" quotePrefix="1" applyBorder="1"/>
    <xf numFmtId="0" fontId="7" fillId="0" borderId="30" xfId="3" applyFont="1" applyBorder="1" applyAlignment="1">
      <alignment horizontal="center" vertical="center"/>
    </xf>
    <xf numFmtId="0" fontId="7" fillId="0" borderId="31" xfId="3" applyFont="1" applyBorder="1" applyAlignment="1">
      <alignment horizontal="center" vertical="center"/>
    </xf>
    <xf numFmtId="0" fontId="7" fillId="0" borderId="32" xfId="3" applyFont="1" applyBorder="1" applyAlignment="1">
      <alignment horizontal="center" vertical="center"/>
    </xf>
    <xf numFmtId="0" fontId="13" fillId="5" borderId="8" xfId="3" applyFont="1" applyFill="1" applyBorder="1" applyAlignment="1">
      <alignment horizontal="left" indent="3"/>
    </xf>
    <xf numFmtId="0" fontId="13" fillId="5" borderId="9" xfId="3" applyFont="1" applyFill="1" applyBorder="1" applyAlignment="1">
      <alignment horizontal="left" indent="3"/>
    </xf>
    <xf numFmtId="0" fontId="6" fillId="0" borderId="21" xfId="3" applyBorder="1"/>
    <xf numFmtId="0" fontId="6" fillId="0" borderId="22" xfId="3" applyBorder="1"/>
    <xf numFmtId="0" fontId="6" fillId="0" borderId="23" xfId="3" applyBorder="1"/>
    <xf numFmtId="0" fontId="6" fillId="0" borderId="24" xfId="3" applyBorder="1"/>
    <xf numFmtId="0" fontId="6" fillId="0" borderId="25" xfId="3" applyBorder="1"/>
    <xf numFmtId="0" fontId="6" fillId="0" borderId="26" xfId="3" applyBorder="1"/>
    <xf numFmtId="0" fontId="7" fillId="0" borderId="21" xfId="3" applyFont="1" applyBorder="1" applyAlignment="1">
      <alignment horizontal="center" vertical="center"/>
    </xf>
    <xf numFmtId="0" fontId="7" fillId="0" borderId="22" xfId="3" applyFont="1" applyBorder="1" applyAlignment="1">
      <alignment horizontal="center" vertical="center"/>
    </xf>
    <xf numFmtId="0" fontId="7" fillId="0" borderId="23" xfId="3" applyFont="1" applyBorder="1" applyAlignment="1">
      <alignment horizontal="center" vertical="center"/>
    </xf>
    <xf numFmtId="0" fontId="7" fillId="0" borderId="24" xfId="3" applyFont="1" applyBorder="1" applyAlignment="1">
      <alignment horizontal="center" vertical="center"/>
    </xf>
    <xf numFmtId="0" fontId="7" fillId="0" borderId="25" xfId="3" applyFont="1" applyBorder="1" applyAlignment="1">
      <alignment horizontal="center" vertical="center"/>
    </xf>
    <xf numFmtId="0" fontId="7" fillId="0" borderId="26" xfId="3" applyFont="1" applyBorder="1" applyAlignment="1">
      <alignment horizontal="center" vertical="center"/>
    </xf>
    <xf numFmtId="0" fontId="6" fillId="0" borderId="44" xfId="3" applyFill="1" applyBorder="1" applyAlignment="1">
      <alignment horizontal="center"/>
    </xf>
    <xf numFmtId="0" fontId="6" fillId="0" borderId="45" xfId="3" applyFill="1" applyBorder="1" applyAlignment="1">
      <alignment horizontal="center"/>
    </xf>
    <xf numFmtId="0" fontId="6" fillId="0" borderId="46" xfId="3" applyFill="1" applyBorder="1" applyAlignment="1">
      <alignment horizontal="center"/>
    </xf>
    <xf numFmtId="0" fontId="6" fillId="0" borderId="47" xfId="3" applyFill="1" applyBorder="1" applyAlignment="1">
      <alignment horizontal="center"/>
    </xf>
    <xf numFmtId="0" fontId="6" fillId="0" borderId="0" xfId="3" applyFill="1" applyAlignment="1">
      <alignment horizontal="center"/>
    </xf>
    <xf numFmtId="0" fontId="6" fillId="0" borderId="38" xfId="3" applyFill="1" applyBorder="1" applyAlignment="1">
      <alignment horizontal="center"/>
    </xf>
    <xf numFmtId="0" fontId="6" fillId="0" borderId="48" xfId="3" applyFill="1" applyBorder="1" applyAlignment="1">
      <alignment horizontal="center"/>
    </xf>
    <xf numFmtId="0" fontId="6" fillId="0" borderId="49" xfId="3" applyFill="1" applyBorder="1" applyAlignment="1">
      <alignment horizontal="center"/>
    </xf>
    <xf numFmtId="0" fontId="6" fillId="0" borderId="50" xfId="3" applyFill="1" applyBorder="1" applyAlignment="1">
      <alignment horizontal="center"/>
    </xf>
    <xf numFmtId="0" fontId="3" fillId="0" borderId="18" xfId="0" applyFont="1" applyBorder="1" applyAlignment="1">
      <alignment horizontal="center" vertical="center"/>
    </xf>
    <xf numFmtId="0" fontId="0" fillId="0" borderId="4" xfId="0" applyBorder="1" applyAlignment="1">
      <alignment horizontal="left" vertical="top"/>
    </xf>
    <xf numFmtId="0" fontId="15" fillId="0" borderId="22" xfId="0" applyFont="1" applyBorder="1" applyAlignment="1">
      <alignment horizontal="center" wrapText="1"/>
    </xf>
    <xf numFmtId="0" fontId="15" fillId="0" borderId="23" xfId="0" applyFont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8" fillId="8" borderId="0" xfId="1" applyFont="1" applyFill="1" applyAlignment="1">
      <alignment horizontal="center"/>
    </xf>
    <xf numFmtId="0" fontId="1" fillId="11" borderId="0" xfId="10" applyNumberFormat="1" applyFill="1">
      <alignment horizontal="left" vertical="top" wrapText="1" indent="1"/>
    </xf>
    <xf numFmtId="166" fontId="16" fillId="12" borderId="58" xfId="7" applyFill="1">
      <alignment horizontal="left" vertical="center" wrapText="1" indent="1"/>
    </xf>
    <xf numFmtId="166" fontId="16" fillId="12" borderId="59" xfId="7" applyFill="1" applyBorder="1">
      <alignment horizontal="left" vertical="center" wrapText="1" indent="1"/>
    </xf>
    <xf numFmtId="0" fontId="17" fillId="12" borderId="60" xfId="8" applyNumberFormat="1" applyFill="1">
      <alignment horizontal="left" vertical="top" wrapText="1" indent="1"/>
    </xf>
    <xf numFmtId="0" fontId="17" fillId="12" borderId="61" xfId="8" applyNumberFormat="1" applyFill="1" applyBorder="1">
      <alignment horizontal="left" vertical="top" wrapText="1" indent="1"/>
    </xf>
    <xf numFmtId="0" fontId="19" fillId="0" borderId="0" xfId="0" applyFont="1" applyAlignment="1">
      <alignment horizontal="left" indent="5"/>
    </xf>
    <xf numFmtId="0" fontId="20" fillId="10" borderId="63" xfId="0" applyFont="1" applyFill="1" applyBorder="1"/>
    <xf numFmtId="0" fontId="20" fillId="8" borderId="63" xfId="0" applyFont="1" applyFill="1" applyBorder="1"/>
    <xf numFmtId="0" fontId="1" fillId="11" borderId="61" xfId="10" applyNumberFormat="1" applyFill="1" applyBorder="1">
      <alignment horizontal="left" vertical="top" wrapText="1" indent="1"/>
    </xf>
    <xf numFmtId="0" fontId="21" fillId="11" borderId="62" xfId="9" applyNumberFormat="1" applyFont="1" applyFill="1">
      <alignment horizontal="left" vertical="center" wrapText="1" indent="1"/>
    </xf>
    <xf numFmtId="0" fontId="21" fillId="11" borderId="64" xfId="9" applyNumberFormat="1" applyFont="1" applyFill="1" applyBorder="1">
      <alignment horizontal="left" vertical="center" wrapText="1" indent="1"/>
    </xf>
    <xf numFmtId="0" fontId="21" fillId="11" borderId="65" xfId="9" applyNumberFormat="1" applyFont="1" applyFill="1" applyBorder="1">
      <alignment horizontal="left" vertical="center" wrapText="1" indent="1"/>
    </xf>
    <xf numFmtId="0" fontId="22" fillId="0" borderId="0" xfId="0" applyFont="1"/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2" fillId="0" borderId="0" xfId="0" applyFont="1" applyBorder="1"/>
    <xf numFmtId="0" fontId="23" fillId="0" borderId="66" xfId="0" applyFont="1" applyBorder="1" applyAlignment="1">
      <alignment horizontal="right" vertical="center"/>
    </xf>
    <xf numFmtId="0" fontId="23" fillId="0" borderId="67" xfId="0" applyFont="1" applyBorder="1" applyAlignment="1">
      <alignment horizontal="right" vertical="center"/>
    </xf>
    <xf numFmtId="0" fontId="23" fillId="0" borderId="68" xfId="0" applyFont="1" applyBorder="1" applyAlignment="1">
      <alignment horizontal="left" vertical="center"/>
    </xf>
    <xf numFmtId="0" fontId="23" fillId="0" borderId="69" xfId="0" applyFont="1" applyBorder="1" applyAlignment="1">
      <alignment horizontal="right" vertical="center"/>
    </xf>
    <xf numFmtId="0" fontId="23" fillId="0" borderId="70" xfId="0" applyFont="1" applyBorder="1" applyAlignment="1">
      <alignment horizontal="right" vertical="center"/>
    </xf>
    <xf numFmtId="0" fontId="23" fillId="0" borderId="71" xfId="0" applyFont="1" applyBorder="1" applyAlignment="1">
      <alignment horizontal="left" vertical="center"/>
    </xf>
    <xf numFmtId="0" fontId="23" fillId="0" borderId="21" xfId="0" applyFont="1" applyBorder="1"/>
    <xf numFmtId="0" fontId="23" fillId="0" borderId="22" xfId="0" applyFont="1" applyBorder="1"/>
    <xf numFmtId="0" fontId="23" fillId="0" borderId="23" xfId="0" applyFont="1" applyBorder="1"/>
    <xf numFmtId="0" fontId="23" fillId="0" borderId="8" xfId="0" applyFont="1" applyBorder="1"/>
    <xf numFmtId="0" fontId="23" fillId="0" borderId="0" xfId="0" applyFont="1" applyBorder="1"/>
    <xf numFmtId="0" fontId="23" fillId="0" borderId="9" xfId="0" applyFont="1" applyBorder="1"/>
    <xf numFmtId="0" fontId="23" fillId="0" borderId="24" xfId="0" applyFont="1" applyBorder="1"/>
    <xf numFmtId="0" fontId="23" fillId="0" borderId="25" xfId="0" applyFont="1" applyBorder="1"/>
    <xf numFmtId="0" fontId="23" fillId="0" borderId="26" xfId="0" applyFont="1" applyBorder="1"/>
    <xf numFmtId="0" fontId="23" fillId="0" borderId="21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2" fillId="0" borderId="16" xfId="0" applyFont="1" applyBorder="1"/>
    <xf numFmtId="0" fontId="25" fillId="0" borderId="0" xfId="0" applyFont="1"/>
    <xf numFmtId="0" fontId="25" fillId="0" borderId="21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25" fillId="0" borderId="23" xfId="0" applyFont="1" applyBorder="1"/>
    <xf numFmtId="0" fontId="22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/>
    </xf>
    <xf numFmtId="0" fontId="25" fillId="0" borderId="31" xfId="0" applyFont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73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78" xfId="0" applyFont="1" applyBorder="1" applyAlignment="1">
      <alignment horizontal="center" vertical="center"/>
    </xf>
    <xf numFmtId="0" fontId="23" fillId="13" borderId="21" xfId="0" applyFont="1" applyFill="1" applyBorder="1" applyAlignment="1">
      <alignment horizontal="center" vertical="center"/>
    </xf>
    <xf numFmtId="0" fontId="23" fillId="13" borderId="22" xfId="0" applyFont="1" applyFill="1" applyBorder="1" applyAlignment="1">
      <alignment horizontal="center" vertical="center"/>
    </xf>
    <xf numFmtId="0" fontId="23" fillId="13" borderId="23" xfId="0" applyFont="1" applyFill="1" applyBorder="1" applyAlignment="1">
      <alignment horizontal="center" vertical="center"/>
    </xf>
    <xf numFmtId="0" fontId="23" fillId="13" borderId="24" xfId="0" applyFont="1" applyFill="1" applyBorder="1" applyAlignment="1">
      <alignment horizontal="center" vertical="center"/>
    </xf>
    <xf numFmtId="0" fontId="23" fillId="13" borderId="25" xfId="0" applyFont="1" applyFill="1" applyBorder="1" applyAlignment="1">
      <alignment horizontal="center" vertical="center"/>
    </xf>
    <xf numFmtId="0" fontId="23" fillId="13" borderId="26" xfId="0" applyFont="1" applyFill="1" applyBorder="1" applyAlignment="1">
      <alignment horizontal="center" vertical="center"/>
    </xf>
    <xf numFmtId="0" fontId="22" fillId="0" borderId="12" xfId="0" applyFont="1" applyBorder="1"/>
    <xf numFmtId="0" fontId="22" fillId="0" borderId="13" xfId="0" applyFont="1" applyBorder="1"/>
    <xf numFmtId="0" fontId="22" fillId="0" borderId="14" xfId="0" applyFont="1" applyBorder="1"/>
    <xf numFmtId="0" fontId="22" fillId="0" borderId="15" xfId="0" applyFont="1" applyBorder="1"/>
    <xf numFmtId="0" fontId="22" fillId="0" borderId="17" xfId="0" applyFont="1" applyBorder="1"/>
    <xf numFmtId="0" fontId="26" fillId="0" borderId="11" xfId="0" applyFont="1" applyBorder="1"/>
    <xf numFmtId="0" fontId="27" fillId="0" borderId="10" xfId="0" applyFont="1" applyBorder="1"/>
    <xf numFmtId="0" fontId="27" fillId="0" borderId="11" xfId="0" applyFont="1" applyBorder="1"/>
    <xf numFmtId="0" fontId="27" fillId="0" borderId="12" xfId="0" applyFont="1" applyBorder="1"/>
    <xf numFmtId="0" fontId="24" fillId="0" borderId="72" xfId="0" applyFont="1" applyBorder="1" applyAlignment="1">
      <alignment horizontal="center" vertical="center"/>
    </xf>
    <xf numFmtId="0" fontId="24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4" fillId="0" borderId="75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2" fillId="0" borderId="76" xfId="0" applyFont="1" applyBorder="1" applyAlignment="1">
      <alignment horizontal="center" vertical="center"/>
    </xf>
    <xf numFmtId="0" fontId="24" fillId="0" borderId="77" xfId="0" applyFont="1" applyBorder="1" applyAlignment="1">
      <alignment horizontal="center" vertical="center"/>
    </xf>
    <xf numFmtId="0" fontId="24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68" fontId="22" fillId="0" borderId="73" xfId="0" applyNumberFormat="1" applyFont="1" applyBorder="1" applyAlignment="1">
      <alignment horizontal="center" vertical="center"/>
    </xf>
    <xf numFmtId="168" fontId="22" fillId="0" borderId="5" xfId="0" applyNumberFormat="1" applyFont="1" applyBorder="1" applyAlignment="1">
      <alignment horizontal="center" vertical="center"/>
    </xf>
    <xf numFmtId="168" fontId="22" fillId="0" borderId="78" xfId="0" applyNumberFormat="1" applyFont="1" applyBorder="1" applyAlignment="1">
      <alignment horizontal="center" vertical="center"/>
    </xf>
    <xf numFmtId="168" fontId="22" fillId="0" borderId="0" xfId="0" applyNumberFormat="1" applyFont="1" applyBorder="1" applyAlignment="1">
      <alignment horizontal="center" vertical="center"/>
    </xf>
    <xf numFmtId="168" fontId="22" fillId="0" borderId="25" xfId="0" applyNumberFormat="1" applyFont="1" applyBorder="1" applyAlignment="1">
      <alignment horizontal="center" vertical="center"/>
    </xf>
    <xf numFmtId="168" fontId="22" fillId="0" borderId="44" xfId="0" applyNumberFormat="1" applyFont="1" applyBorder="1" applyAlignment="1">
      <alignment horizontal="center" vertical="center"/>
    </xf>
    <xf numFmtId="168" fontId="22" fillId="0" borderId="45" xfId="0" applyNumberFormat="1" applyFont="1" applyBorder="1" applyAlignment="1">
      <alignment horizontal="center" vertical="center"/>
    </xf>
    <xf numFmtId="168" fontId="22" fillId="0" borderId="46" xfId="0" applyNumberFormat="1" applyFont="1" applyBorder="1" applyAlignment="1">
      <alignment horizontal="center" vertical="center"/>
    </xf>
    <xf numFmtId="168" fontId="22" fillId="0" borderId="47" xfId="0" applyNumberFormat="1" applyFont="1" applyBorder="1" applyAlignment="1">
      <alignment horizontal="center" vertical="center"/>
    </xf>
    <xf numFmtId="168" fontId="22" fillId="0" borderId="38" xfId="0" applyNumberFormat="1" applyFont="1" applyBorder="1" applyAlignment="1">
      <alignment horizontal="center" vertical="center"/>
    </xf>
    <xf numFmtId="168" fontId="22" fillId="0" borderId="48" xfId="0" applyNumberFormat="1" applyFont="1" applyBorder="1" applyAlignment="1">
      <alignment horizontal="center" vertical="center"/>
    </xf>
    <xf numFmtId="168" fontId="22" fillId="0" borderId="49" xfId="0" applyNumberFormat="1" applyFont="1" applyBorder="1" applyAlignment="1">
      <alignment horizontal="center" vertical="center"/>
    </xf>
    <xf numFmtId="168" fontId="22" fillId="0" borderId="50" xfId="0" applyNumberFormat="1" applyFont="1" applyBorder="1" applyAlignment="1">
      <alignment horizontal="center" vertical="center"/>
    </xf>
    <xf numFmtId="165" fontId="0" fillId="3" borderId="80" xfId="0" applyNumberFormat="1" applyFill="1" applyBorder="1" applyAlignment="1">
      <alignment horizontal="center"/>
    </xf>
    <xf numFmtId="165" fontId="4" fillId="2" borderId="47" xfId="0" applyNumberFormat="1" applyFont="1" applyFill="1" applyBorder="1" applyAlignment="1">
      <alignment horizontal="center"/>
    </xf>
    <xf numFmtId="165" fontId="0" fillId="3" borderId="47" xfId="0" applyNumberFormat="1" applyFill="1" applyBorder="1" applyAlignment="1">
      <alignment horizontal="center"/>
    </xf>
    <xf numFmtId="165" fontId="4" fillId="2" borderId="81" xfId="0" applyNumberFormat="1" applyFont="1" applyFill="1" applyBorder="1" applyAlignment="1">
      <alignment horizontal="center"/>
    </xf>
    <xf numFmtId="168" fontId="22" fillId="0" borderId="21" xfId="0" applyNumberFormat="1" applyFont="1" applyBorder="1" applyAlignment="1">
      <alignment horizontal="center" vertical="center"/>
    </xf>
    <xf numFmtId="168" fontId="22" fillId="0" borderId="22" xfId="0" applyNumberFormat="1" applyFont="1" applyBorder="1" applyAlignment="1">
      <alignment horizontal="center" vertical="center"/>
    </xf>
    <xf numFmtId="168" fontId="22" fillId="0" borderId="82" xfId="0" applyNumberFormat="1" applyFont="1" applyBorder="1" applyAlignment="1">
      <alignment horizontal="center" vertical="center"/>
    </xf>
    <xf numFmtId="168" fontId="22" fillId="0" borderId="8" xfId="0" applyNumberFormat="1" applyFont="1" applyBorder="1" applyAlignment="1">
      <alignment horizontal="center" vertical="center"/>
    </xf>
    <xf numFmtId="168" fontId="22" fillId="0" borderId="24" xfId="0" applyNumberFormat="1" applyFont="1" applyBorder="1" applyAlignment="1">
      <alignment horizontal="center" vertical="center"/>
    </xf>
    <xf numFmtId="168" fontId="22" fillId="0" borderId="83" xfId="0" applyNumberFormat="1" applyFont="1" applyBorder="1" applyAlignment="1">
      <alignment horizontal="center" vertical="center"/>
    </xf>
    <xf numFmtId="0" fontId="22" fillId="0" borderId="80" xfId="0" applyFont="1" applyBorder="1" applyAlignment="1">
      <alignment horizontal="center" vertical="center"/>
    </xf>
    <xf numFmtId="0" fontId="22" fillId="0" borderId="82" xfId="0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22" fillId="0" borderId="81" xfId="0" applyFont="1" applyBorder="1" applyAlignment="1">
      <alignment horizontal="center" vertical="center"/>
    </xf>
    <xf numFmtId="0" fontId="22" fillId="0" borderId="83" xfId="0" applyFont="1" applyBorder="1" applyAlignment="1">
      <alignment horizontal="center" vertical="center"/>
    </xf>
    <xf numFmtId="0" fontId="22" fillId="0" borderId="22" xfId="0" applyFont="1" applyBorder="1" applyAlignment="1">
      <alignment horizontal="left" vertical="center"/>
    </xf>
    <xf numFmtId="0" fontId="22" fillId="0" borderId="23" xfId="0" applyFont="1" applyBorder="1" applyAlignment="1">
      <alignment horizontal="left" vertical="center"/>
    </xf>
    <xf numFmtId="0" fontId="22" fillId="0" borderId="25" xfId="0" applyFont="1" applyBorder="1" applyAlignment="1">
      <alignment horizontal="left" vertical="center"/>
    </xf>
    <xf numFmtId="0" fontId="22" fillId="0" borderId="26" xfId="0" applyFont="1" applyBorder="1" applyAlignment="1">
      <alignment horizontal="left" vertical="center"/>
    </xf>
    <xf numFmtId="1" fontId="0" fillId="0" borderId="0" xfId="0" applyNumberFormat="1"/>
    <xf numFmtId="1" fontId="17" fillId="12" borderId="60" xfId="8" applyNumberFormat="1" applyFill="1">
      <alignment horizontal="left" vertical="top" wrapText="1" indent="1"/>
    </xf>
    <xf numFmtId="1" fontId="17" fillId="12" borderId="61" xfId="8" applyNumberFormat="1" applyFill="1" applyBorder="1">
      <alignment horizontal="left" vertical="top" wrapText="1" indent="1"/>
    </xf>
  </cellXfs>
  <cellStyles count="11">
    <cellStyle name="Détail jour" xfId="8" xr:uid="{3A62CAE1-0D65-4794-9E88-5D44F1DF94E4}"/>
    <cellStyle name="En-tête de notes" xfId="9" xr:uid="{9CAD9C03-651D-4848-A570-A02C3D7592D0}"/>
    <cellStyle name="Jour" xfId="7" xr:uid="{4483FB41-0908-4905-91A0-AE204ADCF30D}"/>
    <cellStyle name="Normal" xfId="0" builtinId="0"/>
    <cellStyle name="Normal 2" xfId="3" xr:uid="{853B1937-692C-4ED2-A4F9-068F4941B05B}"/>
    <cellStyle name="Normal 3" xfId="4" xr:uid="{997538B6-05D7-4D3D-BAD8-2121225B1E71}"/>
    <cellStyle name="Normal 4" xfId="2" xr:uid="{36E6ED20-83FD-4333-A13C-1AAF29C9A137}"/>
    <cellStyle name="Notes" xfId="10" xr:uid="{4183C0B9-956D-4ABA-99FF-C1C70A6DE33F}"/>
    <cellStyle name="Pourcentage 2" xfId="6" xr:uid="{A480FD1C-8AFD-47D5-813E-F7E32DFBAB38}"/>
    <cellStyle name="Pourcentage 3" xfId="5" xr:uid="{A15FAB95-044F-4ED4-8119-F999D40D2A93}"/>
    <cellStyle name="Titre" xfId="1" builtinId="15"/>
  </cellStyles>
  <dxfs count="57"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font>
        <color rgb="FF747474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90" wrapText="0" indent="0" justifyLastLine="0" shrinkToFit="0" readingOrder="0"/>
    </dxf>
    <dxf>
      <font>
        <u val="none"/>
        <color auto="1"/>
      </font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2"/>
        </patternFill>
      </fill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 patternType="none">
          <bgColor auto="1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</border>
    </dxf>
  </dxfs>
  <tableStyles count="1" defaultTableStyle="TableStyleMedium2" defaultPivotStyle="PivotStyleLight16">
    <tableStyle name="Style de tableau 1" pivot="0" count="4" xr9:uid="{CC0A96AE-F9B0-414C-84E4-AA0C00A248C4}">
      <tableStyleElement type="wholeTable" dxfId="56"/>
      <tableStyleElement type="headerRow" dxfId="55"/>
      <tableStyleElement type="firstRowStripe" dxfId="54"/>
      <tableStyleElement type="secondRowStripe" dxfId="53"/>
    </tableStyle>
  </tableStyles>
  <colors>
    <mruColors>
      <color rgb="FFFFF6DD"/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C859D7-0439-4DBD-AD08-7CBF3E3085C5}" name="Tableau3" displayName="Tableau3" ref="A3:K11" totalsRowShown="0" headerRowDxfId="52" dataDxfId="51">
  <autoFilter ref="A3:K11" xr:uid="{8B489005-90C9-41B5-810C-5B11C280A7A1}"/>
  <tableColumns count="11">
    <tableColumn id="1" xr3:uid="{50E38992-A0E6-40CA-BD4C-909F38452E6C}" name="n° logement" dataDxfId="50"/>
    <tableColumn id="2" xr3:uid="{D6521573-1674-407A-B22F-D54EDFFC38B6}" name="Bâtiment" dataDxfId="49"/>
    <tableColumn id="3" xr3:uid="{60960667-4E63-4792-AC78-7587970666AE}" name="NOM" dataDxfId="48"/>
    <tableColumn id="4" xr3:uid="{364E9C1B-028F-46E4-8314-A494F31EAE1F}" name="Prénom" dataDxfId="47"/>
    <tableColumn id="5" xr3:uid="{295685AF-1FE0-4140-AC6C-B210A58168AA}" name="Téléphone_x000a_portable" dataDxfId="46"/>
    <tableColumn id="6" xr3:uid="{C201B9E4-8B31-495D-9601-4C78E4531353}" name="Téléphone_x000a_fixe" dataDxfId="45"/>
    <tableColumn id="7" xr3:uid="{C5064C59-FFD4-4158-AF32-EE2494BB110F}" name="Type" dataDxfId="44"/>
    <tableColumn id="8" xr3:uid="{197C8E30-863D-4F85-BCBC-0CCABFAF5341}" name="Cave" dataDxfId="43"/>
    <tableColumn id="9" xr3:uid="{83C183B6-F5DD-477C-AADA-97A4E47EA0A9}" name="Garage" dataDxfId="42"/>
    <tableColumn id="10" xr3:uid="{6A9AEBD4-71AF-479C-A95A-07ACC6DDCEF6}" name="EdL avant travaux" dataDxfId="41"/>
    <tableColumn id="11" xr3:uid="{16994337-A6E9-4F54-9369-FD91F0FE91FE}" name="Absences " dataDxfId="4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9B8DF-A05A-4D37-AE45-D4B96DB49AAA}">
  <dimension ref="A1:H60"/>
  <sheetViews>
    <sheetView topLeftCell="A46" workbookViewId="0">
      <selection activeCell="K25" sqref="K25"/>
    </sheetView>
  </sheetViews>
  <sheetFormatPr baseColWidth="10" defaultRowHeight="15" x14ac:dyDescent="0.25"/>
  <cols>
    <col min="1" max="1" width="14.28515625" customWidth="1"/>
    <col min="2" max="2" width="12" customWidth="1"/>
    <col min="3" max="3" width="3.7109375" customWidth="1"/>
    <col min="4" max="4" width="27.7109375" customWidth="1"/>
    <col min="5" max="5" width="24.7109375" customWidth="1"/>
    <col min="6" max="6" width="44.7109375" customWidth="1"/>
    <col min="7" max="7" width="14.28515625" customWidth="1"/>
    <col min="8" max="8" width="4" customWidth="1"/>
  </cols>
  <sheetData>
    <row r="1" spans="1:8" ht="15.75" thickTop="1" x14ac:dyDescent="0.25">
      <c r="A1" s="11"/>
      <c r="B1" s="12"/>
      <c r="C1" s="12"/>
      <c r="D1" s="12"/>
      <c r="E1" s="12"/>
      <c r="F1" s="12"/>
      <c r="G1" s="12"/>
      <c r="H1" s="13"/>
    </row>
    <row r="2" spans="1:8" ht="15.75" thickBot="1" x14ac:dyDescent="0.3">
      <c r="A2" s="6"/>
      <c r="B2" s="40"/>
      <c r="C2" s="40"/>
      <c r="D2" s="40"/>
      <c r="E2" s="40"/>
      <c r="F2" s="40"/>
      <c r="G2" s="40"/>
      <c r="H2" s="7"/>
    </row>
    <row r="3" spans="1:8" ht="15.75" thickTop="1" x14ac:dyDescent="0.25">
      <c r="A3" s="6"/>
      <c r="B3" s="40"/>
      <c r="C3" s="40"/>
      <c r="D3" s="146" t="s">
        <v>13</v>
      </c>
      <c r="E3" s="147"/>
      <c r="F3" s="148"/>
      <c r="G3" s="40"/>
      <c r="H3" s="7"/>
    </row>
    <row r="4" spans="1:8" x14ac:dyDescent="0.25">
      <c r="A4" s="6"/>
      <c r="B4" s="40"/>
      <c r="C4" s="40"/>
      <c r="D4" s="149"/>
      <c r="E4" s="150"/>
      <c r="F4" s="151"/>
      <c r="G4" s="40"/>
      <c r="H4" s="7"/>
    </row>
    <row r="5" spans="1:8" ht="15.75" thickBot="1" x14ac:dyDescent="0.3">
      <c r="A5" s="6"/>
      <c r="B5" s="40"/>
      <c r="C5" s="40"/>
      <c r="D5" s="152"/>
      <c r="E5" s="153"/>
      <c r="F5" s="154"/>
      <c r="G5" s="40"/>
      <c r="H5" s="7"/>
    </row>
    <row r="6" spans="1:8" ht="15.75" thickTop="1" x14ac:dyDescent="0.25">
      <c r="A6" s="6"/>
      <c r="B6" s="40"/>
      <c r="C6" s="40"/>
      <c r="D6" s="40"/>
      <c r="E6" s="40"/>
      <c r="F6" s="40"/>
      <c r="G6" s="40"/>
      <c r="H6" s="7"/>
    </row>
    <row r="7" spans="1:8" x14ac:dyDescent="0.25">
      <c r="A7" s="6"/>
      <c r="B7" s="40"/>
      <c r="C7" s="40"/>
      <c r="D7" s="40"/>
      <c r="E7" s="40"/>
      <c r="F7" s="40"/>
      <c r="G7" s="40"/>
      <c r="H7" s="7"/>
    </row>
    <row r="8" spans="1:8" x14ac:dyDescent="0.25">
      <c r="A8" s="6"/>
      <c r="B8" s="40"/>
      <c r="C8" s="40"/>
      <c r="D8" s="40"/>
      <c r="E8" s="40"/>
      <c r="F8" s="40"/>
      <c r="G8" s="40"/>
      <c r="H8" s="7"/>
    </row>
    <row r="9" spans="1:8" x14ac:dyDescent="0.25">
      <c r="A9" s="6"/>
      <c r="B9" s="40"/>
      <c r="C9" s="40"/>
      <c r="D9" s="40"/>
      <c r="E9" s="40"/>
      <c r="F9" s="40"/>
      <c r="G9" s="40"/>
      <c r="H9" s="7"/>
    </row>
    <row r="10" spans="1:8" ht="15.75" thickBot="1" x14ac:dyDescent="0.3">
      <c r="A10" s="6"/>
      <c r="B10" s="40"/>
      <c r="C10" s="40"/>
      <c r="D10" s="40"/>
      <c r="E10" s="40"/>
      <c r="F10" s="40"/>
      <c r="G10" s="40"/>
      <c r="H10" s="7"/>
    </row>
    <row r="11" spans="1:8" x14ac:dyDescent="0.25">
      <c r="A11" s="155" t="s">
        <v>14</v>
      </c>
      <c r="B11" s="156"/>
      <c r="C11" s="122" t="s">
        <v>181</v>
      </c>
      <c r="D11" s="123"/>
      <c r="E11" s="41" t="s">
        <v>15</v>
      </c>
      <c r="F11" s="15" t="s">
        <v>191</v>
      </c>
      <c r="G11" s="40"/>
      <c r="H11" s="7"/>
    </row>
    <row r="12" spans="1:8" x14ac:dyDescent="0.25">
      <c r="A12" s="6"/>
      <c r="B12" s="40"/>
      <c r="C12" s="124" t="s">
        <v>182</v>
      </c>
      <c r="D12" s="125"/>
      <c r="E12" s="40"/>
      <c r="F12" s="16" t="s">
        <v>192</v>
      </c>
      <c r="G12" s="40"/>
      <c r="H12" s="7"/>
    </row>
    <row r="13" spans="1:8" x14ac:dyDescent="0.25">
      <c r="A13" s="6"/>
      <c r="B13" s="40"/>
      <c r="C13" s="124" t="s">
        <v>183</v>
      </c>
      <c r="D13" s="125"/>
      <c r="E13" s="40"/>
      <c r="F13" s="16" t="s">
        <v>193</v>
      </c>
      <c r="G13" s="40"/>
      <c r="H13" s="7"/>
    </row>
    <row r="14" spans="1:8" x14ac:dyDescent="0.25">
      <c r="A14" s="6"/>
      <c r="B14" s="40"/>
      <c r="C14" s="124" t="s">
        <v>184</v>
      </c>
      <c r="D14" s="125"/>
      <c r="E14" s="40"/>
      <c r="F14" s="16" t="s">
        <v>194</v>
      </c>
      <c r="G14" s="40"/>
      <c r="H14" s="7"/>
    </row>
    <row r="15" spans="1:8" x14ac:dyDescent="0.25">
      <c r="A15" s="6"/>
      <c r="B15" s="40"/>
      <c r="C15" s="124" t="s">
        <v>185</v>
      </c>
      <c r="D15" s="125"/>
      <c r="E15" s="40"/>
      <c r="F15" s="16" t="s">
        <v>195</v>
      </c>
      <c r="G15" s="40"/>
      <c r="H15" s="7"/>
    </row>
    <row r="16" spans="1:8" ht="15.75" thickBot="1" x14ac:dyDescent="0.3">
      <c r="A16" s="6"/>
      <c r="B16" s="40"/>
      <c r="C16" s="126"/>
      <c r="D16" s="127"/>
      <c r="E16" s="40"/>
      <c r="F16" s="17"/>
      <c r="G16" s="40"/>
      <c r="H16" s="7"/>
    </row>
    <row r="17" spans="1:8" x14ac:dyDescent="0.25">
      <c r="A17" s="6"/>
      <c r="B17" s="40"/>
      <c r="C17" s="40"/>
      <c r="D17" s="40"/>
      <c r="E17" s="40"/>
      <c r="F17" s="40"/>
      <c r="G17" s="40"/>
      <c r="H17" s="7"/>
    </row>
    <row r="18" spans="1:8" ht="15.75" thickBot="1" x14ac:dyDescent="0.3">
      <c r="A18" s="6"/>
      <c r="B18" s="40"/>
      <c r="C18" s="40"/>
      <c r="D18" s="40"/>
      <c r="E18" s="40"/>
      <c r="F18" s="40"/>
      <c r="G18" s="40"/>
      <c r="H18" s="7"/>
    </row>
    <row r="19" spans="1:8" ht="15.75" thickBot="1" x14ac:dyDescent="0.3">
      <c r="A19" s="155" t="s">
        <v>16</v>
      </c>
      <c r="B19" s="156"/>
      <c r="C19" s="122" t="s">
        <v>186</v>
      </c>
      <c r="D19" s="123"/>
      <c r="E19" s="40"/>
      <c r="F19" s="40"/>
      <c r="G19" s="40"/>
      <c r="H19" s="7"/>
    </row>
    <row r="20" spans="1:8" ht="15.75" thickBot="1" x14ac:dyDescent="0.3">
      <c r="A20" s="6"/>
      <c r="B20" s="40"/>
      <c r="C20" s="124" t="s">
        <v>187</v>
      </c>
      <c r="D20" s="125"/>
      <c r="E20" s="42" t="s">
        <v>17</v>
      </c>
      <c r="F20" s="14" t="s">
        <v>196</v>
      </c>
      <c r="G20" s="40"/>
      <c r="H20" s="7"/>
    </row>
    <row r="21" spans="1:8" ht="15.75" thickBot="1" x14ac:dyDescent="0.3">
      <c r="A21" s="6"/>
      <c r="B21" s="40"/>
      <c r="C21" s="124" t="s">
        <v>188</v>
      </c>
      <c r="D21" s="125"/>
      <c r="E21" s="42" t="s">
        <v>18</v>
      </c>
      <c r="F21" s="21" t="s">
        <v>197</v>
      </c>
      <c r="G21" s="40"/>
      <c r="H21" s="7"/>
    </row>
    <row r="22" spans="1:8" ht="15.75" thickBot="1" x14ac:dyDescent="0.3">
      <c r="A22" s="6"/>
      <c r="B22" s="40"/>
      <c r="C22" s="124" t="s">
        <v>189</v>
      </c>
      <c r="D22" s="125"/>
      <c r="E22" s="42"/>
      <c r="F22" s="43"/>
      <c r="G22" s="40"/>
      <c r="H22" s="7"/>
    </row>
    <row r="23" spans="1:8" ht="15.75" thickBot="1" x14ac:dyDescent="0.3">
      <c r="A23" s="6"/>
      <c r="B23" s="40"/>
      <c r="C23" s="124" t="s">
        <v>190</v>
      </c>
      <c r="D23" s="125"/>
      <c r="E23" s="42" t="s">
        <v>19</v>
      </c>
      <c r="F23" s="14" t="s">
        <v>198</v>
      </c>
      <c r="G23" s="40"/>
      <c r="H23" s="7"/>
    </row>
    <row r="24" spans="1:8" ht="15.75" thickBot="1" x14ac:dyDescent="0.3">
      <c r="A24" s="6"/>
      <c r="B24" s="40"/>
      <c r="C24" s="126"/>
      <c r="D24" s="127"/>
      <c r="E24" s="42" t="s">
        <v>18</v>
      </c>
      <c r="F24" s="21" t="s">
        <v>197</v>
      </c>
      <c r="G24" s="40"/>
      <c r="H24" s="7"/>
    </row>
    <row r="25" spans="1:8" x14ac:dyDescent="0.25">
      <c r="A25" s="6"/>
      <c r="B25" s="40"/>
      <c r="C25" s="40"/>
      <c r="D25" s="40"/>
      <c r="E25" s="40"/>
      <c r="F25" s="40"/>
      <c r="G25" s="40"/>
      <c r="H25" s="7"/>
    </row>
    <row r="26" spans="1:8" x14ac:dyDescent="0.25">
      <c r="A26" s="6"/>
      <c r="B26" s="157" t="s">
        <v>144</v>
      </c>
      <c r="C26" s="157"/>
      <c r="D26" s="157"/>
      <c r="E26" s="40"/>
      <c r="F26" s="40"/>
      <c r="G26" s="40"/>
      <c r="H26" s="7"/>
    </row>
    <row r="27" spans="1:8" ht="15.75" thickBot="1" x14ac:dyDescent="0.3">
      <c r="A27" s="6"/>
      <c r="B27" s="40"/>
      <c r="C27" s="40"/>
      <c r="D27" s="40"/>
      <c r="E27" s="40"/>
      <c r="F27" s="40"/>
      <c r="G27" s="40"/>
      <c r="H27" s="7"/>
    </row>
    <row r="28" spans="1:8" ht="15.75" thickBot="1" x14ac:dyDescent="0.3">
      <c r="A28" s="6"/>
      <c r="B28" s="41"/>
      <c r="C28" s="158" t="s">
        <v>20</v>
      </c>
      <c r="D28" s="159"/>
      <c r="E28" s="20" t="s">
        <v>21</v>
      </c>
      <c r="F28" s="18" t="s">
        <v>129</v>
      </c>
      <c r="G28" s="19" t="s">
        <v>22</v>
      </c>
      <c r="H28" s="7"/>
    </row>
    <row r="29" spans="1:8" x14ac:dyDescent="0.25">
      <c r="A29" s="6"/>
      <c r="B29" s="40">
        <v>1</v>
      </c>
      <c r="C29" s="25" t="s">
        <v>23</v>
      </c>
      <c r="D29" s="22"/>
      <c r="E29" s="22" t="s">
        <v>123</v>
      </c>
      <c r="F29" s="30"/>
      <c r="G29" s="29"/>
      <c r="H29" s="7"/>
    </row>
    <row r="30" spans="1:8" x14ac:dyDescent="0.25">
      <c r="A30" s="6"/>
      <c r="B30" s="40">
        <v>2</v>
      </c>
      <c r="C30" s="26" t="s">
        <v>24</v>
      </c>
      <c r="D30" s="23"/>
      <c r="E30" s="23" t="s">
        <v>124</v>
      </c>
      <c r="F30" s="31"/>
      <c r="G30" s="32"/>
      <c r="H30" s="7"/>
    </row>
    <row r="31" spans="1:8" x14ac:dyDescent="0.25">
      <c r="A31" s="6"/>
      <c r="B31" s="40">
        <v>3</v>
      </c>
      <c r="C31" s="26" t="s">
        <v>25</v>
      </c>
      <c r="D31" s="23"/>
      <c r="E31" s="23" t="s">
        <v>125</v>
      </c>
      <c r="F31" s="31"/>
      <c r="G31" s="32"/>
      <c r="H31" s="7"/>
    </row>
    <row r="32" spans="1:8" x14ac:dyDescent="0.25">
      <c r="A32" s="6"/>
      <c r="B32" s="40">
        <v>4</v>
      </c>
      <c r="C32" s="26" t="s">
        <v>26</v>
      </c>
      <c r="D32" s="23"/>
      <c r="E32" s="23" t="s">
        <v>126</v>
      </c>
      <c r="F32" s="31"/>
      <c r="G32" s="32"/>
      <c r="H32" s="7"/>
    </row>
    <row r="33" spans="1:8" x14ac:dyDescent="0.25">
      <c r="A33" s="6"/>
      <c r="B33" s="40">
        <v>5</v>
      </c>
      <c r="C33" s="26" t="s">
        <v>27</v>
      </c>
      <c r="D33" s="23"/>
      <c r="E33" s="23" t="s">
        <v>127</v>
      </c>
      <c r="F33" s="31"/>
      <c r="G33" s="32"/>
      <c r="H33" s="7"/>
    </row>
    <row r="34" spans="1:8" ht="15.75" thickBot="1" x14ac:dyDescent="0.3">
      <c r="A34" s="6"/>
      <c r="B34" s="40">
        <v>6</v>
      </c>
      <c r="C34" s="27" t="s">
        <v>28</v>
      </c>
      <c r="D34" s="24"/>
      <c r="E34" s="24" t="s">
        <v>128</v>
      </c>
      <c r="F34" s="33"/>
      <c r="G34" s="34"/>
      <c r="H34" s="7"/>
    </row>
    <row r="35" spans="1:8" x14ac:dyDescent="0.25">
      <c r="A35" s="6"/>
      <c r="B35" s="40"/>
      <c r="C35" s="40"/>
      <c r="D35" s="40"/>
      <c r="E35" s="40"/>
      <c r="F35" s="40"/>
      <c r="G35" s="40"/>
      <c r="H35" s="7"/>
    </row>
    <row r="36" spans="1:8" x14ac:dyDescent="0.25">
      <c r="A36" s="6"/>
      <c r="B36" s="40"/>
      <c r="C36" s="40"/>
      <c r="D36" s="40"/>
      <c r="E36" s="40"/>
      <c r="F36" s="40"/>
      <c r="G36" s="40"/>
      <c r="H36" s="7"/>
    </row>
    <row r="37" spans="1:8" x14ac:dyDescent="0.25">
      <c r="A37" s="6"/>
      <c r="B37" s="40"/>
      <c r="C37" s="40"/>
      <c r="D37" s="40"/>
      <c r="E37" s="40"/>
      <c r="F37" s="40"/>
      <c r="G37" s="40"/>
      <c r="H37" s="7"/>
    </row>
    <row r="38" spans="1:8" x14ac:dyDescent="0.25">
      <c r="A38" s="6"/>
      <c r="B38" s="40"/>
      <c r="C38" s="40"/>
      <c r="D38" s="40"/>
      <c r="E38" s="40"/>
      <c r="F38" s="40"/>
      <c r="G38" s="40"/>
      <c r="H38" s="7"/>
    </row>
    <row r="39" spans="1:8" x14ac:dyDescent="0.25">
      <c r="A39" s="6"/>
      <c r="B39" s="40"/>
      <c r="C39" s="40"/>
      <c r="D39" s="40"/>
      <c r="E39" s="40"/>
      <c r="F39" s="40"/>
      <c r="G39" s="40"/>
      <c r="H39" s="7"/>
    </row>
    <row r="40" spans="1:8" x14ac:dyDescent="0.25">
      <c r="A40" s="6"/>
      <c r="B40" s="40"/>
      <c r="C40" s="40"/>
      <c r="D40" s="40"/>
      <c r="E40" s="40"/>
      <c r="F40" s="40"/>
      <c r="G40" s="40"/>
      <c r="H40" s="7"/>
    </row>
    <row r="41" spans="1:8" x14ac:dyDescent="0.25">
      <c r="A41" s="6"/>
      <c r="B41" s="40"/>
      <c r="C41" s="40"/>
      <c r="D41" s="40"/>
      <c r="E41" s="40"/>
      <c r="F41" s="40"/>
      <c r="G41" s="40"/>
      <c r="H41" s="7"/>
    </row>
    <row r="42" spans="1:8" x14ac:dyDescent="0.25">
      <c r="A42" s="6"/>
      <c r="B42" s="44" t="s">
        <v>145</v>
      </c>
      <c r="C42" s="44"/>
      <c r="D42" s="40"/>
      <c r="E42" s="40"/>
      <c r="F42" s="40"/>
      <c r="G42" s="40"/>
      <c r="H42" s="7"/>
    </row>
    <row r="43" spans="1:8" ht="15.75" thickBot="1" x14ac:dyDescent="0.3">
      <c r="A43" s="6"/>
      <c r="B43" s="40"/>
      <c r="C43" s="40"/>
      <c r="D43" s="40"/>
      <c r="E43" s="40"/>
      <c r="F43" s="40"/>
      <c r="G43" s="40"/>
      <c r="H43" s="7"/>
    </row>
    <row r="44" spans="1:8" ht="15.75" thickBot="1" x14ac:dyDescent="0.3">
      <c r="A44" s="6"/>
      <c r="B44" s="41"/>
      <c r="C44" s="19" t="s">
        <v>98</v>
      </c>
      <c r="D44" s="20" t="s">
        <v>29</v>
      </c>
      <c r="E44" s="28" t="s">
        <v>21</v>
      </c>
      <c r="F44" s="40"/>
      <c r="G44" s="40"/>
      <c r="H44" s="7"/>
    </row>
    <row r="45" spans="1:8" x14ac:dyDescent="0.25">
      <c r="A45" s="6"/>
      <c r="B45" s="40"/>
      <c r="C45" s="128">
        <v>1</v>
      </c>
      <c r="D45" s="35" t="s">
        <v>146</v>
      </c>
      <c r="E45" s="39" t="s">
        <v>123</v>
      </c>
      <c r="F45" s="40"/>
      <c r="G45" s="40"/>
      <c r="H45" s="7"/>
    </row>
    <row r="46" spans="1:8" x14ac:dyDescent="0.25">
      <c r="A46" s="6"/>
      <c r="B46" s="40"/>
      <c r="C46" s="129">
        <f>C45+1</f>
        <v>2</v>
      </c>
      <c r="D46" s="36" t="s">
        <v>147</v>
      </c>
      <c r="E46" s="37" t="s">
        <v>124</v>
      </c>
      <c r="F46" s="40"/>
      <c r="G46" s="40"/>
      <c r="H46" s="7"/>
    </row>
    <row r="47" spans="1:8" x14ac:dyDescent="0.25">
      <c r="A47" s="6"/>
      <c r="B47" s="40"/>
      <c r="C47" s="129">
        <f t="shared" ref="C47:C54" si="0">C46+1</f>
        <v>3</v>
      </c>
      <c r="D47" s="36" t="s">
        <v>148</v>
      </c>
      <c r="E47" s="37" t="s">
        <v>125</v>
      </c>
      <c r="F47" s="40"/>
      <c r="G47" s="40"/>
      <c r="H47" s="7"/>
    </row>
    <row r="48" spans="1:8" x14ac:dyDescent="0.25">
      <c r="A48" s="6"/>
      <c r="B48" s="40"/>
      <c r="C48" s="129">
        <f t="shared" si="0"/>
        <v>4</v>
      </c>
      <c r="D48" s="36" t="s">
        <v>149</v>
      </c>
      <c r="E48" s="37" t="s">
        <v>126</v>
      </c>
      <c r="F48" s="40"/>
      <c r="G48" s="40"/>
      <c r="H48" s="7"/>
    </row>
    <row r="49" spans="1:8" x14ac:dyDescent="0.25">
      <c r="A49" s="6"/>
      <c r="B49" s="40"/>
      <c r="C49" s="129">
        <f t="shared" si="0"/>
        <v>5</v>
      </c>
      <c r="D49" s="36" t="s">
        <v>150</v>
      </c>
      <c r="E49" s="37" t="s">
        <v>127</v>
      </c>
      <c r="F49" s="40"/>
      <c r="G49" s="40"/>
      <c r="H49" s="7"/>
    </row>
    <row r="50" spans="1:8" x14ac:dyDescent="0.25">
      <c r="A50" s="6"/>
      <c r="B50" s="40"/>
      <c r="C50" s="129">
        <f t="shared" si="0"/>
        <v>6</v>
      </c>
      <c r="D50" s="36" t="s">
        <v>151</v>
      </c>
      <c r="E50" s="37" t="s">
        <v>128</v>
      </c>
      <c r="F50" s="40"/>
      <c r="G50" s="40"/>
      <c r="H50" s="7"/>
    </row>
    <row r="51" spans="1:8" x14ac:dyDescent="0.25">
      <c r="A51" s="6"/>
      <c r="B51" s="40"/>
      <c r="C51" s="129">
        <f t="shared" si="0"/>
        <v>7</v>
      </c>
      <c r="D51" s="36" t="s">
        <v>152</v>
      </c>
      <c r="E51" s="90" t="s">
        <v>130</v>
      </c>
      <c r="F51" s="40"/>
      <c r="G51" s="40"/>
      <c r="H51" s="7"/>
    </row>
    <row r="52" spans="1:8" x14ac:dyDescent="0.25">
      <c r="A52" s="6"/>
      <c r="B52" s="40"/>
      <c r="C52" s="129">
        <f t="shared" si="0"/>
        <v>8</v>
      </c>
      <c r="D52" s="36" t="s">
        <v>121</v>
      </c>
      <c r="E52" s="90" t="s">
        <v>131</v>
      </c>
      <c r="F52" s="40"/>
      <c r="G52" s="40"/>
      <c r="H52" s="7"/>
    </row>
    <row r="53" spans="1:8" x14ac:dyDescent="0.25">
      <c r="A53" s="6"/>
      <c r="B53" s="40"/>
      <c r="C53" s="129">
        <f t="shared" si="0"/>
        <v>9</v>
      </c>
      <c r="D53" s="36" t="s">
        <v>120</v>
      </c>
      <c r="E53" s="90" t="s">
        <v>132</v>
      </c>
      <c r="F53" s="40"/>
      <c r="G53" s="40"/>
      <c r="H53" s="7"/>
    </row>
    <row r="54" spans="1:8" ht="15.75" thickBot="1" x14ac:dyDescent="0.3">
      <c r="A54" s="6"/>
      <c r="B54" s="40"/>
      <c r="C54" s="130">
        <f t="shared" si="0"/>
        <v>10</v>
      </c>
      <c r="D54" s="38" t="s">
        <v>119</v>
      </c>
      <c r="E54" s="90" t="s">
        <v>133</v>
      </c>
      <c r="F54" s="40"/>
      <c r="G54" s="40"/>
      <c r="H54" s="7"/>
    </row>
    <row r="55" spans="1:8" x14ac:dyDescent="0.25">
      <c r="A55" s="6"/>
      <c r="B55" s="40"/>
      <c r="C55" s="40"/>
      <c r="D55" s="40"/>
      <c r="E55" s="40"/>
      <c r="F55" s="40"/>
      <c r="G55" s="40"/>
      <c r="H55" s="7"/>
    </row>
    <row r="56" spans="1:8" x14ac:dyDescent="0.25">
      <c r="A56" s="6"/>
      <c r="B56" s="40"/>
      <c r="C56" s="40"/>
      <c r="D56" s="40"/>
      <c r="E56" s="40"/>
      <c r="F56" s="40"/>
      <c r="G56" s="40"/>
      <c r="H56" s="7"/>
    </row>
    <row r="57" spans="1:8" x14ac:dyDescent="0.25">
      <c r="A57" s="6"/>
      <c r="B57" s="40"/>
      <c r="C57" s="40"/>
      <c r="D57" s="40"/>
      <c r="E57" s="40"/>
      <c r="F57" s="40"/>
      <c r="G57" s="40"/>
      <c r="H57" s="7"/>
    </row>
    <row r="58" spans="1:8" x14ac:dyDescent="0.25">
      <c r="A58" s="6"/>
      <c r="B58" s="40"/>
      <c r="C58" s="40"/>
      <c r="D58" s="40"/>
      <c r="E58" s="40"/>
      <c r="F58" s="40"/>
      <c r="G58" s="40"/>
      <c r="H58" s="7"/>
    </row>
    <row r="59" spans="1:8" x14ac:dyDescent="0.25">
      <c r="A59" s="6"/>
      <c r="B59" s="40"/>
      <c r="C59" s="40"/>
      <c r="D59" s="40"/>
      <c r="E59" s="40"/>
      <c r="F59" s="40"/>
      <c r="G59" s="40"/>
      <c r="H59" s="7"/>
    </row>
    <row r="60" spans="1:8" ht="15.75" thickBot="1" x14ac:dyDescent="0.3">
      <c r="A60" s="8"/>
      <c r="B60" s="9"/>
      <c r="C60" s="9"/>
      <c r="D60" s="9"/>
      <c r="E60" s="9"/>
      <c r="F60" s="9"/>
      <c r="G60" s="9"/>
      <c r="H60" s="10"/>
    </row>
  </sheetData>
  <mergeCells count="5">
    <mergeCell ref="D3:F5"/>
    <mergeCell ref="A11:B11"/>
    <mergeCell ref="A19:B19"/>
    <mergeCell ref="B26:D26"/>
    <mergeCell ref="C28:D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2065-DD3E-41A7-9E14-D3A32A608BF8}">
  <dimension ref="A1:Y50"/>
  <sheetViews>
    <sheetView workbookViewId="0">
      <selection activeCell="N3" sqref="N1:O1048576"/>
    </sheetView>
  </sheetViews>
  <sheetFormatPr baseColWidth="10" defaultRowHeight="15" x14ac:dyDescent="0.25"/>
  <cols>
    <col min="1" max="1" width="14" style="1" customWidth="1"/>
    <col min="2" max="2" width="11.28515625" style="1" customWidth="1"/>
    <col min="3" max="3" width="13.5703125" style="1" bestFit="1" customWidth="1"/>
    <col min="4" max="4" width="11.140625" style="1" bestFit="1" customWidth="1"/>
    <col min="5" max="6" width="12.7109375" style="1" bestFit="1" customWidth="1"/>
    <col min="7" max="8" width="7.42578125" style="1" customWidth="1"/>
    <col min="9" max="9" width="9.28515625" style="1" customWidth="1"/>
    <col min="10" max="10" width="18.42578125" style="1" customWidth="1"/>
    <col min="11" max="11" width="12" style="1" customWidth="1"/>
  </cols>
  <sheetData>
    <row r="1" spans="1:25" ht="18.75" customHeight="1" x14ac:dyDescent="0.25">
      <c r="A1" s="160" t="s">
        <v>11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N1" s="160" t="s">
        <v>12</v>
      </c>
      <c r="O1" s="160"/>
      <c r="P1" s="160"/>
      <c r="Q1" s="160"/>
      <c r="R1" s="160"/>
      <c r="S1" s="160"/>
      <c r="T1" s="160"/>
      <c r="U1" s="160"/>
    </row>
    <row r="2" spans="1:25" ht="18.75" customHeight="1" thickBot="1" x14ac:dyDescent="0.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N2" s="161"/>
      <c r="O2" s="161"/>
      <c r="P2" s="161"/>
      <c r="Q2" s="161"/>
      <c r="R2" s="161"/>
      <c r="S2" s="161"/>
      <c r="T2" s="161"/>
      <c r="U2" s="161"/>
    </row>
    <row r="3" spans="1:25" ht="120" thickBot="1" x14ac:dyDescent="0.3">
      <c r="A3" s="3" t="s">
        <v>0</v>
      </c>
      <c r="B3" s="3" t="s">
        <v>9</v>
      </c>
      <c r="C3" s="3" t="s">
        <v>1</v>
      </c>
      <c r="D3" s="3" t="s">
        <v>2</v>
      </c>
      <c r="E3" s="4" t="s">
        <v>3</v>
      </c>
      <c r="F3" s="4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10</v>
      </c>
      <c r="M3" s="5" t="str">
        <f>'Infos adm chantier'!C29</f>
        <v>Chauffage</v>
      </c>
      <c r="N3" s="5" t="str">
        <f>'Infos adm chantier'!C30</f>
        <v>Ventilation</v>
      </c>
      <c r="O3" s="5" t="str">
        <f>'Infos adm chantier'!C31</f>
        <v>Electricité</v>
      </c>
      <c r="P3" s="5" t="str">
        <f>'Infos adm chantier'!C32</f>
        <v>Menuiseries intérieures</v>
      </c>
      <c r="Q3" s="5" t="str">
        <f>'Infos adm chantier'!C33</f>
        <v>Peinture intérieure</v>
      </c>
      <c r="R3" s="5" t="str">
        <f>'Infos adm chantier'!C34</f>
        <v>Peinture extérieure</v>
      </c>
      <c r="S3" s="5">
        <f>'Infos adm chantier'!C35</f>
        <v>0</v>
      </c>
      <c r="T3" s="5" t="s">
        <v>176</v>
      </c>
      <c r="U3" s="5" t="s">
        <v>153</v>
      </c>
    </row>
    <row r="4" spans="1:25" x14ac:dyDescent="0.25">
      <c r="A4" s="1">
        <v>1</v>
      </c>
      <c r="B4" s="1" t="s">
        <v>103</v>
      </c>
      <c r="C4" s="1" t="s">
        <v>134</v>
      </c>
      <c r="M4" s="131">
        <v>43466</v>
      </c>
      <c r="N4" s="132">
        <v>43470</v>
      </c>
      <c r="O4" s="132">
        <v>43475</v>
      </c>
      <c r="P4" s="132"/>
      <c r="Q4" s="132"/>
      <c r="R4" s="132"/>
      <c r="S4" s="132"/>
      <c r="T4" s="309"/>
      <c r="U4" s="133"/>
      <c r="V4" s="134"/>
      <c r="W4" s="134"/>
      <c r="X4" s="134"/>
      <c r="Y4" s="134"/>
    </row>
    <row r="5" spans="1:25" x14ac:dyDescent="0.25">
      <c r="A5" s="1">
        <v>2</v>
      </c>
      <c r="B5" s="1" t="s">
        <v>103</v>
      </c>
      <c r="C5" s="1" t="s">
        <v>135</v>
      </c>
      <c r="M5" s="135">
        <v>43467</v>
      </c>
      <c r="N5" s="136">
        <v>43471</v>
      </c>
      <c r="O5" s="136">
        <v>43476</v>
      </c>
      <c r="P5" s="136"/>
      <c r="Q5" s="136"/>
      <c r="R5" s="136"/>
      <c r="S5" s="136"/>
      <c r="T5" s="310"/>
      <c r="U5" s="137"/>
      <c r="V5" s="134"/>
      <c r="W5" s="134"/>
      <c r="X5" s="134"/>
      <c r="Y5" s="134"/>
    </row>
    <row r="6" spans="1:25" x14ac:dyDescent="0.25">
      <c r="A6" s="1">
        <v>3</v>
      </c>
      <c r="B6" s="1" t="s">
        <v>103</v>
      </c>
      <c r="C6" s="1" t="s">
        <v>136</v>
      </c>
      <c r="M6" s="138">
        <v>43468</v>
      </c>
      <c r="N6" s="139">
        <v>43472</v>
      </c>
      <c r="O6" s="139">
        <v>43477</v>
      </c>
      <c r="P6" s="139"/>
      <c r="Q6" s="139"/>
      <c r="R6" s="139"/>
      <c r="S6" s="139"/>
      <c r="T6" s="311"/>
      <c r="U6" s="140"/>
      <c r="V6" s="134"/>
      <c r="W6" s="134"/>
      <c r="X6" s="134"/>
      <c r="Y6" s="134"/>
    </row>
    <row r="7" spans="1:25" x14ac:dyDescent="0.25">
      <c r="A7" s="1">
        <v>4</v>
      </c>
      <c r="B7" s="1" t="s">
        <v>103</v>
      </c>
      <c r="C7" s="1" t="s">
        <v>137</v>
      </c>
      <c r="M7" s="135">
        <v>43811</v>
      </c>
      <c r="N7" s="136">
        <v>43473</v>
      </c>
      <c r="O7" s="136">
        <v>43478</v>
      </c>
      <c r="P7" s="136"/>
      <c r="Q7" s="136"/>
      <c r="R7" s="136"/>
      <c r="S7" s="136"/>
      <c r="T7" s="310"/>
      <c r="U7" s="137"/>
      <c r="V7" s="134"/>
      <c r="W7" s="134"/>
      <c r="X7" s="134"/>
      <c r="Y7" s="134"/>
    </row>
    <row r="8" spans="1:25" x14ac:dyDescent="0.25">
      <c r="A8" s="1">
        <v>5</v>
      </c>
      <c r="B8" s="1" t="s">
        <v>104</v>
      </c>
      <c r="C8" s="1" t="s">
        <v>138</v>
      </c>
      <c r="M8" s="138">
        <v>43470</v>
      </c>
      <c r="N8" s="139">
        <v>43474</v>
      </c>
      <c r="O8" s="139">
        <v>43479</v>
      </c>
      <c r="P8" s="139"/>
      <c r="Q8" s="139"/>
      <c r="R8" s="139"/>
      <c r="S8" s="139"/>
      <c r="T8" s="311"/>
      <c r="U8" s="140"/>
      <c r="V8" s="134"/>
      <c r="W8" s="134"/>
      <c r="X8" s="134"/>
      <c r="Y8" s="134"/>
    </row>
    <row r="9" spans="1:25" x14ac:dyDescent="0.25">
      <c r="A9" s="1">
        <v>6</v>
      </c>
      <c r="B9" s="1" t="s">
        <v>104</v>
      </c>
      <c r="C9" s="1" t="s">
        <v>139</v>
      </c>
      <c r="M9" s="135">
        <v>43471</v>
      </c>
      <c r="N9" s="136">
        <v>43475</v>
      </c>
      <c r="O9" s="136">
        <v>43480</v>
      </c>
      <c r="P9" s="136"/>
      <c r="Q9" s="136"/>
      <c r="R9" s="136"/>
      <c r="S9" s="136"/>
      <c r="T9" s="310"/>
      <c r="U9" s="137"/>
      <c r="V9" s="134"/>
      <c r="W9" s="134"/>
      <c r="X9" s="134"/>
      <c r="Y9" s="134"/>
    </row>
    <row r="10" spans="1:25" x14ac:dyDescent="0.25">
      <c r="A10" s="1">
        <v>7</v>
      </c>
      <c r="B10" s="1" t="s">
        <v>104</v>
      </c>
      <c r="C10" s="1" t="s">
        <v>140</v>
      </c>
      <c r="M10" s="138">
        <v>43472</v>
      </c>
      <c r="N10" s="139">
        <v>43476</v>
      </c>
      <c r="O10" s="139">
        <v>43481</v>
      </c>
      <c r="P10" s="139"/>
      <c r="Q10" s="139"/>
      <c r="R10" s="139"/>
      <c r="S10" s="139"/>
      <c r="T10" s="311"/>
      <c r="U10" s="140"/>
      <c r="V10" s="134"/>
      <c r="W10" s="134"/>
      <c r="X10" s="134"/>
      <c r="Y10" s="134"/>
    </row>
    <row r="11" spans="1:25" ht="15.75" thickBot="1" x14ac:dyDescent="0.3">
      <c r="A11" s="1">
        <v>8</v>
      </c>
      <c r="B11" s="1" t="s">
        <v>104</v>
      </c>
      <c r="C11" s="1" t="s">
        <v>141</v>
      </c>
      <c r="D11" s="2"/>
      <c r="E11" s="2"/>
      <c r="M11" s="141">
        <v>43473</v>
      </c>
      <c r="N11" s="142">
        <v>43477</v>
      </c>
      <c r="O11" s="142">
        <v>43482</v>
      </c>
      <c r="P11" s="142"/>
      <c r="Q11" s="143"/>
      <c r="R11" s="143"/>
      <c r="S11" s="142"/>
      <c r="T11" s="312"/>
      <c r="U11" s="144"/>
      <c r="V11" s="134"/>
      <c r="W11" s="134"/>
      <c r="X11" s="134"/>
      <c r="Y11" s="134"/>
    </row>
    <row r="12" spans="1:25" x14ac:dyDescent="0.25">
      <c r="N12" s="134"/>
      <c r="O12" s="134"/>
      <c r="P12" s="134"/>
      <c r="Q12" s="134"/>
      <c r="R12" s="134"/>
      <c r="S12" s="134"/>
      <c r="T12" s="134"/>
      <c r="U12" s="134"/>
      <c r="V12" s="134"/>
      <c r="W12" s="134"/>
      <c r="X12" s="134"/>
      <c r="Y12" s="134"/>
    </row>
    <row r="13" spans="1:25" x14ac:dyDescent="0.25"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</row>
    <row r="14" spans="1:25" x14ac:dyDescent="0.25"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</row>
    <row r="15" spans="1:25" x14ac:dyDescent="0.25"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</row>
    <row r="16" spans="1:25" x14ac:dyDescent="0.25"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</row>
    <row r="17" spans="14:25" x14ac:dyDescent="0.25"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</row>
    <row r="18" spans="14:25" x14ac:dyDescent="0.25"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</row>
    <row r="19" spans="14:25" x14ac:dyDescent="0.25"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</row>
    <row r="20" spans="14:25" x14ac:dyDescent="0.25">
      <c r="N20" s="134"/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</row>
    <row r="21" spans="14:25" x14ac:dyDescent="0.25"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</row>
    <row r="22" spans="14:25" x14ac:dyDescent="0.25">
      <c r="N22" s="134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</row>
    <row r="23" spans="14:25" x14ac:dyDescent="0.25"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</row>
    <row r="24" spans="14:25" x14ac:dyDescent="0.25">
      <c r="N24" s="134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</row>
    <row r="25" spans="14:25" x14ac:dyDescent="0.25">
      <c r="N25" s="134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</row>
    <row r="26" spans="14:25" x14ac:dyDescent="0.25"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</row>
    <row r="27" spans="14:25" x14ac:dyDescent="0.25">
      <c r="N27" s="134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</row>
    <row r="28" spans="14:25" x14ac:dyDescent="0.25">
      <c r="N28" s="134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</row>
    <row r="29" spans="14:25" x14ac:dyDescent="0.25">
      <c r="N29" s="134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</row>
    <row r="30" spans="14:25" x14ac:dyDescent="0.25">
      <c r="N30" s="134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</row>
    <row r="31" spans="14:25" x14ac:dyDescent="0.25"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</row>
    <row r="32" spans="14:25" x14ac:dyDescent="0.25"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</row>
    <row r="33" spans="14:25" x14ac:dyDescent="0.25">
      <c r="N33" s="134"/>
      <c r="O33" s="134"/>
      <c r="P33" s="134"/>
      <c r="Q33" s="134"/>
      <c r="R33" s="134"/>
      <c r="S33" s="134"/>
      <c r="T33" s="134"/>
      <c r="U33" s="134"/>
      <c r="V33" s="134"/>
      <c r="W33" s="134"/>
      <c r="X33" s="134"/>
      <c r="Y33" s="134"/>
    </row>
    <row r="34" spans="14:25" x14ac:dyDescent="0.25">
      <c r="N34" s="134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</row>
    <row r="35" spans="14:25" x14ac:dyDescent="0.25">
      <c r="N35" s="134"/>
      <c r="O35" s="134"/>
      <c r="P35" s="134"/>
      <c r="Q35" s="134"/>
      <c r="R35" s="134"/>
      <c r="S35" s="134"/>
      <c r="T35" s="134"/>
      <c r="U35" s="134"/>
      <c r="V35" s="134"/>
      <c r="W35" s="134"/>
      <c r="X35" s="134"/>
      <c r="Y35" s="134"/>
    </row>
    <row r="36" spans="14:25" x14ac:dyDescent="0.25">
      <c r="N36" s="134"/>
      <c r="O36" s="134"/>
      <c r="P36" s="134"/>
      <c r="Q36" s="134"/>
      <c r="R36" s="134"/>
      <c r="S36" s="134"/>
      <c r="T36" s="134"/>
      <c r="U36" s="134"/>
      <c r="V36" s="134"/>
      <c r="W36" s="134"/>
      <c r="X36" s="134"/>
      <c r="Y36" s="134"/>
    </row>
    <row r="37" spans="14:25" x14ac:dyDescent="0.25"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</row>
    <row r="38" spans="14:25" x14ac:dyDescent="0.25">
      <c r="N38" s="134"/>
      <c r="O38" s="134"/>
      <c r="P38" s="134"/>
      <c r="Q38" s="134"/>
      <c r="R38" s="134"/>
      <c r="S38" s="134"/>
      <c r="T38" s="134"/>
      <c r="U38" s="134"/>
      <c r="V38" s="134"/>
      <c r="W38" s="134"/>
      <c r="X38" s="134"/>
      <c r="Y38" s="134"/>
    </row>
    <row r="39" spans="14:25" x14ac:dyDescent="0.25">
      <c r="N39" s="134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</row>
    <row r="40" spans="14:25" x14ac:dyDescent="0.25"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</row>
    <row r="41" spans="14:25" x14ac:dyDescent="0.25">
      <c r="N41" s="134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</row>
    <row r="42" spans="14:25" x14ac:dyDescent="0.25">
      <c r="N42" s="134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</row>
    <row r="43" spans="14:25" x14ac:dyDescent="0.25">
      <c r="N43" s="134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</row>
    <row r="44" spans="14:25" x14ac:dyDescent="0.25">
      <c r="N44" s="134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</row>
    <row r="45" spans="14:25" x14ac:dyDescent="0.25"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</row>
    <row r="46" spans="14:25" x14ac:dyDescent="0.25"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</row>
    <row r="47" spans="14:25" x14ac:dyDescent="0.25">
      <c r="N47" s="134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</row>
    <row r="48" spans="14:25" x14ac:dyDescent="0.25"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</row>
    <row r="49" spans="14:25" x14ac:dyDescent="0.25"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</row>
    <row r="50" spans="14:25" x14ac:dyDescent="0.25">
      <c r="N50" s="134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</row>
  </sheetData>
  <mergeCells count="2">
    <mergeCell ref="A1:K2"/>
    <mergeCell ref="N1:U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6BF0A-2A68-4857-BB4D-F594C29067BC}">
  <sheetPr>
    <tabColor theme="5" tint="0.59999389629810485"/>
  </sheetPr>
  <dimension ref="A1:P51"/>
  <sheetViews>
    <sheetView topLeftCell="A19" workbookViewId="0">
      <selection activeCell="R35" sqref="R35"/>
    </sheetView>
  </sheetViews>
  <sheetFormatPr baseColWidth="10" defaultRowHeight="15" x14ac:dyDescent="0.25"/>
  <cols>
    <col min="1" max="1" width="8.85546875" customWidth="1"/>
    <col min="2" max="2" width="7.140625" customWidth="1"/>
    <col min="3" max="3" width="7.7109375" customWidth="1"/>
    <col min="4" max="4" width="8.42578125" customWidth="1"/>
    <col min="5" max="5" width="6.28515625" customWidth="1"/>
    <col min="6" max="6" width="7.140625" customWidth="1"/>
    <col min="7" max="12" width="5.85546875" customWidth="1"/>
    <col min="13" max="13" width="6.7109375" customWidth="1"/>
    <col min="14" max="14" width="6.85546875" customWidth="1"/>
    <col min="15" max="16" width="5.85546875" customWidth="1"/>
  </cols>
  <sheetData>
    <row r="1" spans="1:16" x14ac:dyDescent="0.25">
      <c r="A1" s="168" t="s">
        <v>30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70"/>
    </row>
    <row r="2" spans="1:16" ht="15.75" thickBot="1" x14ac:dyDescent="0.3">
      <c r="A2" s="171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3"/>
    </row>
    <row r="3" spans="1:16" ht="16.5" thickTop="1" thickBot="1" x14ac:dyDescent="0.3">
      <c r="A3" s="50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51"/>
    </row>
    <row r="4" spans="1:16" ht="15.75" thickBot="1" x14ac:dyDescent="0.3">
      <c r="A4" s="64"/>
      <c r="B4" s="53" t="s">
        <v>31</v>
      </c>
      <c r="C4" s="180"/>
      <c r="D4" s="181"/>
      <c r="E4" s="182"/>
      <c r="F4" s="49"/>
      <c r="G4" s="54"/>
      <c r="H4" s="55" t="s">
        <v>32</v>
      </c>
      <c r="I4" s="180"/>
      <c r="J4" s="181"/>
      <c r="K4" s="181"/>
      <c r="L4" s="182"/>
      <c r="M4" s="56"/>
      <c r="N4" s="49"/>
      <c r="O4" s="49"/>
      <c r="P4" s="51"/>
    </row>
    <row r="5" spans="1:16" ht="15.75" thickBot="1" x14ac:dyDescent="0.3">
      <c r="A5" s="50"/>
      <c r="B5" s="66"/>
      <c r="C5" s="49"/>
      <c r="D5" s="49"/>
      <c r="E5" s="49"/>
      <c r="F5" s="49"/>
      <c r="G5" s="49"/>
      <c r="H5" s="49"/>
      <c r="I5" s="57"/>
      <c r="J5" s="57"/>
      <c r="K5" s="49"/>
      <c r="L5" s="49"/>
      <c r="M5" s="56"/>
      <c r="N5" s="49"/>
      <c r="O5" s="49"/>
      <c r="P5" s="51"/>
    </row>
    <row r="6" spans="1:16" ht="15.75" thickBot="1" x14ac:dyDescent="0.3">
      <c r="A6" s="50"/>
      <c r="B6" s="53" t="s">
        <v>33</v>
      </c>
      <c r="C6" s="191"/>
      <c r="D6" s="192"/>
      <c r="E6" s="192"/>
      <c r="F6" s="192"/>
      <c r="G6" s="193"/>
      <c r="H6" s="49"/>
      <c r="I6" s="54" t="s">
        <v>6</v>
      </c>
      <c r="J6" s="65"/>
      <c r="K6" s="183" t="s">
        <v>7</v>
      </c>
      <c r="L6" s="184"/>
      <c r="M6" s="52"/>
      <c r="N6" s="49"/>
      <c r="O6" s="49"/>
      <c r="P6" s="51"/>
    </row>
    <row r="7" spans="1:16" ht="15.75" thickBot="1" x14ac:dyDescent="0.3">
      <c r="A7" s="64"/>
      <c r="B7" s="56"/>
      <c r="C7" s="194"/>
      <c r="D7" s="195"/>
      <c r="E7" s="195"/>
      <c r="F7" s="195"/>
      <c r="G7" s="196"/>
      <c r="H7" s="49"/>
      <c r="I7" s="56"/>
      <c r="J7" s="49"/>
      <c r="K7" s="49"/>
      <c r="L7" s="49"/>
      <c r="M7" s="49"/>
      <c r="N7" s="49"/>
      <c r="O7" s="49"/>
      <c r="P7" s="51"/>
    </row>
    <row r="8" spans="1:16" x14ac:dyDescent="0.25">
      <c r="A8" s="50"/>
      <c r="B8" s="66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51"/>
    </row>
    <row r="9" spans="1:16" ht="15.75" thickBot="1" x14ac:dyDescent="0.3">
      <c r="A9" s="50"/>
      <c r="B9" s="56" t="s">
        <v>34</v>
      </c>
      <c r="C9" s="49"/>
      <c r="D9" s="49"/>
      <c r="E9" s="49"/>
      <c r="F9" s="49"/>
      <c r="G9" s="56" t="s">
        <v>35</v>
      </c>
      <c r="H9" s="49"/>
      <c r="I9" s="49"/>
      <c r="J9" s="49"/>
      <c r="K9" s="66"/>
      <c r="L9" s="66"/>
      <c r="M9" s="49"/>
      <c r="N9" s="49"/>
      <c r="O9" s="49"/>
      <c r="P9" s="51"/>
    </row>
    <row r="10" spans="1:16" ht="15.75" thickBot="1" x14ac:dyDescent="0.3">
      <c r="A10" s="50"/>
      <c r="B10" s="49"/>
      <c r="C10" s="58" t="s">
        <v>36</v>
      </c>
      <c r="D10" s="174"/>
      <c r="E10" s="175"/>
      <c r="F10" s="49"/>
      <c r="G10" s="58" t="s">
        <v>37</v>
      </c>
      <c r="H10" s="177"/>
      <c r="I10" s="178"/>
      <c r="J10" s="178"/>
      <c r="K10" s="178"/>
      <c r="L10" s="179"/>
      <c r="M10" s="49"/>
      <c r="N10" s="49"/>
      <c r="O10" s="49"/>
      <c r="P10" s="51"/>
    </row>
    <row r="11" spans="1:16" ht="15.75" thickBot="1" x14ac:dyDescent="0.3">
      <c r="A11" s="50"/>
      <c r="B11" s="49"/>
      <c r="C11" s="58" t="s">
        <v>38</v>
      </c>
      <c r="D11" s="174"/>
      <c r="E11" s="175"/>
      <c r="F11" s="49"/>
      <c r="G11" s="58" t="s">
        <v>39</v>
      </c>
      <c r="H11" s="177"/>
      <c r="I11" s="178"/>
      <c r="J11" s="178"/>
      <c r="K11" s="178"/>
      <c r="L11" s="179"/>
      <c r="M11" s="49"/>
      <c r="N11" s="49"/>
      <c r="O11" s="49"/>
      <c r="P11" s="51"/>
    </row>
    <row r="12" spans="1:16" ht="15.75" thickBot="1" x14ac:dyDescent="0.3">
      <c r="A12" s="50"/>
      <c r="B12" s="49"/>
      <c r="C12" s="58" t="s">
        <v>40</v>
      </c>
      <c r="D12" s="174"/>
      <c r="E12" s="175"/>
      <c r="F12" s="49"/>
      <c r="G12" s="58" t="s">
        <v>41</v>
      </c>
      <c r="H12" s="174"/>
      <c r="I12" s="176"/>
      <c r="J12" s="176"/>
      <c r="K12" s="176"/>
      <c r="L12" s="175"/>
      <c r="M12" s="49"/>
      <c r="N12" s="49"/>
      <c r="O12" s="49"/>
      <c r="P12" s="51"/>
    </row>
    <row r="13" spans="1:16" ht="15.75" thickBot="1" x14ac:dyDescent="0.3">
      <c r="A13" s="50"/>
      <c r="B13" s="49"/>
      <c r="C13" s="58" t="s">
        <v>42</v>
      </c>
      <c r="D13" s="174"/>
      <c r="E13" s="175"/>
      <c r="F13" s="49"/>
      <c r="G13" s="58" t="s">
        <v>43</v>
      </c>
      <c r="H13" s="174"/>
      <c r="I13" s="176"/>
      <c r="J13" s="176"/>
      <c r="K13" s="176"/>
      <c r="L13" s="175"/>
      <c r="M13" s="49"/>
      <c r="N13" s="49"/>
      <c r="O13" s="49"/>
      <c r="P13" s="51"/>
    </row>
    <row r="14" spans="1:16" ht="15.75" thickBot="1" x14ac:dyDescent="0.3">
      <c r="A14" s="50"/>
      <c r="B14" s="56"/>
      <c r="C14" s="58" t="s">
        <v>44</v>
      </c>
      <c r="D14" s="174"/>
      <c r="E14" s="175"/>
      <c r="F14" s="49"/>
      <c r="G14" s="66"/>
      <c r="H14" s="66" t="s">
        <v>45</v>
      </c>
      <c r="I14" s="66"/>
      <c r="J14" s="66"/>
      <c r="K14" s="59" t="s">
        <v>46</v>
      </c>
      <c r="L14" s="59" t="s">
        <v>47</v>
      </c>
      <c r="M14" s="48"/>
      <c r="N14" s="66"/>
      <c r="O14" s="48"/>
      <c r="P14" s="51"/>
    </row>
    <row r="15" spans="1:16" ht="15.75" thickBot="1" x14ac:dyDescent="0.3">
      <c r="A15" s="50"/>
      <c r="B15" s="56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1"/>
    </row>
    <row r="16" spans="1:16" ht="15.75" thickBot="1" x14ac:dyDescent="0.3">
      <c r="A16" s="50"/>
      <c r="B16" s="66"/>
      <c r="C16" s="66"/>
      <c r="D16" s="66"/>
      <c r="E16" s="66"/>
      <c r="F16" s="66"/>
      <c r="G16" s="66"/>
      <c r="H16" s="66" t="s">
        <v>48</v>
      </c>
      <c r="I16" s="66"/>
      <c r="J16" s="66"/>
      <c r="K16" s="48" t="s">
        <v>49</v>
      </c>
      <c r="L16" s="174"/>
      <c r="M16" s="175"/>
      <c r="N16" s="48" t="s">
        <v>50</v>
      </c>
      <c r="O16" s="174"/>
      <c r="P16" s="175"/>
    </row>
    <row r="17" spans="1:16" x14ac:dyDescent="0.25">
      <c r="A17" s="50"/>
      <c r="B17" s="66"/>
      <c r="C17" s="66"/>
      <c r="D17" s="66"/>
      <c r="E17" s="66"/>
      <c r="F17" s="66"/>
      <c r="G17" s="66"/>
      <c r="H17" s="66"/>
      <c r="I17" s="66"/>
      <c r="J17" s="66"/>
      <c r="K17" s="48"/>
      <c r="L17" s="48"/>
      <c r="M17" s="48"/>
      <c r="N17" s="48"/>
      <c r="O17" s="48"/>
      <c r="P17" s="51"/>
    </row>
    <row r="18" spans="1:16" ht="15.75" thickBot="1" x14ac:dyDescent="0.3">
      <c r="A18" s="50"/>
      <c r="B18" s="47" t="s">
        <v>51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51"/>
    </row>
    <row r="19" spans="1:16" ht="15.75" thickBot="1" x14ac:dyDescent="0.3">
      <c r="A19" s="50"/>
      <c r="B19" s="66"/>
      <c r="C19" s="66" t="s">
        <v>52</v>
      </c>
      <c r="D19" s="66"/>
      <c r="E19" s="66"/>
      <c r="F19" s="66"/>
      <c r="G19" s="66"/>
      <c r="H19" s="66"/>
      <c r="I19" s="66"/>
      <c r="J19" s="66"/>
      <c r="K19" s="66"/>
      <c r="L19" s="66"/>
      <c r="M19" s="63" t="s">
        <v>53</v>
      </c>
      <c r="N19" s="59" t="s">
        <v>47</v>
      </c>
      <c r="O19" s="66"/>
      <c r="P19" s="51"/>
    </row>
    <row r="20" spans="1:16" ht="15.75" thickBot="1" x14ac:dyDescent="0.3">
      <c r="A20" s="50"/>
      <c r="B20" s="66"/>
      <c r="C20" s="66" t="s">
        <v>54</v>
      </c>
      <c r="D20" s="66"/>
      <c r="E20" s="66"/>
      <c r="F20" s="66"/>
      <c r="G20" s="66"/>
      <c r="H20" s="66"/>
      <c r="I20" s="66"/>
      <c r="J20" s="66"/>
      <c r="K20" s="66"/>
      <c r="L20" s="66"/>
      <c r="M20" s="59" t="s">
        <v>53</v>
      </c>
      <c r="N20" s="61" t="s">
        <v>47</v>
      </c>
      <c r="O20" s="66"/>
      <c r="P20" s="51"/>
    </row>
    <row r="21" spans="1:16" ht="15.75" thickBot="1" x14ac:dyDescent="0.3">
      <c r="A21" s="50"/>
      <c r="B21" s="66"/>
      <c r="C21" s="66" t="s">
        <v>55</v>
      </c>
      <c r="D21" s="66"/>
      <c r="E21" s="66"/>
      <c r="F21" s="66"/>
      <c r="G21" s="66"/>
      <c r="H21" s="66"/>
      <c r="I21" s="66"/>
      <c r="J21" s="66"/>
      <c r="K21" s="66"/>
      <c r="L21" s="66"/>
      <c r="M21" s="62" t="s">
        <v>53</v>
      </c>
      <c r="N21" s="60" t="s">
        <v>47</v>
      </c>
      <c r="O21" s="66"/>
      <c r="P21" s="51"/>
    </row>
    <row r="22" spans="1:16" ht="15.75" thickBot="1" x14ac:dyDescent="0.3">
      <c r="A22" s="50"/>
      <c r="B22" s="66"/>
      <c r="C22" s="66" t="s">
        <v>56</v>
      </c>
      <c r="D22" s="66"/>
      <c r="E22" s="66"/>
      <c r="F22" s="174"/>
      <c r="G22" s="176"/>
      <c r="H22" s="176"/>
      <c r="I22" s="176"/>
      <c r="J22" s="176"/>
      <c r="K22" s="176"/>
      <c r="L22" s="176"/>
      <c r="M22" s="176"/>
      <c r="N22" s="175"/>
      <c r="O22" s="66"/>
      <c r="P22" s="51"/>
    </row>
    <row r="23" spans="1:16" ht="15.75" thickBot="1" x14ac:dyDescent="0.3">
      <c r="A23" s="50"/>
      <c r="B23" s="47" t="s">
        <v>57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51"/>
    </row>
    <row r="24" spans="1:16" x14ac:dyDescent="0.25">
      <c r="A24" s="50"/>
      <c r="B24" s="66"/>
      <c r="C24" s="66"/>
      <c r="D24" s="185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7"/>
      <c r="P24" s="51"/>
    </row>
    <row r="25" spans="1:16" ht="15.75" thickBot="1" x14ac:dyDescent="0.3">
      <c r="A25" s="50"/>
      <c r="B25" s="66"/>
      <c r="C25" s="66"/>
      <c r="D25" s="188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90"/>
      <c r="P25" s="51"/>
    </row>
    <row r="26" spans="1:16" ht="15.75" thickBot="1" x14ac:dyDescent="0.3">
      <c r="A26" s="46"/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45"/>
    </row>
    <row r="27" spans="1:16" ht="15.75" thickTop="1" x14ac:dyDescent="0.25">
      <c r="A27" s="162" t="s">
        <v>58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4"/>
    </row>
    <row r="28" spans="1:16" ht="15.75" thickBot="1" x14ac:dyDescent="0.3">
      <c r="A28" s="165"/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7"/>
    </row>
    <row r="29" spans="1:16" ht="15.75" thickTop="1" x14ac:dyDescent="0.25">
      <c r="A29" s="68"/>
      <c r="B29" s="69"/>
      <c r="C29" s="70" t="s">
        <v>59</v>
      </c>
      <c r="D29" s="69" t="s">
        <v>60</v>
      </c>
      <c r="E29" s="69"/>
      <c r="F29" s="70" t="s">
        <v>61</v>
      </c>
      <c r="G29" s="69" t="s">
        <v>62</v>
      </c>
      <c r="H29" s="69"/>
      <c r="I29" s="70" t="s">
        <v>63</v>
      </c>
      <c r="J29" s="69" t="s">
        <v>64</v>
      </c>
      <c r="K29" s="69"/>
      <c r="L29" s="70" t="s">
        <v>65</v>
      </c>
      <c r="M29" s="69" t="s">
        <v>66</v>
      </c>
      <c r="N29" s="69"/>
      <c r="O29" s="69"/>
      <c r="P29" s="71"/>
    </row>
    <row r="30" spans="1:16" x14ac:dyDescent="0.25">
      <c r="A30" s="4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45"/>
    </row>
    <row r="31" spans="1:16" ht="15.75" thickBot="1" x14ac:dyDescent="0.3">
      <c r="A31" s="72" t="s">
        <v>67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45"/>
    </row>
    <row r="32" spans="1:16" ht="15.75" thickBot="1" x14ac:dyDescent="0.3">
      <c r="A32" s="46"/>
      <c r="B32" s="66"/>
      <c r="C32" s="66"/>
      <c r="D32" s="66"/>
      <c r="E32" s="73" t="s">
        <v>68</v>
      </c>
      <c r="F32" s="74" t="s">
        <v>69</v>
      </c>
      <c r="G32" s="75" t="s">
        <v>70</v>
      </c>
      <c r="H32" s="74" t="s">
        <v>71</v>
      </c>
      <c r="I32" s="74" t="s">
        <v>72</v>
      </c>
      <c r="J32" s="74" t="s">
        <v>73</v>
      </c>
      <c r="K32" s="74" t="s">
        <v>74</v>
      </c>
      <c r="L32" s="76" t="s">
        <v>75</v>
      </c>
      <c r="M32" s="66"/>
      <c r="N32" s="66"/>
      <c r="O32" s="66"/>
      <c r="P32" s="45"/>
    </row>
    <row r="33" spans="1:16" x14ac:dyDescent="0.25">
      <c r="A33" s="46"/>
      <c r="B33" s="66"/>
      <c r="C33" s="66"/>
      <c r="D33" s="77" t="s">
        <v>76</v>
      </c>
      <c r="E33" s="86"/>
      <c r="F33" s="86"/>
      <c r="G33" s="87"/>
      <c r="H33" s="86"/>
      <c r="I33" s="88"/>
      <c r="J33" s="88"/>
      <c r="K33" s="88"/>
      <c r="L33" s="86"/>
      <c r="M33" s="66"/>
      <c r="N33" s="66"/>
      <c r="O33" s="66"/>
      <c r="P33" s="45"/>
    </row>
    <row r="34" spans="1:16" x14ac:dyDescent="0.25">
      <c r="A34" s="46"/>
      <c r="B34" s="66"/>
      <c r="C34" s="66"/>
      <c r="D34" s="77" t="s">
        <v>77</v>
      </c>
      <c r="E34" s="88"/>
      <c r="F34" s="88"/>
      <c r="G34" s="89"/>
      <c r="H34" s="88"/>
      <c r="I34" s="88"/>
      <c r="J34" s="88"/>
      <c r="K34" s="88"/>
      <c r="L34" s="88"/>
      <c r="M34" s="66"/>
      <c r="N34" s="66"/>
      <c r="O34" s="66"/>
      <c r="P34" s="45"/>
    </row>
    <row r="35" spans="1:16" x14ac:dyDescent="0.25">
      <c r="A35" s="46"/>
      <c r="B35" s="66"/>
      <c r="C35" s="66"/>
      <c r="D35" s="77" t="s">
        <v>78</v>
      </c>
      <c r="E35" s="66"/>
      <c r="F35" s="88"/>
      <c r="G35" s="66"/>
      <c r="H35" s="88"/>
      <c r="I35" s="88"/>
      <c r="J35" s="88"/>
      <c r="K35" s="88"/>
      <c r="L35" s="88"/>
      <c r="M35" s="66"/>
      <c r="N35" s="66"/>
      <c r="O35" s="66"/>
      <c r="P35" s="45"/>
    </row>
    <row r="36" spans="1:16" x14ac:dyDescent="0.25">
      <c r="A36" s="46"/>
      <c r="B36" s="66"/>
      <c r="C36" s="66"/>
      <c r="D36" s="77" t="s">
        <v>79</v>
      </c>
      <c r="E36" s="88"/>
      <c r="F36" s="88"/>
      <c r="G36" s="66"/>
      <c r="H36" s="88"/>
      <c r="I36" s="88"/>
      <c r="J36" s="88"/>
      <c r="K36" s="88"/>
      <c r="L36" s="88"/>
      <c r="M36" s="66"/>
      <c r="N36" s="66"/>
      <c r="O36" s="66"/>
      <c r="P36" s="45"/>
    </row>
    <row r="37" spans="1:16" x14ac:dyDescent="0.25">
      <c r="A37" s="46"/>
      <c r="B37" s="66"/>
      <c r="C37" s="66"/>
      <c r="D37" s="78" t="s">
        <v>80</v>
      </c>
      <c r="E37" s="66"/>
      <c r="F37" s="88"/>
      <c r="G37" s="66"/>
      <c r="H37" s="88"/>
      <c r="I37" s="88"/>
      <c r="J37" s="66"/>
      <c r="K37" s="66"/>
      <c r="L37" s="66"/>
      <c r="M37" s="66"/>
      <c r="N37" s="66"/>
      <c r="O37" s="66"/>
      <c r="P37" s="45"/>
    </row>
    <row r="38" spans="1:16" x14ac:dyDescent="0.25">
      <c r="A38" s="46"/>
      <c r="B38" s="66"/>
      <c r="C38" s="66"/>
      <c r="D38" s="78" t="s">
        <v>81</v>
      </c>
      <c r="E38" s="88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45"/>
    </row>
    <row r="39" spans="1:16" x14ac:dyDescent="0.25">
      <c r="A39" s="46"/>
      <c r="B39" s="66"/>
      <c r="C39" s="66"/>
      <c r="D39" s="77" t="s">
        <v>82</v>
      </c>
      <c r="E39" s="88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45"/>
    </row>
    <row r="40" spans="1:16" ht="15.75" thickBot="1" x14ac:dyDescent="0.3">
      <c r="A40" s="46"/>
      <c r="B40" s="66"/>
      <c r="C40" s="66"/>
      <c r="D40" s="77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45"/>
    </row>
    <row r="41" spans="1:16" ht="15.75" thickBot="1" x14ac:dyDescent="0.3">
      <c r="A41" s="46"/>
      <c r="B41" s="66"/>
      <c r="C41" s="66"/>
      <c r="D41" s="77" t="s">
        <v>83</v>
      </c>
      <c r="E41" s="84" t="s">
        <v>53</v>
      </c>
      <c r="F41" s="85" t="s">
        <v>47</v>
      </c>
      <c r="G41" s="66"/>
      <c r="H41" s="66"/>
      <c r="I41" s="66"/>
      <c r="J41" s="66"/>
      <c r="K41" s="66"/>
      <c r="L41" s="66"/>
      <c r="M41" s="66"/>
      <c r="N41" s="66"/>
      <c r="O41" s="66"/>
      <c r="P41" s="45"/>
    </row>
    <row r="42" spans="1:16" x14ac:dyDescent="0.25">
      <c r="A42" s="46"/>
      <c r="B42" s="66"/>
      <c r="C42" s="66"/>
      <c r="D42" s="77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45"/>
    </row>
    <row r="43" spans="1:16" x14ac:dyDescent="0.25">
      <c r="A43" s="46"/>
      <c r="B43" s="66"/>
      <c r="C43" s="79" t="s">
        <v>84</v>
      </c>
      <c r="D43" s="197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9"/>
      <c r="P43" s="45"/>
    </row>
    <row r="44" spans="1:16" x14ac:dyDescent="0.25">
      <c r="A44" s="46"/>
      <c r="B44" s="66"/>
      <c r="C44" s="66"/>
      <c r="D44" s="200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2"/>
      <c r="P44" s="45"/>
    </row>
    <row r="45" spans="1:16" x14ac:dyDescent="0.25">
      <c r="A45" s="72"/>
      <c r="B45" s="66"/>
      <c r="C45" s="66"/>
      <c r="D45" s="203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5"/>
      <c r="P45" s="45"/>
    </row>
    <row r="46" spans="1:16" x14ac:dyDescent="0.25">
      <c r="A46" s="72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45"/>
    </row>
    <row r="47" spans="1:16" x14ac:dyDescent="0.25">
      <c r="A47" s="46"/>
      <c r="B47" s="80" t="s">
        <v>85</v>
      </c>
      <c r="C47" s="66"/>
      <c r="D47" s="80"/>
      <c r="E47" s="66"/>
      <c r="F47" s="67" t="s">
        <v>86</v>
      </c>
      <c r="G47" s="67"/>
      <c r="H47" s="66"/>
      <c r="I47" s="66"/>
      <c r="J47" s="66"/>
      <c r="K47" s="66"/>
      <c r="L47" s="67" t="s">
        <v>87</v>
      </c>
      <c r="M47" s="67"/>
      <c r="N47" s="66"/>
      <c r="O47" s="66"/>
      <c r="P47" s="45"/>
    </row>
    <row r="48" spans="1:16" x14ac:dyDescent="0.25">
      <c r="A48" s="46"/>
      <c r="B48" s="66"/>
      <c r="C48" s="66"/>
      <c r="D48" s="66"/>
      <c r="E48" s="66"/>
      <c r="F48" s="197"/>
      <c r="G48" s="198"/>
      <c r="H48" s="198"/>
      <c r="I48" s="199"/>
      <c r="J48" s="66"/>
      <c r="K48" s="66"/>
      <c r="L48" s="197"/>
      <c r="M48" s="198"/>
      <c r="N48" s="198"/>
      <c r="O48" s="199"/>
      <c r="P48" s="45"/>
    </row>
    <row r="49" spans="1:16" x14ac:dyDescent="0.25">
      <c r="A49" s="46"/>
      <c r="B49" s="66"/>
      <c r="C49" s="66"/>
      <c r="D49" s="66"/>
      <c r="E49" s="66"/>
      <c r="F49" s="200"/>
      <c r="G49" s="201"/>
      <c r="H49" s="201"/>
      <c r="I49" s="202"/>
      <c r="J49" s="66"/>
      <c r="K49" s="66"/>
      <c r="L49" s="200"/>
      <c r="M49" s="201"/>
      <c r="N49" s="201"/>
      <c r="O49" s="202"/>
      <c r="P49" s="45"/>
    </row>
    <row r="50" spans="1:16" x14ac:dyDescent="0.25">
      <c r="A50" s="46"/>
      <c r="B50" s="66"/>
      <c r="C50" s="66"/>
      <c r="D50" s="66"/>
      <c r="E50" s="66"/>
      <c r="F50" s="203"/>
      <c r="G50" s="204"/>
      <c r="H50" s="204"/>
      <c r="I50" s="205"/>
      <c r="J50" s="66"/>
      <c r="K50" s="66"/>
      <c r="L50" s="203"/>
      <c r="M50" s="204"/>
      <c r="N50" s="204"/>
      <c r="O50" s="205"/>
      <c r="P50" s="45"/>
    </row>
    <row r="51" spans="1:16" ht="15.75" thickBot="1" x14ac:dyDescent="0.3">
      <c r="A51" s="81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3"/>
    </row>
  </sheetData>
  <mergeCells count="22">
    <mergeCell ref="H12:L12"/>
    <mergeCell ref="I4:L4"/>
    <mergeCell ref="C6:G7"/>
    <mergeCell ref="D43:O45"/>
    <mergeCell ref="L48:O50"/>
    <mergeCell ref="F48:I50"/>
    <mergeCell ref="A27:P28"/>
    <mergeCell ref="A1:P2"/>
    <mergeCell ref="D13:E13"/>
    <mergeCell ref="H13:L13"/>
    <mergeCell ref="D11:E11"/>
    <mergeCell ref="H11:L11"/>
    <mergeCell ref="D12:E12"/>
    <mergeCell ref="H10:L10"/>
    <mergeCell ref="C4:E4"/>
    <mergeCell ref="K6:L6"/>
    <mergeCell ref="D14:E14"/>
    <mergeCell ref="L16:M16"/>
    <mergeCell ref="O16:P16"/>
    <mergeCell ref="D10:E10"/>
    <mergeCell ref="D24:O25"/>
    <mergeCell ref="F22:N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2A88-A801-4FD6-9B0D-4F184B5D77C0}">
  <sheetPr>
    <tabColor theme="5" tint="0.59999389629810485"/>
  </sheetPr>
  <dimension ref="A1:N48"/>
  <sheetViews>
    <sheetView topLeftCell="A10" zoomScaleNormal="100" workbookViewId="0">
      <selection activeCell="P7" sqref="P7"/>
    </sheetView>
  </sheetViews>
  <sheetFormatPr baseColWidth="10" defaultColWidth="10.5703125" defaultRowHeight="15" x14ac:dyDescent="0.25"/>
  <cols>
    <col min="1" max="1" width="1.7109375" customWidth="1"/>
    <col min="2" max="2" width="5.7109375" customWidth="1"/>
    <col min="3" max="3" width="39.85546875" customWidth="1"/>
    <col min="4" max="4" width="11.28515625" customWidth="1"/>
    <col min="5" max="5" width="9" customWidth="1"/>
    <col min="6" max="6" width="14.28515625" customWidth="1"/>
    <col min="7" max="7" width="12.5703125" customWidth="1"/>
    <col min="8" max="8" width="1.7109375" customWidth="1"/>
    <col min="10" max="10" width="0" hidden="1" customWidth="1"/>
    <col min="11" max="11" width="22.5703125" hidden="1" customWidth="1"/>
    <col min="12" max="12" width="18.85546875" hidden="1" customWidth="1"/>
    <col min="13" max="13" width="12.5703125" hidden="1" customWidth="1"/>
    <col min="14" max="14" width="0" hidden="1" customWidth="1"/>
  </cols>
  <sheetData>
    <row r="1" spans="1:11" ht="90" customHeight="1" x14ac:dyDescent="0.35">
      <c r="A1" s="91"/>
      <c r="B1" s="208" t="str">
        <f>"FICHE TRAVAUX LOCATAIRES"&amp;"
"&amp;'Infos adm chantier'!C11&amp;" - "&amp;'Infos adm chantier'!D19&amp;"
"&amp;'Infos adm chantier'!D20&amp;" - "&amp;'Infos adm chantier'!D21</f>
        <v xml:space="preserve">FICHE TRAVAUX LOCATAIRES
a - 
 - </v>
      </c>
      <c r="C1" s="208"/>
      <c r="D1" s="208"/>
      <c r="E1" s="208"/>
      <c r="F1" s="208"/>
      <c r="G1" s="208"/>
      <c r="H1" s="209"/>
    </row>
    <row r="2" spans="1:11" ht="33" customHeight="1" x14ac:dyDescent="0.25">
      <c r="A2" s="92"/>
      <c r="B2" s="93" t="s">
        <v>96</v>
      </c>
      <c r="C2" s="93"/>
      <c r="D2" s="93"/>
      <c r="E2" s="93"/>
      <c r="F2" s="210" t="s">
        <v>97</v>
      </c>
      <c r="G2" s="210"/>
      <c r="H2" s="211"/>
    </row>
    <row r="3" spans="1:11" ht="15.75" thickBot="1" x14ac:dyDescent="0.3">
      <c r="A3" s="92"/>
      <c r="B3" s="94"/>
      <c r="C3" s="94"/>
      <c r="D3" s="94"/>
      <c r="E3" s="94"/>
      <c r="F3" s="94"/>
      <c r="G3" s="94"/>
      <c r="H3" s="95"/>
    </row>
    <row r="4" spans="1:11" ht="15.75" thickBot="1" x14ac:dyDescent="0.3">
      <c r="A4" s="92"/>
      <c r="B4" s="207" t="s">
        <v>93</v>
      </c>
      <c r="C4" s="207"/>
      <c r="D4" s="207" t="s">
        <v>94</v>
      </c>
      <c r="E4" s="207"/>
      <c r="F4" s="207"/>
      <c r="G4" s="207"/>
      <c r="H4" s="95"/>
    </row>
    <row r="5" spans="1:11" ht="15.75" thickBot="1" x14ac:dyDescent="0.3">
      <c r="A5" s="92"/>
      <c r="B5" s="207"/>
      <c r="C5" s="207"/>
      <c r="D5" s="207"/>
      <c r="E5" s="207"/>
      <c r="F5" s="207"/>
      <c r="G5" s="207"/>
      <c r="H5" s="95"/>
    </row>
    <row r="6" spans="1:11" ht="15.75" thickBot="1" x14ac:dyDescent="0.3">
      <c r="A6" s="92"/>
      <c r="B6" s="207"/>
      <c r="C6" s="207"/>
      <c r="D6" s="207"/>
      <c r="E6" s="207"/>
      <c r="F6" s="207"/>
      <c r="G6" s="207"/>
      <c r="H6" s="95"/>
    </row>
    <row r="7" spans="1:11" ht="15.75" thickBot="1" x14ac:dyDescent="0.3">
      <c r="A7" s="92"/>
      <c r="B7" s="207"/>
      <c r="C7" s="207"/>
      <c r="D7" s="207"/>
      <c r="E7" s="207"/>
      <c r="F7" s="207"/>
      <c r="G7" s="207"/>
      <c r="H7" s="95"/>
    </row>
    <row r="8" spans="1:11" ht="15.75" thickBot="1" x14ac:dyDescent="0.3">
      <c r="A8" s="92"/>
      <c r="B8" s="207" t="s">
        <v>92</v>
      </c>
      <c r="C8" s="207"/>
      <c r="D8" s="207" t="s">
        <v>95</v>
      </c>
      <c r="E8" s="207"/>
      <c r="F8" s="207"/>
      <c r="G8" s="207"/>
      <c r="H8" s="95"/>
    </row>
    <row r="9" spans="1:11" ht="15.75" thickBot="1" x14ac:dyDescent="0.3">
      <c r="A9" s="92"/>
      <c r="B9" s="207"/>
      <c r="C9" s="207"/>
      <c r="D9" s="207"/>
      <c r="E9" s="207"/>
      <c r="F9" s="207"/>
      <c r="G9" s="207"/>
      <c r="H9" s="95"/>
    </row>
    <row r="10" spans="1:11" ht="15.75" thickBot="1" x14ac:dyDescent="0.3">
      <c r="A10" s="92"/>
      <c r="B10" s="207"/>
      <c r="C10" s="207"/>
      <c r="D10" s="207"/>
      <c r="E10" s="207"/>
      <c r="F10" s="207"/>
      <c r="G10" s="207"/>
      <c r="H10" s="95"/>
    </row>
    <row r="11" spans="1:11" ht="15.75" thickBot="1" x14ac:dyDescent="0.3">
      <c r="A11" s="92"/>
      <c r="B11" s="207"/>
      <c r="C11" s="207"/>
      <c r="D11" s="207"/>
      <c r="E11" s="207"/>
      <c r="F11" s="207"/>
      <c r="G11" s="207"/>
      <c r="H11" s="95"/>
    </row>
    <row r="12" spans="1:11" ht="15.75" thickBot="1" x14ac:dyDescent="0.3">
      <c r="A12" s="92"/>
      <c r="B12" s="94"/>
      <c r="C12" s="94"/>
      <c r="D12" s="94"/>
      <c r="E12" s="94"/>
      <c r="F12" s="94"/>
      <c r="G12" s="94"/>
      <c r="H12" s="95"/>
    </row>
    <row r="13" spans="1:11" ht="15.75" thickBot="1" x14ac:dyDescent="0.3">
      <c r="A13" s="92"/>
      <c r="B13" s="99" t="str">
        <f>"RESPONSABLE LOCATAIRE : "&amp;'Infos adm chantier'!F20&amp;" - "&amp;"Téléphone : "&amp;'Infos adm chantier'!F21</f>
        <v>RESPONSABLE LOCATAIRE : XX - Téléphone : 06 00 00 00 00</v>
      </c>
      <c r="C13" s="100"/>
      <c r="D13" s="100"/>
      <c r="E13" s="100"/>
      <c r="F13" s="100"/>
      <c r="G13" s="101"/>
      <c r="H13" s="95"/>
    </row>
    <row r="14" spans="1:11" s="118" customFormat="1" ht="27.75" customHeight="1" x14ac:dyDescent="0.25">
      <c r="A14" s="115"/>
      <c r="B14" s="116" t="s">
        <v>98</v>
      </c>
      <c r="C14" s="206" t="s">
        <v>88</v>
      </c>
      <c r="D14" s="206"/>
      <c r="E14" s="116" t="s">
        <v>89</v>
      </c>
      <c r="F14" s="116" t="s">
        <v>90</v>
      </c>
      <c r="G14" s="116" t="s">
        <v>99</v>
      </c>
      <c r="H14" s="117"/>
    </row>
    <row r="15" spans="1:11" x14ac:dyDescent="0.25">
      <c r="A15" s="92"/>
      <c r="B15" s="113">
        <v>1</v>
      </c>
      <c r="C15" s="109" t="s">
        <v>103</v>
      </c>
      <c r="D15" s="110"/>
      <c r="E15" s="103"/>
      <c r="F15" s="107" t="str">
        <f>VLOOKUP(I15,$M$18:$N$29,2)</f>
        <v>Ent A</v>
      </c>
      <c r="G15" s="107" t="s">
        <v>69</v>
      </c>
      <c r="H15" s="95"/>
      <c r="I15" s="119">
        <v>1</v>
      </c>
      <c r="K15" t="s">
        <v>100</v>
      </c>
    </row>
    <row r="16" spans="1:11" ht="15.75" thickBot="1" x14ac:dyDescent="0.3">
      <c r="A16" s="92"/>
      <c r="B16" s="113">
        <f>B15+1</f>
        <v>2</v>
      </c>
      <c r="C16" s="109" t="s">
        <v>104</v>
      </c>
      <c r="D16" s="110"/>
      <c r="E16" s="103"/>
      <c r="F16" s="107" t="str">
        <f t="shared" ref="F16:F33" si="0">VLOOKUP(I16,$M$18:$N$29,2)</f>
        <v>Ent A</v>
      </c>
      <c r="G16" s="107" t="s">
        <v>91</v>
      </c>
      <c r="H16" s="95"/>
      <c r="I16" s="119">
        <v>1</v>
      </c>
    </row>
    <row r="17" spans="1:14" ht="15.75" thickBot="1" x14ac:dyDescent="0.3">
      <c r="A17" s="92"/>
      <c r="B17" s="113">
        <f t="shared" ref="B17:B33" si="1">B16+1</f>
        <v>3</v>
      </c>
      <c r="C17" s="109" t="s">
        <v>105</v>
      </c>
      <c r="D17" s="110"/>
      <c r="E17" s="103"/>
      <c r="F17" s="107" t="str">
        <f t="shared" si="0"/>
        <v>Ent A</v>
      </c>
      <c r="G17" s="107" t="s">
        <v>75</v>
      </c>
      <c r="H17" s="95"/>
      <c r="I17" s="119">
        <v>1</v>
      </c>
      <c r="K17" s="91" t="s">
        <v>101</v>
      </c>
      <c r="L17" s="121" t="s">
        <v>21</v>
      </c>
      <c r="M17" s="120" t="s">
        <v>102</v>
      </c>
    </row>
    <row r="18" spans="1:14" x14ac:dyDescent="0.25">
      <c r="A18" s="92"/>
      <c r="B18" s="113">
        <f t="shared" si="1"/>
        <v>4</v>
      </c>
      <c r="C18" s="109" t="s">
        <v>106</v>
      </c>
      <c r="D18" s="110"/>
      <c r="E18" s="103"/>
      <c r="F18" s="107" t="str">
        <f t="shared" si="0"/>
        <v>Ent A</v>
      </c>
      <c r="G18" s="107" t="s">
        <v>122</v>
      </c>
      <c r="H18" s="95"/>
      <c r="I18" s="119">
        <v>1</v>
      </c>
      <c r="K18" s="106" t="str">
        <f>'Infos adm chantier'!C29</f>
        <v>Chauffage</v>
      </c>
      <c r="L18" s="106" t="str">
        <f>'Infos adm chantier'!E29</f>
        <v>Ent A</v>
      </c>
      <c r="M18" s="106">
        <f>'Infos adm chantier'!B29</f>
        <v>1</v>
      </c>
      <c r="N18" t="str">
        <f>L18</f>
        <v>Ent A</v>
      </c>
    </row>
    <row r="19" spans="1:14" x14ac:dyDescent="0.25">
      <c r="A19" s="92"/>
      <c r="B19" s="113">
        <f t="shared" si="1"/>
        <v>5</v>
      </c>
      <c r="C19" s="109" t="s">
        <v>107</v>
      </c>
      <c r="D19" s="110"/>
      <c r="E19" s="102"/>
      <c r="F19" s="107" t="str">
        <f t="shared" si="0"/>
        <v>Ent B</v>
      </c>
      <c r="G19" s="107" t="s">
        <v>122</v>
      </c>
      <c r="H19" s="95"/>
      <c r="I19" s="119">
        <v>2</v>
      </c>
      <c r="K19" s="107" t="str">
        <f>'Infos adm chantier'!C30</f>
        <v>Ventilation</v>
      </c>
      <c r="L19" s="107" t="str">
        <f>'Infos adm chantier'!E30</f>
        <v>Ent B</v>
      </c>
      <c r="M19" s="107">
        <f>'Infos adm chantier'!B30</f>
        <v>2</v>
      </c>
      <c r="N19" t="str">
        <f t="shared" ref="N19:N29" si="2">L19</f>
        <v>Ent B</v>
      </c>
    </row>
    <row r="20" spans="1:14" x14ac:dyDescent="0.25">
      <c r="A20" s="92"/>
      <c r="B20" s="113">
        <f t="shared" si="1"/>
        <v>6</v>
      </c>
      <c r="C20" s="109" t="s">
        <v>108</v>
      </c>
      <c r="D20" s="110"/>
      <c r="E20" s="104"/>
      <c r="F20" s="107" t="str">
        <f t="shared" si="0"/>
        <v>Ent B</v>
      </c>
      <c r="G20" s="107" t="s">
        <v>122</v>
      </c>
      <c r="H20" s="95"/>
      <c r="I20" s="119">
        <v>2</v>
      </c>
      <c r="K20" s="107" t="str">
        <f>'Infos adm chantier'!C31</f>
        <v>Electricité</v>
      </c>
      <c r="L20" s="107" t="str">
        <f>'Infos adm chantier'!E31</f>
        <v>Ent C</v>
      </c>
      <c r="M20" s="107">
        <f>'Infos adm chantier'!B31</f>
        <v>3</v>
      </c>
      <c r="N20" t="str">
        <f t="shared" si="2"/>
        <v>Ent C</v>
      </c>
    </row>
    <row r="21" spans="1:14" x14ac:dyDescent="0.25">
      <c r="A21" s="92"/>
      <c r="B21" s="113">
        <f t="shared" si="1"/>
        <v>7</v>
      </c>
      <c r="C21" s="109" t="s">
        <v>109</v>
      </c>
      <c r="D21" s="110"/>
      <c r="E21" s="104"/>
      <c r="F21" s="107" t="str">
        <f t="shared" si="0"/>
        <v>Ent B</v>
      </c>
      <c r="G21" s="107" t="s">
        <v>122</v>
      </c>
      <c r="H21" s="95"/>
      <c r="I21" s="119">
        <v>2</v>
      </c>
      <c r="K21" s="107" t="str">
        <f>'Infos adm chantier'!C32</f>
        <v>Menuiseries intérieures</v>
      </c>
      <c r="L21" s="107" t="str">
        <f>'Infos adm chantier'!E32</f>
        <v>Ent D</v>
      </c>
      <c r="M21" s="107">
        <f>'Infos adm chantier'!B32</f>
        <v>4</v>
      </c>
      <c r="N21" t="str">
        <f t="shared" si="2"/>
        <v>Ent D</v>
      </c>
    </row>
    <row r="22" spans="1:14" x14ac:dyDescent="0.25">
      <c r="A22" s="92"/>
      <c r="B22" s="113">
        <f t="shared" si="1"/>
        <v>8</v>
      </c>
      <c r="C22" s="109" t="s">
        <v>110</v>
      </c>
      <c r="D22" s="110"/>
      <c r="E22" s="103"/>
      <c r="F22" s="107" t="str">
        <f t="shared" si="0"/>
        <v>Ent C</v>
      </c>
      <c r="G22" s="107" t="s">
        <v>122</v>
      </c>
      <c r="H22" s="95"/>
      <c r="I22" s="119">
        <v>3</v>
      </c>
      <c r="K22" s="107" t="str">
        <f>'Infos adm chantier'!C33</f>
        <v>Peinture intérieure</v>
      </c>
      <c r="L22" s="107" t="str">
        <f>'Infos adm chantier'!E33</f>
        <v>Ent E</v>
      </c>
      <c r="M22" s="107">
        <f>'Infos adm chantier'!B33</f>
        <v>5</v>
      </c>
      <c r="N22" t="str">
        <f t="shared" si="2"/>
        <v>Ent E</v>
      </c>
    </row>
    <row r="23" spans="1:14" x14ac:dyDescent="0.25">
      <c r="A23" s="92"/>
      <c r="B23" s="113">
        <f t="shared" si="1"/>
        <v>9</v>
      </c>
      <c r="C23" s="109" t="s">
        <v>111</v>
      </c>
      <c r="D23" s="110"/>
      <c r="E23" s="103"/>
      <c r="F23" s="107" t="str">
        <f t="shared" si="0"/>
        <v>Ent C</v>
      </c>
      <c r="G23" s="107" t="s">
        <v>122</v>
      </c>
      <c r="H23" s="95"/>
      <c r="I23" s="119">
        <v>3</v>
      </c>
      <c r="K23" s="107" t="str">
        <f>'Infos adm chantier'!C34</f>
        <v>Peinture extérieure</v>
      </c>
      <c r="L23" s="107" t="str">
        <f>'Infos adm chantier'!E34</f>
        <v>Ent F</v>
      </c>
      <c r="M23" s="107">
        <f>'Infos adm chantier'!B34</f>
        <v>6</v>
      </c>
      <c r="N23" t="str">
        <f t="shared" si="2"/>
        <v>Ent F</v>
      </c>
    </row>
    <row r="24" spans="1:14" x14ac:dyDescent="0.25">
      <c r="A24" s="92"/>
      <c r="B24" s="113">
        <f t="shared" si="1"/>
        <v>10</v>
      </c>
      <c r="C24" s="109" t="s">
        <v>112</v>
      </c>
      <c r="D24" s="110"/>
      <c r="E24" s="103"/>
      <c r="F24" s="107" t="str">
        <f t="shared" si="0"/>
        <v>Ent D</v>
      </c>
      <c r="G24" s="107" t="s">
        <v>122</v>
      </c>
      <c r="H24" s="95"/>
      <c r="I24" s="119">
        <v>4</v>
      </c>
      <c r="K24" s="107">
        <f>'Infos adm chantier'!D35</f>
        <v>0</v>
      </c>
      <c r="L24" s="107">
        <f>'Infos adm chantier'!E35</f>
        <v>0</v>
      </c>
      <c r="M24" s="107">
        <f>'Infos adm chantier'!B35</f>
        <v>0</v>
      </c>
      <c r="N24">
        <f t="shared" si="2"/>
        <v>0</v>
      </c>
    </row>
    <row r="25" spans="1:14" x14ac:dyDescent="0.25">
      <c r="A25" s="92"/>
      <c r="B25" s="113">
        <f t="shared" si="1"/>
        <v>11</v>
      </c>
      <c r="C25" s="109" t="s">
        <v>113</v>
      </c>
      <c r="D25" s="110"/>
      <c r="E25" s="104"/>
      <c r="F25" s="107" t="str">
        <f t="shared" si="0"/>
        <v>Ent D</v>
      </c>
      <c r="G25" s="107" t="s">
        <v>122</v>
      </c>
      <c r="H25" s="95"/>
      <c r="I25" s="119">
        <v>4</v>
      </c>
      <c r="K25" s="107">
        <f>'Infos adm chantier'!D36</f>
        <v>0</v>
      </c>
      <c r="L25" s="107">
        <f>'Infos adm chantier'!E36</f>
        <v>0</v>
      </c>
      <c r="M25" s="107">
        <f>'Infos adm chantier'!B36</f>
        <v>0</v>
      </c>
      <c r="N25">
        <f t="shared" si="2"/>
        <v>0</v>
      </c>
    </row>
    <row r="26" spans="1:14" x14ac:dyDescent="0.25">
      <c r="A26" s="92"/>
      <c r="B26" s="113">
        <f t="shared" si="1"/>
        <v>12</v>
      </c>
      <c r="C26" s="109" t="s">
        <v>114</v>
      </c>
      <c r="D26" s="110"/>
      <c r="E26" s="104"/>
      <c r="F26" s="107" t="str">
        <f t="shared" si="0"/>
        <v>Ent D</v>
      </c>
      <c r="G26" s="107" t="s">
        <v>122</v>
      </c>
      <c r="H26" s="95"/>
      <c r="I26" s="119">
        <v>4</v>
      </c>
      <c r="K26" s="107">
        <f>'Infos adm chantier'!D37</f>
        <v>0</v>
      </c>
      <c r="L26" s="107">
        <f>'Infos adm chantier'!E37</f>
        <v>0</v>
      </c>
      <c r="M26" s="107">
        <f>'Infos adm chantier'!B37</f>
        <v>0</v>
      </c>
      <c r="N26">
        <f t="shared" si="2"/>
        <v>0</v>
      </c>
    </row>
    <row r="27" spans="1:14" x14ac:dyDescent="0.25">
      <c r="A27" s="92"/>
      <c r="B27" s="113">
        <f t="shared" si="1"/>
        <v>13</v>
      </c>
      <c r="C27" s="109" t="s">
        <v>115</v>
      </c>
      <c r="D27" s="110"/>
      <c r="E27" s="103"/>
      <c r="F27" s="107" t="str">
        <f t="shared" si="0"/>
        <v>Ent D</v>
      </c>
      <c r="G27" s="107" t="s">
        <v>122</v>
      </c>
      <c r="H27" s="95"/>
      <c r="I27" s="119">
        <v>4</v>
      </c>
      <c r="K27" s="107">
        <f>'Infos adm chantier'!D38</f>
        <v>0</v>
      </c>
      <c r="L27" s="107">
        <f>'Infos adm chantier'!E38</f>
        <v>0</v>
      </c>
      <c r="M27" s="107">
        <f>'Infos adm chantier'!B38</f>
        <v>0</v>
      </c>
      <c r="N27">
        <f t="shared" si="2"/>
        <v>0</v>
      </c>
    </row>
    <row r="28" spans="1:14" x14ac:dyDescent="0.25">
      <c r="A28" s="92"/>
      <c r="B28" s="113">
        <f t="shared" si="1"/>
        <v>14</v>
      </c>
      <c r="C28" s="109" t="s">
        <v>116</v>
      </c>
      <c r="D28" s="110"/>
      <c r="E28" s="102"/>
      <c r="F28" s="107" t="str">
        <f t="shared" si="0"/>
        <v>Ent D</v>
      </c>
      <c r="G28" s="107" t="s">
        <v>122</v>
      </c>
      <c r="H28" s="95"/>
      <c r="I28" s="119">
        <v>4</v>
      </c>
      <c r="K28" s="107">
        <f>'Infos adm chantier'!D39</f>
        <v>0</v>
      </c>
      <c r="L28" s="107">
        <f>'Infos adm chantier'!E39</f>
        <v>0</v>
      </c>
      <c r="M28" s="107">
        <f>'Infos adm chantier'!B39</f>
        <v>0</v>
      </c>
      <c r="N28">
        <f t="shared" si="2"/>
        <v>0</v>
      </c>
    </row>
    <row r="29" spans="1:14" ht="15.75" thickBot="1" x14ac:dyDescent="0.3">
      <c r="A29" s="92"/>
      <c r="B29" s="113">
        <f t="shared" si="1"/>
        <v>15</v>
      </c>
      <c r="C29" s="109" t="s">
        <v>117</v>
      </c>
      <c r="D29" s="110"/>
      <c r="E29" s="102"/>
      <c r="F29" s="107" t="str">
        <f t="shared" si="0"/>
        <v>Ent D</v>
      </c>
      <c r="G29" s="107" t="s">
        <v>122</v>
      </c>
      <c r="H29" s="95"/>
      <c r="I29" s="119">
        <v>4</v>
      </c>
      <c r="K29" s="108">
        <f>'Infos adm chantier'!D40</f>
        <v>0</v>
      </c>
      <c r="L29" s="108">
        <f>'Infos adm chantier'!E40</f>
        <v>0</v>
      </c>
      <c r="M29" s="108">
        <f>'Infos adm chantier'!B40</f>
        <v>0</v>
      </c>
      <c r="N29">
        <f t="shared" si="2"/>
        <v>0</v>
      </c>
    </row>
    <row r="30" spans="1:14" x14ac:dyDescent="0.25">
      <c r="A30" s="92"/>
      <c r="B30" s="113">
        <f>B29+1</f>
        <v>16</v>
      </c>
      <c r="C30" s="109" t="s">
        <v>118</v>
      </c>
      <c r="D30" s="110"/>
      <c r="E30" s="103"/>
      <c r="F30" s="107" t="str">
        <f t="shared" si="0"/>
        <v>Ent D</v>
      </c>
      <c r="G30" s="107" t="s">
        <v>122</v>
      </c>
      <c r="H30" s="95"/>
      <c r="I30" s="119">
        <v>4</v>
      </c>
    </row>
    <row r="31" spans="1:14" x14ac:dyDescent="0.25">
      <c r="A31" s="92"/>
      <c r="B31" s="113">
        <f t="shared" si="1"/>
        <v>17</v>
      </c>
      <c r="C31" s="109" t="s">
        <v>119</v>
      </c>
      <c r="D31" s="110"/>
      <c r="E31" s="103"/>
      <c r="F31" s="107" t="str">
        <f t="shared" si="0"/>
        <v>Ent E</v>
      </c>
      <c r="G31" s="107" t="s">
        <v>122</v>
      </c>
      <c r="H31" s="95"/>
      <c r="I31" s="119">
        <v>5</v>
      </c>
    </row>
    <row r="32" spans="1:14" x14ac:dyDescent="0.25">
      <c r="A32" s="92"/>
      <c r="B32" s="113">
        <f t="shared" si="1"/>
        <v>18</v>
      </c>
      <c r="C32" s="109" t="s">
        <v>120</v>
      </c>
      <c r="D32" s="110"/>
      <c r="E32" s="104"/>
      <c r="F32" s="107" t="str">
        <f t="shared" si="0"/>
        <v>Ent A</v>
      </c>
      <c r="G32" s="107" t="s">
        <v>122</v>
      </c>
      <c r="H32" s="95"/>
      <c r="I32" s="119">
        <v>1</v>
      </c>
    </row>
    <row r="33" spans="1:11" ht="15.75" thickBot="1" x14ac:dyDescent="0.3">
      <c r="A33" s="92"/>
      <c r="B33" s="114">
        <f t="shared" si="1"/>
        <v>19</v>
      </c>
      <c r="C33" s="111" t="s">
        <v>121</v>
      </c>
      <c r="D33" s="112"/>
      <c r="E33" s="105"/>
      <c r="F33" s="107" t="str">
        <f t="shared" si="0"/>
        <v>Ent F</v>
      </c>
      <c r="G33" s="108" t="s">
        <v>122</v>
      </c>
      <c r="H33" s="95"/>
      <c r="I33" s="119">
        <v>6</v>
      </c>
    </row>
    <row r="34" spans="1:11" x14ac:dyDescent="0.25">
      <c r="A34" s="92"/>
      <c r="B34" s="94"/>
      <c r="C34" s="94"/>
      <c r="D34" s="94"/>
      <c r="E34" s="94"/>
      <c r="F34" s="94"/>
      <c r="G34" s="94"/>
      <c r="H34" s="95"/>
    </row>
    <row r="35" spans="1:11" x14ac:dyDescent="0.25">
      <c r="A35" s="92"/>
      <c r="B35" s="94"/>
      <c r="C35" s="94"/>
      <c r="D35" s="94"/>
      <c r="E35" s="94"/>
      <c r="F35" s="94"/>
      <c r="G35" s="94"/>
      <c r="H35" s="95"/>
      <c r="K35" t="s">
        <v>142</v>
      </c>
    </row>
    <row r="36" spans="1:11" x14ac:dyDescent="0.25">
      <c r="A36" s="92"/>
      <c r="B36" s="94"/>
      <c r="C36" s="94"/>
      <c r="D36" s="94"/>
      <c r="E36" s="94"/>
      <c r="F36" s="94"/>
      <c r="G36" s="94"/>
      <c r="H36" s="95"/>
      <c r="K36" t="s">
        <v>143</v>
      </c>
    </row>
    <row r="37" spans="1:11" x14ac:dyDescent="0.25">
      <c r="A37" s="92"/>
      <c r="B37" s="94"/>
      <c r="C37" s="94"/>
      <c r="D37" s="94"/>
      <c r="E37" s="94"/>
      <c r="F37" s="94"/>
      <c r="G37" s="94"/>
      <c r="H37" s="95"/>
    </row>
    <row r="38" spans="1:11" x14ac:dyDescent="0.25">
      <c r="A38" s="92"/>
      <c r="B38" s="94"/>
      <c r="C38" s="94"/>
      <c r="D38" s="94"/>
      <c r="E38" s="94"/>
      <c r="F38" s="94"/>
      <c r="G38" s="94"/>
      <c r="H38" s="95"/>
    </row>
    <row r="39" spans="1:11" x14ac:dyDescent="0.25">
      <c r="A39" s="92"/>
      <c r="B39" s="94"/>
      <c r="C39" s="94"/>
      <c r="D39" s="94"/>
      <c r="E39" s="94"/>
      <c r="F39" s="94"/>
      <c r="G39" s="94"/>
      <c r="H39" s="95"/>
    </row>
    <row r="40" spans="1:11" x14ac:dyDescent="0.25">
      <c r="A40" s="92"/>
      <c r="B40" s="94"/>
      <c r="C40" s="94"/>
      <c r="D40" s="94"/>
      <c r="E40" s="94"/>
      <c r="F40" s="94"/>
      <c r="G40" s="94"/>
      <c r="H40" s="95"/>
    </row>
    <row r="41" spans="1:11" x14ac:dyDescent="0.25">
      <c r="A41" s="92"/>
      <c r="B41" s="94"/>
      <c r="C41" s="94"/>
      <c r="D41" s="94"/>
      <c r="E41" s="94"/>
      <c r="F41" s="94"/>
      <c r="G41" s="94"/>
      <c r="H41" s="95"/>
    </row>
    <row r="42" spans="1:11" x14ac:dyDescent="0.25">
      <c r="A42" s="92"/>
      <c r="B42" s="94"/>
      <c r="C42" s="94"/>
      <c r="D42" s="94"/>
      <c r="E42" s="94"/>
      <c r="F42" s="94"/>
      <c r="G42" s="94"/>
      <c r="H42" s="95"/>
    </row>
    <row r="43" spans="1:11" x14ac:dyDescent="0.25">
      <c r="A43" s="92"/>
      <c r="B43" s="94"/>
      <c r="C43" s="94"/>
      <c r="D43" s="94"/>
      <c r="E43" s="94"/>
      <c r="F43" s="94"/>
      <c r="G43" s="94"/>
      <c r="H43" s="95"/>
    </row>
    <row r="44" spans="1:11" x14ac:dyDescent="0.25">
      <c r="A44" s="92"/>
      <c r="B44" s="94"/>
      <c r="C44" s="94"/>
      <c r="D44" s="94"/>
      <c r="E44" s="94"/>
      <c r="F44" s="94"/>
      <c r="G44" s="94"/>
      <c r="H44" s="95"/>
    </row>
    <row r="45" spans="1:11" x14ac:dyDescent="0.25">
      <c r="A45" s="92"/>
      <c r="B45" s="94"/>
      <c r="C45" s="94"/>
      <c r="D45" s="94"/>
      <c r="E45" s="94"/>
      <c r="F45" s="94"/>
      <c r="G45" s="94"/>
      <c r="H45" s="95"/>
    </row>
    <row r="46" spans="1:11" x14ac:dyDescent="0.25">
      <c r="A46" s="92"/>
      <c r="B46" s="94"/>
      <c r="C46" s="94"/>
      <c r="D46" s="94"/>
      <c r="E46" s="94"/>
      <c r="F46" s="94"/>
      <c r="G46" s="94"/>
      <c r="H46" s="95"/>
    </row>
    <row r="47" spans="1:11" x14ac:dyDescent="0.25">
      <c r="A47" s="92"/>
      <c r="B47" s="94"/>
      <c r="C47" s="94"/>
      <c r="D47" s="94"/>
      <c r="E47" s="94"/>
      <c r="F47" s="94"/>
      <c r="G47" s="94"/>
      <c r="H47" s="95"/>
    </row>
    <row r="48" spans="1:11" ht="15.75" thickBot="1" x14ac:dyDescent="0.3">
      <c r="A48" s="96"/>
      <c r="B48" s="97"/>
      <c r="C48" s="97"/>
      <c r="D48" s="97"/>
      <c r="E48" s="97"/>
      <c r="F48" s="97"/>
      <c r="G48" s="97"/>
      <c r="H48" s="98"/>
    </row>
  </sheetData>
  <mergeCells count="7">
    <mergeCell ref="B1:H1"/>
    <mergeCell ref="F2:H2"/>
    <mergeCell ref="C14:D14"/>
    <mergeCell ref="B4:C7"/>
    <mergeCell ref="B8:C11"/>
    <mergeCell ref="D4:G7"/>
    <mergeCell ref="D8:G11"/>
  </mergeCells>
  <pageMargins left="0.7" right="0.7" top="0.75" bottom="0.7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C59C3-BE23-427A-AF9B-319A2E9FE2A8}">
  <sheetPr>
    <tabColor theme="5" tint="0.59999389629810485"/>
  </sheetPr>
  <dimension ref="A1:L108"/>
  <sheetViews>
    <sheetView view="pageBreakPreview" topLeftCell="A25" zoomScale="96" zoomScaleNormal="100" zoomScaleSheetLayoutView="96" workbookViewId="0">
      <selection activeCell="M25" sqref="M25"/>
    </sheetView>
  </sheetViews>
  <sheetFormatPr baseColWidth="10" defaultRowHeight="15" x14ac:dyDescent="0.25"/>
  <cols>
    <col min="1" max="1" width="2.85546875" customWidth="1"/>
    <col min="2" max="2" width="9" customWidth="1"/>
    <col min="3" max="3" width="14.7109375" customWidth="1"/>
    <col min="4" max="4" width="6.140625" customWidth="1"/>
    <col min="5" max="5" width="12.140625" customWidth="1"/>
    <col min="6" max="6" width="6" customWidth="1"/>
    <col min="7" max="7" width="3.85546875" customWidth="1"/>
    <col min="8" max="8" width="18.5703125" customWidth="1"/>
    <col min="9" max="9" width="12.140625" customWidth="1"/>
    <col min="10" max="10" width="15.7109375" customWidth="1"/>
    <col min="11" max="11" width="2.85546875" customWidth="1"/>
  </cols>
  <sheetData>
    <row r="1" spans="1:12" ht="16.5" thickBot="1" x14ac:dyDescent="0.3">
      <c r="A1" s="225"/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1:12" ht="16.5" thickTop="1" x14ac:dyDescent="0.25">
      <c r="A2" s="225"/>
      <c r="B2" s="226" t="s">
        <v>169</v>
      </c>
      <c r="C2" s="227"/>
      <c r="D2" s="227"/>
      <c r="E2" s="227"/>
      <c r="F2" s="227"/>
      <c r="G2" s="227"/>
      <c r="H2" s="227"/>
      <c r="I2" s="227"/>
      <c r="J2" s="228"/>
      <c r="K2" s="225"/>
      <c r="L2" s="225"/>
    </row>
    <row r="3" spans="1:12" ht="16.5" thickBot="1" x14ac:dyDescent="0.3">
      <c r="A3" s="225"/>
      <c r="B3" s="229"/>
      <c r="C3" s="230"/>
      <c r="D3" s="230"/>
      <c r="E3" s="230"/>
      <c r="F3" s="230"/>
      <c r="G3" s="230"/>
      <c r="H3" s="230"/>
      <c r="I3" s="230"/>
      <c r="J3" s="231"/>
      <c r="K3" s="225"/>
      <c r="L3" s="225"/>
    </row>
    <row r="4" spans="1:12" ht="16.5" thickTop="1" x14ac:dyDescent="0.25">
      <c r="A4" s="225"/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</row>
    <row r="5" spans="1:12" ht="16.5" thickBot="1" x14ac:dyDescent="0.3">
      <c r="A5" s="225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5"/>
    </row>
    <row r="6" spans="1:12" ht="15.75" x14ac:dyDescent="0.25">
      <c r="A6" s="225"/>
      <c r="B6" s="225"/>
      <c r="C6" s="225"/>
      <c r="D6" s="225"/>
      <c r="E6" s="225"/>
      <c r="F6" s="225"/>
      <c r="G6" s="225"/>
      <c r="H6" s="233" t="s">
        <v>170</v>
      </c>
      <c r="I6" s="234"/>
      <c r="J6" s="235">
        <v>1</v>
      </c>
      <c r="K6" s="225"/>
      <c r="L6" s="225"/>
    </row>
    <row r="7" spans="1:12" ht="16.5" thickBot="1" x14ac:dyDescent="0.3">
      <c r="A7" s="225"/>
      <c r="B7" s="225"/>
      <c r="C7" s="225"/>
      <c r="D7" s="225"/>
      <c r="E7" s="225"/>
      <c r="F7" s="225"/>
      <c r="G7" s="225"/>
      <c r="H7" s="236"/>
      <c r="I7" s="237"/>
      <c r="J7" s="238"/>
      <c r="K7" s="225"/>
      <c r="L7" s="225"/>
    </row>
    <row r="8" spans="1:12" ht="16.5" thickBot="1" x14ac:dyDescent="0.3">
      <c r="A8" s="225"/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</row>
    <row r="9" spans="1:12" ht="15.75" x14ac:dyDescent="0.25">
      <c r="A9" s="225"/>
      <c r="B9" s="239"/>
      <c r="C9" s="240"/>
      <c r="D9" s="240"/>
      <c r="E9" s="240"/>
      <c r="F9" s="241"/>
      <c r="G9" s="225"/>
      <c r="H9" s="225"/>
      <c r="I9" s="225"/>
      <c r="J9" s="225"/>
      <c r="K9" s="225"/>
      <c r="L9" s="225"/>
    </row>
    <row r="10" spans="1:12" ht="16.5" thickBot="1" x14ac:dyDescent="0.3">
      <c r="A10" s="225"/>
      <c r="B10" s="242" t="str">
        <f>'Infos adm chantier'!C11</f>
        <v>a</v>
      </c>
      <c r="C10" s="243"/>
      <c r="D10" s="243"/>
      <c r="E10" s="243"/>
      <c r="F10" s="244"/>
      <c r="G10" s="225"/>
      <c r="H10" s="225"/>
      <c r="I10" s="225"/>
      <c r="J10" s="225"/>
      <c r="K10" s="225"/>
      <c r="L10" s="225"/>
    </row>
    <row r="11" spans="1:12" ht="15.75" x14ac:dyDescent="0.25">
      <c r="A11" s="225"/>
      <c r="B11" s="242" t="str">
        <f>'Infos adm chantier'!C19</f>
        <v>f</v>
      </c>
      <c r="C11" s="243"/>
      <c r="D11" s="243"/>
      <c r="E11" s="243"/>
      <c r="F11" s="244"/>
      <c r="G11" s="225"/>
      <c r="H11" s="248" t="s">
        <v>171</v>
      </c>
      <c r="I11" s="325" t="str">
        <f>VLOOKUP(J6,Infos_locat,3,FALSE)</f>
        <v>AA</v>
      </c>
      <c r="J11" s="326"/>
      <c r="K11" s="225"/>
      <c r="L11" s="225"/>
    </row>
    <row r="12" spans="1:12" ht="16.5" thickBot="1" x14ac:dyDescent="0.3">
      <c r="A12" s="225"/>
      <c r="B12" s="242" t="str">
        <f>'Infos adm chantier'!C20</f>
        <v>g</v>
      </c>
      <c r="C12" s="243"/>
      <c r="D12" s="243"/>
      <c r="E12" s="243"/>
      <c r="F12" s="244"/>
      <c r="G12" s="225"/>
      <c r="H12" s="249"/>
      <c r="I12" s="327"/>
      <c r="J12" s="328"/>
      <c r="K12" s="225"/>
      <c r="L12" s="225"/>
    </row>
    <row r="13" spans="1:12" ht="16.5" thickBot="1" x14ac:dyDescent="0.3">
      <c r="A13" s="225"/>
      <c r="B13" s="245"/>
      <c r="C13" s="246"/>
      <c r="D13" s="246"/>
      <c r="E13" s="246"/>
      <c r="F13" s="247"/>
      <c r="G13" s="225"/>
      <c r="H13" s="225"/>
      <c r="I13" s="225"/>
      <c r="J13" s="225"/>
      <c r="K13" s="225"/>
      <c r="L13" s="225"/>
    </row>
    <row r="14" spans="1:12" ht="16.5" thickBot="1" x14ac:dyDescent="0.3">
      <c r="A14" s="250"/>
      <c r="B14" s="250"/>
      <c r="C14" s="250"/>
      <c r="D14" s="250"/>
      <c r="E14" s="250"/>
      <c r="F14" s="250"/>
      <c r="G14" s="250"/>
      <c r="H14" s="250"/>
      <c r="I14" s="250"/>
      <c r="J14" s="250"/>
      <c r="K14" s="250"/>
      <c r="L14" s="225"/>
    </row>
    <row r="15" spans="1:12" ht="17.25" thickTop="1" thickBot="1" x14ac:dyDescent="0.3">
      <c r="A15" s="225"/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</row>
    <row r="16" spans="1:12" ht="16.5" thickBot="1" x14ac:dyDescent="0.3">
      <c r="A16" s="225"/>
      <c r="B16" s="252" t="s">
        <v>172</v>
      </c>
      <c r="C16" s="261"/>
      <c r="D16" s="253" t="s">
        <v>173</v>
      </c>
      <c r="E16" s="253"/>
      <c r="F16" s="253"/>
      <c r="G16" s="258" t="s">
        <v>174</v>
      </c>
      <c r="H16" s="259"/>
      <c r="I16" s="260"/>
      <c r="J16" s="254" t="s">
        <v>175</v>
      </c>
      <c r="K16" s="225"/>
      <c r="L16" s="225"/>
    </row>
    <row r="17" spans="1:12" ht="15.75" x14ac:dyDescent="0.25">
      <c r="A17" s="225"/>
      <c r="B17" s="280" t="str">
        <f>'Infos adm chantier'!C29</f>
        <v>Chauffage</v>
      </c>
      <c r="C17" s="281"/>
      <c r="D17" s="296">
        <f>IF(VLOOKUP($J$6,'Infos locat + planification'!$A$4:$X$100,13,)&lt;DATE(2019,1,1),"",VLOOKUP($J$6,'Infos locat + planification'!$A$4:$X$100,13,))</f>
        <v>43466</v>
      </c>
      <c r="E17" s="296"/>
      <c r="F17" s="296"/>
      <c r="G17" s="262"/>
      <c r="H17" s="262"/>
      <c r="I17" s="262"/>
      <c r="J17" s="282"/>
      <c r="K17" s="225"/>
      <c r="L17" s="225"/>
    </row>
    <row r="18" spans="1:12" ht="15.75" x14ac:dyDescent="0.25">
      <c r="A18" s="225"/>
      <c r="B18" s="283"/>
      <c r="C18" s="284"/>
      <c r="D18" s="297"/>
      <c r="E18" s="297"/>
      <c r="F18" s="297"/>
      <c r="G18" s="263"/>
      <c r="H18" s="263"/>
      <c r="I18" s="263"/>
      <c r="J18" s="285"/>
      <c r="K18" s="225"/>
      <c r="L18" s="225"/>
    </row>
    <row r="19" spans="1:12" ht="15.75" x14ac:dyDescent="0.25">
      <c r="A19" s="225"/>
      <c r="B19" s="283"/>
      <c r="C19" s="284"/>
      <c r="D19" s="297"/>
      <c r="E19" s="297"/>
      <c r="F19" s="297"/>
      <c r="G19" s="263"/>
      <c r="H19" s="263"/>
      <c r="I19" s="263"/>
      <c r="J19" s="285"/>
      <c r="K19" s="225"/>
      <c r="L19" s="225"/>
    </row>
    <row r="20" spans="1:12" ht="15.75" x14ac:dyDescent="0.25">
      <c r="A20" s="225"/>
      <c r="B20" s="283" t="str">
        <f>'Infos adm chantier'!C30</f>
        <v>Ventilation</v>
      </c>
      <c r="C20" s="284"/>
      <c r="D20" s="301">
        <f>IF(VLOOKUP($J$6,'Infos locat + planification'!$A$4:$X$100,14,)&lt;DATE(2019,1,1),"",VLOOKUP($J$6,'Infos locat + planification'!$A$4:$X$100,14,))</f>
        <v>43470</v>
      </c>
      <c r="E20" s="302"/>
      <c r="F20" s="303"/>
      <c r="G20" s="263"/>
      <c r="H20" s="263"/>
      <c r="I20" s="263"/>
      <c r="J20" s="285"/>
      <c r="K20" s="225"/>
      <c r="L20" s="225"/>
    </row>
    <row r="21" spans="1:12" ht="15.75" x14ac:dyDescent="0.25">
      <c r="A21" s="225"/>
      <c r="B21" s="283"/>
      <c r="C21" s="284"/>
      <c r="D21" s="304"/>
      <c r="E21" s="299"/>
      <c r="F21" s="305"/>
      <c r="G21" s="263"/>
      <c r="H21" s="263"/>
      <c r="I21" s="263"/>
      <c r="J21" s="285"/>
      <c r="K21" s="225"/>
      <c r="L21" s="225"/>
    </row>
    <row r="22" spans="1:12" ht="15.75" x14ac:dyDescent="0.25">
      <c r="A22" s="225"/>
      <c r="B22" s="283"/>
      <c r="C22" s="284"/>
      <c r="D22" s="306"/>
      <c r="E22" s="307"/>
      <c r="F22" s="308"/>
      <c r="G22" s="263"/>
      <c r="H22" s="263"/>
      <c r="I22" s="263"/>
      <c r="J22" s="285"/>
      <c r="K22" s="225"/>
      <c r="L22" s="225"/>
    </row>
    <row r="23" spans="1:12" ht="15.75" x14ac:dyDescent="0.25">
      <c r="A23" s="225"/>
      <c r="B23" s="283" t="str">
        <f>'Infos adm chantier'!C31</f>
        <v>Electricité</v>
      </c>
      <c r="C23" s="284"/>
      <c r="D23" s="301">
        <f>IF(VLOOKUP($J$6,'Infos locat + planification'!$A$4:$X$100,15,)&lt;DATE(2019,1,1),"",VLOOKUP($J$6,'Infos locat + planification'!$A$4:$X$100,15,))</f>
        <v>43475</v>
      </c>
      <c r="E23" s="302"/>
      <c r="F23" s="303"/>
      <c r="G23" s="263"/>
      <c r="H23" s="263"/>
      <c r="I23" s="263"/>
      <c r="J23" s="285"/>
      <c r="K23" s="225"/>
      <c r="L23" s="225"/>
    </row>
    <row r="24" spans="1:12" ht="15.75" x14ac:dyDescent="0.25">
      <c r="A24" s="225"/>
      <c r="B24" s="283"/>
      <c r="C24" s="284"/>
      <c r="D24" s="304"/>
      <c r="E24" s="299"/>
      <c r="F24" s="305"/>
      <c r="G24" s="263"/>
      <c r="H24" s="263"/>
      <c r="I24" s="263"/>
      <c r="J24" s="285"/>
      <c r="K24" s="225"/>
      <c r="L24" s="225"/>
    </row>
    <row r="25" spans="1:12" ht="15.75" x14ac:dyDescent="0.25">
      <c r="A25" s="225"/>
      <c r="B25" s="283"/>
      <c r="C25" s="284"/>
      <c r="D25" s="306"/>
      <c r="E25" s="307"/>
      <c r="F25" s="308"/>
      <c r="G25" s="263"/>
      <c r="H25" s="263"/>
      <c r="I25" s="263"/>
      <c r="J25" s="285"/>
      <c r="K25" s="225"/>
      <c r="L25" s="225"/>
    </row>
    <row r="26" spans="1:12" ht="15.75" x14ac:dyDescent="0.25">
      <c r="A26" s="225"/>
      <c r="B26" s="283" t="str">
        <f>'Infos adm chantier'!C32</f>
        <v>Menuiseries intérieures</v>
      </c>
      <c r="C26" s="284"/>
      <c r="D26" s="301" t="str">
        <f>IF(VLOOKUP($J$6,'Infos locat + planification'!$A$4:$X$100,16,)&lt;DATE(2019,1,1),"",VLOOKUP($J$6,'Infos locat + planification'!$A$4:$X$100,16,))</f>
        <v/>
      </c>
      <c r="E26" s="302"/>
      <c r="F26" s="303"/>
      <c r="G26" s="263"/>
      <c r="H26" s="263"/>
      <c r="I26" s="263"/>
      <c r="J26" s="285"/>
      <c r="K26" s="225"/>
      <c r="L26" s="225"/>
    </row>
    <row r="27" spans="1:12" ht="15.75" x14ac:dyDescent="0.25">
      <c r="A27" s="225"/>
      <c r="B27" s="283"/>
      <c r="C27" s="284"/>
      <c r="D27" s="304"/>
      <c r="E27" s="299"/>
      <c r="F27" s="305"/>
      <c r="G27" s="263"/>
      <c r="H27" s="263"/>
      <c r="I27" s="263"/>
      <c r="J27" s="285"/>
      <c r="K27" s="225"/>
      <c r="L27" s="225"/>
    </row>
    <row r="28" spans="1:12" ht="15.75" x14ac:dyDescent="0.25">
      <c r="A28" s="225"/>
      <c r="B28" s="283"/>
      <c r="C28" s="284"/>
      <c r="D28" s="306"/>
      <c r="E28" s="307"/>
      <c r="F28" s="308"/>
      <c r="G28" s="263"/>
      <c r="H28" s="263"/>
      <c r="I28" s="263"/>
      <c r="J28" s="285"/>
      <c r="K28" s="225"/>
      <c r="L28" s="225"/>
    </row>
    <row r="29" spans="1:12" ht="15.75" x14ac:dyDescent="0.25">
      <c r="A29" s="225"/>
      <c r="B29" s="283" t="str">
        <f>'Infos adm chantier'!C33</f>
        <v>Peinture intérieure</v>
      </c>
      <c r="C29" s="284"/>
      <c r="D29" s="301" t="str">
        <f>IF(VLOOKUP($J$6,'Infos locat + planification'!$A$4:$X$100,17,)&lt;DATE(2019,1,1),"",VLOOKUP($J$6,'Infos locat + planification'!$A$4:$X$100,17,))</f>
        <v/>
      </c>
      <c r="E29" s="302"/>
      <c r="F29" s="303"/>
      <c r="G29" s="263"/>
      <c r="H29" s="263"/>
      <c r="I29" s="263"/>
      <c r="J29" s="285"/>
      <c r="K29" s="225"/>
      <c r="L29" s="225"/>
    </row>
    <row r="30" spans="1:12" ht="15.75" x14ac:dyDescent="0.25">
      <c r="A30" s="225"/>
      <c r="B30" s="283"/>
      <c r="C30" s="284"/>
      <c r="D30" s="304"/>
      <c r="E30" s="299"/>
      <c r="F30" s="305"/>
      <c r="G30" s="263"/>
      <c r="H30" s="263"/>
      <c r="I30" s="263"/>
      <c r="J30" s="285"/>
      <c r="K30" s="225"/>
      <c r="L30" s="225"/>
    </row>
    <row r="31" spans="1:12" ht="15.75" x14ac:dyDescent="0.25">
      <c r="A31" s="225"/>
      <c r="B31" s="283"/>
      <c r="C31" s="284"/>
      <c r="D31" s="306"/>
      <c r="E31" s="307"/>
      <c r="F31" s="308"/>
      <c r="G31" s="263"/>
      <c r="H31" s="263"/>
      <c r="I31" s="263"/>
      <c r="J31" s="285"/>
      <c r="K31" s="225"/>
      <c r="L31" s="225"/>
    </row>
    <row r="32" spans="1:12" ht="15.75" x14ac:dyDescent="0.25">
      <c r="A32" s="225"/>
      <c r="B32" s="283" t="str">
        <f>'Infos adm chantier'!C34</f>
        <v>Peinture extérieure</v>
      </c>
      <c r="C32" s="284"/>
      <c r="D32" s="301" t="str">
        <f>IF(VLOOKUP($J$6,'Infos locat + planification'!$A$4:$X$100,18,)&lt;DATE(2019,1,1),"",VLOOKUP($J$6,'Infos locat + planification'!$A$4:$X$100,18,))</f>
        <v/>
      </c>
      <c r="E32" s="302"/>
      <c r="F32" s="303"/>
      <c r="G32" s="263"/>
      <c r="H32" s="263"/>
      <c r="I32" s="263"/>
      <c r="J32" s="285"/>
      <c r="K32" s="225"/>
      <c r="L32" s="225"/>
    </row>
    <row r="33" spans="1:12" ht="15.75" x14ac:dyDescent="0.25">
      <c r="A33" s="225"/>
      <c r="B33" s="283"/>
      <c r="C33" s="284"/>
      <c r="D33" s="304"/>
      <c r="E33" s="299"/>
      <c r="F33" s="305"/>
      <c r="G33" s="263"/>
      <c r="H33" s="263"/>
      <c r="I33" s="263"/>
      <c r="J33" s="285"/>
      <c r="K33" s="225"/>
      <c r="L33" s="225"/>
    </row>
    <row r="34" spans="1:12" ht="15.75" x14ac:dyDescent="0.25">
      <c r="A34" s="225"/>
      <c r="B34" s="283"/>
      <c r="C34" s="284"/>
      <c r="D34" s="306"/>
      <c r="E34" s="307"/>
      <c r="F34" s="308"/>
      <c r="G34" s="263"/>
      <c r="H34" s="263"/>
      <c r="I34" s="263"/>
      <c r="J34" s="285"/>
      <c r="K34" s="225"/>
      <c r="L34" s="225"/>
    </row>
    <row r="35" spans="1:12" ht="15.75" x14ac:dyDescent="0.25">
      <c r="A35" s="225"/>
      <c r="B35" s="283" t="s">
        <v>176</v>
      </c>
      <c r="C35" s="284"/>
      <c r="D35" s="297" t="str">
        <f>IF(VLOOKUP($J$6,'Infos locat + planification'!$A$4:$X$100,20,)&lt;DATE(2019,1,1),"",VLOOKUP($J$6,'Infos locat + planification'!$A$4:$X$100,20,))</f>
        <v/>
      </c>
      <c r="E35" s="297"/>
      <c r="F35" s="297"/>
      <c r="G35" s="263"/>
      <c r="H35" s="263"/>
      <c r="I35" s="263"/>
      <c r="J35" s="285"/>
      <c r="K35" s="225"/>
      <c r="L35" s="225"/>
    </row>
    <row r="36" spans="1:12" ht="15.75" x14ac:dyDescent="0.25">
      <c r="A36" s="225"/>
      <c r="B36" s="283"/>
      <c r="C36" s="284"/>
      <c r="D36" s="297"/>
      <c r="E36" s="297"/>
      <c r="F36" s="297"/>
      <c r="G36" s="263"/>
      <c r="H36" s="263"/>
      <c r="I36" s="263"/>
      <c r="J36" s="285"/>
      <c r="K36" s="225"/>
      <c r="L36" s="225"/>
    </row>
    <row r="37" spans="1:12" ht="16.5" thickBot="1" x14ac:dyDescent="0.3">
      <c r="A37" s="225"/>
      <c r="B37" s="286"/>
      <c r="C37" s="287"/>
      <c r="D37" s="298"/>
      <c r="E37" s="298"/>
      <c r="F37" s="298"/>
      <c r="G37" s="264"/>
      <c r="H37" s="264"/>
      <c r="I37" s="264"/>
      <c r="J37" s="288"/>
      <c r="K37" s="225"/>
      <c r="L37" s="225"/>
    </row>
    <row r="38" spans="1:12" ht="15.75" x14ac:dyDescent="0.25">
      <c r="A38" s="225"/>
      <c r="B38" s="289" t="s">
        <v>153</v>
      </c>
      <c r="C38" s="290"/>
      <c r="D38" s="313" t="str">
        <f>IF(VLOOKUP($J$6,'Infos locat + planification'!$A$4:$X$100,21,)&lt;DATE(2019,1,1),"",VLOOKUP($J$6,'Infos locat + planification'!$A$4:$X$100,21,))</f>
        <v/>
      </c>
      <c r="E38" s="314"/>
      <c r="F38" s="315"/>
      <c r="G38" s="319"/>
      <c r="H38" s="257"/>
      <c r="I38" s="320"/>
      <c r="J38" s="291"/>
      <c r="K38" s="225"/>
      <c r="L38" s="225"/>
    </row>
    <row r="39" spans="1:12" ht="15.75" x14ac:dyDescent="0.25">
      <c r="A39" s="225"/>
      <c r="B39" s="289"/>
      <c r="C39" s="290"/>
      <c r="D39" s="316"/>
      <c r="E39" s="299"/>
      <c r="F39" s="305"/>
      <c r="G39" s="321"/>
      <c r="H39" s="255"/>
      <c r="I39" s="322"/>
      <c r="J39" s="291"/>
      <c r="K39" s="225"/>
      <c r="L39" s="225"/>
    </row>
    <row r="40" spans="1:12" ht="16.5" thickBot="1" x14ac:dyDescent="0.3">
      <c r="A40" s="225"/>
      <c r="B40" s="292"/>
      <c r="C40" s="293"/>
      <c r="D40" s="317"/>
      <c r="E40" s="300"/>
      <c r="F40" s="318"/>
      <c r="G40" s="323"/>
      <c r="H40" s="256"/>
      <c r="I40" s="324"/>
      <c r="J40" s="294"/>
      <c r="K40" s="225"/>
      <c r="L40" s="225"/>
    </row>
    <row r="41" spans="1:12" ht="16.5" thickBot="1" x14ac:dyDescent="0.3">
      <c r="A41" s="225"/>
      <c r="B41" s="225"/>
      <c r="C41" s="225"/>
      <c r="D41" s="225"/>
      <c r="E41" s="225"/>
      <c r="F41" s="225"/>
      <c r="G41" s="225"/>
      <c r="H41" s="225"/>
      <c r="I41" s="225"/>
      <c r="J41" s="225"/>
      <c r="K41" s="225"/>
      <c r="L41" s="225"/>
    </row>
    <row r="42" spans="1:12" ht="15.75" x14ac:dyDescent="0.25">
      <c r="A42" s="225"/>
      <c r="B42" s="265" t="s">
        <v>177</v>
      </c>
      <c r="C42" s="266"/>
      <c r="D42" s="266"/>
      <c r="E42" s="266"/>
      <c r="F42" s="266"/>
      <c r="G42" s="266"/>
      <c r="H42" s="266"/>
      <c r="I42" s="266"/>
      <c r="J42" s="267"/>
      <c r="K42" s="225"/>
      <c r="L42" s="225"/>
    </row>
    <row r="43" spans="1:12" ht="16.5" thickBot="1" x14ac:dyDescent="0.3">
      <c r="A43" s="225"/>
      <c r="B43" s="268"/>
      <c r="C43" s="269"/>
      <c r="D43" s="269"/>
      <c r="E43" s="269"/>
      <c r="F43" s="269"/>
      <c r="G43" s="269"/>
      <c r="H43" s="269"/>
      <c r="I43" s="269"/>
      <c r="J43" s="270"/>
      <c r="K43" s="225"/>
      <c r="L43" s="225"/>
    </row>
    <row r="44" spans="1:12" ht="16.5" thickBot="1" x14ac:dyDescent="0.3">
      <c r="A44" s="225"/>
      <c r="B44" s="225"/>
      <c r="C44" s="225"/>
      <c r="D44" s="225"/>
      <c r="E44" s="225"/>
      <c r="F44" s="225"/>
      <c r="G44" s="225"/>
      <c r="H44" s="225"/>
      <c r="I44" s="225"/>
      <c r="J44" s="225"/>
      <c r="K44" s="225"/>
      <c r="L44" s="225"/>
    </row>
    <row r="45" spans="1:12" ht="16.5" thickTop="1" x14ac:dyDescent="0.25">
      <c r="A45" s="225"/>
      <c r="B45" s="277" t="s">
        <v>179</v>
      </c>
      <c r="C45" s="278"/>
      <c r="D45" s="278"/>
      <c r="E45" s="278"/>
      <c r="F45" s="279"/>
      <c r="G45" s="277" t="s">
        <v>178</v>
      </c>
      <c r="H45" s="278"/>
      <c r="I45" s="276"/>
      <c r="J45" s="271"/>
      <c r="K45" s="225"/>
      <c r="L45" s="225"/>
    </row>
    <row r="46" spans="1:12" ht="15.75" x14ac:dyDescent="0.25">
      <c r="A46" s="225"/>
      <c r="B46" s="272"/>
      <c r="C46" s="232"/>
      <c r="D46" s="232"/>
      <c r="E46" s="232"/>
      <c r="F46" s="273"/>
      <c r="G46" s="272"/>
      <c r="H46" s="232"/>
      <c r="I46" s="232"/>
      <c r="J46" s="273"/>
      <c r="K46" s="225"/>
      <c r="L46" s="225"/>
    </row>
    <row r="47" spans="1:12" ht="15.75" x14ac:dyDescent="0.25">
      <c r="A47" s="225"/>
      <c r="B47" s="272"/>
      <c r="C47" s="232"/>
      <c r="D47" s="232"/>
      <c r="E47" s="232"/>
      <c r="F47" s="273"/>
      <c r="G47" s="272"/>
      <c r="H47" s="232"/>
      <c r="I47" s="232"/>
      <c r="J47" s="273"/>
      <c r="K47" s="225"/>
      <c r="L47" s="225"/>
    </row>
    <row r="48" spans="1:12" ht="15.75" x14ac:dyDescent="0.25">
      <c r="A48" s="225"/>
      <c r="B48" s="272"/>
      <c r="C48" s="232"/>
      <c r="D48" s="232"/>
      <c r="E48" s="232"/>
      <c r="F48" s="273"/>
      <c r="G48" s="272"/>
      <c r="H48" s="232"/>
      <c r="I48" s="232"/>
      <c r="J48" s="273"/>
      <c r="K48" s="225"/>
      <c r="L48" s="225"/>
    </row>
    <row r="49" spans="1:12" ht="15.75" x14ac:dyDescent="0.25">
      <c r="A49" s="225"/>
      <c r="B49" s="272"/>
      <c r="C49" s="232"/>
      <c r="D49" s="232"/>
      <c r="E49" s="232"/>
      <c r="F49" s="273"/>
      <c r="G49" s="272"/>
      <c r="H49" s="232"/>
      <c r="I49" s="232"/>
      <c r="J49" s="273"/>
      <c r="K49" s="225"/>
      <c r="L49" s="225"/>
    </row>
    <row r="50" spans="1:12" ht="16.5" thickBot="1" x14ac:dyDescent="0.3">
      <c r="A50" s="225"/>
      <c r="B50" s="274"/>
      <c r="C50" s="250"/>
      <c r="D50" s="250"/>
      <c r="E50" s="250"/>
      <c r="F50" s="275"/>
      <c r="G50" s="274"/>
      <c r="H50" s="250"/>
      <c r="I50" s="250"/>
      <c r="J50" s="275"/>
      <c r="K50" s="225"/>
      <c r="L50" s="225"/>
    </row>
    <row r="51" spans="1:12" ht="16.5" thickTop="1" x14ac:dyDescent="0.25">
      <c r="A51" s="225"/>
      <c r="B51" s="225"/>
      <c r="C51" s="225"/>
      <c r="D51" s="225"/>
      <c r="E51" s="225"/>
      <c r="F51" s="225"/>
      <c r="G51" s="225"/>
      <c r="H51" s="225"/>
      <c r="I51" s="225"/>
      <c r="J51" s="225"/>
      <c r="K51" s="225"/>
      <c r="L51" s="225"/>
    </row>
    <row r="52" spans="1:12" ht="15.75" x14ac:dyDescent="0.25">
      <c r="A52" s="225"/>
      <c r="B52" s="251" t="s">
        <v>180</v>
      </c>
      <c r="C52" s="225"/>
      <c r="D52" s="225"/>
      <c r="E52" s="225"/>
      <c r="F52" s="225"/>
      <c r="G52" s="225"/>
      <c r="H52" s="225"/>
      <c r="I52" s="225"/>
      <c r="J52" s="225"/>
      <c r="K52" s="225"/>
      <c r="L52" s="225"/>
    </row>
    <row r="53" spans="1:12" ht="15.75" x14ac:dyDescent="0.25">
      <c r="A53" s="225"/>
      <c r="B53" s="295" t="str">
        <f>'Infos adm chantier'!F20&amp;" - "&amp;'Infos adm chantier'!F21</f>
        <v>XX - 06 00 00 00 00</v>
      </c>
      <c r="C53" s="295"/>
      <c r="D53" s="295"/>
      <c r="E53" s="295"/>
      <c r="F53" s="295"/>
      <c r="G53" s="295"/>
      <c r="H53" s="295"/>
      <c r="I53" s="295"/>
      <c r="J53" s="295"/>
      <c r="K53" s="225"/>
      <c r="L53" s="225"/>
    </row>
    <row r="54" spans="1:12" ht="15.75" x14ac:dyDescent="0.25">
      <c r="A54" s="225"/>
      <c r="B54" s="295"/>
      <c r="C54" s="295"/>
      <c r="D54" s="295"/>
      <c r="E54" s="295"/>
      <c r="F54" s="295"/>
      <c r="G54" s="295"/>
      <c r="H54" s="295"/>
      <c r="I54" s="295"/>
      <c r="J54" s="295"/>
      <c r="K54" s="225"/>
      <c r="L54" s="225"/>
    </row>
    <row r="55" spans="1:12" ht="15.75" x14ac:dyDescent="0.25">
      <c r="A55" s="225"/>
      <c r="B55" s="225"/>
      <c r="C55" s="225"/>
      <c r="D55" s="225"/>
      <c r="E55" s="225"/>
      <c r="F55" s="225"/>
      <c r="G55" s="225"/>
      <c r="H55" s="225"/>
      <c r="I55" s="225"/>
      <c r="J55" s="225"/>
      <c r="K55" s="225"/>
      <c r="L55" s="225"/>
    </row>
    <row r="56" spans="1:12" ht="15.75" x14ac:dyDescent="0.25">
      <c r="A56" s="225"/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</row>
    <row r="57" spans="1:12" ht="15.75" x14ac:dyDescent="0.25">
      <c r="A57" s="225"/>
      <c r="B57" s="225"/>
      <c r="C57" s="225"/>
      <c r="D57" s="225"/>
      <c r="E57" s="225"/>
      <c r="F57" s="225"/>
      <c r="G57" s="225"/>
      <c r="H57" s="225"/>
      <c r="I57" s="225"/>
      <c r="J57" s="225"/>
      <c r="K57" s="225"/>
      <c r="L57" s="225"/>
    </row>
    <row r="58" spans="1:12" ht="15.75" x14ac:dyDescent="0.25">
      <c r="A58" s="225"/>
      <c r="B58" s="225"/>
      <c r="C58" s="225"/>
      <c r="D58" s="225"/>
      <c r="E58" s="225"/>
      <c r="F58" s="225"/>
      <c r="G58" s="225"/>
      <c r="H58" s="225"/>
      <c r="I58" s="225"/>
      <c r="J58" s="225"/>
      <c r="K58" s="225"/>
      <c r="L58" s="225"/>
    </row>
    <row r="59" spans="1:12" ht="15.75" x14ac:dyDescent="0.25">
      <c r="A59" s="225"/>
      <c r="B59" s="225"/>
      <c r="C59" s="225"/>
      <c r="D59" s="225"/>
      <c r="E59" s="225"/>
      <c r="F59" s="225"/>
      <c r="G59" s="225"/>
      <c r="H59" s="225"/>
      <c r="I59" s="225"/>
      <c r="J59" s="225"/>
      <c r="K59" s="225"/>
      <c r="L59" s="225"/>
    </row>
    <row r="60" spans="1:12" ht="15.75" x14ac:dyDescent="0.25">
      <c r="A60" s="225"/>
      <c r="B60" s="225"/>
      <c r="C60" s="225"/>
      <c r="D60" s="225"/>
      <c r="E60" s="225"/>
      <c r="F60" s="225"/>
      <c r="G60" s="225"/>
      <c r="H60" s="225"/>
      <c r="I60" s="225"/>
      <c r="J60" s="225"/>
      <c r="K60" s="225"/>
      <c r="L60" s="225"/>
    </row>
    <row r="61" spans="1:12" ht="15.75" x14ac:dyDescent="0.25">
      <c r="A61" s="225"/>
      <c r="B61" s="225"/>
      <c r="C61" s="225"/>
      <c r="D61" s="225"/>
      <c r="E61" s="225"/>
      <c r="F61" s="225"/>
      <c r="G61" s="225"/>
      <c r="H61" s="225"/>
      <c r="I61" s="225"/>
      <c r="J61" s="225"/>
      <c r="K61" s="225"/>
      <c r="L61" s="225"/>
    </row>
    <row r="62" spans="1:12" ht="15.75" x14ac:dyDescent="0.25">
      <c r="A62" s="225"/>
      <c r="B62" s="225"/>
      <c r="C62" s="225"/>
      <c r="D62" s="225"/>
      <c r="E62" s="225"/>
      <c r="F62" s="225"/>
      <c r="G62" s="225"/>
      <c r="H62" s="225"/>
      <c r="I62" s="225"/>
      <c r="J62" s="225"/>
      <c r="K62" s="225"/>
      <c r="L62" s="225"/>
    </row>
    <row r="63" spans="1:12" ht="15.75" x14ac:dyDescent="0.25">
      <c r="A63" s="225"/>
      <c r="B63" s="225"/>
      <c r="C63" s="225"/>
      <c r="D63" s="225"/>
      <c r="E63" s="225"/>
      <c r="F63" s="225"/>
      <c r="G63" s="225"/>
      <c r="H63" s="225"/>
      <c r="I63" s="225"/>
      <c r="J63" s="225"/>
      <c r="K63" s="225"/>
      <c r="L63" s="225"/>
    </row>
    <row r="64" spans="1:12" ht="15.75" x14ac:dyDescent="0.25">
      <c r="A64" s="225"/>
      <c r="B64" s="225"/>
      <c r="C64" s="225"/>
      <c r="D64" s="225"/>
      <c r="E64" s="225"/>
      <c r="F64" s="225"/>
      <c r="G64" s="225"/>
      <c r="H64" s="225"/>
      <c r="I64" s="225"/>
      <c r="J64" s="225"/>
      <c r="K64" s="225"/>
      <c r="L64" s="225"/>
    </row>
    <row r="65" spans="1:12" ht="15.75" x14ac:dyDescent="0.25">
      <c r="A65" s="225"/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</row>
    <row r="66" spans="1:12" ht="15.75" x14ac:dyDescent="0.25">
      <c r="A66" s="225"/>
      <c r="B66" s="225"/>
      <c r="C66" s="225"/>
      <c r="D66" s="225"/>
      <c r="E66" s="225"/>
      <c r="F66" s="225"/>
      <c r="G66" s="225"/>
      <c r="H66" s="225"/>
      <c r="I66" s="225"/>
      <c r="J66" s="225"/>
      <c r="K66" s="225"/>
      <c r="L66" s="225"/>
    </row>
    <row r="67" spans="1:12" ht="15.75" x14ac:dyDescent="0.25">
      <c r="A67" s="225"/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</row>
    <row r="68" spans="1:12" ht="15.75" x14ac:dyDescent="0.25">
      <c r="A68" s="225"/>
      <c r="B68" s="225"/>
      <c r="C68" s="225"/>
      <c r="D68" s="225"/>
      <c r="E68" s="225"/>
      <c r="F68" s="225"/>
      <c r="G68" s="225"/>
      <c r="H68" s="225"/>
      <c r="I68" s="225"/>
      <c r="J68" s="225"/>
      <c r="K68" s="225"/>
      <c r="L68" s="225"/>
    </row>
    <row r="69" spans="1:12" ht="15.75" x14ac:dyDescent="0.25">
      <c r="A69" s="225"/>
      <c r="B69" s="225"/>
      <c r="C69" s="225"/>
      <c r="D69" s="225"/>
      <c r="E69" s="225"/>
      <c r="F69" s="225"/>
      <c r="G69" s="225"/>
      <c r="H69" s="225"/>
      <c r="I69" s="225"/>
      <c r="J69" s="225"/>
      <c r="K69" s="225"/>
      <c r="L69" s="225"/>
    </row>
    <row r="70" spans="1:12" ht="15.75" x14ac:dyDescent="0.25">
      <c r="A70" s="225"/>
      <c r="B70" s="225"/>
      <c r="C70" s="225"/>
      <c r="D70" s="225"/>
      <c r="E70" s="225"/>
      <c r="F70" s="225"/>
      <c r="G70" s="225"/>
      <c r="H70" s="225"/>
      <c r="I70" s="225"/>
      <c r="J70" s="225"/>
      <c r="K70" s="225"/>
      <c r="L70" s="225"/>
    </row>
    <row r="71" spans="1:12" ht="15.75" x14ac:dyDescent="0.25">
      <c r="A71" s="225"/>
      <c r="B71" s="225"/>
      <c r="C71" s="225"/>
      <c r="D71" s="225"/>
      <c r="E71" s="225"/>
      <c r="F71" s="225"/>
      <c r="G71" s="225"/>
      <c r="H71" s="225"/>
      <c r="I71" s="225"/>
      <c r="J71" s="225"/>
      <c r="K71" s="225"/>
      <c r="L71" s="225"/>
    </row>
    <row r="72" spans="1:12" ht="15.75" x14ac:dyDescent="0.25">
      <c r="A72" s="225"/>
      <c r="B72" s="225"/>
      <c r="C72" s="225"/>
      <c r="D72" s="225"/>
      <c r="E72" s="225"/>
      <c r="F72" s="225"/>
      <c r="G72" s="225"/>
      <c r="H72" s="225"/>
      <c r="I72" s="225"/>
      <c r="J72" s="225"/>
      <c r="K72" s="225"/>
      <c r="L72" s="225"/>
    </row>
    <row r="73" spans="1:12" ht="15.75" x14ac:dyDescent="0.25">
      <c r="A73" s="225"/>
      <c r="B73" s="225"/>
      <c r="C73" s="225"/>
      <c r="D73" s="225"/>
      <c r="E73" s="225"/>
      <c r="F73" s="225"/>
      <c r="G73" s="225"/>
      <c r="H73" s="225"/>
      <c r="I73" s="225"/>
      <c r="J73" s="225"/>
      <c r="K73" s="225"/>
      <c r="L73" s="225"/>
    </row>
    <row r="74" spans="1:12" ht="15.75" x14ac:dyDescent="0.25">
      <c r="A74" s="225"/>
      <c r="B74" s="225"/>
      <c r="C74" s="225"/>
      <c r="D74" s="225"/>
      <c r="E74" s="225"/>
      <c r="F74" s="225"/>
      <c r="G74" s="225"/>
      <c r="H74" s="225"/>
      <c r="I74" s="225"/>
      <c r="J74" s="225"/>
      <c r="K74" s="225"/>
      <c r="L74" s="225"/>
    </row>
    <row r="75" spans="1:12" ht="15.75" x14ac:dyDescent="0.25">
      <c r="A75" s="225"/>
      <c r="B75" s="225"/>
      <c r="C75" s="225"/>
      <c r="D75" s="225"/>
      <c r="E75" s="225"/>
      <c r="F75" s="225"/>
      <c r="G75" s="225"/>
      <c r="H75" s="225"/>
      <c r="I75" s="225"/>
      <c r="J75" s="225"/>
      <c r="K75" s="225"/>
      <c r="L75" s="225"/>
    </row>
    <row r="76" spans="1:12" ht="15.75" x14ac:dyDescent="0.25">
      <c r="A76" s="225"/>
      <c r="B76" s="225"/>
      <c r="C76" s="225"/>
      <c r="D76" s="225"/>
      <c r="E76" s="225"/>
      <c r="F76" s="225"/>
      <c r="G76" s="225"/>
      <c r="H76" s="225"/>
      <c r="I76" s="225"/>
      <c r="J76" s="225"/>
      <c r="K76" s="225"/>
      <c r="L76" s="225"/>
    </row>
    <row r="77" spans="1:12" ht="15.75" x14ac:dyDescent="0.25">
      <c r="A77" s="225"/>
      <c r="B77" s="225"/>
      <c r="C77" s="225"/>
      <c r="D77" s="225"/>
      <c r="E77" s="225"/>
      <c r="F77" s="225"/>
      <c r="G77" s="225"/>
      <c r="H77" s="225"/>
      <c r="I77" s="225"/>
      <c r="J77" s="225"/>
      <c r="K77" s="225"/>
      <c r="L77" s="225"/>
    </row>
    <row r="78" spans="1:12" ht="15.75" x14ac:dyDescent="0.25">
      <c r="A78" s="225"/>
      <c r="B78" s="225"/>
      <c r="C78" s="225"/>
      <c r="D78" s="225"/>
      <c r="E78" s="225"/>
      <c r="F78" s="225"/>
      <c r="G78" s="225"/>
      <c r="H78" s="225"/>
      <c r="I78" s="225"/>
      <c r="J78" s="225"/>
      <c r="K78" s="225"/>
      <c r="L78" s="225"/>
    </row>
    <row r="79" spans="1:12" ht="15.75" x14ac:dyDescent="0.25">
      <c r="A79" s="225"/>
      <c r="B79" s="225"/>
      <c r="C79" s="225"/>
      <c r="D79" s="225"/>
      <c r="E79" s="225"/>
      <c r="F79" s="225"/>
      <c r="G79" s="225"/>
      <c r="H79" s="225"/>
      <c r="I79" s="225"/>
      <c r="J79" s="225"/>
      <c r="K79" s="225"/>
      <c r="L79" s="225"/>
    </row>
    <row r="80" spans="1:12" ht="15.75" x14ac:dyDescent="0.25">
      <c r="A80" s="225"/>
      <c r="B80" s="225"/>
      <c r="C80" s="225"/>
      <c r="D80" s="225"/>
      <c r="E80" s="225"/>
      <c r="F80" s="225"/>
      <c r="G80" s="225"/>
      <c r="H80" s="225"/>
      <c r="I80" s="225"/>
      <c r="J80" s="225"/>
      <c r="K80" s="225"/>
      <c r="L80" s="225"/>
    </row>
    <row r="81" spans="1:12" ht="15.75" x14ac:dyDescent="0.25">
      <c r="A81" s="225"/>
      <c r="B81" s="225"/>
      <c r="C81" s="225"/>
      <c r="D81" s="225"/>
      <c r="E81" s="225"/>
      <c r="F81" s="225"/>
      <c r="G81" s="225"/>
      <c r="H81" s="225"/>
      <c r="I81" s="225"/>
      <c r="J81" s="225"/>
      <c r="K81" s="225"/>
      <c r="L81" s="225"/>
    </row>
    <row r="82" spans="1:12" ht="15.75" x14ac:dyDescent="0.25">
      <c r="A82" s="225"/>
      <c r="B82" s="225"/>
      <c r="C82" s="225"/>
      <c r="D82" s="225"/>
      <c r="E82" s="225"/>
      <c r="F82" s="225"/>
      <c r="G82" s="225"/>
      <c r="H82" s="225"/>
      <c r="I82" s="225"/>
      <c r="J82" s="225"/>
      <c r="K82" s="225"/>
      <c r="L82" s="225"/>
    </row>
    <row r="83" spans="1:12" ht="15.75" x14ac:dyDescent="0.25">
      <c r="A83" s="225"/>
      <c r="B83" s="225"/>
      <c r="C83" s="225"/>
      <c r="D83" s="225"/>
      <c r="E83" s="225"/>
      <c r="F83" s="225"/>
      <c r="G83" s="225"/>
      <c r="H83" s="225"/>
      <c r="I83" s="225"/>
      <c r="J83" s="225"/>
      <c r="K83" s="225"/>
      <c r="L83" s="225"/>
    </row>
    <row r="84" spans="1:12" ht="15.75" x14ac:dyDescent="0.25">
      <c r="A84" s="225"/>
      <c r="B84" s="225"/>
      <c r="C84" s="225"/>
      <c r="D84" s="225"/>
      <c r="E84" s="225"/>
      <c r="F84" s="225"/>
      <c r="G84" s="225"/>
      <c r="H84" s="225"/>
      <c r="I84" s="225"/>
      <c r="J84" s="225"/>
      <c r="K84" s="225"/>
      <c r="L84" s="225"/>
    </row>
    <row r="85" spans="1:12" ht="15.75" x14ac:dyDescent="0.25">
      <c r="A85" s="225"/>
      <c r="B85" s="225"/>
      <c r="C85" s="225"/>
      <c r="D85" s="225"/>
      <c r="E85" s="225"/>
      <c r="F85" s="225"/>
      <c r="G85" s="225"/>
      <c r="H85" s="225"/>
      <c r="I85" s="225"/>
      <c r="J85" s="225"/>
      <c r="K85" s="225"/>
      <c r="L85" s="225"/>
    </row>
    <row r="86" spans="1:12" ht="15.75" x14ac:dyDescent="0.25">
      <c r="A86" s="225"/>
      <c r="B86" s="225"/>
      <c r="C86" s="225"/>
      <c r="D86" s="225"/>
      <c r="E86" s="225"/>
      <c r="F86" s="225"/>
      <c r="G86" s="225"/>
      <c r="H86" s="225"/>
      <c r="I86" s="225"/>
      <c r="J86" s="225"/>
      <c r="K86" s="225"/>
      <c r="L86" s="225"/>
    </row>
    <row r="87" spans="1:12" ht="15.75" x14ac:dyDescent="0.25">
      <c r="A87" s="225"/>
      <c r="B87" s="225"/>
      <c r="C87" s="225"/>
      <c r="D87" s="225"/>
      <c r="E87" s="225"/>
      <c r="F87" s="225"/>
      <c r="G87" s="225"/>
      <c r="H87" s="225"/>
      <c r="I87" s="225"/>
      <c r="J87" s="225"/>
      <c r="K87" s="225"/>
      <c r="L87" s="225"/>
    </row>
    <row r="88" spans="1:12" ht="15.75" x14ac:dyDescent="0.25">
      <c r="A88" s="225"/>
      <c r="B88" s="225"/>
      <c r="C88" s="225"/>
      <c r="D88" s="225"/>
      <c r="E88" s="225"/>
      <c r="F88" s="225"/>
      <c r="G88" s="225"/>
      <c r="H88" s="225"/>
      <c r="I88" s="225"/>
      <c r="J88" s="225"/>
      <c r="K88" s="225"/>
      <c r="L88" s="225"/>
    </row>
    <row r="89" spans="1:12" ht="15.75" x14ac:dyDescent="0.25">
      <c r="A89" s="225"/>
      <c r="B89" s="225"/>
      <c r="C89" s="225"/>
      <c r="D89" s="225"/>
      <c r="E89" s="225"/>
      <c r="F89" s="225"/>
      <c r="G89" s="225"/>
      <c r="H89" s="225"/>
      <c r="I89" s="225"/>
      <c r="J89" s="225"/>
      <c r="K89" s="225"/>
      <c r="L89" s="225"/>
    </row>
    <row r="90" spans="1:12" ht="15.75" x14ac:dyDescent="0.25">
      <c r="A90" s="225"/>
      <c r="B90" s="225"/>
      <c r="C90" s="225"/>
      <c r="D90" s="225"/>
      <c r="E90" s="225"/>
      <c r="F90" s="225"/>
      <c r="G90" s="225"/>
      <c r="H90" s="225"/>
      <c r="I90" s="225"/>
      <c r="J90" s="225"/>
      <c r="K90" s="225"/>
      <c r="L90" s="225"/>
    </row>
    <row r="91" spans="1:12" ht="15.75" x14ac:dyDescent="0.25">
      <c r="A91" s="225"/>
      <c r="B91" s="225"/>
      <c r="C91" s="225"/>
      <c r="D91" s="225"/>
      <c r="E91" s="225"/>
      <c r="F91" s="225"/>
      <c r="G91" s="225"/>
      <c r="H91" s="225"/>
      <c r="I91" s="225"/>
      <c r="J91" s="225"/>
      <c r="K91" s="225"/>
      <c r="L91" s="225"/>
    </row>
    <row r="92" spans="1:12" ht="15.75" x14ac:dyDescent="0.25">
      <c r="A92" s="225"/>
      <c r="B92" s="225"/>
      <c r="C92" s="225"/>
      <c r="D92" s="225"/>
      <c r="E92" s="225"/>
      <c r="F92" s="225"/>
      <c r="G92" s="225"/>
      <c r="H92" s="225"/>
      <c r="I92" s="225"/>
      <c r="J92" s="225"/>
      <c r="K92" s="225"/>
      <c r="L92" s="225"/>
    </row>
    <row r="93" spans="1:12" ht="15.75" x14ac:dyDescent="0.25">
      <c r="A93" s="225"/>
      <c r="B93" s="225"/>
      <c r="C93" s="225"/>
      <c r="D93" s="225"/>
      <c r="E93" s="225"/>
      <c r="F93" s="225"/>
      <c r="G93" s="225"/>
      <c r="H93" s="225"/>
      <c r="I93" s="225"/>
      <c r="J93" s="225"/>
      <c r="K93" s="225"/>
      <c r="L93" s="225"/>
    </row>
    <row r="94" spans="1:12" ht="15.75" x14ac:dyDescent="0.25">
      <c r="A94" s="225"/>
      <c r="B94" s="225"/>
      <c r="C94" s="225"/>
      <c r="D94" s="225"/>
      <c r="E94" s="225"/>
      <c r="F94" s="225"/>
      <c r="G94" s="225"/>
      <c r="H94" s="225"/>
      <c r="I94" s="225"/>
      <c r="J94" s="225"/>
      <c r="K94" s="225"/>
      <c r="L94" s="225"/>
    </row>
    <row r="95" spans="1:12" ht="15.75" x14ac:dyDescent="0.25">
      <c r="A95" s="225"/>
      <c r="B95" s="225"/>
      <c r="C95" s="225"/>
      <c r="D95" s="225"/>
      <c r="E95" s="225"/>
      <c r="F95" s="225"/>
      <c r="G95" s="225"/>
      <c r="H95" s="225"/>
      <c r="I95" s="225"/>
      <c r="J95" s="225"/>
      <c r="K95" s="225"/>
      <c r="L95" s="225"/>
    </row>
    <row r="96" spans="1:12" ht="15.75" x14ac:dyDescent="0.25">
      <c r="A96" s="225"/>
      <c r="B96" s="225"/>
      <c r="C96" s="225"/>
      <c r="D96" s="225"/>
      <c r="E96" s="225"/>
      <c r="F96" s="225"/>
      <c r="G96" s="225"/>
      <c r="H96" s="225"/>
      <c r="I96" s="225"/>
      <c r="J96" s="225"/>
      <c r="K96" s="225"/>
      <c r="L96" s="225"/>
    </row>
    <row r="97" spans="1:12" ht="15.75" x14ac:dyDescent="0.25">
      <c r="A97" s="225"/>
      <c r="B97" s="225"/>
      <c r="C97" s="225"/>
      <c r="D97" s="225"/>
      <c r="E97" s="225"/>
      <c r="F97" s="225"/>
      <c r="G97" s="225"/>
      <c r="H97" s="225"/>
      <c r="I97" s="225"/>
      <c r="J97" s="225"/>
      <c r="K97" s="225"/>
      <c r="L97" s="225"/>
    </row>
    <row r="98" spans="1:12" ht="15.75" x14ac:dyDescent="0.25">
      <c r="A98" s="225"/>
      <c r="B98" s="225"/>
      <c r="C98" s="225"/>
      <c r="D98" s="225"/>
      <c r="E98" s="225"/>
      <c r="F98" s="225"/>
      <c r="G98" s="225"/>
      <c r="H98" s="225"/>
      <c r="I98" s="225"/>
      <c r="J98" s="225"/>
      <c r="K98" s="225"/>
      <c r="L98" s="225"/>
    </row>
    <row r="99" spans="1:12" ht="15.75" x14ac:dyDescent="0.25">
      <c r="A99" s="225"/>
      <c r="B99" s="225"/>
      <c r="C99" s="225"/>
      <c r="D99" s="225"/>
      <c r="E99" s="225"/>
      <c r="F99" s="225"/>
      <c r="G99" s="225"/>
      <c r="H99" s="225"/>
      <c r="I99" s="225"/>
      <c r="J99" s="225"/>
      <c r="K99" s="225"/>
      <c r="L99" s="225"/>
    </row>
    <row r="100" spans="1:12" ht="15.75" x14ac:dyDescent="0.25">
      <c r="A100" s="225"/>
      <c r="B100" s="225"/>
      <c r="C100" s="225"/>
      <c r="D100" s="225"/>
      <c r="E100" s="225"/>
      <c r="F100" s="225"/>
      <c r="G100" s="225"/>
      <c r="H100" s="225"/>
      <c r="I100" s="225"/>
      <c r="J100" s="225"/>
      <c r="K100" s="225"/>
      <c r="L100" s="225"/>
    </row>
    <row r="101" spans="1:12" ht="15.75" x14ac:dyDescent="0.25">
      <c r="A101" s="225"/>
      <c r="B101" s="225"/>
      <c r="C101" s="225"/>
      <c r="D101" s="225"/>
      <c r="E101" s="225"/>
      <c r="F101" s="225"/>
      <c r="G101" s="225"/>
      <c r="H101" s="225"/>
      <c r="I101" s="225"/>
      <c r="J101" s="225"/>
      <c r="K101" s="225"/>
      <c r="L101" s="225"/>
    </row>
    <row r="102" spans="1:12" ht="15.75" x14ac:dyDescent="0.25">
      <c r="A102" s="225"/>
      <c r="B102" s="225"/>
      <c r="C102" s="225"/>
      <c r="D102" s="225"/>
      <c r="E102" s="225"/>
      <c r="F102" s="225"/>
      <c r="G102" s="225"/>
      <c r="H102" s="225"/>
      <c r="I102" s="225"/>
      <c r="J102" s="225"/>
      <c r="K102" s="225"/>
      <c r="L102" s="225"/>
    </row>
    <row r="103" spans="1:12" ht="15.75" x14ac:dyDescent="0.25">
      <c r="A103" s="225"/>
      <c r="B103" s="225"/>
      <c r="C103" s="225"/>
      <c r="D103" s="225"/>
      <c r="E103" s="225"/>
      <c r="F103" s="225"/>
      <c r="G103" s="225"/>
      <c r="H103" s="225"/>
      <c r="I103" s="225"/>
      <c r="J103" s="225"/>
      <c r="K103" s="225"/>
      <c r="L103" s="225"/>
    </row>
    <row r="104" spans="1:12" ht="15.75" x14ac:dyDescent="0.25">
      <c r="A104" s="225"/>
      <c r="B104" s="225"/>
      <c r="C104" s="225"/>
      <c r="D104" s="225"/>
      <c r="E104" s="225"/>
      <c r="F104" s="225"/>
      <c r="G104" s="225"/>
      <c r="H104" s="225"/>
      <c r="I104" s="225"/>
      <c r="J104" s="225"/>
      <c r="K104" s="225"/>
      <c r="L104" s="225"/>
    </row>
    <row r="105" spans="1:12" ht="15.75" x14ac:dyDescent="0.25">
      <c r="A105" s="225"/>
      <c r="B105" s="225"/>
      <c r="C105" s="225"/>
      <c r="D105" s="225"/>
      <c r="E105" s="225"/>
      <c r="F105" s="225"/>
      <c r="G105" s="225"/>
      <c r="H105" s="225"/>
      <c r="I105" s="225"/>
      <c r="J105" s="225"/>
      <c r="K105" s="225"/>
      <c r="L105" s="225"/>
    </row>
    <row r="106" spans="1:12" ht="15.75" x14ac:dyDescent="0.25">
      <c r="A106" s="225"/>
      <c r="B106" s="225"/>
      <c r="C106" s="225"/>
      <c r="D106" s="225"/>
      <c r="E106" s="225"/>
      <c r="F106" s="225"/>
      <c r="G106" s="225"/>
      <c r="H106" s="225"/>
      <c r="I106" s="225"/>
      <c r="J106" s="225"/>
      <c r="K106" s="225"/>
      <c r="L106" s="225"/>
    </row>
    <row r="107" spans="1:12" ht="15.75" x14ac:dyDescent="0.25">
      <c r="A107" s="225"/>
      <c r="B107" s="225"/>
      <c r="C107" s="225"/>
      <c r="D107" s="225"/>
      <c r="E107" s="225"/>
      <c r="F107" s="225"/>
      <c r="G107" s="225"/>
      <c r="H107" s="225"/>
      <c r="I107" s="225"/>
      <c r="J107" s="225"/>
      <c r="K107" s="225"/>
      <c r="L107" s="225"/>
    </row>
    <row r="108" spans="1:12" ht="15.75" x14ac:dyDescent="0.25">
      <c r="A108" s="225"/>
      <c r="B108" s="225"/>
      <c r="C108" s="225"/>
      <c r="D108" s="225"/>
      <c r="E108" s="225"/>
      <c r="F108" s="225"/>
      <c r="G108" s="225"/>
      <c r="H108" s="225"/>
      <c r="I108" s="225"/>
      <c r="J108" s="225"/>
      <c r="K108" s="225"/>
      <c r="L108" s="225"/>
    </row>
  </sheetData>
  <mergeCells count="42">
    <mergeCell ref="B42:J43"/>
    <mergeCell ref="B53:J54"/>
    <mergeCell ref="G38:I40"/>
    <mergeCell ref="J17:J19"/>
    <mergeCell ref="J20:J22"/>
    <mergeCell ref="J23:J25"/>
    <mergeCell ref="J26:J28"/>
    <mergeCell ref="J29:J31"/>
    <mergeCell ref="J32:J34"/>
    <mergeCell ref="J35:J37"/>
    <mergeCell ref="J38:J40"/>
    <mergeCell ref="D32:F34"/>
    <mergeCell ref="D35:F37"/>
    <mergeCell ref="D38:F40"/>
    <mergeCell ref="G17:I19"/>
    <mergeCell ref="G20:I22"/>
    <mergeCell ref="G23:I25"/>
    <mergeCell ref="G26:I28"/>
    <mergeCell ref="G29:I31"/>
    <mergeCell ref="G32:I34"/>
    <mergeCell ref="G35:I37"/>
    <mergeCell ref="B26:C28"/>
    <mergeCell ref="B29:C31"/>
    <mergeCell ref="B32:C34"/>
    <mergeCell ref="B35:C37"/>
    <mergeCell ref="B38:C40"/>
    <mergeCell ref="D17:F19"/>
    <mergeCell ref="D20:F22"/>
    <mergeCell ref="D23:F25"/>
    <mergeCell ref="D26:F28"/>
    <mergeCell ref="D29:F31"/>
    <mergeCell ref="B16:C16"/>
    <mergeCell ref="D16:F16"/>
    <mergeCell ref="G16:I16"/>
    <mergeCell ref="B17:C19"/>
    <mergeCell ref="B20:C22"/>
    <mergeCell ref="B23:C25"/>
    <mergeCell ref="B2:J3"/>
    <mergeCell ref="H6:I7"/>
    <mergeCell ref="J6:J7"/>
    <mergeCell ref="H11:H12"/>
    <mergeCell ref="I11:J12"/>
  </mergeCells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D99CB-2FC6-46AE-9B6D-E211D23C3D89}">
  <dimension ref="B1:O168"/>
  <sheetViews>
    <sheetView tabSelected="1" topLeftCell="A10" zoomScale="85" zoomScaleNormal="85" workbookViewId="0">
      <selection activeCell="C15" sqref="C15"/>
    </sheetView>
  </sheetViews>
  <sheetFormatPr baseColWidth="10" defaultRowHeight="15" x14ac:dyDescent="0.25"/>
  <cols>
    <col min="2" max="8" width="30.7109375" customWidth="1"/>
    <col min="10" max="10" width="17.140625" bestFit="1" customWidth="1"/>
    <col min="15" max="15" width="11.42578125" hidden="1" customWidth="1"/>
  </cols>
  <sheetData>
    <row r="1" spans="2:15" ht="47.25" thickBot="1" x14ac:dyDescent="0.75">
      <c r="B1" s="212">
        <f>YEAR(K1)</f>
        <v>2019</v>
      </c>
      <c r="C1" s="218" t="s">
        <v>156</v>
      </c>
      <c r="J1" t="s">
        <v>168</v>
      </c>
      <c r="K1" s="145">
        <v>43556</v>
      </c>
    </row>
    <row r="2" spans="2:15" ht="19.5" thickTop="1" thickBot="1" x14ac:dyDescent="0.3">
      <c r="B2" s="219" t="s">
        <v>154</v>
      </c>
      <c r="C2" s="220" t="str">
        <f>UPPER(TEXT(C3,"jjjj"))</f>
        <v>MARDI</v>
      </c>
      <c r="D2" s="219" t="str">
        <f t="shared" ref="D2:H2" si="0">UPPER(TEXT(D3,"jjjj"))</f>
        <v>MERCREDI</v>
      </c>
      <c r="E2" s="220" t="str">
        <f t="shared" si="0"/>
        <v>JEUDI</v>
      </c>
      <c r="F2" s="219" t="str">
        <f t="shared" si="0"/>
        <v>VENDREDI</v>
      </c>
      <c r="G2" s="220" t="str">
        <f t="shared" si="0"/>
        <v>SAMEDI</v>
      </c>
      <c r="H2" s="219" t="str">
        <f t="shared" si="0"/>
        <v>DIMANCHE</v>
      </c>
      <c r="O2" t="s">
        <v>156</v>
      </c>
    </row>
    <row r="3" spans="2:15" ht="21.75" thickTop="1" x14ac:dyDescent="0.25">
      <c r="B3" s="214">
        <f t="array" ref="B3:H3">Jours+1+DATE(Calendrier1an,OptionCalendrier1mois,1)-WEEKDAY(DATE(Calendrier1an,OptionCalendrier1mois,1),OptionJourSemaine)</f>
        <v>43465</v>
      </c>
      <c r="C3" s="214">
        <v>43466</v>
      </c>
      <c r="D3" s="214">
        <v>43467</v>
      </c>
      <c r="E3" s="214">
        <v>43468</v>
      </c>
      <c r="F3" s="214">
        <v>43469</v>
      </c>
      <c r="G3" s="214">
        <v>43470</v>
      </c>
      <c r="H3" s="215">
        <v>43471</v>
      </c>
      <c r="O3" t="s">
        <v>157</v>
      </c>
    </row>
    <row r="4" spans="2:15" s="329" customFormat="1" ht="99.95" customHeight="1" x14ac:dyDescent="0.25">
      <c r="B4" s="330"/>
      <c r="C4" s="330"/>
      <c r="D4" s="330"/>
      <c r="E4" s="330"/>
      <c r="F4" s="330"/>
      <c r="G4" s="330"/>
      <c r="H4" s="331"/>
      <c r="O4" s="329" t="s">
        <v>158</v>
      </c>
    </row>
    <row r="5" spans="2:15" ht="21" x14ac:dyDescent="0.25">
      <c r="B5" s="214">
        <f t="array" ref="B5:H5">Jours+8+DATE(Calendrier1an,OptionCalendrier1mois,1)-WEEKDAY(DATE(Calendrier1an,OptionCalendrier1mois,1),OptionJourSemaine)</f>
        <v>43472</v>
      </c>
      <c r="C5" s="214">
        <v>43473</v>
      </c>
      <c r="D5" s="214">
        <v>43474</v>
      </c>
      <c r="E5" s="214">
        <v>43475</v>
      </c>
      <c r="F5" s="214">
        <v>43476</v>
      </c>
      <c r="G5" s="214">
        <v>43477</v>
      </c>
      <c r="H5" s="215">
        <v>43478</v>
      </c>
      <c r="O5" t="s">
        <v>159</v>
      </c>
    </row>
    <row r="6" spans="2:15" ht="99.95" customHeight="1" x14ac:dyDescent="0.25">
      <c r="B6" s="216"/>
      <c r="C6" s="216"/>
      <c r="D6" s="216"/>
      <c r="E6" s="216"/>
      <c r="F6" s="216"/>
      <c r="G6" s="216"/>
      <c r="H6" s="217"/>
      <c r="O6" t="s">
        <v>160</v>
      </c>
    </row>
    <row r="7" spans="2:15" ht="21" x14ac:dyDescent="0.25">
      <c r="B7" s="214">
        <f t="array" ref="B7:H7">Jours+15+DATE(Calendrier1an,OptionCalendrier1mois,1)-WEEKDAY(DATE(Calendrier1an,OptionCalendrier1mois,1),OptionJourSemaine)</f>
        <v>43479</v>
      </c>
      <c r="C7" s="214">
        <v>43480</v>
      </c>
      <c r="D7" s="214">
        <v>43481</v>
      </c>
      <c r="E7" s="214">
        <v>43482</v>
      </c>
      <c r="F7" s="214">
        <v>43483</v>
      </c>
      <c r="G7" s="214">
        <v>43484</v>
      </c>
      <c r="H7" s="215">
        <v>43485</v>
      </c>
      <c r="O7" t="s">
        <v>161</v>
      </c>
    </row>
    <row r="8" spans="2:15" ht="99.95" customHeight="1" x14ac:dyDescent="0.25">
      <c r="B8" s="216"/>
      <c r="C8" s="216"/>
      <c r="D8" s="216"/>
      <c r="E8" s="216"/>
      <c r="F8" s="216"/>
      <c r="G8" s="216"/>
      <c r="H8" s="217"/>
      <c r="O8" t="s">
        <v>162</v>
      </c>
    </row>
    <row r="9" spans="2:15" ht="21" x14ac:dyDescent="0.25">
      <c r="B9" s="214">
        <f t="array" ref="B9:H9">Jours+22+DATE(Calendrier1an,OptionCalendrier1mois,1)-WEEKDAY(DATE(Calendrier1an,OptionCalendrier1mois,1),OptionJourSemaine)</f>
        <v>43486</v>
      </c>
      <c r="C9" s="214">
        <v>43487</v>
      </c>
      <c r="D9" s="214">
        <v>43488</v>
      </c>
      <c r="E9" s="214">
        <v>43489</v>
      </c>
      <c r="F9" s="214">
        <v>43490</v>
      </c>
      <c r="G9" s="214">
        <v>43491</v>
      </c>
      <c r="H9" s="215">
        <v>43492</v>
      </c>
      <c r="O9" t="s">
        <v>163</v>
      </c>
    </row>
    <row r="10" spans="2:15" ht="99.95" customHeight="1" x14ac:dyDescent="0.25">
      <c r="B10" s="216"/>
      <c r="C10" s="216"/>
      <c r="D10" s="216"/>
      <c r="E10" s="216"/>
      <c r="F10" s="216"/>
      <c r="G10" s="216"/>
      <c r="H10" s="217"/>
      <c r="O10" t="s">
        <v>164</v>
      </c>
    </row>
    <row r="11" spans="2:15" ht="21" x14ac:dyDescent="0.25">
      <c r="B11" s="214">
        <f t="array" ref="B11:H11">Jours+29+DATE(Calendrier1an,OptionCalendrier1mois,1)-WEEKDAY(DATE(Calendrier1an,OptionCalendrier1mois,1),OptionJourSemaine)</f>
        <v>43493</v>
      </c>
      <c r="C11" s="214">
        <v>43494</v>
      </c>
      <c r="D11" s="214">
        <v>43495</v>
      </c>
      <c r="E11" s="214">
        <v>43496</v>
      </c>
      <c r="F11" s="214">
        <v>43497</v>
      </c>
      <c r="G11" s="214">
        <v>43498</v>
      </c>
      <c r="H11" s="215">
        <v>43499</v>
      </c>
      <c r="O11" t="s">
        <v>165</v>
      </c>
    </row>
    <row r="12" spans="2:15" ht="99.95" customHeight="1" x14ac:dyDescent="0.25">
      <c r="B12" s="216"/>
      <c r="C12" s="216"/>
      <c r="D12" s="216"/>
      <c r="E12" s="216"/>
      <c r="F12" s="216"/>
      <c r="G12" s="216"/>
      <c r="H12" s="217"/>
      <c r="O12" t="s">
        <v>166</v>
      </c>
    </row>
    <row r="13" spans="2:15" ht="21" x14ac:dyDescent="0.25">
      <c r="B13" s="214">
        <f t="array" ref="B13:C13">Jours+36+DATE(Calendrier1an,OptionCalendrier1mois,1)-WEEKDAY(DATE(Calendrier1an,OptionCalendrier1mois,1),OptionJourSemaine)</f>
        <v>43500</v>
      </c>
      <c r="C13" s="214">
        <v>43501</v>
      </c>
      <c r="D13" s="222" t="s">
        <v>155</v>
      </c>
      <c r="E13" s="222"/>
      <c r="F13" s="222"/>
      <c r="G13" s="222"/>
      <c r="H13" s="222"/>
      <c r="O13" t="s">
        <v>167</v>
      </c>
    </row>
    <row r="14" spans="2:15" ht="99.95" customHeight="1" x14ac:dyDescent="0.25">
      <c r="B14" s="216"/>
      <c r="C14" s="216"/>
      <c r="D14" s="213"/>
      <c r="E14" s="213"/>
      <c r="F14" s="213"/>
      <c r="G14" s="213"/>
      <c r="H14" s="213"/>
    </row>
    <row r="15" spans="2:15" ht="47.25" thickBot="1" x14ac:dyDescent="0.75">
      <c r="B15" s="212">
        <f>YEAR(DATE(Calendrier1an,OptionCalendrier1mois+1,1))</f>
        <v>2019</v>
      </c>
      <c r="C15" s="218" t="str">
        <f>TEXT(DATE(Calendrier1an,OptionCalendrier1mois+1,1),"mmmm")</f>
        <v>février</v>
      </c>
      <c r="K15" s="145"/>
    </row>
    <row r="16" spans="2:15" ht="19.5" thickTop="1" thickBot="1" x14ac:dyDescent="0.3">
      <c r="B16" s="219" t="s">
        <v>154</v>
      </c>
      <c r="C16" s="220" t="str">
        <f>UPPER(TEXT(C17,"jjjj"))</f>
        <v>MARDI</v>
      </c>
      <c r="D16" s="219" t="str">
        <f t="shared" ref="D16" si="1">UPPER(TEXT(D17,"jjjj"))</f>
        <v>MERCREDI</v>
      </c>
      <c r="E16" s="220" t="str">
        <f t="shared" ref="E16" si="2">UPPER(TEXT(E17,"jjjj"))</f>
        <v>JEUDI</v>
      </c>
      <c r="F16" s="219" t="str">
        <f t="shared" ref="F16" si="3">UPPER(TEXT(F17,"jjjj"))</f>
        <v>VENDREDI</v>
      </c>
      <c r="G16" s="220" t="str">
        <f t="shared" ref="G16" si="4">UPPER(TEXT(G17,"jjjj"))</f>
        <v>SAMEDI</v>
      </c>
      <c r="H16" s="219" t="str">
        <f t="shared" ref="H16" si="5">UPPER(TEXT(H17,"jjjj"))</f>
        <v>DIMANCHE</v>
      </c>
      <c r="O16" t="s">
        <v>156</v>
      </c>
    </row>
    <row r="17" spans="2:15" ht="21.75" thickTop="1" x14ac:dyDescent="0.25">
      <c r="B17" s="214">
        <f t="array" ref="B17:H17">Jours+1+DATE(Calendrier2ans,OptionCalendrier2mois,1)-WEEKDAY(DATE(Calendrier2ans,OptionCalendrier2mois,1),OptionJourSemaine)</f>
        <v>43493</v>
      </c>
      <c r="C17" s="214">
        <v>43494</v>
      </c>
      <c r="D17" s="214">
        <v>43495</v>
      </c>
      <c r="E17" s="214">
        <v>43496</v>
      </c>
      <c r="F17" s="214">
        <v>43497</v>
      </c>
      <c r="G17" s="214">
        <v>43498</v>
      </c>
      <c r="H17" s="215">
        <v>43499</v>
      </c>
      <c r="O17" t="s">
        <v>157</v>
      </c>
    </row>
    <row r="18" spans="2:15" ht="99.95" customHeight="1" x14ac:dyDescent="0.25">
      <c r="B18" s="216"/>
      <c r="C18" s="216"/>
      <c r="D18" s="216"/>
      <c r="E18" s="216"/>
      <c r="F18" s="216"/>
      <c r="G18" s="216"/>
      <c r="H18" s="217"/>
      <c r="O18" t="s">
        <v>158</v>
      </c>
    </row>
    <row r="19" spans="2:15" ht="21" x14ac:dyDescent="0.25">
      <c r="B19" s="214">
        <f t="array" ref="B19:H19">Jours+8+DATE(Calendrier2ans,OptionCalendrier2mois,1)-WEEKDAY(DATE(Calendrier2ans,OptionCalendrier2mois,1),OptionJourSemaine)</f>
        <v>43500</v>
      </c>
      <c r="C19" s="214">
        <v>43501</v>
      </c>
      <c r="D19" s="214">
        <v>43502</v>
      </c>
      <c r="E19" s="214">
        <v>43503</v>
      </c>
      <c r="F19" s="214">
        <v>43504</v>
      </c>
      <c r="G19" s="214">
        <v>43505</v>
      </c>
      <c r="H19" s="215">
        <v>43506</v>
      </c>
      <c r="O19" t="s">
        <v>159</v>
      </c>
    </row>
    <row r="20" spans="2:15" ht="99.95" customHeight="1" x14ac:dyDescent="0.25">
      <c r="B20" s="216"/>
      <c r="C20" s="216"/>
      <c r="D20" s="216"/>
      <c r="E20" s="216"/>
      <c r="F20" s="216"/>
      <c r="G20" s="216"/>
      <c r="H20" s="217"/>
      <c r="O20" t="s">
        <v>160</v>
      </c>
    </row>
    <row r="21" spans="2:15" ht="21" x14ac:dyDescent="0.25">
      <c r="B21" s="214">
        <f t="array" ref="B21:H21">Jours+15+DATE(Calendrier2ans,OptionCalendrier2mois,1)-WEEKDAY(DATE(Calendrier2ans,OptionCalendrier2mois,1),OptionJourSemaine)</f>
        <v>43507</v>
      </c>
      <c r="C21" s="214">
        <v>43508</v>
      </c>
      <c r="D21" s="214">
        <v>43509</v>
      </c>
      <c r="E21" s="214">
        <v>43510</v>
      </c>
      <c r="F21" s="214">
        <v>43511</v>
      </c>
      <c r="G21" s="214">
        <v>43512</v>
      </c>
      <c r="H21" s="215">
        <v>43513</v>
      </c>
      <c r="O21" t="s">
        <v>161</v>
      </c>
    </row>
    <row r="22" spans="2:15" ht="99.95" customHeight="1" x14ac:dyDescent="0.25">
      <c r="B22" s="216"/>
      <c r="C22" s="216"/>
      <c r="D22" s="216"/>
      <c r="E22" s="216"/>
      <c r="F22" s="216"/>
      <c r="G22" s="216"/>
      <c r="H22" s="217"/>
      <c r="O22" t="s">
        <v>162</v>
      </c>
    </row>
    <row r="23" spans="2:15" ht="21" x14ac:dyDescent="0.25">
      <c r="B23" s="214">
        <f t="array" ref="B23:H23">Jours+22+DATE(Calendrier2ans,OptionCalendrier2mois,1)-WEEKDAY(DATE(Calendrier2ans,OptionCalendrier2mois,1),OptionJourSemaine)</f>
        <v>43514</v>
      </c>
      <c r="C23" s="214">
        <v>43515</v>
      </c>
      <c r="D23" s="214">
        <v>43516</v>
      </c>
      <c r="E23" s="214">
        <v>43517</v>
      </c>
      <c r="F23" s="214">
        <v>43518</v>
      </c>
      <c r="G23" s="214">
        <v>43519</v>
      </c>
      <c r="H23" s="215">
        <v>43520</v>
      </c>
      <c r="O23" t="s">
        <v>163</v>
      </c>
    </row>
    <row r="24" spans="2:15" ht="99.95" customHeight="1" x14ac:dyDescent="0.25">
      <c r="B24" s="216"/>
      <c r="C24" s="216"/>
      <c r="D24" s="216"/>
      <c r="E24" s="216"/>
      <c r="F24" s="216"/>
      <c r="G24" s="216"/>
      <c r="H24" s="217"/>
      <c r="O24" t="s">
        <v>164</v>
      </c>
    </row>
    <row r="25" spans="2:15" ht="21" x14ac:dyDescent="0.25">
      <c r="B25" s="214">
        <f t="array" ref="B25:H25">Jours+29+DATE(Calendrier2ans,OptionCalendrier2mois,1)-WEEKDAY(DATE(Calendrier2ans,OptionCalendrier2mois,1),OptionJourSemaine)</f>
        <v>43521</v>
      </c>
      <c r="C25" s="214">
        <v>43522</v>
      </c>
      <c r="D25" s="214">
        <v>43523</v>
      </c>
      <c r="E25" s="214">
        <v>43524</v>
      </c>
      <c r="F25" s="214">
        <v>43525</v>
      </c>
      <c r="G25" s="214">
        <v>43526</v>
      </c>
      <c r="H25" s="215">
        <v>43527</v>
      </c>
      <c r="O25" t="s">
        <v>165</v>
      </c>
    </row>
    <row r="26" spans="2:15" ht="99.95" customHeight="1" x14ac:dyDescent="0.25">
      <c r="B26" s="216"/>
      <c r="C26" s="216"/>
      <c r="D26" s="216"/>
      <c r="E26" s="216"/>
      <c r="F26" s="216"/>
      <c r="G26" s="216"/>
      <c r="H26" s="217"/>
      <c r="O26" t="s">
        <v>166</v>
      </c>
    </row>
    <row r="27" spans="2:15" ht="21" x14ac:dyDescent="0.25">
      <c r="B27" s="214">
        <f t="array" ref="B27:C27">Jours+36+DATE(Calendrier2ans,OptionCalendrier2mois,1)-WEEKDAY(DATE(Calendrier2ans,OptionCalendrier2mois,1),OptionJourSemaine)</f>
        <v>43528</v>
      </c>
      <c r="C27" s="214">
        <v>43529</v>
      </c>
      <c r="D27" s="222" t="s">
        <v>155</v>
      </c>
      <c r="E27" s="222"/>
      <c r="F27" s="222"/>
      <c r="G27" s="222"/>
      <c r="H27" s="222"/>
      <c r="O27" t="s">
        <v>167</v>
      </c>
    </row>
    <row r="28" spans="2:15" ht="99.95" customHeight="1" x14ac:dyDescent="0.25">
      <c r="B28" s="216"/>
      <c r="C28" s="216"/>
      <c r="D28" s="213"/>
      <c r="E28" s="213"/>
      <c r="F28" s="213"/>
      <c r="G28" s="213"/>
      <c r="H28" s="213"/>
    </row>
    <row r="29" spans="2:15" ht="47.25" thickBot="1" x14ac:dyDescent="0.75">
      <c r="B29" s="212">
        <f>YEAR(DATE(Calendrier2ans,OptionCalendrier2mois+1,1))</f>
        <v>2019</v>
      </c>
      <c r="C29" s="218" t="str">
        <f>TEXT(DATE(Calendrier2ans,OptionCalendrier2mois+1,1),"mmmm")</f>
        <v>mars</v>
      </c>
      <c r="K29" s="145"/>
    </row>
    <row r="30" spans="2:15" ht="19.5" thickTop="1" thickBot="1" x14ac:dyDescent="0.3">
      <c r="B30" s="219" t="str">
        <f t="shared" ref="B30:H30" si="6">UPPER(TEXT(B31,"jjjj"))</f>
        <v>LUNDI</v>
      </c>
      <c r="C30" s="220" t="str">
        <f t="shared" si="6"/>
        <v>MARDI</v>
      </c>
      <c r="D30" s="219" t="str">
        <f t="shared" si="6"/>
        <v>MERCREDI</v>
      </c>
      <c r="E30" s="220" t="str">
        <f t="shared" si="6"/>
        <v>JEUDI</v>
      </c>
      <c r="F30" s="219" t="str">
        <f t="shared" si="6"/>
        <v>VENDREDI</v>
      </c>
      <c r="G30" s="220" t="str">
        <f t="shared" si="6"/>
        <v>SAMEDI</v>
      </c>
      <c r="H30" s="219" t="str">
        <f t="shared" si="6"/>
        <v>DIMANCHE</v>
      </c>
      <c r="O30" t="s">
        <v>156</v>
      </c>
    </row>
    <row r="31" spans="2:15" ht="21.75" thickTop="1" x14ac:dyDescent="0.25">
      <c r="B31" s="214">
        <f t="array" ref="B31:H31">Jours+1+DATE(Calendrier3ans,OptionCalendrier3mois,1)-WEEKDAY(DATE(Calendrier3ans,OptionCalendrier3mois,1),OptionJourSemaine)</f>
        <v>43521</v>
      </c>
      <c r="C31" s="214">
        <v>43522</v>
      </c>
      <c r="D31" s="214">
        <v>43523</v>
      </c>
      <c r="E31" s="214">
        <v>43524</v>
      </c>
      <c r="F31" s="214">
        <v>43525</v>
      </c>
      <c r="G31" s="214">
        <v>43526</v>
      </c>
      <c r="H31" s="215">
        <v>43527</v>
      </c>
      <c r="O31" t="s">
        <v>157</v>
      </c>
    </row>
    <row r="32" spans="2:15" ht="99.95" customHeight="1" x14ac:dyDescent="0.25">
      <c r="B32" s="216"/>
      <c r="C32" s="216"/>
      <c r="D32" s="216"/>
      <c r="E32" s="216"/>
      <c r="F32" s="216"/>
      <c r="G32" s="216"/>
      <c r="H32" s="217"/>
      <c r="O32" t="s">
        <v>158</v>
      </c>
    </row>
    <row r="33" spans="2:15" ht="21" x14ac:dyDescent="0.25">
      <c r="B33" s="214">
        <f t="array" ref="B33:H33">Jours+8+DATE(Calendrier3ans,OptionCalendrier3mois,1)-WEEKDAY(DATE(Calendrier3ans,OptionCalendrier3mois,1),OptionJourSemaine)</f>
        <v>43528</v>
      </c>
      <c r="C33" s="214">
        <v>43529</v>
      </c>
      <c r="D33" s="214">
        <v>43530</v>
      </c>
      <c r="E33" s="214">
        <v>43531</v>
      </c>
      <c r="F33" s="214">
        <v>43532</v>
      </c>
      <c r="G33" s="214">
        <v>43533</v>
      </c>
      <c r="H33" s="215">
        <v>43534</v>
      </c>
      <c r="O33" t="s">
        <v>159</v>
      </c>
    </row>
    <row r="34" spans="2:15" ht="99.95" customHeight="1" x14ac:dyDescent="0.25">
      <c r="B34" s="216"/>
      <c r="C34" s="216"/>
      <c r="D34" s="216"/>
      <c r="E34" s="216"/>
      <c r="F34" s="216"/>
      <c r="G34" s="216"/>
      <c r="H34" s="217"/>
      <c r="O34" t="s">
        <v>160</v>
      </c>
    </row>
    <row r="35" spans="2:15" ht="21" x14ac:dyDescent="0.25">
      <c r="B35" s="214">
        <f t="array" ref="B35:H35">Jours+15+DATE(Calendrier3ans,OptionCalendrier3mois,1)-WEEKDAY(DATE(Calendrier3ans,OptionCalendrier3mois,1),OptionJourSemaine)</f>
        <v>43535</v>
      </c>
      <c r="C35" s="214">
        <v>43536</v>
      </c>
      <c r="D35" s="214">
        <v>43537</v>
      </c>
      <c r="E35" s="214">
        <v>43538</v>
      </c>
      <c r="F35" s="214">
        <v>43539</v>
      </c>
      <c r="G35" s="214">
        <v>43540</v>
      </c>
      <c r="H35" s="215">
        <v>43541</v>
      </c>
      <c r="O35" t="s">
        <v>161</v>
      </c>
    </row>
    <row r="36" spans="2:15" ht="99.95" customHeight="1" x14ac:dyDescent="0.25">
      <c r="B36" s="216"/>
      <c r="C36" s="216"/>
      <c r="D36" s="216"/>
      <c r="E36" s="216"/>
      <c r="F36" s="216"/>
      <c r="G36" s="216"/>
      <c r="H36" s="217"/>
      <c r="O36" t="s">
        <v>162</v>
      </c>
    </row>
    <row r="37" spans="2:15" ht="21" x14ac:dyDescent="0.25">
      <c r="B37" s="214">
        <f t="array" ref="B37:H37">Jours+22+DATE(Calendrier3ans,OptionCalendrier3mois,1)-WEEKDAY(DATE(Calendrier3ans,OptionCalendrier3mois,1),OptionJourSemaine)</f>
        <v>43542</v>
      </c>
      <c r="C37" s="214">
        <v>43543</v>
      </c>
      <c r="D37" s="214">
        <v>43544</v>
      </c>
      <c r="E37" s="214">
        <v>43545</v>
      </c>
      <c r="F37" s="214">
        <v>43546</v>
      </c>
      <c r="G37" s="214">
        <v>43547</v>
      </c>
      <c r="H37" s="215">
        <v>43548</v>
      </c>
      <c r="O37" t="s">
        <v>163</v>
      </c>
    </row>
    <row r="38" spans="2:15" ht="99.95" customHeight="1" x14ac:dyDescent="0.25">
      <c r="B38" s="216"/>
      <c r="C38" s="216"/>
      <c r="D38" s="216"/>
      <c r="E38" s="216"/>
      <c r="F38" s="216"/>
      <c r="G38" s="216"/>
      <c r="H38" s="217"/>
      <c r="O38" t="s">
        <v>164</v>
      </c>
    </row>
    <row r="39" spans="2:15" ht="21" x14ac:dyDescent="0.25">
      <c r="B39" s="214">
        <f t="array" ref="B39:H39">Jours+29+DATE(Calendrier3ans,OptionCalendrier3mois,1)-WEEKDAY(DATE(Calendrier3ans,OptionCalendrier3mois,1),OptionJourSemaine)</f>
        <v>43549</v>
      </c>
      <c r="C39" s="214">
        <v>43550</v>
      </c>
      <c r="D39" s="214">
        <v>43551</v>
      </c>
      <c r="E39" s="214">
        <v>43552</v>
      </c>
      <c r="F39" s="214">
        <v>43553</v>
      </c>
      <c r="G39" s="214">
        <v>43554</v>
      </c>
      <c r="H39" s="215">
        <v>43555</v>
      </c>
      <c r="O39" t="s">
        <v>165</v>
      </c>
    </row>
    <row r="40" spans="2:15" ht="99.95" customHeight="1" x14ac:dyDescent="0.25">
      <c r="B40" s="216"/>
      <c r="C40" s="216"/>
      <c r="D40" s="216"/>
      <c r="E40" s="216"/>
      <c r="F40" s="216"/>
      <c r="G40" s="216"/>
      <c r="H40" s="217"/>
      <c r="O40" t="s">
        <v>166</v>
      </c>
    </row>
    <row r="41" spans="2:15" ht="21" x14ac:dyDescent="0.25">
      <c r="B41" s="214">
        <f t="array" ref="B41:C41">Jours+36+DATE(Calendrier3ans,OptionCalendrier3mois,1)-WEEKDAY(DATE(Calendrier3ans,OptionCalendrier3mois,1),OptionJourSemaine)</f>
        <v>43556</v>
      </c>
      <c r="C41" s="214">
        <v>43557</v>
      </c>
      <c r="D41" s="222" t="s">
        <v>155</v>
      </c>
      <c r="E41" s="222"/>
      <c r="F41" s="222"/>
      <c r="G41" s="222"/>
      <c r="H41" s="222"/>
      <c r="O41" t="s">
        <v>167</v>
      </c>
    </row>
    <row r="42" spans="2:15" ht="99.95" customHeight="1" x14ac:dyDescent="0.25">
      <c r="B42" s="216"/>
      <c r="C42" s="216"/>
      <c r="D42" s="213"/>
      <c r="E42" s="213"/>
      <c r="F42" s="213"/>
      <c r="G42" s="213"/>
      <c r="H42" s="213"/>
    </row>
    <row r="43" spans="2:15" ht="47.25" thickBot="1" x14ac:dyDescent="0.75">
      <c r="B43" s="212">
        <f>YEAR(DATE(Calendrier3ans,OptionCalendrier3mois+1,1))</f>
        <v>2019</v>
      </c>
      <c r="C43" s="218" t="str">
        <f>TEXT(DATE(Calendrier3ans,OptionCalendrier3mois+1,1),"mmmm")</f>
        <v>avril</v>
      </c>
      <c r="K43" s="145"/>
    </row>
    <row r="44" spans="2:15" ht="19.5" thickTop="1" thickBot="1" x14ac:dyDescent="0.3">
      <c r="B44" s="219" t="str">
        <f>UPPER(TEXT(B45,"jjjj"))</f>
        <v>LUNDI</v>
      </c>
      <c r="C44" s="220" t="str">
        <f>UPPER(TEXT(C45,"jjjj"))</f>
        <v>MARDI</v>
      </c>
      <c r="D44" s="219" t="str">
        <f t="shared" ref="D44" si="7">UPPER(TEXT(D45,"jjjj"))</f>
        <v>MERCREDI</v>
      </c>
      <c r="E44" s="220" t="str">
        <f t="shared" ref="E44" si="8">UPPER(TEXT(E45,"jjjj"))</f>
        <v>JEUDI</v>
      </c>
      <c r="F44" s="219" t="str">
        <f t="shared" ref="F44" si="9">UPPER(TEXT(F45,"jjjj"))</f>
        <v>VENDREDI</v>
      </c>
      <c r="G44" s="220" t="str">
        <f t="shared" ref="G44" si="10">UPPER(TEXT(G45,"jjjj"))</f>
        <v>SAMEDI</v>
      </c>
      <c r="H44" s="219" t="str">
        <f t="shared" ref="H44" si="11">UPPER(TEXT(H45,"jjjj"))</f>
        <v>DIMANCHE</v>
      </c>
      <c r="O44" t="s">
        <v>156</v>
      </c>
    </row>
    <row r="45" spans="2:15" ht="21.75" thickTop="1" x14ac:dyDescent="0.25">
      <c r="B45" s="214">
        <f t="array" ref="B45:H45">Jours+1+DATE(Calendrier4ans,OptionCalendrier4mois,1)-WEEKDAY(DATE(Calendrier4ans,OptionCalendrier4mois,1),OptionJourSemaine)</f>
        <v>43556</v>
      </c>
      <c r="C45" s="214">
        <v>43557</v>
      </c>
      <c r="D45" s="214">
        <v>43558</v>
      </c>
      <c r="E45" s="214">
        <v>43559</v>
      </c>
      <c r="F45" s="214">
        <v>43560</v>
      </c>
      <c r="G45" s="214">
        <v>43561</v>
      </c>
      <c r="H45" s="215">
        <v>43562</v>
      </c>
      <c r="O45" t="s">
        <v>157</v>
      </c>
    </row>
    <row r="46" spans="2:15" ht="99.95" customHeight="1" x14ac:dyDescent="0.25">
      <c r="B46" s="216"/>
      <c r="C46" s="216"/>
      <c r="D46" s="216"/>
      <c r="E46" s="216"/>
      <c r="F46" s="216"/>
      <c r="G46" s="216"/>
      <c r="H46" s="217"/>
      <c r="O46" t="s">
        <v>158</v>
      </c>
    </row>
    <row r="47" spans="2:15" ht="21" x14ac:dyDescent="0.25">
      <c r="B47" s="214">
        <f t="array" ref="B47:H47">Jours+8+DATE(Calendrier4ans,OptionCalendrier4mois,1)-WEEKDAY(DATE(Calendrier4ans,OptionCalendrier4mois,1),OptionJourSemaine)</f>
        <v>43563</v>
      </c>
      <c r="C47" s="214">
        <v>43564</v>
      </c>
      <c r="D47" s="214">
        <v>43565</v>
      </c>
      <c r="E47" s="214">
        <v>43566</v>
      </c>
      <c r="F47" s="214">
        <v>43567</v>
      </c>
      <c r="G47" s="214">
        <v>43568</v>
      </c>
      <c r="H47" s="215">
        <v>43569</v>
      </c>
      <c r="O47" t="s">
        <v>159</v>
      </c>
    </row>
    <row r="48" spans="2:15" ht="99.95" customHeight="1" x14ac:dyDescent="0.25">
      <c r="B48" s="216"/>
      <c r="C48" s="216"/>
      <c r="D48" s="216"/>
      <c r="E48" s="216"/>
      <c r="F48" s="216"/>
      <c r="G48" s="216"/>
      <c r="H48" s="217"/>
      <c r="O48" t="s">
        <v>160</v>
      </c>
    </row>
    <row r="49" spans="2:15" ht="21" x14ac:dyDescent="0.25">
      <c r="B49" s="214">
        <f t="array" ref="B49:H49">Jours+15+DATE(Calendrier4ans,OptionCalendrier4mois,1)-WEEKDAY(DATE(Calendrier4ans,OptionCalendrier4mois,1),OptionJourSemaine)</f>
        <v>43570</v>
      </c>
      <c r="C49" s="214">
        <v>43571</v>
      </c>
      <c r="D49" s="214">
        <v>43572</v>
      </c>
      <c r="E49" s="214">
        <v>43573</v>
      </c>
      <c r="F49" s="214">
        <v>43574</v>
      </c>
      <c r="G49" s="214">
        <v>43575</v>
      </c>
      <c r="H49" s="215">
        <v>43576</v>
      </c>
      <c r="O49" t="s">
        <v>161</v>
      </c>
    </row>
    <row r="50" spans="2:15" ht="99.95" customHeight="1" x14ac:dyDescent="0.25">
      <c r="B50" s="216"/>
      <c r="C50" s="216"/>
      <c r="D50" s="216"/>
      <c r="E50" s="216"/>
      <c r="F50" s="216"/>
      <c r="G50" s="216"/>
      <c r="H50" s="217"/>
      <c r="O50" t="s">
        <v>162</v>
      </c>
    </row>
    <row r="51" spans="2:15" ht="21" x14ac:dyDescent="0.25">
      <c r="B51" s="214">
        <f t="array" ref="B51:H51">Jours+22+DATE(Calendrier4ans,OptionCalendrier4mois,1)-WEEKDAY(DATE(Calendrier4ans,OptionCalendrier4mois,1),OptionJourSemaine)</f>
        <v>43577</v>
      </c>
      <c r="C51" s="214">
        <v>43578</v>
      </c>
      <c r="D51" s="214">
        <v>43579</v>
      </c>
      <c r="E51" s="214">
        <v>43580</v>
      </c>
      <c r="F51" s="214">
        <v>43581</v>
      </c>
      <c r="G51" s="214">
        <v>43582</v>
      </c>
      <c r="H51" s="215">
        <v>43583</v>
      </c>
      <c r="O51" t="s">
        <v>163</v>
      </c>
    </row>
    <row r="52" spans="2:15" ht="99.95" customHeight="1" x14ac:dyDescent="0.25">
      <c r="B52" s="216"/>
      <c r="C52" s="216"/>
      <c r="D52" s="216"/>
      <c r="E52" s="216"/>
      <c r="F52" s="216"/>
      <c r="G52" s="216"/>
      <c r="H52" s="217"/>
      <c r="O52" t="s">
        <v>164</v>
      </c>
    </row>
    <row r="53" spans="2:15" ht="21" x14ac:dyDescent="0.25">
      <c r="B53" s="214">
        <f t="array" ref="B53:H53">Jours+29+DATE(Calendrier4ans,OptionCalendrier4mois,1)-WEEKDAY(DATE(Calendrier4ans,OptionCalendrier4mois,1),OptionJourSemaine)</f>
        <v>43584</v>
      </c>
      <c r="C53" s="214">
        <v>43585</v>
      </c>
      <c r="D53" s="214">
        <v>43586</v>
      </c>
      <c r="E53" s="214">
        <v>43587</v>
      </c>
      <c r="F53" s="214">
        <v>43588</v>
      </c>
      <c r="G53" s="214">
        <v>43589</v>
      </c>
      <c r="H53" s="215">
        <v>43590</v>
      </c>
      <c r="O53" t="s">
        <v>165</v>
      </c>
    </row>
    <row r="54" spans="2:15" ht="99.95" customHeight="1" x14ac:dyDescent="0.25">
      <c r="B54" s="216"/>
      <c r="C54" s="216"/>
      <c r="D54" s="216"/>
      <c r="E54" s="216"/>
      <c r="F54" s="216"/>
      <c r="G54" s="216"/>
      <c r="H54" s="217"/>
      <c r="O54" t="s">
        <v>166</v>
      </c>
    </row>
    <row r="55" spans="2:15" ht="21" x14ac:dyDescent="0.25">
      <c r="B55" s="214">
        <f t="array" ref="B55:C55">Jours+36+DATE(Calendrier4ans,OptionCalendrier4mois,1)-WEEKDAY(DATE(Calendrier4ans,OptionCalendrier4mois,1),OptionJourSemaine)</f>
        <v>43591</v>
      </c>
      <c r="C55" s="214">
        <v>43592</v>
      </c>
      <c r="D55" s="223" t="s">
        <v>155</v>
      </c>
      <c r="E55" s="224"/>
      <c r="F55" s="224"/>
      <c r="G55" s="224"/>
      <c r="H55" s="224"/>
      <c r="O55" t="s">
        <v>167</v>
      </c>
    </row>
    <row r="56" spans="2:15" ht="99.95" customHeight="1" x14ac:dyDescent="0.25">
      <c r="B56" s="216"/>
      <c r="C56" s="216"/>
      <c r="D56" s="221"/>
      <c r="E56" s="213"/>
      <c r="F56" s="213"/>
      <c r="G56" s="213"/>
      <c r="H56" s="213"/>
    </row>
    <row r="57" spans="2:15" ht="47.25" thickBot="1" x14ac:dyDescent="0.75">
      <c r="B57" s="212">
        <f>YEAR(DATE(Calendrier4ans,OptionCalendrier4mois+1,1))</f>
        <v>2019</v>
      </c>
      <c r="C57" s="218" t="str">
        <f>TEXT(DATE(Calendrier4ans,OptionCalendrier4mois+1,1),"mmmm")</f>
        <v>mai</v>
      </c>
      <c r="K57" s="145"/>
    </row>
    <row r="58" spans="2:15" ht="19.5" thickTop="1" thickBot="1" x14ac:dyDescent="0.3">
      <c r="B58" s="219" t="str">
        <f t="shared" ref="B58:H58" si="12">UPPER(TEXT(B59,"jjjj"))</f>
        <v>LUNDI</v>
      </c>
      <c r="C58" s="220" t="str">
        <f t="shared" si="12"/>
        <v>MARDI</v>
      </c>
      <c r="D58" s="219" t="str">
        <f t="shared" si="12"/>
        <v>MERCREDI</v>
      </c>
      <c r="E58" s="220" t="str">
        <f t="shared" si="12"/>
        <v>JEUDI</v>
      </c>
      <c r="F58" s="219" t="str">
        <f t="shared" si="12"/>
        <v>VENDREDI</v>
      </c>
      <c r="G58" s="220" t="str">
        <f t="shared" si="12"/>
        <v>SAMEDI</v>
      </c>
      <c r="H58" s="219" t="str">
        <f t="shared" si="12"/>
        <v>DIMANCHE</v>
      </c>
      <c r="O58" t="s">
        <v>156</v>
      </c>
    </row>
    <row r="59" spans="2:15" ht="21.75" thickTop="1" x14ac:dyDescent="0.25">
      <c r="B59" s="214">
        <f t="array" ref="B59:H59">Jours+1+DATE(Calendrier5ans,OptionCalendrier5mois,1)-WEEKDAY(DATE(Calendrier5ans,OptionCalendrier5mois,1),OptionJourSemaine)</f>
        <v>43584</v>
      </c>
      <c r="C59" s="214">
        <v>43585</v>
      </c>
      <c r="D59" s="214">
        <v>43586</v>
      </c>
      <c r="E59" s="214">
        <v>43587</v>
      </c>
      <c r="F59" s="214">
        <v>43588</v>
      </c>
      <c r="G59" s="214">
        <v>43589</v>
      </c>
      <c r="H59" s="215">
        <v>43590</v>
      </c>
      <c r="O59" t="s">
        <v>157</v>
      </c>
    </row>
    <row r="60" spans="2:15" ht="99.95" customHeight="1" x14ac:dyDescent="0.25">
      <c r="B60" s="216"/>
      <c r="C60" s="216"/>
      <c r="D60" s="216"/>
      <c r="E60" s="216"/>
      <c r="F60" s="216"/>
      <c r="G60" s="216"/>
      <c r="H60" s="217"/>
      <c r="O60" t="s">
        <v>158</v>
      </c>
    </row>
    <row r="61" spans="2:15" ht="21" x14ac:dyDescent="0.25">
      <c r="B61" s="214">
        <f t="array" ref="B61:H61">Jours+8+DATE(Calendrier5ans,OptionCalendrier5mois,1)-WEEKDAY(DATE(Calendrier5ans,OptionCalendrier5mois,1),OptionJourSemaine)</f>
        <v>43591</v>
      </c>
      <c r="C61" s="214">
        <v>43592</v>
      </c>
      <c r="D61" s="214">
        <v>43593</v>
      </c>
      <c r="E61" s="214">
        <v>43594</v>
      </c>
      <c r="F61" s="214">
        <v>43595</v>
      </c>
      <c r="G61" s="214">
        <v>43596</v>
      </c>
      <c r="H61" s="215">
        <v>43597</v>
      </c>
      <c r="O61" t="s">
        <v>159</v>
      </c>
    </row>
    <row r="62" spans="2:15" ht="99.95" customHeight="1" x14ac:dyDescent="0.25">
      <c r="B62" s="216"/>
      <c r="C62" s="216"/>
      <c r="D62" s="216"/>
      <c r="E62" s="216"/>
      <c r="F62" s="216"/>
      <c r="G62" s="216"/>
      <c r="H62" s="217"/>
      <c r="O62" t="s">
        <v>160</v>
      </c>
    </row>
    <row r="63" spans="2:15" ht="21" x14ac:dyDescent="0.25">
      <c r="B63" s="214">
        <f t="array" ref="B63:H63">Jours+15+DATE(Calendrier5ans,OptionCalendrier5mois,1)-WEEKDAY(DATE(Calendrier5ans,OptionCalendrier5mois,1),OptionJourSemaine)</f>
        <v>43598</v>
      </c>
      <c r="C63" s="214">
        <v>43599</v>
      </c>
      <c r="D63" s="214">
        <v>43600</v>
      </c>
      <c r="E63" s="214">
        <v>43601</v>
      </c>
      <c r="F63" s="214">
        <v>43602</v>
      </c>
      <c r="G63" s="214">
        <v>43603</v>
      </c>
      <c r="H63" s="215">
        <v>43604</v>
      </c>
      <c r="O63" t="s">
        <v>161</v>
      </c>
    </row>
    <row r="64" spans="2:15" ht="99.95" customHeight="1" x14ac:dyDescent="0.25">
      <c r="B64" s="216"/>
      <c r="C64" s="216"/>
      <c r="D64" s="216"/>
      <c r="E64" s="216"/>
      <c r="F64" s="216"/>
      <c r="G64" s="216"/>
      <c r="H64" s="217"/>
      <c r="O64" t="s">
        <v>162</v>
      </c>
    </row>
    <row r="65" spans="2:15" ht="21" x14ac:dyDescent="0.25">
      <c r="B65" s="214">
        <f t="array" ref="B65:H65">Jours+22+DATE(Calendrier5ans,OptionCalendrier5mois,1)-WEEKDAY(DATE(Calendrier5ans,OptionCalendrier5mois,1),OptionJourSemaine)</f>
        <v>43605</v>
      </c>
      <c r="C65" s="214">
        <v>43606</v>
      </c>
      <c r="D65" s="214">
        <v>43607</v>
      </c>
      <c r="E65" s="214">
        <v>43608</v>
      </c>
      <c r="F65" s="214">
        <v>43609</v>
      </c>
      <c r="G65" s="214">
        <v>43610</v>
      </c>
      <c r="H65" s="215">
        <v>43611</v>
      </c>
      <c r="O65" t="s">
        <v>163</v>
      </c>
    </row>
    <row r="66" spans="2:15" ht="99.95" customHeight="1" x14ac:dyDescent="0.25">
      <c r="B66" s="216"/>
      <c r="C66" s="216"/>
      <c r="D66" s="216"/>
      <c r="E66" s="216"/>
      <c r="F66" s="216"/>
      <c r="G66" s="216"/>
      <c r="H66" s="217"/>
      <c r="O66" t="s">
        <v>164</v>
      </c>
    </row>
    <row r="67" spans="2:15" ht="21" x14ac:dyDescent="0.25">
      <c r="B67" s="214">
        <f t="array" ref="B67:H67">Jours+29+DATE(Calendrier5ans,OptionCalendrier5mois,1)-WEEKDAY(DATE(Calendrier5ans,OptionCalendrier5mois,1),OptionJourSemaine)</f>
        <v>43612</v>
      </c>
      <c r="C67" s="214">
        <v>43613</v>
      </c>
      <c r="D67" s="214">
        <v>43614</v>
      </c>
      <c r="E67" s="214">
        <v>43615</v>
      </c>
      <c r="F67" s="214">
        <v>43616</v>
      </c>
      <c r="G67" s="214">
        <v>43617</v>
      </c>
      <c r="H67" s="215">
        <v>43618</v>
      </c>
      <c r="O67" t="s">
        <v>165</v>
      </c>
    </row>
    <row r="68" spans="2:15" ht="99.95" customHeight="1" x14ac:dyDescent="0.25">
      <c r="B68" s="216"/>
      <c r="C68" s="216"/>
      <c r="D68" s="216"/>
      <c r="E68" s="216"/>
      <c r="F68" s="216"/>
      <c r="G68" s="216"/>
      <c r="H68" s="217"/>
      <c r="O68" t="s">
        <v>166</v>
      </c>
    </row>
    <row r="69" spans="2:15" ht="21" x14ac:dyDescent="0.25">
      <c r="B69" s="214">
        <f t="array" ref="B69:C69">Jours+36+DATE(Calendrier5ans,OptionCalendrier5mois,1)-WEEKDAY(DATE(Calendrier5ans,OptionCalendrier5mois,1),OptionJourSemaine)</f>
        <v>43619</v>
      </c>
      <c r="C69" s="214">
        <v>43620</v>
      </c>
      <c r="D69" s="222" t="s">
        <v>155</v>
      </c>
      <c r="E69" s="222"/>
      <c r="F69" s="222"/>
      <c r="G69" s="222"/>
      <c r="H69" s="222"/>
      <c r="O69" t="s">
        <v>167</v>
      </c>
    </row>
    <row r="70" spans="2:15" ht="99.95" customHeight="1" x14ac:dyDescent="0.25">
      <c r="B70" s="216"/>
      <c r="C70" s="216"/>
      <c r="D70" s="213"/>
      <c r="E70" s="213"/>
      <c r="F70" s="213"/>
      <c r="G70" s="213"/>
      <c r="H70" s="213"/>
    </row>
    <row r="71" spans="2:15" ht="47.25" thickBot="1" x14ac:dyDescent="0.75">
      <c r="B71" s="212">
        <f>YEAR(DATE(Calendrier5ans,OptionCalendrier5mois+1,1))</f>
        <v>2019</v>
      </c>
      <c r="C71" s="218" t="str">
        <f>TEXT(DATE(Calendrier5ans,OptionCalendrier5mois+1,1),"mmmm")</f>
        <v>juin</v>
      </c>
      <c r="K71" s="145"/>
    </row>
    <row r="72" spans="2:15" ht="19.5" thickTop="1" thickBot="1" x14ac:dyDescent="0.3">
      <c r="B72" s="219" t="str">
        <f t="shared" ref="B72:H72" si="13">UPPER(TEXT(B73,"jjjj"))</f>
        <v>LUNDI</v>
      </c>
      <c r="C72" s="220" t="str">
        <f t="shared" si="13"/>
        <v>MARDI</v>
      </c>
      <c r="D72" s="219" t="str">
        <f t="shared" si="13"/>
        <v>MERCREDI</v>
      </c>
      <c r="E72" s="220" t="str">
        <f t="shared" si="13"/>
        <v>JEUDI</v>
      </c>
      <c r="F72" s="219" t="str">
        <f t="shared" si="13"/>
        <v>VENDREDI</v>
      </c>
      <c r="G72" s="220" t="str">
        <f t="shared" si="13"/>
        <v>SAMEDI</v>
      </c>
      <c r="H72" s="219" t="str">
        <f t="shared" si="13"/>
        <v>DIMANCHE</v>
      </c>
      <c r="O72" t="s">
        <v>156</v>
      </c>
    </row>
    <row r="73" spans="2:15" ht="21.75" thickTop="1" x14ac:dyDescent="0.25">
      <c r="B73" s="214">
        <f t="array" ref="B73:H73">Jours+1+DATE(Calendrier6ans,OptionCalendrier6mois,1)-WEEKDAY(DATE(Calendrier6ans,OptionCalendrier6mois,1),OptionJourSemaine)</f>
        <v>43612</v>
      </c>
      <c r="C73" s="214">
        <v>43613</v>
      </c>
      <c r="D73" s="214">
        <v>43614</v>
      </c>
      <c r="E73" s="214">
        <v>43615</v>
      </c>
      <c r="F73" s="214">
        <v>43616</v>
      </c>
      <c r="G73" s="214">
        <v>43617</v>
      </c>
      <c r="H73" s="215">
        <v>43618</v>
      </c>
      <c r="O73" t="s">
        <v>157</v>
      </c>
    </row>
    <row r="74" spans="2:15" ht="99.95" customHeight="1" x14ac:dyDescent="0.25">
      <c r="B74" s="216"/>
      <c r="C74" s="216"/>
      <c r="D74" s="216"/>
      <c r="E74" s="216"/>
      <c r="F74" s="216"/>
      <c r="G74" s="216"/>
      <c r="H74" s="217"/>
      <c r="O74" t="s">
        <v>158</v>
      </c>
    </row>
    <row r="75" spans="2:15" ht="21" x14ac:dyDescent="0.25">
      <c r="B75" s="214">
        <f t="array" ref="B75:H75">Jours+8+DATE(Calendrier6ans,OptionCalendrier6mois,1)-WEEKDAY(DATE(Calendrier6ans,OptionCalendrier6mois,1),OptionJourSemaine)</f>
        <v>43619</v>
      </c>
      <c r="C75" s="214">
        <v>43620</v>
      </c>
      <c r="D75" s="214">
        <v>43621</v>
      </c>
      <c r="E75" s="214">
        <v>43622</v>
      </c>
      <c r="F75" s="214">
        <v>43623</v>
      </c>
      <c r="G75" s="214">
        <v>43624</v>
      </c>
      <c r="H75" s="215">
        <v>43625</v>
      </c>
      <c r="O75" t="s">
        <v>159</v>
      </c>
    </row>
    <row r="76" spans="2:15" ht="99.95" customHeight="1" x14ac:dyDescent="0.25">
      <c r="B76" s="216"/>
      <c r="C76" s="216"/>
      <c r="D76" s="216"/>
      <c r="E76" s="216"/>
      <c r="F76" s="216"/>
      <c r="G76" s="216"/>
      <c r="H76" s="217"/>
      <c r="O76" t="s">
        <v>160</v>
      </c>
    </row>
    <row r="77" spans="2:15" ht="21" x14ac:dyDescent="0.25">
      <c r="B77" s="214">
        <f t="array" ref="B77:H77">Jours+15+DATE(Calendrier6ans,OptionCalendrier6mois,1)-WEEKDAY(DATE(Calendrier6ans,OptionCalendrier6mois,1),OptionJourSemaine)</f>
        <v>43626</v>
      </c>
      <c r="C77" s="214">
        <v>43627</v>
      </c>
      <c r="D77" s="214">
        <v>43628</v>
      </c>
      <c r="E77" s="214">
        <v>43629</v>
      </c>
      <c r="F77" s="214">
        <v>43630</v>
      </c>
      <c r="G77" s="214">
        <v>43631</v>
      </c>
      <c r="H77" s="215">
        <v>43632</v>
      </c>
      <c r="O77" t="s">
        <v>161</v>
      </c>
    </row>
    <row r="78" spans="2:15" ht="99.95" customHeight="1" x14ac:dyDescent="0.25">
      <c r="B78" s="216"/>
      <c r="C78" s="216"/>
      <c r="D78" s="216"/>
      <c r="E78" s="216"/>
      <c r="F78" s="216"/>
      <c r="G78" s="216"/>
      <c r="H78" s="217"/>
      <c r="O78" t="s">
        <v>162</v>
      </c>
    </row>
    <row r="79" spans="2:15" ht="21" x14ac:dyDescent="0.25">
      <c r="B79" s="214">
        <f t="array" ref="B79:H79">Jours+22+DATE(Calendrier6ans,OptionCalendrier6mois,1)-WEEKDAY(DATE(Calendrier6ans,OptionCalendrier6mois,1),OptionJourSemaine)</f>
        <v>43633</v>
      </c>
      <c r="C79" s="214">
        <v>43634</v>
      </c>
      <c r="D79" s="214">
        <v>43635</v>
      </c>
      <c r="E79" s="214">
        <v>43636</v>
      </c>
      <c r="F79" s="214">
        <v>43637</v>
      </c>
      <c r="G79" s="214">
        <v>43638</v>
      </c>
      <c r="H79" s="215">
        <v>43639</v>
      </c>
      <c r="O79" t="s">
        <v>163</v>
      </c>
    </row>
    <row r="80" spans="2:15" ht="99.95" customHeight="1" x14ac:dyDescent="0.25">
      <c r="B80" s="216"/>
      <c r="C80" s="216"/>
      <c r="D80" s="216"/>
      <c r="E80" s="216"/>
      <c r="F80" s="216"/>
      <c r="G80" s="216"/>
      <c r="H80" s="217"/>
      <c r="O80" t="s">
        <v>164</v>
      </c>
    </row>
    <row r="81" spans="2:15" ht="21" x14ac:dyDescent="0.25">
      <c r="B81" s="214">
        <f t="array" ref="B81:H81">Jours+29+DATE(Calendrier6ans,OptionCalendrier6mois,1)-WEEKDAY(DATE(Calendrier6ans,OptionCalendrier6mois,1),OptionJourSemaine)</f>
        <v>43640</v>
      </c>
      <c r="C81" s="214">
        <v>43641</v>
      </c>
      <c r="D81" s="214">
        <v>43642</v>
      </c>
      <c r="E81" s="214">
        <v>43643</v>
      </c>
      <c r="F81" s="214">
        <v>43644</v>
      </c>
      <c r="G81" s="214">
        <v>43645</v>
      </c>
      <c r="H81" s="215">
        <v>43646</v>
      </c>
      <c r="O81" t="s">
        <v>165</v>
      </c>
    </row>
    <row r="82" spans="2:15" ht="99.95" customHeight="1" x14ac:dyDescent="0.25">
      <c r="B82" s="216"/>
      <c r="C82" s="216"/>
      <c r="D82" s="216"/>
      <c r="E82" s="216"/>
      <c r="F82" s="216"/>
      <c r="G82" s="216"/>
      <c r="H82" s="217"/>
      <c r="O82" t="s">
        <v>166</v>
      </c>
    </row>
    <row r="83" spans="2:15" ht="21" x14ac:dyDescent="0.25">
      <c r="B83" s="214">
        <f t="array" ref="B83:C83">Jours+36+DATE(Calendrier6ans,OptionCalendrier6mois,1)-WEEKDAY(DATE(Calendrier6ans,OptionCalendrier6mois,1),OptionJourSemaine)</f>
        <v>43647</v>
      </c>
      <c r="C83" s="214">
        <v>43648</v>
      </c>
      <c r="D83" s="222" t="s">
        <v>155</v>
      </c>
      <c r="E83" s="222"/>
      <c r="F83" s="222"/>
      <c r="G83" s="222"/>
      <c r="H83" s="222"/>
      <c r="O83" t="s">
        <v>167</v>
      </c>
    </row>
    <row r="84" spans="2:15" ht="99.95" customHeight="1" x14ac:dyDescent="0.25">
      <c r="B84" s="216"/>
      <c r="C84" s="216"/>
      <c r="D84" s="213"/>
      <c r="E84" s="213"/>
      <c r="F84" s="213"/>
      <c r="G84" s="213"/>
      <c r="H84" s="213"/>
    </row>
    <row r="85" spans="2:15" ht="47.25" thickBot="1" x14ac:dyDescent="0.75">
      <c r="B85" s="212">
        <f>YEAR(DATE(Calendrier6ans,OptionCalendrier6mois+1,1))</f>
        <v>2019</v>
      </c>
      <c r="C85" s="218" t="str">
        <f>TEXT(DATE(Calendrier6ans,OptionCalendrier6mois+1,1),"mmmm")</f>
        <v>juillet</v>
      </c>
      <c r="K85" s="145"/>
    </row>
    <row r="86" spans="2:15" ht="19.5" thickTop="1" thickBot="1" x14ac:dyDescent="0.3">
      <c r="B86" s="219" t="str">
        <f t="shared" ref="B86:H86" si="14">UPPER(TEXT(B87,"jjjj"))</f>
        <v>LUNDI</v>
      </c>
      <c r="C86" s="220" t="str">
        <f t="shared" si="14"/>
        <v>MARDI</v>
      </c>
      <c r="D86" s="219" t="str">
        <f t="shared" si="14"/>
        <v>MERCREDI</v>
      </c>
      <c r="E86" s="220" t="str">
        <f t="shared" si="14"/>
        <v>JEUDI</v>
      </c>
      <c r="F86" s="219" t="str">
        <f t="shared" si="14"/>
        <v>VENDREDI</v>
      </c>
      <c r="G86" s="220" t="str">
        <f t="shared" si="14"/>
        <v>SAMEDI</v>
      </c>
      <c r="H86" s="219" t="str">
        <f t="shared" si="14"/>
        <v>DIMANCHE</v>
      </c>
      <c r="O86" t="s">
        <v>156</v>
      </c>
    </row>
    <row r="87" spans="2:15" ht="21.75" thickTop="1" x14ac:dyDescent="0.25">
      <c r="B87" s="214">
        <f t="array" ref="B87:H87">Jours+1+DATE( Calendrier7ans,OptionCalendrier7mois,1)-WEEKDAY(DATE( Calendrier7ans,OptionCalendrier7mois,1),OptionJourSemaine)</f>
        <v>43647</v>
      </c>
      <c r="C87" s="214">
        <v>43648</v>
      </c>
      <c r="D87" s="214">
        <v>43649</v>
      </c>
      <c r="E87" s="214">
        <v>43650</v>
      </c>
      <c r="F87" s="214">
        <v>43651</v>
      </c>
      <c r="G87" s="214">
        <v>43652</v>
      </c>
      <c r="H87" s="215">
        <v>43653</v>
      </c>
      <c r="O87" t="s">
        <v>157</v>
      </c>
    </row>
    <row r="88" spans="2:15" ht="99.95" customHeight="1" x14ac:dyDescent="0.25">
      <c r="B88" s="216"/>
      <c r="C88" s="216"/>
      <c r="D88" s="216"/>
      <c r="E88" s="216"/>
      <c r="F88" s="216"/>
      <c r="G88" s="216"/>
      <c r="H88" s="217"/>
      <c r="O88" t="s">
        <v>158</v>
      </c>
    </row>
    <row r="89" spans="2:15" ht="21" x14ac:dyDescent="0.25">
      <c r="B89" s="214">
        <f t="array" ref="B89:H89">Jours+8+DATE( Calendrier7ans,OptionCalendrier7mois,1)-WEEKDAY(DATE( Calendrier7ans,OptionCalendrier7mois,1),OptionJourSemaine)</f>
        <v>43654</v>
      </c>
      <c r="C89" s="214">
        <v>43655</v>
      </c>
      <c r="D89" s="214">
        <v>43656</v>
      </c>
      <c r="E89" s="214">
        <v>43657</v>
      </c>
      <c r="F89" s="214">
        <v>43658</v>
      </c>
      <c r="G89" s="214">
        <v>43659</v>
      </c>
      <c r="H89" s="215">
        <v>43660</v>
      </c>
      <c r="O89" t="s">
        <v>159</v>
      </c>
    </row>
    <row r="90" spans="2:15" ht="99.95" customHeight="1" x14ac:dyDescent="0.25">
      <c r="B90" s="216"/>
      <c r="C90" s="216"/>
      <c r="D90" s="216"/>
      <c r="E90" s="216"/>
      <c r="F90" s="216"/>
      <c r="G90" s="216"/>
      <c r="H90" s="217"/>
      <c r="O90" t="s">
        <v>160</v>
      </c>
    </row>
    <row r="91" spans="2:15" ht="21" x14ac:dyDescent="0.25">
      <c r="B91" s="214">
        <f t="array" ref="B91:H91">Jours+15+DATE( Calendrier7ans,OptionCalendrier7mois,1)-WEEKDAY(DATE( Calendrier7ans,OptionCalendrier7mois,1),OptionJourSemaine)</f>
        <v>43661</v>
      </c>
      <c r="C91" s="214">
        <v>43662</v>
      </c>
      <c r="D91" s="214">
        <v>43663</v>
      </c>
      <c r="E91" s="214">
        <v>43664</v>
      </c>
      <c r="F91" s="214">
        <v>43665</v>
      </c>
      <c r="G91" s="214">
        <v>43666</v>
      </c>
      <c r="H91" s="215">
        <v>43667</v>
      </c>
      <c r="O91" t="s">
        <v>161</v>
      </c>
    </row>
    <row r="92" spans="2:15" ht="99.95" customHeight="1" x14ac:dyDescent="0.25">
      <c r="B92" s="216"/>
      <c r="C92" s="216"/>
      <c r="D92" s="216"/>
      <c r="E92" s="216"/>
      <c r="F92" s="216"/>
      <c r="G92" s="216"/>
      <c r="H92" s="217"/>
      <c r="O92" t="s">
        <v>162</v>
      </c>
    </row>
    <row r="93" spans="2:15" ht="21" x14ac:dyDescent="0.25">
      <c r="B93" s="214">
        <f t="array" ref="B93:H93">Jours+22+DATE( Calendrier7ans,OptionCalendrier7mois,1)-WEEKDAY(DATE( Calendrier7ans,OptionCalendrier7mois,1),OptionJourSemaine)</f>
        <v>43668</v>
      </c>
      <c r="C93" s="214">
        <v>43669</v>
      </c>
      <c r="D93" s="214">
        <v>43670</v>
      </c>
      <c r="E93" s="214">
        <v>43671</v>
      </c>
      <c r="F93" s="214">
        <v>43672</v>
      </c>
      <c r="G93" s="214">
        <v>43673</v>
      </c>
      <c r="H93" s="215">
        <v>43674</v>
      </c>
      <c r="O93" t="s">
        <v>163</v>
      </c>
    </row>
    <row r="94" spans="2:15" ht="99.95" customHeight="1" x14ac:dyDescent="0.25">
      <c r="B94" s="216"/>
      <c r="C94" s="216"/>
      <c r="D94" s="216"/>
      <c r="E94" s="216"/>
      <c r="F94" s="216"/>
      <c r="G94" s="216"/>
      <c r="H94" s="217"/>
      <c r="O94" t="s">
        <v>164</v>
      </c>
    </row>
    <row r="95" spans="2:15" ht="21" x14ac:dyDescent="0.25">
      <c r="B95" s="214">
        <f t="array" ref="B95:H95">Jours+29+DATE( Calendrier7ans,OptionCalendrier7mois,1)-WEEKDAY(DATE( Calendrier7ans,OptionCalendrier7mois,1),OptionJourSemaine)</f>
        <v>43675</v>
      </c>
      <c r="C95" s="214">
        <v>43676</v>
      </c>
      <c r="D95" s="214">
        <v>43677</v>
      </c>
      <c r="E95" s="214">
        <v>43678</v>
      </c>
      <c r="F95" s="214">
        <v>43679</v>
      </c>
      <c r="G95" s="214">
        <v>43680</v>
      </c>
      <c r="H95" s="215">
        <v>43681</v>
      </c>
      <c r="O95" t="s">
        <v>165</v>
      </c>
    </row>
    <row r="96" spans="2:15" ht="99.95" customHeight="1" x14ac:dyDescent="0.25">
      <c r="B96" s="216"/>
      <c r="C96" s="216"/>
      <c r="D96" s="216"/>
      <c r="E96" s="216"/>
      <c r="F96" s="216"/>
      <c r="G96" s="216"/>
      <c r="H96" s="217"/>
      <c r="O96" t="s">
        <v>166</v>
      </c>
    </row>
    <row r="97" spans="2:15" ht="21" x14ac:dyDescent="0.25">
      <c r="B97" s="214">
        <f t="array" ref="B97:C97">Jours+36+DATE( Calendrier7ans,OptionCalendrier7mois,1)-WEEKDAY(DATE( Calendrier7ans,OptionCalendrier7mois,1),OptionJourSemaine)</f>
        <v>43682</v>
      </c>
      <c r="C97" s="214">
        <v>43683</v>
      </c>
      <c r="D97" s="223" t="s">
        <v>155</v>
      </c>
      <c r="E97" s="224"/>
      <c r="F97" s="224"/>
      <c r="G97" s="224"/>
      <c r="H97" s="224"/>
      <c r="O97" t="s">
        <v>167</v>
      </c>
    </row>
    <row r="98" spans="2:15" ht="99.95" customHeight="1" x14ac:dyDescent="0.25">
      <c r="B98" s="216"/>
      <c r="C98" s="216"/>
      <c r="D98" s="221"/>
      <c r="E98" s="213"/>
      <c r="F98" s="213"/>
      <c r="G98" s="213"/>
      <c r="H98" s="213"/>
    </row>
    <row r="99" spans="2:15" ht="47.25" thickBot="1" x14ac:dyDescent="0.75">
      <c r="B99" s="212">
        <f>YEAR(DATE( Calendrier7ans,OptionCalendrier7mois+1,1))</f>
        <v>2019</v>
      </c>
      <c r="C99" s="218" t="str">
        <f>TEXT(DATE( Calendrier7ans,OptionCalendrier7mois+1,1),"mmmm")</f>
        <v>août</v>
      </c>
      <c r="K99" s="145"/>
    </row>
    <row r="100" spans="2:15" ht="19.5" thickTop="1" thickBot="1" x14ac:dyDescent="0.3">
      <c r="B100" s="219" t="str">
        <f t="shared" ref="B100:H100" si="15">UPPER(TEXT(B101,"jjjj"))</f>
        <v>LUNDI</v>
      </c>
      <c r="C100" s="220" t="str">
        <f t="shared" si="15"/>
        <v>MARDI</v>
      </c>
      <c r="D100" s="219" t="str">
        <f t="shared" si="15"/>
        <v>MERCREDI</v>
      </c>
      <c r="E100" s="220" t="str">
        <f t="shared" si="15"/>
        <v>JEUDI</v>
      </c>
      <c r="F100" s="219" t="str">
        <f t="shared" si="15"/>
        <v>VENDREDI</v>
      </c>
      <c r="G100" s="220" t="str">
        <f t="shared" si="15"/>
        <v>SAMEDI</v>
      </c>
      <c r="H100" s="219" t="str">
        <f t="shared" si="15"/>
        <v>DIMANCHE</v>
      </c>
      <c r="O100" t="s">
        <v>156</v>
      </c>
    </row>
    <row r="101" spans="2:15" ht="21.75" thickTop="1" x14ac:dyDescent="0.25">
      <c r="B101" s="214">
        <f t="array" ref="B101:H101">Jours+1+DATE( Calendrier8ans,OptionCalendrier8mois,1)-WEEKDAY(DATE( Calendrier8ans,OptionCalendrier8mois,1),OptionJourSemaine)</f>
        <v>43675</v>
      </c>
      <c r="C101" s="214">
        <v>43676</v>
      </c>
      <c r="D101" s="214">
        <v>43677</v>
      </c>
      <c r="E101" s="214">
        <v>43678</v>
      </c>
      <c r="F101" s="214">
        <v>43679</v>
      </c>
      <c r="G101" s="214">
        <v>43680</v>
      </c>
      <c r="H101" s="215">
        <v>43681</v>
      </c>
      <c r="O101" t="s">
        <v>157</v>
      </c>
    </row>
    <row r="102" spans="2:15" ht="99.95" customHeight="1" x14ac:dyDescent="0.25">
      <c r="B102" s="216"/>
      <c r="C102" s="216"/>
      <c r="D102" s="216"/>
      <c r="E102" s="216"/>
      <c r="F102" s="216"/>
      <c r="G102" s="216"/>
      <c r="H102" s="217"/>
      <c r="O102" t="s">
        <v>158</v>
      </c>
    </row>
    <row r="103" spans="2:15" ht="21" x14ac:dyDescent="0.25">
      <c r="B103" s="214">
        <f t="array" ref="B103:H103">Jours+8+DATE( Calendrier8ans,OptionCalendrier8mois,1)-WEEKDAY(DATE( Calendrier8ans,OptionCalendrier8mois,1),OptionJourSemaine)</f>
        <v>43682</v>
      </c>
      <c r="C103" s="214">
        <v>43683</v>
      </c>
      <c r="D103" s="214">
        <v>43684</v>
      </c>
      <c r="E103" s="214">
        <v>43685</v>
      </c>
      <c r="F103" s="214">
        <v>43686</v>
      </c>
      <c r="G103" s="214">
        <v>43687</v>
      </c>
      <c r="H103" s="215">
        <v>43688</v>
      </c>
      <c r="O103" t="s">
        <v>159</v>
      </c>
    </row>
    <row r="104" spans="2:15" ht="99.95" customHeight="1" x14ac:dyDescent="0.25">
      <c r="B104" s="216"/>
      <c r="C104" s="216"/>
      <c r="D104" s="216"/>
      <c r="E104" s="216"/>
      <c r="F104" s="216"/>
      <c r="G104" s="216"/>
      <c r="H104" s="217"/>
      <c r="O104" t="s">
        <v>160</v>
      </c>
    </row>
    <row r="105" spans="2:15" ht="21" x14ac:dyDescent="0.25">
      <c r="B105" s="214">
        <f t="array" ref="B105:H105">Jours+15+DATE( Calendrier8ans,OptionCalendrier8mois,1)-WEEKDAY(DATE( Calendrier8ans,OptionCalendrier8mois,1),OptionJourSemaine)</f>
        <v>43689</v>
      </c>
      <c r="C105" s="214">
        <v>43690</v>
      </c>
      <c r="D105" s="214">
        <v>43691</v>
      </c>
      <c r="E105" s="214">
        <v>43692</v>
      </c>
      <c r="F105" s="214">
        <v>43693</v>
      </c>
      <c r="G105" s="214">
        <v>43694</v>
      </c>
      <c r="H105" s="215">
        <v>43695</v>
      </c>
      <c r="O105" t="s">
        <v>161</v>
      </c>
    </row>
    <row r="106" spans="2:15" ht="99.95" customHeight="1" x14ac:dyDescent="0.25">
      <c r="B106" s="216"/>
      <c r="C106" s="216"/>
      <c r="D106" s="216"/>
      <c r="E106" s="216"/>
      <c r="F106" s="216"/>
      <c r="G106" s="216"/>
      <c r="H106" s="217"/>
      <c r="O106" t="s">
        <v>162</v>
      </c>
    </row>
    <row r="107" spans="2:15" ht="21" x14ac:dyDescent="0.25">
      <c r="B107" s="214">
        <f t="array" ref="B107:H107">Jours+22+DATE( Calendrier8ans,OptionCalendrier8mois,1)-WEEKDAY(DATE( Calendrier8ans,OptionCalendrier8mois,1),OptionJourSemaine)</f>
        <v>43696</v>
      </c>
      <c r="C107" s="214">
        <v>43697</v>
      </c>
      <c r="D107" s="214">
        <v>43698</v>
      </c>
      <c r="E107" s="214">
        <v>43699</v>
      </c>
      <c r="F107" s="214">
        <v>43700</v>
      </c>
      <c r="G107" s="214">
        <v>43701</v>
      </c>
      <c r="H107" s="215">
        <v>43702</v>
      </c>
      <c r="O107" t="s">
        <v>163</v>
      </c>
    </row>
    <row r="108" spans="2:15" ht="99.95" customHeight="1" x14ac:dyDescent="0.25">
      <c r="B108" s="216"/>
      <c r="C108" s="216"/>
      <c r="D108" s="216"/>
      <c r="E108" s="216"/>
      <c r="F108" s="216"/>
      <c r="G108" s="216"/>
      <c r="H108" s="217"/>
      <c r="O108" t="s">
        <v>164</v>
      </c>
    </row>
    <row r="109" spans="2:15" ht="21" x14ac:dyDescent="0.25">
      <c r="B109" s="214">
        <f t="array" ref="B109:H109">Jours+29+DATE( Calendrier8ans,OptionCalendrier8mois,1)-WEEKDAY(DATE( Calendrier8ans,OptionCalendrier8mois,1),OptionJourSemaine)</f>
        <v>43703</v>
      </c>
      <c r="C109" s="214">
        <v>43704</v>
      </c>
      <c r="D109" s="214">
        <v>43705</v>
      </c>
      <c r="E109" s="214">
        <v>43706</v>
      </c>
      <c r="F109" s="214">
        <v>43707</v>
      </c>
      <c r="G109" s="214">
        <v>43708</v>
      </c>
      <c r="H109" s="215">
        <v>43709</v>
      </c>
      <c r="O109" t="s">
        <v>165</v>
      </c>
    </row>
    <row r="110" spans="2:15" ht="99.95" customHeight="1" x14ac:dyDescent="0.25">
      <c r="B110" s="216"/>
      <c r="C110" s="216"/>
      <c r="D110" s="216"/>
      <c r="E110" s="216"/>
      <c r="F110" s="216"/>
      <c r="G110" s="216"/>
      <c r="H110" s="217"/>
      <c r="O110" t="s">
        <v>166</v>
      </c>
    </row>
    <row r="111" spans="2:15" ht="21" x14ac:dyDescent="0.25">
      <c r="B111" s="214">
        <f t="array" ref="B111:C111">Jours+36+DATE( Calendrier8ans,OptionCalendrier8mois,1)-WEEKDAY(DATE( Calendrier8ans,OptionCalendrier8mois,1),OptionJourSemaine)</f>
        <v>43710</v>
      </c>
      <c r="C111" s="214">
        <v>43711</v>
      </c>
      <c r="D111" s="222" t="s">
        <v>155</v>
      </c>
      <c r="E111" s="222"/>
      <c r="F111" s="222"/>
      <c r="G111" s="222"/>
      <c r="H111" s="222"/>
      <c r="O111" t="s">
        <v>167</v>
      </c>
    </row>
    <row r="112" spans="2:15" ht="99.95" customHeight="1" x14ac:dyDescent="0.25">
      <c r="B112" s="216"/>
      <c r="C112" s="216"/>
      <c r="D112" s="213"/>
      <c r="E112" s="213"/>
      <c r="F112" s="213"/>
      <c r="G112" s="213"/>
      <c r="H112" s="213"/>
    </row>
    <row r="113" spans="2:15" ht="47.25" thickBot="1" x14ac:dyDescent="0.75">
      <c r="B113" s="212">
        <f>YEAR(DATE( Calendrier8ans,OptionCalendrier8mois+1,1))</f>
        <v>2019</v>
      </c>
      <c r="C113" s="218" t="str">
        <f>TEXT(DATE( Calendrier8ans,OptionCalendrier8mois+1,1),"mmmm")</f>
        <v>septembre</v>
      </c>
      <c r="K113" s="145"/>
    </row>
    <row r="114" spans="2:15" ht="19.5" thickTop="1" thickBot="1" x14ac:dyDescent="0.3">
      <c r="B114" s="219" t="str">
        <f t="shared" ref="B114:H114" si="16">UPPER(TEXT(B115,"jjjj"))</f>
        <v>LUNDI</v>
      </c>
      <c r="C114" s="220" t="str">
        <f t="shared" si="16"/>
        <v>MARDI</v>
      </c>
      <c r="D114" s="219" t="str">
        <f t="shared" si="16"/>
        <v>MERCREDI</v>
      </c>
      <c r="E114" s="220" t="str">
        <f t="shared" si="16"/>
        <v>JEUDI</v>
      </c>
      <c r="F114" s="219" t="str">
        <f t="shared" si="16"/>
        <v>VENDREDI</v>
      </c>
      <c r="G114" s="220" t="str">
        <f t="shared" si="16"/>
        <v>SAMEDI</v>
      </c>
      <c r="H114" s="219" t="str">
        <f t="shared" si="16"/>
        <v>DIMANCHE</v>
      </c>
      <c r="O114" t="s">
        <v>156</v>
      </c>
    </row>
    <row r="115" spans="2:15" ht="21.75" thickTop="1" x14ac:dyDescent="0.25">
      <c r="B115" s="214">
        <f t="array" ref="B115:H115">Jours+1+DATE(Calendrier9ans,OptionCalendrier9mois,1)-WEEKDAY(DATE(Calendrier9ans,OptionCalendrier9mois,1),OptionJourSemaine)</f>
        <v>43703</v>
      </c>
      <c r="C115" s="214">
        <v>43704</v>
      </c>
      <c r="D115" s="214">
        <v>43705</v>
      </c>
      <c r="E115" s="214">
        <v>43706</v>
      </c>
      <c r="F115" s="214">
        <v>43707</v>
      </c>
      <c r="G115" s="214">
        <v>43708</v>
      </c>
      <c r="H115" s="215">
        <v>43709</v>
      </c>
      <c r="O115" t="s">
        <v>157</v>
      </c>
    </row>
    <row r="116" spans="2:15" ht="99.95" customHeight="1" x14ac:dyDescent="0.25">
      <c r="B116" s="216"/>
      <c r="C116" s="216"/>
      <c r="D116" s="216"/>
      <c r="E116" s="216"/>
      <c r="F116" s="216"/>
      <c r="G116" s="216"/>
      <c r="H116" s="217"/>
      <c r="O116" t="s">
        <v>158</v>
      </c>
    </row>
    <row r="117" spans="2:15" ht="21" x14ac:dyDescent="0.25">
      <c r="B117" s="214">
        <f t="array" ref="B117:H117">Jours+8+DATE(Calendrier9ans,OptionCalendrier9mois,1)-WEEKDAY(DATE(Calendrier9ans,OptionCalendrier9mois,1),OptionJourSemaine)</f>
        <v>43710</v>
      </c>
      <c r="C117" s="214">
        <v>43711</v>
      </c>
      <c r="D117" s="214">
        <v>43712</v>
      </c>
      <c r="E117" s="214">
        <v>43713</v>
      </c>
      <c r="F117" s="214">
        <v>43714</v>
      </c>
      <c r="G117" s="214">
        <v>43715</v>
      </c>
      <c r="H117" s="215">
        <v>43716</v>
      </c>
      <c r="O117" t="s">
        <v>159</v>
      </c>
    </row>
    <row r="118" spans="2:15" ht="99.95" customHeight="1" x14ac:dyDescent="0.25">
      <c r="B118" s="216"/>
      <c r="C118" s="216"/>
      <c r="D118" s="216"/>
      <c r="E118" s="216"/>
      <c r="F118" s="216"/>
      <c r="G118" s="216"/>
      <c r="H118" s="217"/>
      <c r="O118" t="s">
        <v>160</v>
      </c>
    </row>
    <row r="119" spans="2:15" ht="21" x14ac:dyDescent="0.25">
      <c r="B119" s="214">
        <f t="array" ref="B119:H119">Jours+15+DATE(Calendrier9ans,OptionCalendrier9mois,1)-WEEKDAY(DATE(Calendrier9ans,OptionCalendrier9mois,1),OptionJourSemaine)</f>
        <v>43717</v>
      </c>
      <c r="C119" s="214">
        <v>43718</v>
      </c>
      <c r="D119" s="214">
        <v>43719</v>
      </c>
      <c r="E119" s="214">
        <v>43720</v>
      </c>
      <c r="F119" s="214">
        <v>43721</v>
      </c>
      <c r="G119" s="214">
        <v>43722</v>
      </c>
      <c r="H119" s="215">
        <v>43723</v>
      </c>
      <c r="O119" t="s">
        <v>161</v>
      </c>
    </row>
    <row r="120" spans="2:15" ht="99.95" customHeight="1" x14ac:dyDescent="0.25">
      <c r="B120" s="216"/>
      <c r="C120" s="216"/>
      <c r="D120" s="216"/>
      <c r="E120" s="216"/>
      <c r="F120" s="216"/>
      <c r="G120" s="216"/>
      <c r="H120" s="217"/>
      <c r="O120" t="s">
        <v>162</v>
      </c>
    </row>
    <row r="121" spans="2:15" ht="21" x14ac:dyDescent="0.25">
      <c r="B121" s="214">
        <f t="array" ref="B121:H121">Jours+22+DATE(Calendrier9ans,OptionCalendrier9mois,1)-WEEKDAY(DATE(Calendrier9ans,OptionCalendrier9mois,1),OptionJourSemaine)</f>
        <v>43724</v>
      </c>
      <c r="C121" s="214">
        <v>43725</v>
      </c>
      <c r="D121" s="214">
        <v>43726</v>
      </c>
      <c r="E121" s="214">
        <v>43727</v>
      </c>
      <c r="F121" s="214">
        <v>43728</v>
      </c>
      <c r="G121" s="214">
        <v>43729</v>
      </c>
      <c r="H121" s="215">
        <v>43730</v>
      </c>
      <c r="O121" t="s">
        <v>163</v>
      </c>
    </row>
    <row r="122" spans="2:15" ht="99.95" customHeight="1" x14ac:dyDescent="0.25">
      <c r="B122" s="216"/>
      <c r="C122" s="216"/>
      <c r="D122" s="216"/>
      <c r="E122" s="216"/>
      <c r="F122" s="216"/>
      <c r="G122" s="216"/>
      <c r="H122" s="217"/>
      <c r="O122" t="s">
        <v>164</v>
      </c>
    </row>
    <row r="123" spans="2:15" ht="21" x14ac:dyDescent="0.25">
      <c r="B123" s="214">
        <f t="array" ref="B123:H123">Jours+29+DATE(Calendrier9ans,OptionCalendrier9mois,1)-WEEKDAY(DATE(Calendrier9ans,OptionCalendrier9mois,1),OptionJourSemaine)</f>
        <v>43731</v>
      </c>
      <c r="C123" s="214">
        <v>43732</v>
      </c>
      <c r="D123" s="214">
        <v>43733</v>
      </c>
      <c r="E123" s="214">
        <v>43734</v>
      </c>
      <c r="F123" s="214">
        <v>43735</v>
      </c>
      <c r="G123" s="214">
        <v>43736</v>
      </c>
      <c r="H123" s="215">
        <v>43737</v>
      </c>
      <c r="O123" t="s">
        <v>165</v>
      </c>
    </row>
    <row r="124" spans="2:15" ht="99.95" customHeight="1" x14ac:dyDescent="0.25">
      <c r="B124" s="216"/>
      <c r="C124" s="216"/>
      <c r="D124" s="216"/>
      <c r="E124" s="216"/>
      <c r="F124" s="216"/>
      <c r="G124" s="216"/>
      <c r="H124" s="217"/>
      <c r="O124" t="s">
        <v>166</v>
      </c>
    </row>
    <row r="125" spans="2:15" ht="21" x14ac:dyDescent="0.25">
      <c r="B125" s="214">
        <f t="array" ref="B125:C125">Jours+36+DATE(Calendrier9ans,OptionCalendrier9mois,1)-WEEKDAY(DATE(Calendrier9ans,OptionCalendrier9mois,1),OptionJourSemaine)</f>
        <v>43738</v>
      </c>
      <c r="C125" s="214">
        <v>43739</v>
      </c>
      <c r="D125" s="222" t="s">
        <v>155</v>
      </c>
      <c r="E125" s="222"/>
      <c r="F125" s="222"/>
      <c r="G125" s="222"/>
      <c r="H125" s="222"/>
      <c r="O125" t="s">
        <v>167</v>
      </c>
    </row>
    <row r="126" spans="2:15" ht="99.95" customHeight="1" x14ac:dyDescent="0.25">
      <c r="B126" s="216"/>
      <c r="C126" s="216"/>
      <c r="D126" s="213"/>
      <c r="E126" s="213"/>
      <c r="F126" s="213"/>
      <c r="G126" s="213"/>
      <c r="H126" s="213"/>
    </row>
    <row r="127" spans="2:15" ht="47.25" thickBot="1" x14ac:dyDescent="0.75">
      <c r="B127" s="212">
        <f>YEAR(DATE(Calendrier9ans,OptionCalendrier9mois+1,1))</f>
        <v>2019</v>
      </c>
      <c r="C127" s="218" t="str">
        <f>TEXT(DATE(Calendrier9ans,OptionCalendrier9mois+1,1),"mmmm")</f>
        <v>octobre</v>
      </c>
      <c r="K127" s="145"/>
    </row>
    <row r="128" spans="2:15" ht="19.5" thickTop="1" thickBot="1" x14ac:dyDescent="0.3">
      <c r="B128" s="219" t="str">
        <f t="shared" ref="B128:H128" si="17">UPPER(TEXT(B129,"jjjj"))</f>
        <v>LUNDI</v>
      </c>
      <c r="C128" s="220" t="str">
        <f t="shared" si="17"/>
        <v>MARDI</v>
      </c>
      <c r="D128" s="219" t="str">
        <f t="shared" si="17"/>
        <v>MERCREDI</v>
      </c>
      <c r="E128" s="220" t="str">
        <f t="shared" si="17"/>
        <v>JEUDI</v>
      </c>
      <c r="F128" s="219" t="str">
        <f t="shared" si="17"/>
        <v>VENDREDI</v>
      </c>
      <c r="G128" s="220" t="str">
        <f t="shared" si="17"/>
        <v>SAMEDI</v>
      </c>
      <c r="H128" s="219" t="str">
        <f t="shared" si="17"/>
        <v>DIMANCHE</v>
      </c>
      <c r="O128" t="s">
        <v>156</v>
      </c>
    </row>
    <row r="129" spans="2:15" ht="21.75" thickTop="1" x14ac:dyDescent="0.25">
      <c r="B129" s="214">
        <f t="array" ref="B129:H129">Jours+1+DATE(Calendrier10ans,OptionCalendrier10mois,1)-WEEKDAY(DATE(Calendrier10ans,OptionCalendrier10mois,1),OptionJourSemaine)</f>
        <v>43738</v>
      </c>
      <c r="C129" s="214">
        <v>43739</v>
      </c>
      <c r="D129" s="214">
        <v>43740</v>
      </c>
      <c r="E129" s="214">
        <v>43741</v>
      </c>
      <c r="F129" s="214">
        <v>43742</v>
      </c>
      <c r="G129" s="214">
        <v>43743</v>
      </c>
      <c r="H129" s="215">
        <v>43744</v>
      </c>
      <c r="O129" t="s">
        <v>157</v>
      </c>
    </row>
    <row r="130" spans="2:15" ht="99.95" customHeight="1" x14ac:dyDescent="0.25">
      <c r="B130" s="216"/>
      <c r="C130" s="216"/>
      <c r="D130" s="216"/>
      <c r="E130" s="216"/>
      <c r="F130" s="216"/>
      <c r="G130" s="216"/>
      <c r="H130" s="217"/>
      <c r="O130" t="s">
        <v>158</v>
      </c>
    </row>
    <row r="131" spans="2:15" ht="21" x14ac:dyDescent="0.25">
      <c r="B131" s="214">
        <f t="array" ref="B131:H131">Jours+8+DATE(Calendrier10ans,OptionCalendrier10mois,1)-WEEKDAY(DATE(Calendrier10ans,OptionCalendrier10mois,1),OptionJourSemaine)</f>
        <v>43745</v>
      </c>
      <c r="C131" s="214">
        <v>43746</v>
      </c>
      <c r="D131" s="214">
        <v>43747</v>
      </c>
      <c r="E131" s="214">
        <v>43748</v>
      </c>
      <c r="F131" s="214">
        <v>43749</v>
      </c>
      <c r="G131" s="214">
        <v>43750</v>
      </c>
      <c r="H131" s="215">
        <v>43751</v>
      </c>
      <c r="O131" t="s">
        <v>159</v>
      </c>
    </row>
    <row r="132" spans="2:15" ht="99.95" customHeight="1" x14ac:dyDescent="0.25">
      <c r="B132" s="216"/>
      <c r="C132" s="216"/>
      <c r="D132" s="216"/>
      <c r="E132" s="216"/>
      <c r="F132" s="216"/>
      <c r="G132" s="216"/>
      <c r="H132" s="217"/>
      <c r="O132" t="s">
        <v>160</v>
      </c>
    </row>
    <row r="133" spans="2:15" ht="21" x14ac:dyDescent="0.25">
      <c r="B133" s="214">
        <f t="array" ref="B133:H133">Jours+15+DATE(Calendrier10ans,OptionCalendrier10mois,1)-WEEKDAY(DATE(Calendrier10ans,OptionCalendrier10mois,1),OptionJourSemaine)</f>
        <v>43752</v>
      </c>
      <c r="C133" s="214">
        <v>43753</v>
      </c>
      <c r="D133" s="214">
        <v>43754</v>
      </c>
      <c r="E133" s="214">
        <v>43755</v>
      </c>
      <c r="F133" s="214">
        <v>43756</v>
      </c>
      <c r="G133" s="214">
        <v>43757</v>
      </c>
      <c r="H133" s="215">
        <v>43758</v>
      </c>
      <c r="O133" t="s">
        <v>161</v>
      </c>
    </row>
    <row r="134" spans="2:15" ht="99.95" customHeight="1" x14ac:dyDescent="0.25">
      <c r="B134" s="216"/>
      <c r="C134" s="216"/>
      <c r="D134" s="216"/>
      <c r="E134" s="216"/>
      <c r="F134" s="216"/>
      <c r="G134" s="216"/>
      <c r="H134" s="217"/>
      <c r="O134" t="s">
        <v>162</v>
      </c>
    </row>
    <row r="135" spans="2:15" ht="21" x14ac:dyDescent="0.25">
      <c r="B135" s="214">
        <f t="array" ref="B135:H135">Jours+22+DATE(Calendrier10ans,OptionCalendrier10mois,1)-WEEKDAY(DATE(Calendrier10ans,OptionCalendrier10mois,1),OptionJourSemaine)</f>
        <v>43759</v>
      </c>
      <c r="C135" s="214">
        <v>43760</v>
      </c>
      <c r="D135" s="214">
        <v>43761</v>
      </c>
      <c r="E135" s="214">
        <v>43762</v>
      </c>
      <c r="F135" s="214">
        <v>43763</v>
      </c>
      <c r="G135" s="214">
        <v>43764</v>
      </c>
      <c r="H135" s="215">
        <v>43765</v>
      </c>
      <c r="O135" t="s">
        <v>163</v>
      </c>
    </row>
    <row r="136" spans="2:15" ht="99.95" customHeight="1" x14ac:dyDescent="0.25">
      <c r="B136" s="216"/>
      <c r="C136" s="216"/>
      <c r="D136" s="216"/>
      <c r="E136" s="216"/>
      <c r="F136" s="216"/>
      <c r="G136" s="216"/>
      <c r="H136" s="217"/>
      <c r="O136" t="s">
        <v>164</v>
      </c>
    </row>
    <row r="137" spans="2:15" ht="21" x14ac:dyDescent="0.25">
      <c r="B137" s="214">
        <f t="array" ref="B137:H137">Jours+29+DATE(Calendrier10ans,OptionCalendrier10mois,1)-WEEKDAY(DATE(Calendrier10ans,OptionCalendrier10mois,1),OptionJourSemaine)</f>
        <v>43766</v>
      </c>
      <c r="C137" s="214">
        <v>43767</v>
      </c>
      <c r="D137" s="214">
        <v>43768</v>
      </c>
      <c r="E137" s="214">
        <v>43769</v>
      </c>
      <c r="F137" s="214">
        <v>43770</v>
      </c>
      <c r="G137" s="214">
        <v>43771</v>
      </c>
      <c r="H137" s="215">
        <v>43772</v>
      </c>
      <c r="O137" t="s">
        <v>165</v>
      </c>
    </row>
    <row r="138" spans="2:15" ht="99.95" customHeight="1" x14ac:dyDescent="0.25">
      <c r="B138" s="216"/>
      <c r="C138" s="216"/>
      <c r="D138" s="216"/>
      <c r="E138" s="216"/>
      <c r="F138" s="216"/>
      <c r="G138" s="216"/>
      <c r="H138" s="217"/>
      <c r="O138" t="s">
        <v>166</v>
      </c>
    </row>
    <row r="139" spans="2:15" ht="21" x14ac:dyDescent="0.25">
      <c r="B139" s="214">
        <f t="array" ref="B139:C139">Jours+36+DATE(Calendrier10ans,OptionCalendrier10mois,1)-WEEKDAY(DATE(Calendrier10ans,OptionCalendrier10mois,1),OptionJourSemaine)</f>
        <v>43773</v>
      </c>
      <c r="C139" s="214">
        <v>43774</v>
      </c>
      <c r="D139" s="222" t="s">
        <v>155</v>
      </c>
      <c r="E139" s="222"/>
      <c r="F139" s="222"/>
      <c r="G139" s="222"/>
      <c r="H139" s="222"/>
      <c r="O139" t="s">
        <v>167</v>
      </c>
    </row>
    <row r="140" spans="2:15" ht="99.95" customHeight="1" x14ac:dyDescent="0.25">
      <c r="B140" s="216"/>
      <c r="C140" s="216"/>
      <c r="D140" s="213"/>
      <c r="E140" s="213"/>
      <c r="F140" s="213"/>
      <c r="G140" s="213"/>
      <c r="H140" s="213"/>
    </row>
    <row r="141" spans="2:15" ht="47.25" thickBot="1" x14ac:dyDescent="0.75">
      <c r="B141" s="212">
        <f>YEAR(DATE(Calendrier10ans,OptionCalendrier10mois+1,1))</f>
        <v>2019</v>
      </c>
      <c r="C141" s="218" t="str">
        <f>TEXT(DATE(Calendrier10ans,OptionCalendrier10mois+1,1),"mmmm")</f>
        <v>novembre</v>
      </c>
      <c r="K141" s="145"/>
    </row>
    <row r="142" spans="2:15" ht="19.5" thickTop="1" thickBot="1" x14ac:dyDescent="0.3">
      <c r="B142" s="219" t="str">
        <f t="shared" ref="B142:H142" si="18">UPPER(TEXT(B143,"jjjj"))</f>
        <v>LUNDI</v>
      </c>
      <c r="C142" s="220" t="str">
        <f t="shared" si="18"/>
        <v>MARDI</v>
      </c>
      <c r="D142" s="219" t="str">
        <f t="shared" si="18"/>
        <v>MERCREDI</v>
      </c>
      <c r="E142" s="220" t="str">
        <f t="shared" si="18"/>
        <v>JEUDI</v>
      </c>
      <c r="F142" s="219" t="str">
        <f t="shared" si="18"/>
        <v>VENDREDI</v>
      </c>
      <c r="G142" s="220" t="str">
        <f t="shared" si="18"/>
        <v>SAMEDI</v>
      </c>
      <c r="H142" s="219" t="str">
        <f t="shared" si="18"/>
        <v>DIMANCHE</v>
      </c>
      <c r="O142" t="s">
        <v>156</v>
      </c>
    </row>
    <row r="143" spans="2:15" ht="21.75" thickTop="1" x14ac:dyDescent="0.25">
      <c r="B143" s="214">
        <f t="array" ref="B143:H143">Jours+1+DATE( Calendrier11ans,OptionCalendrier11mois,1)-WEEKDAY(DATE( Calendrier11ans,OptionCalendrier11mois,1),OptionJourSemaine)</f>
        <v>43766</v>
      </c>
      <c r="C143" s="214">
        <v>43767</v>
      </c>
      <c r="D143" s="214">
        <v>43768</v>
      </c>
      <c r="E143" s="214">
        <v>43769</v>
      </c>
      <c r="F143" s="214">
        <v>43770</v>
      </c>
      <c r="G143" s="214">
        <v>43771</v>
      </c>
      <c r="H143" s="215">
        <v>43772</v>
      </c>
      <c r="O143" t="s">
        <v>157</v>
      </c>
    </row>
    <row r="144" spans="2:15" ht="99.95" customHeight="1" x14ac:dyDescent="0.25">
      <c r="B144" s="216"/>
      <c r="C144" s="216"/>
      <c r="D144" s="216"/>
      <c r="E144" s="216"/>
      <c r="F144" s="216"/>
      <c r="G144" s="216"/>
      <c r="H144" s="217"/>
      <c r="O144" t="s">
        <v>158</v>
      </c>
    </row>
    <row r="145" spans="2:15" ht="21" x14ac:dyDescent="0.25">
      <c r="B145" s="214">
        <f t="array" ref="B145:H145">Jours+8+DATE( Calendrier11ans,OptionCalendrier11mois,1)-WEEKDAY(DATE( Calendrier11ans,OptionCalendrier11mois,1),OptionJourSemaine)</f>
        <v>43773</v>
      </c>
      <c r="C145" s="214">
        <v>43774</v>
      </c>
      <c r="D145" s="214">
        <v>43775</v>
      </c>
      <c r="E145" s="214">
        <v>43776</v>
      </c>
      <c r="F145" s="214">
        <v>43777</v>
      </c>
      <c r="G145" s="214">
        <v>43778</v>
      </c>
      <c r="H145" s="215">
        <v>43779</v>
      </c>
      <c r="O145" t="s">
        <v>159</v>
      </c>
    </row>
    <row r="146" spans="2:15" ht="99.95" customHeight="1" x14ac:dyDescent="0.25">
      <c r="B146" s="216"/>
      <c r="C146" s="216"/>
      <c r="D146" s="216"/>
      <c r="E146" s="216"/>
      <c r="F146" s="216"/>
      <c r="G146" s="216"/>
      <c r="H146" s="217"/>
      <c r="O146" t="s">
        <v>160</v>
      </c>
    </row>
    <row r="147" spans="2:15" ht="21" x14ac:dyDescent="0.25">
      <c r="B147" s="214">
        <f t="array" ref="B147:H147">Jours+15+DATE( Calendrier11ans,OptionCalendrier11mois,1)-WEEKDAY(DATE( Calendrier11ans,OptionCalendrier11mois,1),OptionJourSemaine)</f>
        <v>43780</v>
      </c>
      <c r="C147" s="214">
        <v>43781</v>
      </c>
      <c r="D147" s="214">
        <v>43782</v>
      </c>
      <c r="E147" s="214">
        <v>43783</v>
      </c>
      <c r="F147" s="214">
        <v>43784</v>
      </c>
      <c r="G147" s="214">
        <v>43785</v>
      </c>
      <c r="H147" s="215">
        <v>43786</v>
      </c>
      <c r="O147" t="s">
        <v>161</v>
      </c>
    </row>
    <row r="148" spans="2:15" ht="99.95" customHeight="1" x14ac:dyDescent="0.25">
      <c r="B148" s="216"/>
      <c r="C148" s="216"/>
      <c r="D148" s="216"/>
      <c r="E148" s="216"/>
      <c r="F148" s="216"/>
      <c r="G148" s="216"/>
      <c r="H148" s="217"/>
      <c r="O148" t="s">
        <v>162</v>
      </c>
    </row>
    <row r="149" spans="2:15" ht="21" x14ac:dyDescent="0.25">
      <c r="B149" s="214">
        <f t="array" ref="B149:H149">Jours+22+DATE( Calendrier11ans,OptionCalendrier11mois,1)-WEEKDAY(DATE( Calendrier11ans,OptionCalendrier11mois,1),OptionJourSemaine)</f>
        <v>43787</v>
      </c>
      <c r="C149" s="214">
        <v>43788</v>
      </c>
      <c r="D149" s="214">
        <v>43789</v>
      </c>
      <c r="E149" s="214">
        <v>43790</v>
      </c>
      <c r="F149" s="214">
        <v>43791</v>
      </c>
      <c r="G149" s="214">
        <v>43792</v>
      </c>
      <c r="H149" s="215">
        <v>43793</v>
      </c>
      <c r="O149" t="s">
        <v>163</v>
      </c>
    </row>
    <row r="150" spans="2:15" ht="99.95" customHeight="1" x14ac:dyDescent="0.25">
      <c r="B150" s="216"/>
      <c r="C150" s="216"/>
      <c r="D150" s="216"/>
      <c r="E150" s="216"/>
      <c r="F150" s="216"/>
      <c r="G150" s="216"/>
      <c r="H150" s="217"/>
      <c r="O150" t="s">
        <v>164</v>
      </c>
    </row>
    <row r="151" spans="2:15" ht="21" x14ac:dyDescent="0.25">
      <c r="B151" s="214">
        <f t="array" ref="B151:H151">Jours+29+DATE( Calendrier11ans,OptionCalendrier11mois,1)-WEEKDAY(DATE( Calendrier11ans,OptionCalendrier11mois,1),OptionJourSemaine)</f>
        <v>43794</v>
      </c>
      <c r="C151" s="214">
        <v>43795</v>
      </c>
      <c r="D151" s="214">
        <v>43796</v>
      </c>
      <c r="E151" s="214">
        <v>43797</v>
      </c>
      <c r="F151" s="214">
        <v>43798</v>
      </c>
      <c r="G151" s="214">
        <v>43799</v>
      </c>
      <c r="H151" s="215">
        <v>43800</v>
      </c>
      <c r="O151" t="s">
        <v>165</v>
      </c>
    </row>
    <row r="152" spans="2:15" ht="99.95" customHeight="1" x14ac:dyDescent="0.25">
      <c r="B152" s="216"/>
      <c r="C152" s="216"/>
      <c r="D152" s="216"/>
      <c r="E152" s="216"/>
      <c r="F152" s="216"/>
      <c r="G152" s="216"/>
      <c r="H152" s="217"/>
      <c r="O152" t="s">
        <v>166</v>
      </c>
    </row>
    <row r="153" spans="2:15" ht="21" x14ac:dyDescent="0.25">
      <c r="B153" s="214">
        <f t="array" ref="B153:C153">Jours+36+DATE( Calendrier11ans,OptionCalendrier11mois,1)-WEEKDAY(DATE( Calendrier11ans,OptionCalendrier11mois,1),OptionJourSemaine)</f>
        <v>43801</v>
      </c>
      <c r="C153" s="214">
        <v>43802</v>
      </c>
      <c r="D153" s="222" t="s">
        <v>155</v>
      </c>
      <c r="E153" s="222"/>
      <c r="F153" s="222"/>
      <c r="G153" s="222"/>
      <c r="H153" s="222"/>
      <c r="O153" t="s">
        <v>167</v>
      </c>
    </row>
    <row r="154" spans="2:15" ht="99.95" customHeight="1" x14ac:dyDescent="0.25">
      <c r="B154" s="216"/>
      <c r="C154" s="216"/>
      <c r="D154" s="213"/>
      <c r="E154" s="213"/>
      <c r="F154" s="213"/>
      <c r="G154" s="213"/>
      <c r="H154" s="213"/>
    </row>
    <row r="155" spans="2:15" ht="47.25" thickBot="1" x14ac:dyDescent="0.75">
      <c r="B155" s="212">
        <f>YEAR(DATE( Calendrier11ans,OptionCalendrier11mois+1,1))</f>
        <v>2019</v>
      </c>
      <c r="C155" s="218" t="str">
        <f>TEXT(DATE( Calendrier11ans,OptionCalendrier11mois+1,1),"mmmm")</f>
        <v>décembre</v>
      </c>
      <c r="K155" s="145"/>
    </row>
    <row r="156" spans="2:15" ht="19.5" thickTop="1" thickBot="1" x14ac:dyDescent="0.3">
      <c r="B156" s="219" t="str">
        <f t="shared" ref="B156:H156" si="19">UPPER(TEXT(B157,"jjjj"))</f>
        <v>LUNDI</v>
      </c>
      <c r="C156" s="220" t="str">
        <f t="shared" si="19"/>
        <v>MARDI</v>
      </c>
      <c r="D156" s="219" t="str">
        <f t="shared" si="19"/>
        <v>MERCREDI</v>
      </c>
      <c r="E156" s="220" t="str">
        <f t="shared" si="19"/>
        <v>JEUDI</v>
      </c>
      <c r="F156" s="219" t="str">
        <f t="shared" si="19"/>
        <v>VENDREDI</v>
      </c>
      <c r="G156" s="220" t="str">
        <f t="shared" si="19"/>
        <v>SAMEDI</v>
      </c>
      <c r="H156" s="219" t="str">
        <f t="shared" si="19"/>
        <v>DIMANCHE</v>
      </c>
      <c r="O156" t="s">
        <v>156</v>
      </c>
    </row>
    <row r="157" spans="2:15" ht="21.75" thickTop="1" x14ac:dyDescent="0.25">
      <c r="B157" s="214">
        <f t="array" ref="B157:H157">Jours+1+DATE( Calendrier12ans,OptionCalendrier12mois,1)-WEEKDAY(DATE( Calendrier12ans,OptionCalendrier12mois,1),OptionJourSemaine)</f>
        <v>43794</v>
      </c>
      <c r="C157" s="214">
        <v>43795</v>
      </c>
      <c r="D157" s="214">
        <v>43796</v>
      </c>
      <c r="E157" s="214">
        <v>43797</v>
      </c>
      <c r="F157" s="214">
        <v>43798</v>
      </c>
      <c r="G157" s="214">
        <v>43799</v>
      </c>
      <c r="H157" s="215">
        <v>43800</v>
      </c>
      <c r="O157" t="s">
        <v>157</v>
      </c>
    </row>
    <row r="158" spans="2:15" ht="99.95" customHeight="1" x14ac:dyDescent="0.25">
      <c r="B158" s="216"/>
      <c r="C158" s="216"/>
      <c r="D158" s="216"/>
      <c r="E158" s="216"/>
      <c r="F158" s="216"/>
      <c r="G158" s="216"/>
      <c r="H158" s="217"/>
      <c r="O158" t="s">
        <v>158</v>
      </c>
    </row>
    <row r="159" spans="2:15" ht="21" x14ac:dyDescent="0.25">
      <c r="B159" s="214">
        <f t="array" ref="B159:H159">Jours+8+DATE( Calendrier12ans,OptionCalendrier12mois,1)-WEEKDAY(DATE( Calendrier12ans,OptionCalendrier12mois,1),OptionJourSemaine)</f>
        <v>43801</v>
      </c>
      <c r="C159" s="214">
        <v>43802</v>
      </c>
      <c r="D159" s="214">
        <v>43803</v>
      </c>
      <c r="E159" s="214">
        <v>43804</v>
      </c>
      <c r="F159" s="214">
        <v>43805</v>
      </c>
      <c r="G159" s="214">
        <v>43806</v>
      </c>
      <c r="H159" s="215">
        <v>43807</v>
      </c>
      <c r="O159" t="s">
        <v>159</v>
      </c>
    </row>
    <row r="160" spans="2:15" ht="99.95" customHeight="1" x14ac:dyDescent="0.25">
      <c r="B160" s="216"/>
      <c r="C160" s="216"/>
      <c r="D160" s="216"/>
      <c r="E160" s="216"/>
      <c r="F160" s="216"/>
      <c r="G160" s="216"/>
      <c r="H160" s="217"/>
      <c r="O160" t="s">
        <v>160</v>
      </c>
    </row>
    <row r="161" spans="2:15" ht="21" x14ac:dyDescent="0.25">
      <c r="B161" s="214">
        <f t="array" ref="B161:H161">Jours+15+DATE( Calendrier12ans,OptionCalendrier12mois,1)-WEEKDAY(DATE( Calendrier12ans,OptionCalendrier12mois,1),OptionJourSemaine)</f>
        <v>43808</v>
      </c>
      <c r="C161" s="214">
        <v>43809</v>
      </c>
      <c r="D161" s="214">
        <v>43810</v>
      </c>
      <c r="E161" s="214">
        <v>43811</v>
      </c>
      <c r="F161" s="214">
        <v>43812</v>
      </c>
      <c r="G161" s="214">
        <v>43813</v>
      </c>
      <c r="H161" s="215">
        <v>43814</v>
      </c>
      <c r="O161" t="s">
        <v>161</v>
      </c>
    </row>
    <row r="162" spans="2:15" ht="99.95" customHeight="1" x14ac:dyDescent="0.25">
      <c r="B162" s="216"/>
      <c r="C162" s="216"/>
      <c r="D162" s="216"/>
      <c r="E162" s="216"/>
      <c r="F162" s="216"/>
      <c r="G162" s="216"/>
      <c r="H162" s="217"/>
      <c r="O162" t="s">
        <v>162</v>
      </c>
    </row>
    <row r="163" spans="2:15" ht="21" x14ac:dyDescent="0.25">
      <c r="B163" s="214">
        <f t="array" ref="B163:H163">Jours+22+DATE( Calendrier12ans,OptionCalendrier12mois,1)-WEEKDAY(DATE( Calendrier12ans,OptionCalendrier12mois,1),OptionJourSemaine)</f>
        <v>43815</v>
      </c>
      <c r="C163" s="214">
        <v>43816</v>
      </c>
      <c r="D163" s="214">
        <v>43817</v>
      </c>
      <c r="E163" s="214">
        <v>43818</v>
      </c>
      <c r="F163" s="214">
        <v>43819</v>
      </c>
      <c r="G163" s="214">
        <v>43820</v>
      </c>
      <c r="H163" s="215">
        <v>43821</v>
      </c>
      <c r="O163" t="s">
        <v>163</v>
      </c>
    </row>
    <row r="164" spans="2:15" ht="99.95" customHeight="1" x14ac:dyDescent="0.25">
      <c r="B164" s="216"/>
      <c r="C164" s="216"/>
      <c r="D164" s="216"/>
      <c r="E164" s="216"/>
      <c r="F164" s="216"/>
      <c r="G164" s="216"/>
      <c r="H164" s="217"/>
      <c r="O164" t="s">
        <v>164</v>
      </c>
    </row>
    <row r="165" spans="2:15" ht="21" x14ac:dyDescent="0.25">
      <c r="B165" s="214">
        <f t="array" ref="B165:H165">Jours+29+DATE( Calendrier12ans,OptionCalendrier12mois,1)-WEEKDAY(DATE( Calendrier12ans,OptionCalendrier12mois,1),OptionJourSemaine)</f>
        <v>43822</v>
      </c>
      <c r="C165" s="214">
        <v>43823</v>
      </c>
      <c r="D165" s="214">
        <v>43824</v>
      </c>
      <c r="E165" s="214">
        <v>43825</v>
      </c>
      <c r="F165" s="214">
        <v>43826</v>
      </c>
      <c r="G165" s="214">
        <v>43827</v>
      </c>
      <c r="H165" s="215">
        <v>43828</v>
      </c>
      <c r="O165" t="s">
        <v>165</v>
      </c>
    </row>
    <row r="166" spans="2:15" ht="99.95" customHeight="1" x14ac:dyDescent="0.25">
      <c r="B166" s="216"/>
      <c r="C166" s="216"/>
      <c r="D166" s="216"/>
      <c r="E166" s="216"/>
      <c r="F166" s="216"/>
      <c r="G166" s="216"/>
      <c r="H166" s="217"/>
      <c r="O166" t="s">
        <v>166</v>
      </c>
    </row>
    <row r="167" spans="2:15" ht="21" x14ac:dyDescent="0.25">
      <c r="B167" s="214">
        <f t="array" ref="B167:C167">Jours+36+DATE( Calendrier12ans,OptionCalendrier12mois,1)-WEEKDAY(DATE( Calendrier12ans,OptionCalendrier12mois,1),OptionJourSemaine)</f>
        <v>43829</v>
      </c>
      <c r="C167" s="214">
        <v>43830</v>
      </c>
      <c r="D167" s="222" t="s">
        <v>155</v>
      </c>
      <c r="E167" s="222"/>
      <c r="F167" s="222"/>
      <c r="G167" s="222"/>
      <c r="H167" s="222"/>
      <c r="O167" t="s">
        <v>167</v>
      </c>
    </row>
    <row r="168" spans="2:15" ht="99.95" customHeight="1" x14ac:dyDescent="0.25">
      <c r="B168" s="216"/>
      <c r="C168" s="216"/>
      <c r="D168" s="213"/>
      <c r="E168" s="213"/>
      <c r="F168" s="213"/>
      <c r="G168" s="213"/>
      <c r="H168" s="213"/>
    </row>
  </sheetData>
  <mergeCells count="24">
    <mergeCell ref="D154:H154"/>
    <mergeCell ref="D167:H167"/>
    <mergeCell ref="D168:H168"/>
    <mergeCell ref="D112:H112"/>
    <mergeCell ref="D125:H125"/>
    <mergeCell ref="D126:H126"/>
    <mergeCell ref="D139:H139"/>
    <mergeCell ref="D140:H140"/>
    <mergeCell ref="D153:H153"/>
    <mergeCell ref="D70:H70"/>
    <mergeCell ref="D83:H83"/>
    <mergeCell ref="D84:H84"/>
    <mergeCell ref="D97:H97"/>
    <mergeCell ref="D98:H98"/>
    <mergeCell ref="D111:H111"/>
    <mergeCell ref="D28:H28"/>
    <mergeCell ref="D41:H41"/>
    <mergeCell ref="D42:H42"/>
    <mergeCell ref="D55:H55"/>
    <mergeCell ref="D56:H56"/>
    <mergeCell ref="D69:H69"/>
    <mergeCell ref="D13:H13"/>
    <mergeCell ref="D14:H14"/>
    <mergeCell ref="D27:H27"/>
  </mergeCells>
  <conditionalFormatting sqref="B9:H9 B11:H11 B13:C13">
    <cfRule type="expression" dxfId="39" priority="92">
      <formula>MONTH(B9)&lt;&gt;OptionCalendrier1mois</formula>
    </cfRule>
  </conditionalFormatting>
  <conditionalFormatting sqref="B41:C41">
    <cfRule type="expression" dxfId="38" priority="72">
      <formula>MONTH(B41)&lt;&gt;OptionCalendrier3mois</formula>
    </cfRule>
  </conditionalFormatting>
  <conditionalFormatting sqref="B3:H3">
    <cfRule type="expression" dxfId="37" priority="64">
      <formula>MONTH(B3)&lt;&gt;OptionCalendrier1mois</formula>
    </cfRule>
  </conditionalFormatting>
  <conditionalFormatting sqref="B5:H5">
    <cfRule type="expression" dxfId="36" priority="63">
      <formula>MONTH(B5)&lt;&gt;OptionCalendrier1mois</formula>
    </cfRule>
  </conditionalFormatting>
  <conditionalFormatting sqref="B7:H7">
    <cfRule type="expression" dxfId="35" priority="62">
      <formula>MONTH(B7)&lt;&gt;OptionCalendrier1mois</formula>
    </cfRule>
  </conditionalFormatting>
  <conditionalFormatting sqref="B23:H23 B25:H25 B27:C27">
    <cfRule type="expression" dxfId="34" priority="61">
      <formula>MONTH(B23)&lt;&gt;OptionCalendrier2mois</formula>
    </cfRule>
  </conditionalFormatting>
  <conditionalFormatting sqref="B17:H17">
    <cfRule type="expression" dxfId="33" priority="60">
      <formula>MONTH(B17)&lt;&gt;OptionCalendrier2mois</formula>
    </cfRule>
  </conditionalFormatting>
  <conditionalFormatting sqref="B19:H19">
    <cfRule type="expression" dxfId="32" priority="59">
      <formula>MONTH(B19)&lt;&gt;OptionCalendrier2mois</formula>
    </cfRule>
  </conditionalFormatting>
  <conditionalFormatting sqref="B21:H21">
    <cfRule type="expression" dxfId="31" priority="58">
      <formula>MONTH(B21)&lt;&gt;OptionCalendrier2mois</formula>
    </cfRule>
  </conditionalFormatting>
  <conditionalFormatting sqref="B31:H31">
    <cfRule type="expression" dxfId="30" priority="57">
      <formula>MONTH(B31)&lt;&gt;OptionCalendrier3mois</formula>
    </cfRule>
  </conditionalFormatting>
  <conditionalFormatting sqref="B33:H33 B35:H35 B37:H37 B39:H39">
    <cfRule type="expression" dxfId="29" priority="56">
      <formula>MONTH(B33)&lt;&gt;OptionCalendrier3mois</formula>
    </cfRule>
  </conditionalFormatting>
  <conditionalFormatting sqref="B45:H45">
    <cfRule type="expression" dxfId="28" priority="55">
      <formula>MONTH(B45)&lt;&gt;OptionCalendrier4mois</formula>
    </cfRule>
  </conditionalFormatting>
  <conditionalFormatting sqref="B59:H59">
    <cfRule type="expression" dxfId="27" priority="51">
      <formula>MONTH(B59)&lt;&gt;OptionCalendrier5mois</formula>
    </cfRule>
  </conditionalFormatting>
  <conditionalFormatting sqref="B73:H73">
    <cfRule type="expression" dxfId="26" priority="47">
      <formula>MONTH(B73)&lt;&gt;OptionCalendrier6mois</formula>
    </cfRule>
  </conditionalFormatting>
  <conditionalFormatting sqref="B87:H87">
    <cfRule type="expression" dxfId="25" priority="43">
      <formula>MONTH(B87)&lt;&gt;OptionCalendrier7mois</formula>
    </cfRule>
  </conditionalFormatting>
  <conditionalFormatting sqref="B101:H101">
    <cfRule type="expression" dxfId="24" priority="39">
      <formula>MONTH(B101)&lt;&gt;OptionCalendrier8mois</formula>
    </cfRule>
  </conditionalFormatting>
  <conditionalFormatting sqref="B115:H115">
    <cfRule type="expression" dxfId="23" priority="35">
      <formula>MONTH(B115)&lt;&gt;OptionCalendrier9mois</formula>
    </cfRule>
  </conditionalFormatting>
  <conditionalFormatting sqref="B129:H129">
    <cfRule type="expression" dxfId="22" priority="31">
      <formula>MONTH(B129)&lt;&gt;OptionCalendrier10mois</formula>
    </cfRule>
  </conditionalFormatting>
  <conditionalFormatting sqref="B143:H143">
    <cfRule type="expression" dxfId="21" priority="27">
      <formula>MONTH(B143)&lt;&gt;OptionCalendrier11mois</formula>
    </cfRule>
  </conditionalFormatting>
  <conditionalFormatting sqref="B157:H157">
    <cfRule type="expression" dxfId="20" priority="23">
      <formula>MONTH(B157)&lt;&gt;OptionCalendrier12mois</formula>
    </cfRule>
  </conditionalFormatting>
  <conditionalFormatting sqref="B47:H47 B49:H49 B51:H51 B53:H53">
    <cfRule type="expression" dxfId="19" priority="21">
      <formula>MONTH(B47)&lt;&gt;OptionCalendrier4mois</formula>
    </cfRule>
  </conditionalFormatting>
  <conditionalFormatting sqref="B55:C55">
    <cfRule type="expression" dxfId="18" priority="20">
      <formula>MONTH(B55)&lt;&gt;OptionCalendrier4mois</formula>
    </cfRule>
  </conditionalFormatting>
  <conditionalFormatting sqref="B61:H61 B63:H63 B65:H65 B67:H67">
    <cfRule type="expression" dxfId="17" priority="19">
      <formula>MONTH(B61)&lt;&gt;OptionCalendrier5mois</formula>
    </cfRule>
  </conditionalFormatting>
  <conditionalFormatting sqref="B69:C69">
    <cfRule type="expression" dxfId="16" priority="18">
      <formula>MONTH(B69)&lt;&gt;OptionCalendrier5mois</formula>
    </cfRule>
  </conditionalFormatting>
  <conditionalFormatting sqref="B75:H75 B77:H77 B79:H79 B81:H81">
    <cfRule type="expression" dxfId="15" priority="17">
      <formula>MONTH(B75)&lt;&gt;OptionCalendrier6mois</formula>
    </cfRule>
  </conditionalFormatting>
  <conditionalFormatting sqref="B83:C83">
    <cfRule type="expression" dxfId="14" priority="16">
      <formula>MONTH(B83)&lt;&gt;OptionCalendrier6mois</formula>
    </cfRule>
  </conditionalFormatting>
  <conditionalFormatting sqref="B89:H89 B91:H91 B93:H93">
    <cfRule type="expression" dxfId="13" priority="15">
      <formula>MONTH(B89)&lt;&gt;OptionCalendrier7mois</formula>
    </cfRule>
  </conditionalFormatting>
  <conditionalFormatting sqref="B95:H95">
    <cfRule type="expression" dxfId="12" priority="14">
      <formula>MONTH(B95)&lt;&gt;OptionCalendrier7mois</formula>
    </cfRule>
  </conditionalFormatting>
  <conditionalFormatting sqref="B97:C97">
    <cfRule type="expression" dxfId="11" priority="13">
      <formula>MONTH(B97)&lt;&gt;OptionCalendrier7mois</formula>
    </cfRule>
  </conditionalFormatting>
  <conditionalFormatting sqref="B103:H103 B105:H105 B107:H107 B109:H109">
    <cfRule type="expression" dxfId="10" priority="12">
      <formula>MONTH(B103)&lt;&gt;OptionCalendrier8mois</formula>
    </cfRule>
  </conditionalFormatting>
  <conditionalFormatting sqref="B111:C111">
    <cfRule type="expression" dxfId="9" priority="11">
      <formula>MONTH(B111)&lt;&gt;OptionCalendrier8mois</formula>
    </cfRule>
  </conditionalFormatting>
  <conditionalFormatting sqref="B117:H117 B119:H119 B121:H121 B123:H123">
    <cfRule type="expression" dxfId="8" priority="9">
      <formula>MONTH(B117)&lt;&gt;OptionCalendrier9mois</formula>
    </cfRule>
  </conditionalFormatting>
  <conditionalFormatting sqref="B125:C125">
    <cfRule type="expression" dxfId="7" priority="8">
      <formula>MONTH(B125)&lt;&gt;OptionCalendrier9mois</formula>
    </cfRule>
  </conditionalFormatting>
  <conditionalFormatting sqref="B131:H131 B133:H133 B135:H135 B137:H137">
    <cfRule type="expression" dxfId="6" priority="7">
      <formula>MONTH(B131)&lt;&gt;OptionCalendrier10mois</formula>
    </cfRule>
  </conditionalFormatting>
  <conditionalFormatting sqref="B139:C139">
    <cfRule type="expression" dxfId="5" priority="6">
      <formula>MONTH(B139)&lt;&gt;OptionCalendrier10mois</formula>
    </cfRule>
  </conditionalFormatting>
  <conditionalFormatting sqref="B145:H145">
    <cfRule type="expression" dxfId="4" priority="5">
      <formula>MONTH(B145)&lt;&gt;OptionCalendrier11mois</formula>
    </cfRule>
  </conditionalFormatting>
  <conditionalFormatting sqref="B147:H147 B149:H149 B151:H151">
    <cfRule type="expression" dxfId="3" priority="4">
      <formula>MONTH(B147)&lt;&gt;OptionCalendrier11mois</formula>
    </cfRule>
  </conditionalFormatting>
  <conditionalFormatting sqref="B153:C153">
    <cfRule type="expression" dxfId="2" priority="3">
      <formula>MONTH(B153)&lt;&gt;OptionCalendrier11mois</formula>
    </cfRule>
  </conditionalFormatting>
  <conditionalFormatting sqref="B159:H159 B161:H161 B163:H163 B165:H165">
    <cfRule type="expression" dxfId="1" priority="2">
      <formula>MONTH(B159)&lt;&gt;OptionCalendrier12mois</formula>
    </cfRule>
  </conditionalFormatting>
  <conditionalFormatting sqref="B167:C167">
    <cfRule type="expression" dxfId="0" priority="1">
      <formula>MONTH(B167)&lt;&gt;OptionCalendrier12mois</formula>
    </cfRule>
  </conditionalFormatting>
  <dataValidations count="4">
    <dataValidation type="list" showInputMessage="1" showErrorMessage="1" sqref="C1 C15 C29 C43 C57 C71 C85 C99 C113 C127 C141 C155" xr:uid="{2BF5AB66-4654-41FD-91B8-F96E50850715}">
      <formula1>ChoixMois</formula1>
    </dataValidation>
    <dataValidation allowBlank="1" showInputMessage="1" prompt="Date" sqref="B3 B17 B31 B45 B59 B73 B87 B101 B115 B129 B143 B157" xr:uid="{E150CDB4-7F60-44A1-BB50-A06D40D982F8}"/>
    <dataValidation allowBlank="1" showInputMessage="1" prompt="Titre des notes mensuelles" sqref="D13 D27 D41 D55 D69 D83 D97 D111 D125 D139 D153 D167" xr:uid="{B6E5F446-C88A-48B6-A9BE-364ABC1B53F0}"/>
    <dataValidation allowBlank="1" showInputMessage="1" prompt="Ajouter des notes mensuelles ici" sqref="D14 D28 D42 D56 D70 D84 D98 D112 D126 D140 D154 D168" xr:uid="{50AF13F7-7658-4501-A971-9E522BA70F6E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28</vt:i4>
      </vt:variant>
    </vt:vector>
  </HeadingPairs>
  <TitlesOfParts>
    <vt:vector size="34" baseType="lpstr">
      <vt:lpstr>Infos adm chantier</vt:lpstr>
      <vt:lpstr>Infos locat + planification</vt:lpstr>
      <vt:lpstr>Fiche EdL avant travaux</vt:lpstr>
      <vt:lpstr>Fiche travaux</vt:lpstr>
      <vt:lpstr>Fiche planification</vt:lpstr>
      <vt:lpstr>Planning</vt:lpstr>
      <vt:lpstr>Calendrier10ans</vt:lpstr>
      <vt:lpstr>Calendrier10mois</vt:lpstr>
      <vt:lpstr>Calendrier11ans</vt:lpstr>
      <vt:lpstr>Calendrier11mois</vt:lpstr>
      <vt:lpstr>Calendrier12ans</vt:lpstr>
      <vt:lpstr>Calendrier12mois</vt:lpstr>
      <vt:lpstr>Calendrier1an</vt:lpstr>
      <vt:lpstr>Calendrier1mois</vt:lpstr>
      <vt:lpstr>Calendrier2ans</vt:lpstr>
      <vt:lpstr>Calendrier2mois</vt:lpstr>
      <vt:lpstr>Calendrier3ans</vt:lpstr>
      <vt:lpstr>Calendrier3mois</vt:lpstr>
      <vt:lpstr>Calendrier4ans</vt:lpstr>
      <vt:lpstr>Calendrier4mois</vt:lpstr>
      <vt:lpstr>Calendrier5ans</vt:lpstr>
      <vt:lpstr>Calendrier5mois</vt:lpstr>
      <vt:lpstr>Calendrier6ans</vt:lpstr>
      <vt:lpstr>Calendrier6mois</vt:lpstr>
      <vt:lpstr>Calendrier7ans</vt:lpstr>
      <vt:lpstr>Calendrier7mois</vt:lpstr>
      <vt:lpstr>Calendrier8ans</vt:lpstr>
      <vt:lpstr>Calendrier8mois</vt:lpstr>
      <vt:lpstr>Calendrier9ans</vt:lpstr>
      <vt:lpstr>Calendrier9mois</vt:lpstr>
      <vt:lpstr>ChoixMois</vt:lpstr>
      <vt:lpstr>DébutSemaine</vt:lpstr>
      <vt:lpstr>Infos_locat</vt:lpstr>
      <vt:lpstr>'Fiche travaux'!Zone_d_impression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 CHAPIN</dc:creator>
  <cp:lastModifiedBy>Magalie CHAPIN</cp:lastModifiedBy>
  <cp:lastPrinted>2019-04-10T09:16:44Z</cp:lastPrinted>
  <dcterms:created xsi:type="dcterms:W3CDTF">2019-04-10T08:29:50Z</dcterms:created>
  <dcterms:modified xsi:type="dcterms:W3CDTF">2019-04-10T16:30:07Z</dcterms:modified>
</cp:coreProperties>
</file>