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200" windowHeight="11595" activeTab="3"/>
  </bookViews>
  <sheets>
    <sheet name="Périodes" sheetId="47" r:id="rId1"/>
    <sheet name="Plages" sheetId="4" r:id="rId2"/>
    <sheet name="Remplacements" sheetId="49" state="hidden" r:id="rId3"/>
    <sheet name="Planning annuel mixing coater" sheetId="3" r:id="rId4"/>
  </sheets>
  <definedNames>
    <definedName name="datedeb">Plages!$D$17</definedName>
    <definedName name="Férié">Plages!$Q:$Q</definedName>
    <definedName name="FermDéb">Périodes!$Y$3:$Y$100</definedName>
    <definedName name="FermFin">Périodes!$Z$3:$Z$100</definedName>
    <definedName name="Plage1">#REF!</definedName>
    <definedName name="Plage2">'Planning annuel mixing coater'!$B:$S</definedName>
    <definedName name="Plage3">#REF!</definedName>
    <definedName name="Plageh">Plages!$B$6:$D$12</definedName>
    <definedName name="PMDAY">Plages!$F:$F</definedName>
    <definedName name="VacDéb">Périodes!$V$3:$V$100</definedName>
    <definedName name="VacFin">Périodes!$W$3:$W$100</definedName>
  </definedNames>
  <calcPr calcId="125725"/>
</workbook>
</file>

<file path=xl/calcChain.xml><?xml version="1.0" encoding="utf-8"?>
<calcChain xmlns="http://schemas.openxmlformats.org/spreadsheetml/2006/main">
  <c r="S16" i="47"/>
  <c r="O16"/>
  <c r="K16"/>
  <c r="G16"/>
  <c r="C16"/>
  <c r="S2"/>
  <c r="O2"/>
  <c r="K2"/>
  <c r="G2"/>
  <c r="G3"/>
  <c r="C3"/>
  <c r="C4"/>
  <c r="C5"/>
  <c r="C6"/>
  <c r="C7"/>
  <c r="C8"/>
  <c r="C9"/>
  <c r="C10"/>
  <c r="C11"/>
  <c r="C12"/>
  <c r="C13"/>
  <c r="J4061" i="3" l="1"/>
  <c r="I4061"/>
  <c r="G4061"/>
  <c r="F4061"/>
  <c r="E4061"/>
  <c r="J4060"/>
  <c r="I4060"/>
  <c r="G4060"/>
  <c r="F4060"/>
  <c r="E4060"/>
  <c r="J4059"/>
  <c r="I4059"/>
  <c r="G4059"/>
  <c r="F4059"/>
  <c r="E4059"/>
  <c r="J4058"/>
  <c r="I4058"/>
  <c r="G4058"/>
  <c r="F4058"/>
  <c r="E4058"/>
  <c r="J4057"/>
  <c r="I4057"/>
  <c r="G4057"/>
  <c r="F4057"/>
  <c r="E4057"/>
  <c r="J4056"/>
  <c r="I4056"/>
  <c r="G4056"/>
  <c r="F4056"/>
  <c r="E4056"/>
  <c r="J4055"/>
  <c r="I4055"/>
  <c r="G4055"/>
  <c r="F4055"/>
  <c r="E4055"/>
  <c r="J4054"/>
  <c r="I4054"/>
  <c r="G4054"/>
  <c r="F4054"/>
  <c r="E4054"/>
  <c r="J4053"/>
  <c r="I4053"/>
  <c r="G4053"/>
  <c r="F4053"/>
  <c r="E4053"/>
  <c r="J4052"/>
  <c r="I4052"/>
  <c r="G4052"/>
  <c r="F4052"/>
  <c r="E4052"/>
  <c r="J4051"/>
  <c r="I4051"/>
  <c r="G4051"/>
  <c r="F4051"/>
  <c r="E4051"/>
  <c r="J4050"/>
  <c r="I4050"/>
  <c r="G4050"/>
  <c r="F4050"/>
  <c r="E4050"/>
  <c r="J4049"/>
  <c r="I4049"/>
  <c r="G4049"/>
  <c r="F4049"/>
  <c r="E4049"/>
  <c r="J4048"/>
  <c r="I4048"/>
  <c r="G4048"/>
  <c r="F4048"/>
  <c r="E4048"/>
  <c r="J4047"/>
  <c r="I4047"/>
  <c r="G4047"/>
  <c r="F4047"/>
  <c r="E4047"/>
  <c r="J4046"/>
  <c r="I4046"/>
  <c r="G4046"/>
  <c r="F4046"/>
  <c r="E4046"/>
  <c r="J4045"/>
  <c r="I4045"/>
  <c r="G4045"/>
  <c r="F4045"/>
  <c r="E4045"/>
  <c r="J4044"/>
  <c r="I4044"/>
  <c r="G4044"/>
  <c r="F4044"/>
  <c r="E4044"/>
  <c r="J4043"/>
  <c r="I4043"/>
  <c r="G4043"/>
  <c r="F4043"/>
  <c r="E4043"/>
  <c r="J4042"/>
  <c r="I4042"/>
  <c r="G4042"/>
  <c r="F4042"/>
  <c r="E4042"/>
  <c r="J4041"/>
  <c r="I4041"/>
  <c r="G4041"/>
  <c r="F4041"/>
  <c r="E4041"/>
  <c r="J4040"/>
  <c r="I4040"/>
  <c r="G4040"/>
  <c r="F4040"/>
  <c r="E4040"/>
  <c r="J4039"/>
  <c r="I4039"/>
  <c r="G4039"/>
  <c r="F4039"/>
  <c r="E4039"/>
  <c r="J4038"/>
  <c r="I4038"/>
  <c r="G4038"/>
  <c r="F4038"/>
  <c r="E4038"/>
  <c r="J4037"/>
  <c r="I4037"/>
  <c r="G4037"/>
  <c r="F4037"/>
  <c r="E4037"/>
  <c r="J4036"/>
  <c r="I4036"/>
  <c r="G4036"/>
  <c r="F4036"/>
  <c r="E4036"/>
  <c r="J4035"/>
  <c r="I4035"/>
  <c r="G4035"/>
  <c r="F4035"/>
  <c r="E4035"/>
  <c r="J4034"/>
  <c r="I4034"/>
  <c r="G4034"/>
  <c r="F4034"/>
  <c r="E4034"/>
  <c r="J4033"/>
  <c r="I4033"/>
  <c r="G4033"/>
  <c r="F4033"/>
  <c r="E4033"/>
  <c r="J4032"/>
  <c r="I4032"/>
  <c r="G4032"/>
  <c r="F4032"/>
  <c r="E4032"/>
  <c r="J4031"/>
  <c r="I4031"/>
  <c r="G4031"/>
  <c r="F4031"/>
  <c r="E4031"/>
  <c r="J4030"/>
  <c r="I4030"/>
  <c r="G4030"/>
  <c r="F4030"/>
  <c r="E4030"/>
  <c r="J4029"/>
  <c r="I4029"/>
  <c r="G4029"/>
  <c r="F4029"/>
  <c r="E4029"/>
  <c r="J4028"/>
  <c r="I4028"/>
  <c r="G4028"/>
  <c r="F4028"/>
  <c r="E4028"/>
  <c r="J4027"/>
  <c r="I4027"/>
  <c r="G4027"/>
  <c r="F4027"/>
  <c r="E4027"/>
  <c r="J4026"/>
  <c r="I4026"/>
  <c r="G4026"/>
  <c r="F4026"/>
  <c r="E4026"/>
  <c r="J4025"/>
  <c r="I4025"/>
  <c r="G4025"/>
  <c r="F4025"/>
  <c r="E4025"/>
  <c r="J4024"/>
  <c r="I4024"/>
  <c r="G4024"/>
  <c r="F4024"/>
  <c r="E4024"/>
  <c r="J4023"/>
  <c r="I4023"/>
  <c r="G4023"/>
  <c r="F4023"/>
  <c r="E4023"/>
  <c r="J4022"/>
  <c r="I4022"/>
  <c r="G4022"/>
  <c r="F4022"/>
  <c r="E4022"/>
  <c r="J4021"/>
  <c r="I4021"/>
  <c r="G4021"/>
  <c r="F4021"/>
  <c r="E4021"/>
  <c r="J4020"/>
  <c r="I4020"/>
  <c r="G4020"/>
  <c r="F4020"/>
  <c r="E4020"/>
  <c r="J4019"/>
  <c r="I4019"/>
  <c r="G4019"/>
  <c r="F4019"/>
  <c r="E4019"/>
  <c r="J4018"/>
  <c r="I4018"/>
  <c r="G4018"/>
  <c r="F4018"/>
  <c r="E4018"/>
  <c r="J4017"/>
  <c r="I4017"/>
  <c r="G4017"/>
  <c r="F4017"/>
  <c r="E4017"/>
  <c r="J4016"/>
  <c r="I4016"/>
  <c r="G4016"/>
  <c r="F4016"/>
  <c r="E4016"/>
  <c r="J4015"/>
  <c r="I4015"/>
  <c r="G4015"/>
  <c r="F4015"/>
  <c r="E4015"/>
  <c r="J4014"/>
  <c r="I4014"/>
  <c r="G4014"/>
  <c r="F4014"/>
  <c r="E4014"/>
  <c r="J4013"/>
  <c r="I4013"/>
  <c r="G4013"/>
  <c r="F4013"/>
  <c r="E4013"/>
  <c r="J4012"/>
  <c r="I4012"/>
  <c r="G4012"/>
  <c r="F4012"/>
  <c r="E4012"/>
  <c r="J4011"/>
  <c r="I4011"/>
  <c r="G4011"/>
  <c r="F4011"/>
  <c r="E4011"/>
  <c r="J4010"/>
  <c r="I4010"/>
  <c r="G4010"/>
  <c r="F4010"/>
  <c r="E4010"/>
  <c r="J4009"/>
  <c r="I4009"/>
  <c r="G4009"/>
  <c r="F4009"/>
  <c r="E4009"/>
  <c r="J4008"/>
  <c r="I4008"/>
  <c r="G4008"/>
  <c r="F4008"/>
  <c r="E4008"/>
  <c r="J4007"/>
  <c r="I4007"/>
  <c r="G4007"/>
  <c r="F4007"/>
  <c r="E4007"/>
  <c r="J4006"/>
  <c r="I4006"/>
  <c r="G4006"/>
  <c r="F4006"/>
  <c r="E4006"/>
  <c r="J4005"/>
  <c r="I4005"/>
  <c r="G4005"/>
  <c r="F4005"/>
  <c r="E4005"/>
  <c r="J4004"/>
  <c r="I4004"/>
  <c r="G4004"/>
  <c r="F4004"/>
  <c r="E4004"/>
  <c r="J4003"/>
  <c r="I4003"/>
  <c r="G4003"/>
  <c r="F4003"/>
  <c r="E4003"/>
  <c r="J4002"/>
  <c r="I4002"/>
  <c r="G4002"/>
  <c r="F4002"/>
  <c r="E4002"/>
  <c r="J4001"/>
  <c r="I4001"/>
  <c r="G4001"/>
  <c r="F4001"/>
  <c r="E4001"/>
  <c r="J4000"/>
  <c r="I4000"/>
  <c r="G4000"/>
  <c r="F4000"/>
  <c r="E4000"/>
  <c r="J3999"/>
  <c r="I3999"/>
  <c r="G3999"/>
  <c r="F3999"/>
  <c r="E3999"/>
  <c r="J3998"/>
  <c r="I3998"/>
  <c r="G3998"/>
  <c r="F3998"/>
  <c r="E3998"/>
  <c r="J3997"/>
  <c r="I3997"/>
  <c r="G3997"/>
  <c r="F3997"/>
  <c r="E3997"/>
  <c r="J3996"/>
  <c r="I3996"/>
  <c r="G3996"/>
  <c r="F3996"/>
  <c r="E3996"/>
  <c r="J3995"/>
  <c r="I3995"/>
  <c r="G3995"/>
  <c r="F3995"/>
  <c r="E3995"/>
  <c r="J3994"/>
  <c r="I3994"/>
  <c r="G3994"/>
  <c r="F3994"/>
  <c r="E3994"/>
  <c r="J3993"/>
  <c r="I3993"/>
  <c r="G3993"/>
  <c r="F3993"/>
  <c r="E3993"/>
  <c r="J3992"/>
  <c r="I3992"/>
  <c r="G3992"/>
  <c r="F3992"/>
  <c r="E3992"/>
  <c r="J3991"/>
  <c r="I3991"/>
  <c r="G3991"/>
  <c r="F3991"/>
  <c r="E3991"/>
  <c r="J3990"/>
  <c r="I3990"/>
  <c r="G3990"/>
  <c r="F3990"/>
  <c r="E3990"/>
  <c r="J3989"/>
  <c r="I3989"/>
  <c r="G3989"/>
  <c r="F3989"/>
  <c r="E3989"/>
  <c r="J3988"/>
  <c r="I3988"/>
  <c r="G3988"/>
  <c r="F3988"/>
  <c r="E3988"/>
  <c r="J3987"/>
  <c r="I3987"/>
  <c r="G3987"/>
  <c r="F3987"/>
  <c r="E3987"/>
  <c r="J3986"/>
  <c r="I3986"/>
  <c r="G3986"/>
  <c r="F3986"/>
  <c r="E3986"/>
  <c r="J3985"/>
  <c r="I3985"/>
  <c r="G3985"/>
  <c r="F3985"/>
  <c r="E3985"/>
  <c r="J3984"/>
  <c r="I3984"/>
  <c r="G3984"/>
  <c r="F3984"/>
  <c r="E3984"/>
  <c r="J3983"/>
  <c r="I3983"/>
  <c r="G3983"/>
  <c r="F3983"/>
  <c r="E3983"/>
  <c r="J3982"/>
  <c r="I3982"/>
  <c r="G3982"/>
  <c r="F3982"/>
  <c r="E3982"/>
  <c r="J3981"/>
  <c r="I3981"/>
  <c r="G3981"/>
  <c r="F3981"/>
  <c r="E3981"/>
  <c r="J3980"/>
  <c r="I3980"/>
  <c r="G3980"/>
  <c r="F3980"/>
  <c r="E3980"/>
  <c r="J3979"/>
  <c r="I3979"/>
  <c r="G3979"/>
  <c r="F3979"/>
  <c r="E3979"/>
  <c r="J3978"/>
  <c r="I3978"/>
  <c r="G3978"/>
  <c r="F3978"/>
  <c r="E3978"/>
  <c r="J3977"/>
  <c r="I3977"/>
  <c r="G3977"/>
  <c r="F3977"/>
  <c r="E3977"/>
  <c r="J3976"/>
  <c r="I3976"/>
  <c r="G3976"/>
  <c r="F3976"/>
  <c r="E3976"/>
  <c r="J3975"/>
  <c r="I3975"/>
  <c r="G3975"/>
  <c r="F3975"/>
  <c r="E3975"/>
  <c r="J3974"/>
  <c r="I3974"/>
  <c r="G3974"/>
  <c r="F3974"/>
  <c r="E3974"/>
  <c r="J3973"/>
  <c r="I3973"/>
  <c r="G3973"/>
  <c r="F3973"/>
  <c r="E3973"/>
  <c r="J3972"/>
  <c r="I3972"/>
  <c r="G3972"/>
  <c r="F3972"/>
  <c r="E3972"/>
  <c r="J3971"/>
  <c r="I3971"/>
  <c r="G3971"/>
  <c r="F3971"/>
  <c r="E3971"/>
  <c r="J3970"/>
  <c r="I3970"/>
  <c r="G3970"/>
  <c r="F3970"/>
  <c r="E3970"/>
  <c r="J3969"/>
  <c r="I3969"/>
  <c r="G3969"/>
  <c r="F3969"/>
  <c r="E3969"/>
  <c r="J3968"/>
  <c r="I3968"/>
  <c r="G3968"/>
  <c r="F3968"/>
  <c r="E3968"/>
  <c r="J3967"/>
  <c r="I3967"/>
  <c r="G3967"/>
  <c r="F3967"/>
  <c r="E3967"/>
  <c r="J3966"/>
  <c r="I3966"/>
  <c r="G3966"/>
  <c r="F3966"/>
  <c r="E3966"/>
  <c r="J3965"/>
  <c r="I3965"/>
  <c r="G3965"/>
  <c r="F3965"/>
  <c r="E3965"/>
  <c r="J3964"/>
  <c r="I3964"/>
  <c r="G3964"/>
  <c r="F3964"/>
  <c r="E3964"/>
  <c r="J3963"/>
  <c r="I3963"/>
  <c r="G3963"/>
  <c r="F3963"/>
  <c r="E3963"/>
  <c r="J3962"/>
  <c r="I3962"/>
  <c r="G3962"/>
  <c r="F3962"/>
  <c r="E3962"/>
  <c r="J3961"/>
  <c r="I3961"/>
  <c r="G3961"/>
  <c r="F3961"/>
  <c r="E3961"/>
  <c r="J3960"/>
  <c r="I3960"/>
  <c r="G3960"/>
  <c r="F3960"/>
  <c r="E3960"/>
  <c r="J3959"/>
  <c r="I3959"/>
  <c r="G3959"/>
  <c r="F3959"/>
  <c r="E3959"/>
  <c r="J3958"/>
  <c r="I3958"/>
  <c r="G3958"/>
  <c r="F3958"/>
  <c r="E3958"/>
  <c r="J3957"/>
  <c r="I3957"/>
  <c r="G3957"/>
  <c r="F3957"/>
  <c r="E3957"/>
  <c r="J3956"/>
  <c r="I3956"/>
  <c r="G3956"/>
  <c r="F3956"/>
  <c r="E3956"/>
  <c r="J3955"/>
  <c r="I3955"/>
  <c r="G3955"/>
  <c r="F3955"/>
  <c r="E3955"/>
  <c r="J3954"/>
  <c r="I3954"/>
  <c r="G3954"/>
  <c r="F3954"/>
  <c r="E3954"/>
  <c r="J3953"/>
  <c r="I3953"/>
  <c r="G3953"/>
  <c r="F3953"/>
  <c r="E3953"/>
  <c r="J3952"/>
  <c r="I3952"/>
  <c r="G3952"/>
  <c r="F3952"/>
  <c r="E3952"/>
  <c r="J3951"/>
  <c r="I3951"/>
  <c r="G3951"/>
  <c r="F3951"/>
  <c r="E3951"/>
  <c r="J3950"/>
  <c r="I3950"/>
  <c r="G3950"/>
  <c r="F3950"/>
  <c r="E3950"/>
  <c r="J3949"/>
  <c r="I3949"/>
  <c r="G3949"/>
  <c r="F3949"/>
  <c r="E3949"/>
  <c r="J3948"/>
  <c r="I3948"/>
  <c r="G3948"/>
  <c r="F3948"/>
  <c r="E3948"/>
  <c r="J3947"/>
  <c r="I3947"/>
  <c r="G3947"/>
  <c r="F3947"/>
  <c r="E3947"/>
  <c r="J3946"/>
  <c r="I3946"/>
  <c r="G3946"/>
  <c r="F3946"/>
  <c r="E3946"/>
  <c r="J3945"/>
  <c r="I3945"/>
  <c r="G3945"/>
  <c r="F3945"/>
  <c r="E3945"/>
  <c r="J3944"/>
  <c r="I3944"/>
  <c r="G3944"/>
  <c r="F3944"/>
  <c r="E3944"/>
  <c r="J3943"/>
  <c r="I3943"/>
  <c r="G3943"/>
  <c r="F3943"/>
  <c r="E3943"/>
  <c r="J3942"/>
  <c r="I3942"/>
  <c r="G3942"/>
  <c r="F3942"/>
  <c r="E3942"/>
  <c r="J3941"/>
  <c r="I3941"/>
  <c r="G3941"/>
  <c r="F3941"/>
  <c r="E3941"/>
  <c r="J3940"/>
  <c r="I3940"/>
  <c r="G3940"/>
  <c r="F3940"/>
  <c r="E3940"/>
  <c r="J3939"/>
  <c r="I3939"/>
  <c r="G3939"/>
  <c r="F3939"/>
  <c r="E3939"/>
  <c r="J3938"/>
  <c r="I3938"/>
  <c r="G3938"/>
  <c r="F3938"/>
  <c r="E3938"/>
  <c r="J3937"/>
  <c r="I3937"/>
  <c r="G3937"/>
  <c r="F3937"/>
  <c r="E3937"/>
  <c r="J3936"/>
  <c r="I3936"/>
  <c r="G3936"/>
  <c r="F3936"/>
  <c r="E3936"/>
  <c r="J3935"/>
  <c r="I3935"/>
  <c r="G3935"/>
  <c r="F3935"/>
  <c r="E3935"/>
  <c r="J3934"/>
  <c r="I3934"/>
  <c r="G3934"/>
  <c r="F3934"/>
  <c r="E3934"/>
  <c r="J3933"/>
  <c r="I3933"/>
  <c r="G3933"/>
  <c r="F3933"/>
  <c r="E3933"/>
  <c r="J3932"/>
  <c r="I3932"/>
  <c r="G3932"/>
  <c r="F3932"/>
  <c r="E3932"/>
  <c r="J3931"/>
  <c r="I3931"/>
  <c r="G3931"/>
  <c r="F3931"/>
  <c r="E3931"/>
  <c r="J3930"/>
  <c r="I3930"/>
  <c r="G3930"/>
  <c r="F3930"/>
  <c r="E3930"/>
  <c r="J3929"/>
  <c r="I3929"/>
  <c r="G3929"/>
  <c r="F3929"/>
  <c r="E3929"/>
  <c r="J3928"/>
  <c r="I3928"/>
  <c r="G3928"/>
  <c r="F3928"/>
  <c r="E3928"/>
  <c r="J3927"/>
  <c r="I3927"/>
  <c r="G3927"/>
  <c r="F3927"/>
  <c r="E3927"/>
  <c r="J3926"/>
  <c r="I3926"/>
  <c r="G3926"/>
  <c r="F3926"/>
  <c r="E3926"/>
  <c r="J3925"/>
  <c r="I3925"/>
  <c r="G3925"/>
  <c r="F3925"/>
  <c r="E3925"/>
  <c r="J3924"/>
  <c r="I3924"/>
  <c r="G3924"/>
  <c r="F3924"/>
  <c r="E3924"/>
  <c r="J3923"/>
  <c r="I3923"/>
  <c r="G3923"/>
  <c r="F3923"/>
  <c r="E3923"/>
  <c r="J3922"/>
  <c r="I3922"/>
  <c r="G3922"/>
  <c r="F3922"/>
  <c r="E3922"/>
  <c r="J3921"/>
  <c r="I3921"/>
  <c r="G3921"/>
  <c r="F3921"/>
  <c r="E3921"/>
  <c r="J3920"/>
  <c r="I3920"/>
  <c r="G3920"/>
  <c r="F3920"/>
  <c r="E3920"/>
  <c r="J3919"/>
  <c r="I3919"/>
  <c r="G3919"/>
  <c r="F3919"/>
  <c r="E3919"/>
  <c r="J3918"/>
  <c r="I3918"/>
  <c r="G3918"/>
  <c r="F3918"/>
  <c r="E3918"/>
  <c r="J3917"/>
  <c r="I3917"/>
  <c r="G3917"/>
  <c r="F3917"/>
  <c r="E3917"/>
  <c r="J3916"/>
  <c r="I3916"/>
  <c r="G3916"/>
  <c r="F3916"/>
  <c r="E3916"/>
  <c r="J3915"/>
  <c r="I3915"/>
  <c r="G3915"/>
  <c r="F3915"/>
  <c r="E3915"/>
  <c r="J3914"/>
  <c r="I3914"/>
  <c r="G3914"/>
  <c r="F3914"/>
  <c r="E3914"/>
  <c r="J3913"/>
  <c r="I3913"/>
  <c r="G3913"/>
  <c r="F3913"/>
  <c r="E3913"/>
  <c r="J3912"/>
  <c r="I3912"/>
  <c r="G3912"/>
  <c r="F3912"/>
  <c r="E3912"/>
  <c r="J3911"/>
  <c r="I3911"/>
  <c r="G3911"/>
  <c r="F3911"/>
  <c r="E3911"/>
  <c r="J3910"/>
  <c r="I3910"/>
  <c r="G3910"/>
  <c r="F3910"/>
  <c r="E3910"/>
  <c r="J3909"/>
  <c r="I3909"/>
  <c r="G3909"/>
  <c r="F3909"/>
  <c r="E3909"/>
  <c r="J3908"/>
  <c r="I3908"/>
  <c r="G3908"/>
  <c r="F3908"/>
  <c r="E3908"/>
  <c r="J3907"/>
  <c r="I3907"/>
  <c r="G3907"/>
  <c r="F3907"/>
  <c r="E3907"/>
  <c r="J3906"/>
  <c r="I3906"/>
  <c r="G3906"/>
  <c r="F3906"/>
  <c r="E3906"/>
  <c r="J3905"/>
  <c r="I3905"/>
  <c r="G3905"/>
  <c r="F3905"/>
  <c r="E3905"/>
  <c r="J3904"/>
  <c r="I3904"/>
  <c r="G3904"/>
  <c r="F3904"/>
  <c r="E3904"/>
  <c r="J3903"/>
  <c r="I3903"/>
  <c r="G3903"/>
  <c r="F3903"/>
  <c r="E3903"/>
  <c r="J3902"/>
  <c r="I3902"/>
  <c r="G3902"/>
  <c r="F3902"/>
  <c r="E3902"/>
  <c r="J3901"/>
  <c r="I3901"/>
  <c r="G3901"/>
  <c r="F3901"/>
  <c r="E3901"/>
  <c r="J3900"/>
  <c r="I3900"/>
  <c r="G3900"/>
  <c r="F3900"/>
  <c r="E3900"/>
  <c r="J3899"/>
  <c r="I3899"/>
  <c r="G3899"/>
  <c r="F3899"/>
  <c r="E3899"/>
  <c r="J3898"/>
  <c r="I3898"/>
  <c r="G3898"/>
  <c r="F3898"/>
  <c r="E3898"/>
  <c r="J3897"/>
  <c r="I3897"/>
  <c r="G3897"/>
  <c r="F3897"/>
  <c r="E3897"/>
  <c r="J3896"/>
  <c r="I3896"/>
  <c r="G3896"/>
  <c r="F3896"/>
  <c r="E3896"/>
  <c r="J3895"/>
  <c r="I3895"/>
  <c r="G3895"/>
  <c r="F3895"/>
  <c r="E3895"/>
  <c r="J3894"/>
  <c r="I3894"/>
  <c r="G3894"/>
  <c r="F3894"/>
  <c r="E3894"/>
  <c r="J3893"/>
  <c r="I3893"/>
  <c r="G3893"/>
  <c r="F3893"/>
  <c r="E3893"/>
  <c r="J3892"/>
  <c r="I3892"/>
  <c r="G3892"/>
  <c r="F3892"/>
  <c r="E3892"/>
  <c r="J3891"/>
  <c r="I3891"/>
  <c r="G3891"/>
  <c r="F3891"/>
  <c r="E3891"/>
  <c r="J3890"/>
  <c r="I3890"/>
  <c r="G3890"/>
  <c r="F3890"/>
  <c r="E3890"/>
  <c r="J3889"/>
  <c r="I3889"/>
  <c r="G3889"/>
  <c r="F3889"/>
  <c r="E3889"/>
  <c r="J3888"/>
  <c r="I3888"/>
  <c r="G3888"/>
  <c r="F3888"/>
  <c r="E3888"/>
  <c r="J3887"/>
  <c r="I3887"/>
  <c r="G3887"/>
  <c r="F3887"/>
  <c r="E3887"/>
  <c r="J3886"/>
  <c r="I3886"/>
  <c r="G3886"/>
  <c r="F3886"/>
  <c r="E3886"/>
  <c r="J3885"/>
  <c r="I3885"/>
  <c r="G3885"/>
  <c r="F3885"/>
  <c r="E3885"/>
  <c r="J3884"/>
  <c r="I3884"/>
  <c r="G3884"/>
  <c r="F3884"/>
  <c r="E3884"/>
  <c r="J3883"/>
  <c r="I3883"/>
  <c r="G3883"/>
  <c r="F3883"/>
  <c r="E3883"/>
  <c r="J3882"/>
  <c r="I3882"/>
  <c r="G3882"/>
  <c r="F3882"/>
  <c r="E3882"/>
  <c r="J3881"/>
  <c r="I3881"/>
  <c r="G3881"/>
  <c r="F3881"/>
  <c r="E3881"/>
  <c r="J3880"/>
  <c r="I3880"/>
  <c r="G3880"/>
  <c r="F3880"/>
  <c r="E3880"/>
  <c r="J3879"/>
  <c r="I3879"/>
  <c r="G3879"/>
  <c r="F3879"/>
  <c r="E3879"/>
  <c r="J3878"/>
  <c r="I3878"/>
  <c r="G3878"/>
  <c r="F3878"/>
  <c r="E3878"/>
  <c r="J3877"/>
  <c r="I3877"/>
  <c r="G3877"/>
  <c r="F3877"/>
  <c r="E3877"/>
  <c r="J3876"/>
  <c r="I3876"/>
  <c r="G3876"/>
  <c r="F3876"/>
  <c r="E3876"/>
  <c r="J3875"/>
  <c r="I3875"/>
  <c r="G3875"/>
  <c r="F3875"/>
  <c r="E3875"/>
  <c r="J3874"/>
  <c r="I3874"/>
  <c r="G3874"/>
  <c r="F3874"/>
  <c r="E3874"/>
  <c r="J3873"/>
  <c r="I3873"/>
  <c r="G3873"/>
  <c r="F3873"/>
  <c r="E3873"/>
  <c r="J3872"/>
  <c r="I3872"/>
  <c r="G3872"/>
  <c r="F3872"/>
  <c r="E3872"/>
  <c r="J3871"/>
  <c r="I3871"/>
  <c r="G3871"/>
  <c r="F3871"/>
  <c r="E3871"/>
  <c r="J3870"/>
  <c r="I3870"/>
  <c r="G3870"/>
  <c r="F3870"/>
  <c r="E3870"/>
  <c r="J3869"/>
  <c r="I3869"/>
  <c r="G3869"/>
  <c r="F3869"/>
  <c r="E3869"/>
  <c r="J3868"/>
  <c r="I3868"/>
  <c r="G3868"/>
  <c r="F3868"/>
  <c r="E3868"/>
  <c r="J3867"/>
  <c r="I3867"/>
  <c r="G3867"/>
  <c r="F3867"/>
  <c r="E3867"/>
  <c r="J3866"/>
  <c r="I3866"/>
  <c r="G3866"/>
  <c r="F3866"/>
  <c r="E3866"/>
  <c r="J3865"/>
  <c r="I3865"/>
  <c r="G3865"/>
  <c r="F3865"/>
  <c r="E3865"/>
  <c r="J3864"/>
  <c r="I3864"/>
  <c r="G3864"/>
  <c r="F3864"/>
  <c r="E3864"/>
  <c r="J3863"/>
  <c r="I3863"/>
  <c r="G3863"/>
  <c r="F3863"/>
  <c r="E3863"/>
  <c r="J3862"/>
  <c r="I3862"/>
  <c r="G3862"/>
  <c r="F3862"/>
  <c r="E3862"/>
  <c r="J3861"/>
  <c r="I3861"/>
  <c r="G3861"/>
  <c r="F3861"/>
  <c r="E3861"/>
  <c r="J3860"/>
  <c r="I3860"/>
  <c r="G3860"/>
  <c r="F3860"/>
  <c r="E3860"/>
  <c r="J3859"/>
  <c r="I3859"/>
  <c r="G3859"/>
  <c r="F3859"/>
  <c r="E3859"/>
  <c r="J3858"/>
  <c r="I3858"/>
  <c r="G3858"/>
  <c r="F3858"/>
  <c r="E3858"/>
  <c r="J3857"/>
  <c r="I3857"/>
  <c r="G3857"/>
  <c r="F3857"/>
  <c r="E3857"/>
  <c r="J3856"/>
  <c r="I3856"/>
  <c r="G3856"/>
  <c r="F3856"/>
  <c r="E3856"/>
  <c r="J3855"/>
  <c r="I3855"/>
  <c r="G3855"/>
  <c r="F3855"/>
  <c r="E3855"/>
  <c r="J3854"/>
  <c r="I3854"/>
  <c r="G3854"/>
  <c r="F3854"/>
  <c r="E3854"/>
  <c r="J3853"/>
  <c r="I3853"/>
  <c r="G3853"/>
  <c r="F3853"/>
  <c r="E3853"/>
  <c r="J3852"/>
  <c r="I3852"/>
  <c r="G3852"/>
  <c r="F3852"/>
  <c r="E3852"/>
  <c r="J3851"/>
  <c r="I3851"/>
  <c r="G3851"/>
  <c r="F3851"/>
  <c r="E3851"/>
  <c r="J3850"/>
  <c r="I3850"/>
  <c r="G3850"/>
  <c r="F3850"/>
  <c r="E3850"/>
  <c r="J3849"/>
  <c r="I3849"/>
  <c r="G3849"/>
  <c r="F3849"/>
  <c r="E3849"/>
  <c r="J3848"/>
  <c r="I3848"/>
  <c r="G3848"/>
  <c r="F3848"/>
  <c r="E3848"/>
  <c r="J3847"/>
  <c r="I3847"/>
  <c r="G3847"/>
  <c r="F3847"/>
  <c r="E3847"/>
  <c r="J3846"/>
  <c r="I3846"/>
  <c r="G3846"/>
  <c r="F3846"/>
  <c r="E3846"/>
  <c r="J3845"/>
  <c r="I3845"/>
  <c r="G3845"/>
  <c r="F3845"/>
  <c r="E3845"/>
  <c r="J3844"/>
  <c r="I3844"/>
  <c r="G3844"/>
  <c r="F3844"/>
  <c r="E3844"/>
  <c r="J3843"/>
  <c r="I3843"/>
  <c r="G3843"/>
  <c r="F3843"/>
  <c r="E3843"/>
  <c r="J3842"/>
  <c r="I3842"/>
  <c r="G3842"/>
  <c r="F3842"/>
  <c r="E3842"/>
  <c r="J3841"/>
  <c r="I3841"/>
  <c r="G3841"/>
  <c r="F3841"/>
  <c r="E3841"/>
  <c r="J3840"/>
  <c r="I3840"/>
  <c r="G3840"/>
  <c r="F3840"/>
  <c r="E3840"/>
  <c r="J3839"/>
  <c r="I3839"/>
  <c r="G3839"/>
  <c r="F3839"/>
  <c r="E3839"/>
  <c r="J3838"/>
  <c r="I3838"/>
  <c r="G3838"/>
  <c r="F3838"/>
  <c r="E3838"/>
  <c r="J3837"/>
  <c r="I3837"/>
  <c r="G3837"/>
  <c r="F3837"/>
  <c r="E3837"/>
  <c r="J3836"/>
  <c r="I3836"/>
  <c r="G3836"/>
  <c r="F3836"/>
  <c r="E3836"/>
  <c r="J3835"/>
  <c r="I3835"/>
  <c r="G3835"/>
  <c r="F3835"/>
  <c r="E3835"/>
  <c r="J3834"/>
  <c r="I3834"/>
  <c r="G3834"/>
  <c r="F3834"/>
  <c r="E3834"/>
  <c r="J3833"/>
  <c r="I3833"/>
  <c r="G3833"/>
  <c r="F3833"/>
  <c r="E3833"/>
  <c r="J3832"/>
  <c r="I3832"/>
  <c r="G3832"/>
  <c r="F3832"/>
  <c r="E3832"/>
  <c r="J3831"/>
  <c r="I3831"/>
  <c r="G3831"/>
  <c r="F3831"/>
  <c r="E3831"/>
  <c r="J3830"/>
  <c r="I3830"/>
  <c r="G3830"/>
  <c r="F3830"/>
  <c r="E3830"/>
  <c r="J3829"/>
  <c r="I3829"/>
  <c r="G3829"/>
  <c r="F3829"/>
  <c r="E3829"/>
  <c r="J3828"/>
  <c r="I3828"/>
  <c r="G3828"/>
  <c r="F3828"/>
  <c r="E3828"/>
  <c r="J3827"/>
  <c r="I3827"/>
  <c r="G3827"/>
  <c r="F3827"/>
  <c r="E3827"/>
  <c r="J3826"/>
  <c r="I3826"/>
  <c r="G3826"/>
  <c r="F3826"/>
  <c r="E3826"/>
  <c r="J3825"/>
  <c r="I3825"/>
  <c r="G3825"/>
  <c r="F3825"/>
  <c r="E3825"/>
  <c r="J3824"/>
  <c r="I3824"/>
  <c r="G3824"/>
  <c r="F3824"/>
  <c r="E3824"/>
  <c r="J3823"/>
  <c r="I3823"/>
  <c r="G3823"/>
  <c r="F3823"/>
  <c r="E3823"/>
  <c r="J3822"/>
  <c r="I3822"/>
  <c r="G3822"/>
  <c r="F3822"/>
  <c r="E3822"/>
  <c r="J3821"/>
  <c r="I3821"/>
  <c r="G3821"/>
  <c r="F3821"/>
  <c r="E3821"/>
  <c r="J3820"/>
  <c r="I3820"/>
  <c r="G3820"/>
  <c r="F3820"/>
  <c r="E3820"/>
  <c r="J3819"/>
  <c r="I3819"/>
  <c r="G3819"/>
  <c r="F3819"/>
  <c r="E3819"/>
  <c r="J3818"/>
  <c r="I3818"/>
  <c r="G3818"/>
  <c r="F3818"/>
  <c r="E3818"/>
  <c r="J3817"/>
  <c r="I3817"/>
  <c r="G3817"/>
  <c r="F3817"/>
  <c r="E3817"/>
  <c r="J3816"/>
  <c r="I3816"/>
  <c r="G3816"/>
  <c r="F3816"/>
  <c r="E3816"/>
  <c r="J3815"/>
  <c r="I3815"/>
  <c r="G3815"/>
  <c r="F3815"/>
  <c r="E3815"/>
  <c r="J3814"/>
  <c r="I3814"/>
  <c r="G3814"/>
  <c r="F3814"/>
  <c r="E3814"/>
  <c r="J3813"/>
  <c r="I3813"/>
  <c r="G3813"/>
  <c r="F3813"/>
  <c r="E3813"/>
  <c r="J3812"/>
  <c r="I3812"/>
  <c r="G3812"/>
  <c r="F3812"/>
  <c r="E3812"/>
  <c r="J3811"/>
  <c r="I3811"/>
  <c r="G3811"/>
  <c r="F3811"/>
  <c r="E3811"/>
  <c r="J3810"/>
  <c r="I3810"/>
  <c r="G3810"/>
  <c r="F3810"/>
  <c r="E3810"/>
  <c r="J3809"/>
  <c r="I3809"/>
  <c r="G3809"/>
  <c r="F3809"/>
  <c r="E3809"/>
  <c r="J3808"/>
  <c r="I3808"/>
  <c r="G3808"/>
  <c r="F3808"/>
  <c r="E3808"/>
  <c r="J3807"/>
  <c r="I3807"/>
  <c r="G3807"/>
  <c r="F3807"/>
  <c r="E3807"/>
  <c r="J3806"/>
  <c r="I3806"/>
  <c r="G3806"/>
  <c r="F3806"/>
  <c r="E3806"/>
  <c r="J3805"/>
  <c r="I3805"/>
  <c r="G3805"/>
  <c r="F3805"/>
  <c r="E3805"/>
  <c r="J3804"/>
  <c r="I3804"/>
  <c r="G3804"/>
  <c r="F3804"/>
  <c r="E3804"/>
  <c r="J3803"/>
  <c r="I3803"/>
  <c r="G3803"/>
  <c r="F3803"/>
  <c r="E3803"/>
  <c r="J3802"/>
  <c r="I3802"/>
  <c r="G3802"/>
  <c r="F3802"/>
  <c r="E3802"/>
  <c r="J3801"/>
  <c r="I3801"/>
  <c r="G3801"/>
  <c r="F3801"/>
  <c r="E3801"/>
  <c r="J3800"/>
  <c r="I3800"/>
  <c r="G3800"/>
  <c r="F3800"/>
  <c r="E3800"/>
  <c r="J3799"/>
  <c r="I3799"/>
  <c r="G3799"/>
  <c r="F3799"/>
  <c r="E3799"/>
  <c r="J3798"/>
  <c r="I3798"/>
  <c r="G3798"/>
  <c r="F3798"/>
  <c r="E3798"/>
  <c r="J3797"/>
  <c r="I3797"/>
  <c r="G3797"/>
  <c r="F3797"/>
  <c r="E3797"/>
  <c r="J3796"/>
  <c r="I3796"/>
  <c r="G3796"/>
  <c r="F3796"/>
  <c r="E3796"/>
  <c r="J3795"/>
  <c r="I3795"/>
  <c r="G3795"/>
  <c r="F3795"/>
  <c r="E3795"/>
  <c r="J3794"/>
  <c r="I3794"/>
  <c r="G3794"/>
  <c r="F3794"/>
  <c r="E3794"/>
  <c r="J3793"/>
  <c r="I3793"/>
  <c r="G3793"/>
  <c r="F3793"/>
  <c r="E3793"/>
  <c r="J3792"/>
  <c r="I3792"/>
  <c r="G3792"/>
  <c r="F3792"/>
  <c r="E3792"/>
  <c r="J3791"/>
  <c r="I3791"/>
  <c r="G3791"/>
  <c r="F3791"/>
  <c r="E3791"/>
  <c r="J3790"/>
  <c r="I3790"/>
  <c r="G3790"/>
  <c r="F3790"/>
  <c r="E3790"/>
  <c r="J3789"/>
  <c r="I3789"/>
  <c r="G3789"/>
  <c r="F3789"/>
  <c r="E3789"/>
  <c r="J3788"/>
  <c r="I3788"/>
  <c r="G3788"/>
  <c r="F3788"/>
  <c r="E3788"/>
  <c r="J3787"/>
  <c r="I3787"/>
  <c r="G3787"/>
  <c r="F3787"/>
  <c r="E3787"/>
  <c r="J3786"/>
  <c r="I3786"/>
  <c r="G3786"/>
  <c r="F3786"/>
  <c r="E3786"/>
  <c r="J3785"/>
  <c r="I3785"/>
  <c r="G3785"/>
  <c r="F3785"/>
  <c r="E3785"/>
  <c r="J3784"/>
  <c r="I3784"/>
  <c r="G3784"/>
  <c r="F3784"/>
  <c r="E3784"/>
  <c r="J3783"/>
  <c r="I3783"/>
  <c r="G3783"/>
  <c r="F3783"/>
  <c r="E3783"/>
  <c r="J3782"/>
  <c r="I3782"/>
  <c r="G3782"/>
  <c r="F3782"/>
  <c r="E3782"/>
  <c r="J3781"/>
  <c r="I3781"/>
  <c r="G3781"/>
  <c r="F3781"/>
  <c r="E3781"/>
  <c r="J3780"/>
  <c r="I3780"/>
  <c r="G3780"/>
  <c r="F3780"/>
  <c r="E3780"/>
  <c r="J3779"/>
  <c r="I3779"/>
  <c r="G3779"/>
  <c r="F3779"/>
  <c r="E3779"/>
  <c r="J3778"/>
  <c r="I3778"/>
  <c r="G3778"/>
  <c r="F3778"/>
  <c r="E3778"/>
  <c r="J3777"/>
  <c r="I3777"/>
  <c r="G3777"/>
  <c r="F3777"/>
  <c r="E3777"/>
  <c r="J3776"/>
  <c r="I3776"/>
  <c r="G3776"/>
  <c r="F3776"/>
  <c r="E3776"/>
  <c r="J3775"/>
  <c r="I3775"/>
  <c r="G3775"/>
  <c r="F3775"/>
  <c r="E3775"/>
  <c r="J3774"/>
  <c r="I3774"/>
  <c r="G3774"/>
  <c r="F3774"/>
  <c r="E3774"/>
  <c r="J3773"/>
  <c r="I3773"/>
  <c r="G3773"/>
  <c r="F3773"/>
  <c r="E3773"/>
  <c r="J3772"/>
  <c r="I3772"/>
  <c r="G3772"/>
  <c r="F3772"/>
  <c r="E3772"/>
  <c r="J3771"/>
  <c r="I3771"/>
  <c r="G3771"/>
  <c r="F3771"/>
  <c r="E3771"/>
  <c r="J3770"/>
  <c r="I3770"/>
  <c r="G3770"/>
  <c r="F3770"/>
  <c r="E3770"/>
  <c r="J3769"/>
  <c r="I3769"/>
  <c r="G3769"/>
  <c r="F3769"/>
  <c r="E3769"/>
  <c r="J3768"/>
  <c r="I3768"/>
  <c r="G3768"/>
  <c r="F3768"/>
  <c r="E3768"/>
  <c r="J3767"/>
  <c r="I3767"/>
  <c r="G3767"/>
  <c r="F3767"/>
  <c r="E3767"/>
  <c r="J3766"/>
  <c r="I3766"/>
  <c r="G3766"/>
  <c r="F3766"/>
  <c r="E3766"/>
  <c r="J3765"/>
  <c r="I3765"/>
  <c r="G3765"/>
  <c r="F3765"/>
  <c r="E3765"/>
  <c r="J3764"/>
  <c r="I3764"/>
  <c r="G3764"/>
  <c r="F3764"/>
  <c r="E3764"/>
  <c r="J3763"/>
  <c r="I3763"/>
  <c r="G3763"/>
  <c r="F3763"/>
  <c r="E3763"/>
  <c r="J3762"/>
  <c r="I3762"/>
  <c r="G3762"/>
  <c r="F3762"/>
  <c r="E3762"/>
  <c r="J3761"/>
  <c r="I3761"/>
  <c r="G3761"/>
  <c r="F3761"/>
  <c r="E3761"/>
  <c r="J3760"/>
  <c r="I3760"/>
  <c r="G3760"/>
  <c r="F3760"/>
  <c r="E3760"/>
  <c r="J3759"/>
  <c r="I3759"/>
  <c r="G3759"/>
  <c r="F3759"/>
  <c r="E3759"/>
  <c r="J3758"/>
  <c r="I3758"/>
  <c r="G3758"/>
  <c r="F3758"/>
  <c r="E3758"/>
  <c r="J3757"/>
  <c r="I3757"/>
  <c r="G3757"/>
  <c r="F3757"/>
  <c r="E3757"/>
  <c r="J3756"/>
  <c r="I3756"/>
  <c r="G3756"/>
  <c r="F3756"/>
  <c r="E3756"/>
  <c r="J3755"/>
  <c r="I3755"/>
  <c r="G3755"/>
  <c r="F3755"/>
  <c r="E3755"/>
  <c r="J3754"/>
  <c r="I3754"/>
  <c r="G3754"/>
  <c r="F3754"/>
  <c r="E3754"/>
  <c r="J3753"/>
  <c r="I3753"/>
  <c r="G3753"/>
  <c r="F3753"/>
  <c r="E3753"/>
  <c r="J3752"/>
  <c r="I3752"/>
  <c r="G3752"/>
  <c r="F3752"/>
  <c r="E3752"/>
  <c r="J3751"/>
  <c r="I3751"/>
  <c r="G3751"/>
  <c r="F3751"/>
  <c r="E3751"/>
  <c r="J3750"/>
  <c r="I3750"/>
  <c r="G3750"/>
  <c r="F3750"/>
  <c r="E3750"/>
  <c r="J3749"/>
  <c r="I3749"/>
  <c r="G3749"/>
  <c r="F3749"/>
  <c r="E3749"/>
  <c r="J3748"/>
  <c r="I3748"/>
  <c r="G3748"/>
  <c r="F3748"/>
  <c r="E3748"/>
  <c r="J3747"/>
  <c r="I3747"/>
  <c r="G3747"/>
  <c r="F3747"/>
  <c r="E3747"/>
  <c r="J3746"/>
  <c r="I3746"/>
  <c r="G3746"/>
  <c r="F3746"/>
  <c r="E3746"/>
  <c r="J3745"/>
  <c r="I3745"/>
  <c r="G3745"/>
  <c r="F3745"/>
  <c r="E3745"/>
  <c r="J3744"/>
  <c r="I3744"/>
  <c r="G3744"/>
  <c r="F3744"/>
  <c r="E3744"/>
  <c r="J3743"/>
  <c r="I3743"/>
  <c r="G3743"/>
  <c r="F3743"/>
  <c r="E3743"/>
  <c r="J3742"/>
  <c r="I3742"/>
  <c r="G3742"/>
  <c r="F3742"/>
  <c r="E3742"/>
  <c r="J3741"/>
  <c r="I3741"/>
  <c r="G3741"/>
  <c r="F3741"/>
  <c r="E3741"/>
  <c r="J3740"/>
  <c r="I3740"/>
  <c r="G3740"/>
  <c r="F3740"/>
  <c r="E3740"/>
  <c r="J3739"/>
  <c r="I3739"/>
  <c r="G3739"/>
  <c r="F3739"/>
  <c r="E3739"/>
  <c r="J3738"/>
  <c r="I3738"/>
  <c r="G3738"/>
  <c r="F3738"/>
  <c r="E3738"/>
  <c r="J3737"/>
  <c r="I3737"/>
  <c r="G3737"/>
  <c r="F3737"/>
  <c r="E3737"/>
  <c r="J3736"/>
  <c r="I3736"/>
  <c r="G3736"/>
  <c r="F3736"/>
  <c r="E3736"/>
  <c r="J3735"/>
  <c r="I3735"/>
  <c r="G3735"/>
  <c r="F3735"/>
  <c r="E3735"/>
  <c r="J3734"/>
  <c r="I3734"/>
  <c r="G3734"/>
  <c r="F3734"/>
  <c r="E3734"/>
  <c r="J3733"/>
  <c r="I3733"/>
  <c r="G3733"/>
  <c r="F3733"/>
  <c r="E3733"/>
  <c r="J3732"/>
  <c r="I3732"/>
  <c r="G3732"/>
  <c r="F3732"/>
  <c r="E3732"/>
  <c r="J3731"/>
  <c r="I3731"/>
  <c r="G3731"/>
  <c r="F3731"/>
  <c r="E3731"/>
  <c r="J3730"/>
  <c r="I3730"/>
  <c r="G3730"/>
  <c r="F3730"/>
  <c r="E3730"/>
  <c r="J3729"/>
  <c r="I3729"/>
  <c r="G3729"/>
  <c r="F3729"/>
  <c r="E3729"/>
  <c r="J3728"/>
  <c r="I3728"/>
  <c r="G3728"/>
  <c r="F3728"/>
  <c r="E3728"/>
  <c r="J3727"/>
  <c r="I3727"/>
  <c r="G3727"/>
  <c r="F3727"/>
  <c r="E3727"/>
  <c r="J3726"/>
  <c r="I3726"/>
  <c r="G3726"/>
  <c r="F3726"/>
  <c r="E3726"/>
  <c r="J3725"/>
  <c r="I3725"/>
  <c r="G3725"/>
  <c r="F3725"/>
  <c r="E3725"/>
  <c r="J3724"/>
  <c r="I3724"/>
  <c r="G3724"/>
  <c r="F3724"/>
  <c r="E3724"/>
  <c r="J3723"/>
  <c r="I3723"/>
  <c r="G3723"/>
  <c r="F3723"/>
  <c r="E3723"/>
  <c r="J3722"/>
  <c r="I3722"/>
  <c r="G3722"/>
  <c r="F3722"/>
  <c r="E3722"/>
  <c r="J3721"/>
  <c r="I3721"/>
  <c r="G3721"/>
  <c r="F3721"/>
  <c r="E3721"/>
  <c r="J3720"/>
  <c r="I3720"/>
  <c r="G3720"/>
  <c r="F3720"/>
  <c r="E3720"/>
  <c r="J3719"/>
  <c r="I3719"/>
  <c r="G3719"/>
  <c r="F3719"/>
  <c r="E3719"/>
  <c r="J3718"/>
  <c r="I3718"/>
  <c r="G3718"/>
  <c r="F3718"/>
  <c r="E3718"/>
  <c r="J3717"/>
  <c r="I3717"/>
  <c r="G3717"/>
  <c r="F3717"/>
  <c r="E3717"/>
  <c r="J3716"/>
  <c r="I3716"/>
  <c r="G3716"/>
  <c r="F3716"/>
  <c r="E3716"/>
  <c r="J3715"/>
  <c r="I3715"/>
  <c r="G3715"/>
  <c r="F3715"/>
  <c r="E3715"/>
  <c r="J3714"/>
  <c r="I3714"/>
  <c r="G3714"/>
  <c r="F3714"/>
  <c r="E3714"/>
  <c r="J3713"/>
  <c r="I3713"/>
  <c r="G3713"/>
  <c r="F3713"/>
  <c r="E3713"/>
  <c r="J3712"/>
  <c r="I3712"/>
  <c r="G3712"/>
  <c r="F3712"/>
  <c r="E3712"/>
  <c r="J3711"/>
  <c r="I3711"/>
  <c r="G3711"/>
  <c r="F3711"/>
  <c r="E3711"/>
  <c r="J3710"/>
  <c r="I3710"/>
  <c r="G3710"/>
  <c r="F3710"/>
  <c r="E3710"/>
  <c r="J3709"/>
  <c r="I3709"/>
  <c r="G3709"/>
  <c r="F3709"/>
  <c r="E3709"/>
  <c r="J3708"/>
  <c r="I3708"/>
  <c r="G3708"/>
  <c r="F3708"/>
  <c r="E3708"/>
  <c r="J3707"/>
  <c r="I3707"/>
  <c r="G3707"/>
  <c r="F3707"/>
  <c r="E3707"/>
  <c r="J3706"/>
  <c r="I3706"/>
  <c r="G3706"/>
  <c r="F3706"/>
  <c r="E3706"/>
  <c r="J3705"/>
  <c r="I3705"/>
  <c r="G3705"/>
  <c r="F3705"/>
  <c r="E3705"/>
  <c r="J3704"/>
  <c r="I3704"/>
  <c r="G3704"/>
  <c r="F3704"/>
  <c r="E3704"/>
  <c r="J3703"/>
  <c r="I3703"/>
  <c r="G3703"/>
  <c r="F3703"/>
  <c r="E3703"/>
  <c r="J3702"/>
  <c r="I3702"/>
  <c r="G3702"/>
  <c r="F3702"/>
  <c r="E3702"/>
  <c r="J3701"/>
  <c r="I3701"/>
  <c r="G3701"/>
  <c r="F3701"/>
  <c r="E3701"/>
  <c r="J3700"/>
  <c r="I3700"/>
  <c r="G3700"/>
  <c r="F3700"/>
  <c r="E3700"/>
  <c r="J3699"/>
  <c r="I3699"/>
  <c r="G3699"/>
  <c r="F3699"/>
  <c r="E3699"/>
  <c r="J3698"/>
  <c r="I3698"/>
  <c r="G3698"/>
  <c r="F3698"/>
  <c r="E3698"/>
  <c r="J3697"/>
  <c r="I3697"/>
  <c r="G3697"/>
  <c r="F3697"/>
  <c r="E3697"/>
  <c r="J3696"/>
  <c r="I3696"/>
  <c r="G3696"/>
  <c r="F3696"/>
  <c r="E3696"/>
  <c r="J3695"/>
  <c r="I3695"/>
  <c r="G3695"/>
  <c r="F3695"/>
  <c r="E3695"/>
  <c r="J3694"/>
  <c r="I3694"/>
  <c r="G3694"/>
  <c r="F3694"/>
  <c r="E3694"/>
  <c r="J3693"/>
  <c r="I3693"/>
  <c r="G3693"/>
  <c r="F3693"/>
  <c r="E3693"/>
  <c r="J3692"/>
  <c r="I3692"/>
  <c r="G3692"/>
  <c r="F3692"/>
  <c r="E3692"/>
  <c r="J3691"/>
  <c r="I3691"/>
  <c r="G3691"/>
  <c r="F3691"/>
  <c r="E3691"/>
  <c r="J3690"/>
  <c r="I3690"/>
  <c r="G3690"/>
  <c r="F3690"/>
  <c r="E3690"/>
  <c r="J3689"/>
  <c r="I3689"/>
  <c r="G3689"/>
  <c r="F3689"/>
  <c r="E3689"/>
  <c r="J3688"/>
  <c r="I3688"/>
  <c r="G3688"/>
  <c r="F3688"/>
  <c r="E3688"/>
  <c r="J3687"/>
  <c r="I3687"/>
  <c r="G3687"/>
  <c r="F3687"/>
  <c r="E3687"/>
  <c r="J3686"/>
  <c r="I3686"/>
  <c r="G3686"/>
  <c r="F3686"/>
  <c r="E3686"/>
  <c r="J3685"/>
  <c r="I3685"/>
  <c r="G3685"/>
  <c r="F3685"/>
  <c r="E3685"/>
  <c r="J3684"/>
  <c r="I3684"/>
  <c r="G3684"/>
  <c r="F3684"/>
  <c r="E3684"/>
  <c r="J3683"/>
  <c r="I3683"/>
  <c r="G3683"/>
  <c r="F3683"/>
  <c r="E3683"/>
  <c r="J3682"/>
  <c r="I3682"/>
  <c r="G3682"/>
  <c r="F3682"/>
  <c r="E3682"/>
  <c r="J3681"/>
  <c r="I3681"/>
  <c r="G3681"/>
  <c r="F3681"/>
  <c r="E3681"/>
  <c r="J3680"/>
  <c r="I3680"/>
  <c r="G3680"/>
  <c r="F3680"/>
  <c r="E3680"/>
  <c r="J3679"/>
  <c r="I3679"/>
  <c r="G3679"/>
  <c r="F3679"/>
  <c r="E3679"/>
  <c r="J3678"/>
  <c r="I3678"/>
  <c r="G3678"/>
  <c r="F3678"/>
  <c r="E3678"/>
  <c r="J3677"/>
  <c r="I3677"/>
  <c r="G3677"/>
  <c r="F3677"/>
  <c r="E3677"/>
  <c r="J3676"/>
  <c r="I3676"/>
  <c r="G3676"/>
  <c r="F3676"/>
  <c r="E3676"/>
  <c r="J3675"/>
  <c r="I3675"/>
  <c r="G3675"/>
  <c r="F3675"/>
  <c r="E3675"/>
  <c r="J3674"/>
  <c r="I3674"/>
  <c r="G3674"/>
  <c r="F3674"/>
  <c r="E3674"/>
  <c r="J3673"/>
  <c r="I3673"/>
  <c r="G3673"/>
  <c r="F3673"/>
  <c r="E3673"/>
  <c r="J3672"/>
  <c r="I3672"/>
  <c r="G3672"/>
  <c r="F3672"/>
  <c r="E3672"/>
  <c r="J3671"/>
  <c r="I3671"/>
  <c r="G3671"/>
  <c r="F3671"/>
  <c r="E3671"/>
  <c r="J3670"/>
  <c r="I3670"/>
  <c r="G3670"/>
  <c r="F3670"/>
  <c r="E3670"/>
  <c r="J3669"/>
  <c r="I3669"/>
  <c r="G3669"/>
  <c r="F3669"/>
  <c r="E3669"/>
  <c r="J3668"/>
  <c r="I3668"/>
  <c r="G3668"/>
  <c r="F3668"/>
  <c r="E3668"/>
  <c r="J3667"/>
  <c r="I3667"/>
  <c r="G3667"/>
  <c r="F3667"/>
  <c r="E3667"/>
  <c r="J3666"/>
  <c r="I3666"/>
  <c r="G3666"/>
  <c r="F3666"/>
  <c r="E3666"/>
  <c r="J3665"/>
  <c r="I3665"/>
  <c r="G3665"/>
  <c r="F3665"/>
  <c r="E3665"/>
  <c r="J3664"/>
  <c r="I3664"/>
  <c r="G3664"/>
  <c r="F3664"/>
  <c r="E3664"/>
  <c r="J3663"/>
  <c r="I3663"/>
  <c r="G3663"/>
  <c r="F3663"/>
  <c r="E3663"/>
  <c r="J3662"/>
  <c r="I3662"/>
  <c r="G3662"/>
  <c r="F3662"/>
  <c r="E3662"/>
  <c r="J3661"/>
  <c r="I3661"/>
  <c r="G3661"/>
  <c r="F3661"/>
  <c r="E3661"/>
  <c r="J3660"/>
  <c r="I3660"/>
  <c r="G3660"/>
  <c r="F3660"/>
  <c r="E3660"/>
  <c r="J3659"/>
  <c r="I3659"/>
  <c r="G3659"/>
  <c r="F3659"/>
  <c r="E3659"/>
  <c r="J3658"/>
  <c r="I3658"/>
  <c r="G3658"/>
  <c r="F3658"/>
  <c r="E3658"/>
  <c r="J3657"/>
  <c r="I3657"/>
  <c r="G3657"/>
  <c r="F3657"/>
  <c r="E3657"/>
  <c r="J3656"/>
  <c r="I3656"/>
  <c r="G3656"/>
  <c r="F3656"/>
  <c r="E3656"/>
  <c r="J3655"/>
  <c r="I3655"/>
  <c r="G3655"/>
  <c r="F3655"/>
  <c r="E3655"/>
  <c r="J3654"/>
  <c r="I3654"/>
  <c r="G3654"/>
  <c r="F3654"/>
  <c r="E3654"/>
  <c r="J3653"/>
  <c r="I3653"/>
  <c r="G3653"/>
  <c r="F3653"/>
  <c r="E3653"/>
  <c r="J3652"/>
  <c r="I3652"/>
  <c r="G3652"/>
  <c r="F3652"/>
  <c r="E3652"/>
  <c r="J3651"/>
  <c r="I3651"/>
  <c r="G3651"/>
  <c r="F3651"/>
  <c r="E3651"/>
  <c r="J3650"/>
  <c r="I3650"/>
  <c r="G3650"/>
  <c r="F3650"/>
  <c r="E3650"/>
  <c r="J3649"/>
  <c r="I3649"/>
  <c r="G3649"/>
  <c r="F3649"/>
  <c r="E3649"/>
  <c r="J3648"/>
  <c r="I3648"/>
  <c r="G3648"/>
  <c r="F3648"/>
  <c r="E3648"/>
  <c r="J3647"/>
  <c r="I3647"/>
  <c r="G3647"/>
  <c r="F3647"/>
  <c r="E3647"/>
  <c r="J3646"/>
  <c r="I3646"/>
  <c r="G3646"/>
  <c r="F3646"/>
  <c r="E3646"/>
  <c r="J3645"/>
  <c r="I3645"/>
  <c r="G3645"/>
  <c r="F3645"/>
  <c r="E3645"/>
  <c r="J3644"/>
  <c r="I3644"/>
  <c r="G3644"/>
  <c r="F3644"/>
  <c r="E3644"/>
  <c r="J3643"/>
  <c r="I3643"/>
  <c r="G3643"/>
  <c r="F3643"/>
  <c r="E3643"/>
  <c r="J3642"/>
  <c r="I3642"/>
  <c r="G3642"/>
  <c r="F3642"/>
  <c r="E3642"/>
  <c r="J3641"/>
  <c r="I3641"/>
  <c r="G3641"/>
  <c r="F3641"/>
  <c r="E3641"/>
  <c r="J3640"/>
  <c r="I3640"/>
  <c r="G3640"/>
  <c r="F3640"/>
  <c r="E3640"/>
  <c r="J3639"/>
  <c r="I3639"/>
  <c r="G3639"/>
  <c r="F3639"/>
  <c r="E3639"/>
  <c r="J3638"/>
  <c r="I3638"/>
  <c r="G3638"/>
  <c r="F3638"/>
  <c r="E3638"/>
  <c r="J3637"/>
  <c r="I3637"/>
  <c r="G3637"/>
  <c r="F3637"/>
  <c r="E3637"/>
  <c r="J3636"/>
  <c r="I3636"/>
  <c r="G3636"/>
  <c r="F3636"/>
  <c r="E3636"/>
  <c r="J3635"/>
  <c r="I3635"/>
  <c r="G3635"/>
  <c r="F3635"/>
  <c r="E3635"/>
  <c r="J3634"/>
  <c r="I3634"/>
  <c r="G3634"/>
  <c r="F3634"/>
  <c r="E3634"/>
  <c r="J3633"/>
  <c r="I3633"/>
  <c r="G3633"/>
  <c r="F3633"/>
  <c r="E3633"/>
  <c r="J3632"/>
  <c r="I3632"/>
  <c r="G3632"/>
  <c r="F3632"/>
  <c r="E3632"/>
  <c r="J3631"/>
  <c r="I3631"/>
  <c r="G3631"/>
  <c r="F3631"/>
  <c r="E3631"/>
  <c r="J3630"/>
  <c r="I3630"/>
  <c r="G3630"/>
  <c r="F3630"/>
  <c r="E3630"/>
  <c r="J3629"/>
  <c r="I3629"/>
  <c r="G3629"/>
  <c r="F3629"/>
  <c r="E3629"/>
  <c r="J3628"/>
  <c r="I3628"/>
  <c r="G3628"/>
  <c r="F3628"/>
  <c r="E3628"/>
  <c r="J3627"/>
  <c r="I3627"/>
  <c r="G3627"/>
  <c r="F3627"/>
  <c r="E3627"/>
  <c r="J3626"/>
  <c r="I3626"/>
  <c r="G3626"/>
  <c r="F3626"/>
  <c r="E3626"/>
  <c r="J3625"/>
  <c r="I3625"/>
  <c r="G3625"/>
  <c r="F3625"/>
  <c r="E3625"/>
  <c r="J3624"/>
  <c r="I3624"/>
  <c r="G3624"/>
  <c r="F3624"/>
  <c r="E3624"/>
  <c r="J3623"/>
  <c r="I3623"/>
  <c r="G3623"/>
  <c r="F3623"/>
  <c r="E3623"/>
  <c r="J3622"/>
  <c r="I3622"/>
  <c r="G3622"/>
  <c r="F3622"/>
  <c r="E3622"/>
  <c r="J3621"/>
  <c r="I3621"/>
  <c r="G3621"/>
  <c r="F3621"/>
  <c r="E3621"/>
  <c r="J3620"/>
  <c r="I3620"/>
  <c r="G3620"/>
  <c r="F3620"/>
  <c r="E3620"/>
  <c r="J3619"/>
  <c r="I3619"/>
  <c r="G3619"/>
  <c r="F3619"/>
  <c r="E3619"/>
  <c r="J3618"/>
  <c r="I3618"/>
  <c r="G3618"/>
  <c r="F3618"/>
  <c r="E3618"/>
  <c r="J3617"/>
  <c r="I3617"/>
  <c r="G3617"/>
  <c r="F3617"/>
  <c r="E3617"/>
  <c r="J3616"/>
  <c r="I3616"/>
  <c r="G3616"/>
  <c r="F3616"/>
  <c r="E3616"/>
  <c r="J3615"/>
  <c r="I3615"/>
  <c r="G3615"/>
  <c r="F3615"/>
  <c r="E3615"/>
  <c r="J3614"/>
  <c r="I3614"/>
  <c r="G3614"/>
  <c r="F3614"/>
  <c r="E3614"/>
  <c r="J3613"/>
  <c r="I3613"/>
  <c r="G3613"/>
  <c r="F3613"/>
  <c r="E3613"/>
  <c r="J3612"/>
  <c r="I3612"/>
  <c r="G3612"/>
  <c r="F3612"/>
  <c r="E3612"/>
  <c r="J3611"/>
  <c r="I3611"/>
  <c r="G3611"/>
  <c r="F3611"/>
  <c r="E3611"/>
  <c r="J3610"/>
  <c r="I3610"/>
  <c r="G3610"/>
  <c r="F3610"/>
  <c r="E3610"/>
  <c r="J3609"/>
  <c r="I3609"/>
  <c r="G3609"/>
  <c r="F3609"/>
  <c r="E3609"/>
  <c r="J3608"/>
  <c r="I3608"/>
  <c r="G3608"/>
  <c r="F3608"/>
  <c r="E3608"/>
  <c r="J3607"/>
  <c r="I3607"/>
  <c r="G3607"/>
  <c r="F3607"/>
  <c r="E3607"/>
  <c r="J3606"/>
  <c r="I3606"/>
  <c r="G3606"/>
  <c r="F3606"/>
  <c r="E3606"/>
  <c r="J3605"/>
  <c r="I3605"/>
  <c r="G3605"/>
  <c r="F3605"/>
  <c r="E3605"/>
  <c r="J3604"/>
  <c r="I3604"/>
  <c r="G3604"/>
  <c r="F3604"/>
  <c r="E3604"/>
  <c r="J3603"/>
  <c r="I3603"/>
  <c r="G3603"/>
  <c r="F3603"/>
  <c r="E3603"/>
  <c r="J3602"/>
  <c r="I3602"/>
  <c r="G3602"/>
  <c r="F3602"/>
  <c r="E3602"/>
  <c r="J3601"/>
  <c r="I3601"/>
  <c r="G3601"/>
  <c r="F3601"/>
  <c r="E3601"/>
  <c r="J3600"/>
  <c r="I3600"/>
  <c r="G3600"/>
  <c r="F3600"/>
  <c r="E3600"/>
  <c r="J3599"/>
  <c r="I3599"/>
  <c r="G3599"/>
  <c r="F3599"/>
  <c r="E3599"/>
  <c r="J3598"/>
  <c r="I3598"/>
  <c r="G3598"/>
  <c r="F3598"/>
  <c r="E3598"/>
  <c r="J3597"/>
  <c r="I3597"/>
  <c r="G3597"/>
  <c r="F3597"/>
  <c r="E3597"/>
  <c r="J3596"/>
  <c r="I3596"/>
  <c r="G3596"/>
  <c r="F3596"/>
  <c r="E3596"/>
  <c r="J3595"/>
  <c r="I3595"/>
  <c r="G3595"/>
  <c r="F3595"/>
  <c r="E3595"/>
  <c r="J3594"/>
  <c r="I3594"/>
  <c r="G3594"/>
  <c r="F3594"/>
  <c r="E3594"/>
  <c r="J3593"/>
  <c r="I3593"/>
  <c r="G3593"/>
  <c r="F3593"/>
  <c r="E3593"/>
  <c r="J3592"/>
  <c r="I3592"/>
  <c r="G3592"/>
  <c r="F3592"/>
  <c r="E3592"/>
  <c r="J3591"/>
  <c r="I3591"/>
  <c r="G3591"/>
  <c r="F3591"/>
  <c r="E3591"/>
  <c r="J3590"/>
  <c r="I3590"/>
  <c r="G3590"/>
  <c r="F3590"/>
  <c r="E3590"/>
  <c r="J3589"/>
  <c r="I3589"/>
  <c r="G3589"/>
  <c r="F3589"/>
  <c r="E3589"/>
  <c r="J3588"/>
  <c r="I3588"/>
  <c r="G3588"/>
  <c r="F3588"/>
  <c r="E3588"/>
  <c r="J3587"/>
  <c r="I3587"/>
  <c r="G3587"/>
  <c r="F3587"/>
  <c r="E3587"/>
  <c r="J3586"/>
  <c r="I3586"/>
  <c r="G3586"/>
  <c r="F3586"/>
  <c r="E3586"/>
  <c r="J3585"/>
  <c r="I3585"/>
  <c r="G3585"/>
  <c r="F3585"/>
  <c r="E3585"/>
  <c r="J3584"/>
  <c r="I3584"/>
  <c r="G3584"/>
  <c r="F3584"/>
  <c r="E3584"/>
  <c r="J3583"/>
  <c r="I3583"/>
  <c r="G3583"/>
  <c r="F3583"/>
  <c r="E3583"/>
  <c r="J3582"/>
  <c r="I3582"/>
  <c r="G3582"/>
  <c r="F3582"/>
  <c r="E3582"/>
  <c r="J3581"/>
  <c r="I3581"/>
  <c r="G3581"/>
  <c r="F3581"/>
  <c r="E3581"/>
  <c r="J3580"/>
  <c r="I3580"/>
  <c r="G3580"/>
  <c r="F3580"/>
  <c r="E3580"/>
  <c r="J3579"/>
  <c r="I3579"/>
  <c r="G3579"/>
  <c r="F3579"/>
  <c r="E3579"/>
  <c r="J3578"/>
  <c r="I3578"/>
  <c r="G3578"/>
  <c r="F3578"/>
  <c r="E3578"/>
  <c r="J3577"/>
  <c r="I3577"/>
  <c r="G3577"/>
  <c r="F3577"/>
  <c r="E3577"/>
  <c r="J3576"/>
  <c r="I3576"/>
  <c r="G3576"/>
  <c r="F3576"/>
  <c r="E3576"/>
  <c r="J3575"/>
  <c r="I3575"/>
  <c r="G3575"/>
  <c r="F3575"/>
  <c r="E3575"/>
  <c r="J3574"/>
  <c r="I3574"/>
  <c r="G3574"/>
  <c r="F3574"/>
  <c r="E3574"/>
  <c r="J3573"/>
  <c r="I3573"/>
  <c r="G3573"/>
  <c r="F3573"/>
  <c r="E3573"/>
  <c r="J3572"/>
  <c r="I3572"/>
  <c r="G3572"/>
  <c r="F3572"/>
  <c r="E3572"/>
  <c r="J3571"/>
  <c r="I3571"/>
  <c r="G3571"/>
  <c r="F3571"/>
  <c r="E3571"/>
  <c r="J3570"/>
  <c r="I3570"/>
  <c r="G3570"/>
  <c r="F3570"/>
  <c r="E3570"/>
  <c r="J3569"/>
  <c r="I3569"/>
  <c r="G3569"/>
  <c r="F3569"/>
  <c r="E3569"/>
  <c r="J3568"/>
  <c r="I3568"/>
  <c r="G3568"/>
  <c r="F3568"/>
  <c r="E3568"/>
  <c r="J3567"/>
  <c r="I3567"/>
  <c r="G3567"/>
  <c r="F3567"/>
  <c r="E3567"/>
  <c r="J3566"/>
  <c r="I3566"/>
  <c r="G3566"/>
  <c r="F3566"/>
  <c r="E3566"/>
  <c r="J3565"/>
  <c r="I3565"/>
  <c r="G3565"/>
  <c r="F3565"/>
  <c r="E3565"/>
  <c r="J3564"/>
  <c r="I3564"/>
  <c r="G3564"/>
  <c r="F3564"/>
  <c r="E3564"/>
  <c r="J3563"/>
  <c r="I3563"/>
  <c r="G3563"/>
  <c r="F3563"/>
  <c r="E3563"/>
  <c r="J3562"/>
  <c r="I3562"/>
  <c r="G3562"/>
  <c r="F3562"/>
  <c r="E3562"/>
  <c r="J3561"/>
  <c r="I3561"/>
  <c r="G3561"/>
  <c r="F3561"/>
  <c r="E3561"/>
  <c r="J3560"/>
  <c r="I3560"/>
  <c r="G3560"/>
  <c r="F3560"/>
  <c r="E3560"/>
  <c r="J3559"/>
  <c r="I3559"/>
  <c r="G3559"/>
  <c r="F3559"/>
  <c r="E3559"/>
  <c r="J3558"/>
  <c r="I3558"/>
  <c r="G3558"/>
  <c r="F3558"/>
  <c r="E3558"/>
  <c r="J3557"/>
  <c r="I3557"/>
  <c r="G3557"/>
  <c r="F3557"/>
  <c r="E3557"/>
  <c r="J3556"/>
  <c r="I3556"/>
  <c r="G3556"/>
  <c r="F3556"/>
  <c r="E3556"/>
  <c r="J3555"/>
  <c r="I3555"/>
  <c r="G3555"/>
  <c r="F3555"/>
  <c r="E3555"/>
  <c r="J3554"/>
  <c r="I3554"/>
  <c r="G3554"/>
  <c r="F3554"/>
  <c r="E3554"/>
  <c r="J3553"/>
  <c r="I3553"/>
  <c r="G3553"/>
  <c r="F3553"/>
  <c r="E3553"/>
  <c r="J3552"/>
  <c r="I3552"/>
  <c r="G3552"/>
  <c r="F3552"/>
  <c r="E3552"/>
  <c r="J3551"/>
  <c r="I3551"/>
  <c r="G3551"/>
  <c r="F3551"/>
  <c r="E3551"/>
  <c r="J3550"/>
  <c r="I3550"/>
  <c r="G3550"/>
  <c r="F3550"/>
  <c r="E3550"/>
  <c r="J3549"/>
  <c r="I3549"/>
  <c r="G3549"/>
  <c r="F3549"/>
  <c r="E3549"/>
  <c r="J3548"/>
  <c r="I3548"/>
  <c r="G3548"/>
  <c r="F3548"/>
  <c r="E3548"/>
  <c r="J3547"/>
  <c r="I3547"/>
  <c r="G3547"/>
  <c r="F3547"/>
  <c r="E3547"/>
  <c r="J3546"/>
  <c r="I3546"/>
  <c r="G3546"/>
  <c r="F3546"/>
  <c r="E3546"/>
  <c r="J3545"/>
  <c r="I3545"/>
  <c r="G3545"/>
  <c r="F3545"/>
  <c r="E3545"/>
  <c r="J3544"/>
  <c r="I3544"/>
  <c r="G3544"/>
  <c r="F3544"/>
  <c r="E3544"/>
  <c r="J3543"/>
  <c r="I3543"/>
  <c r="G3543"/>
  <c r="F3543"/>
  <c r="E3543"/>
  <c r="J3542"/>
  <c r="I3542"/>
  <c r="G3542"/>
  <c r="F3542"/>
  <c r="E3542"/>
  <c r="J3541"/>
  <c r="I3541"/>
  <c r="G3541"/>
  <c r="F3541"/>
  <c r="E3541"/>
  <c r="J3540"/>
  <c r="I3540"/>
  <c r="G3540"/>
  <c r="F3540"/>
  <c r="E3540"/>
  <c r="J3539"/>
  <c r="I3539"/>
  <c r="G3539"/>
  <c r="F3539"/>
  <c r="E3539"/>
  <c r="J3538"/>
  <c r="I3538"/>
  <c r="G3538"/>
  <c r="F3538"/>
  <c r="E3538"/>
  <c r="J3537"/>
  <c r="I3537"/>
  <c r="G3537"/>
  <c r="F3537"/>
  <c r="E3537"/>
  <c r="J3536"/>
  <c r="I3536"/>
  <c r="G3536"/>
  <c r="F3536"/>
  <c r="E3536"/>
  <c r="J3535"/>
  <c r="I3535"/>
  <c r="G3535"/>
  <c r="F3535"/>
  <c r="E3535"/>
  <c r="J3534"/>
  <c r="I3534"/>
  <c r="G3534"/>
  <c r="F3534"/>
  <c r="E3534"/>
  <c r="J3533"/>
  <c r="I3533"/>
  <c r="G3533"/>
  <c r="F3533"/>
  <c r="E3533"/>
  <c r="J3532"/>
  <c r="I3532"/>
  <c r="G3532"/>
  <c r="F3532"/>
  <c r="E3532"/>
  <c r="J3531"/>
  <c r="I3531"/>
  <c r="G3531"/>
  <c r="F3531"/>
  <c r="E3531"/>
  <c r="J3530"/>
  <c r="I3530"/>
  <c r="G3530"/>
  <c r="F3530"/>
  <c r="E3530"/>
  <c r="J3529"/>
  <c r="I3529"/>
  <c r="G3529"/>
  <c r="F3529"/>
  <c r="E3529"/>
  <c r="J3528"/>
  <c r="I3528"/>
  <c r="G3528"/>
  <c r="F3528"/>
  <c r="E3528"/>
  <c r="J3527"/>
  <c r="I3527"/>
  <c r="G3527"/>
  <c r="F3527"/>
  <c r="E3527"/>
  <c r="J3526"/>
  <c r="I3526"/>
  <c r="G3526"/>
  <c r="F3526"/>
  <c r="E3526"/>
  <c r="J3525"/>
  <c r="I3525"/>
  <c r="G3525"/>
  <c r="F3525"/>
  <c r="E3525"/>
  <c r="J3524"/>
  <c r="I3524"/>
  <c r="G3524"/>
  <c r="F3524"/>
  <c r="E3524"/>
  <c r="J3523"/>
  <c r="I3523"/>
  <c r="G3523"/>
  <c r="F3523"/>
  <c r="E3523"/>
  <c r="J3522"/>
  <c r="I3522"/>
  <c r="G3522"/>
  <c r="F3522"/>
  <c r="E3522"/>
  <c r="J3521"/>
  <c r="I3521"/>
  <c r="G3521"/>
  <c r="F3521"/>
  <c r="E3521"/>
  <c r="J3520"/>
  <c r="I3520"/>
  <c r="G3520"/>
  <c r="F3520"/>
  <c r="E3520"/>
  <c r="J3519"/>
  <c r="I3519"/>
  <c r="G3519"/>
  <c r="F3519"/>
  <c r="E3519"/>
  <c r="J3518"/>
  <c r="I3518"/>
  <c r="G3518"/>
  <c r="F3518"/>
  <c r="E3518"/>
  <c r="J3517"/>
  <c r="I3517"/>
  <c r="G3517"/>
  <c r="F3517"/>
  <c r="E3517"/>
  <c r="J3516"/>
  <c r="I3516"/>
  <c r="G3516"/>
  <c r="F3516"/>
  <c r="E3516"/>
  <c r="J3515"/>
  <c r="I3515"/>
  <c r="G3515"/>
  <c r="F3515"/>
  <c r="E3515"/>
  <c r="J3514"/>
  <c r="I3514"/>
  <c r="G3514"/>
  <c r="F3514"/>
  <c r="E3514"/>
  <c r="J3513"/>
  <c r="I3513"/>
  <c r="G3513"/>
  <c r="F3513"/>
  <c r="E3513"/>
  <c r="J3512"/>
  <c r="I3512"/>
  <c r="G3512"/>
  <c r="F3512"/>
  <c r="E3512"/>
  <c r="J3511"/>
  <c r="I3511"/>
  <c r="G3511"/>
  <c r="F3511"/>
  <c r="E3511"/>
  <c r="J3510"/>
  <c r="I3510"/>
  <c r="G3510"/>
  <c r="F3510"/>
  <c r="E3510"/>
  <c r="J3509"/>
  <c r="I3509"/>
  <c r="G3509"/>
  <c r="F3509"/>
  <c r="E3509"/>
  <c r="J3508"/>
  <c r="I3508"/>
  <c r="G3508"/>
  <c r="F3508"/>
  <c r="E3508"/>
  <c r="J3507"/>
  <c r="I3507"/>
  <c r="G3507"/>
  <c r="F3507"/>
  <c r="E3507"/>
  <c r="J3506"/>
  <c r="I3506"/>
  <c r="G3506"/>
  <c r="F3506"/>
  <c r="E3506"/>
  <c r="J3505"/>
  <c r="I3505"/>
  <c r="G3505"/>
  <c r="F3505"/>
  <c r="E3505"/>
  <c r="J3504"/>
  <c r="I3504"/>
  <c r="G3504"/>
  <c r="F3504"/>
  <c r="E3504"/>
  <c r="J3503"/>
  <c r="I3503"/>
  <c r="G3503"/>
  <c r="F3503"/>
  <c r="E3503"/>
  <c r="J3502"/>
  <c r="I3502"/>
  <c r="G3502"/>
  <c r="F3502"/>
  <c r="E3502"/>
  <c r="J3501"/>
  <c r="I3501"/>
  <c r="G3501"/>
  <c r="F3501"/>
  <c r="E3501"/>
  <c r="J3500"/>
  <c r="I3500"/>
  <c r="G3500"/>
  <c r="F3500"/>
  <c r="E3500"/>
  <c r="J3499"/>
  <c r="I3499"/>
  <c r="G3499"/>
  <c r="F3499"/>
  <c r="E3499"/>
  <c r="J3498"/>
  <c r="I3498"/>
  <c r="G3498"/>
  <c r="F3498"/>
  <c r="E3498"/>
  <c r="J3497"/>
  <c r="I3497"/>
  <c r="G3497"/>
  <c r="F3497"/>
  <c r="E3497"/>
  <c r="J3496"/>
  <c r="I3496"/>
  <c r="G3496"/>
  <c r="F3496"/>
  <c r="E3496"/>
  <c r="J3495"/>
  <c r="I3495"/>
  <c r="G3495"/>
  <c r="F3495"/>
  <c r="E3495"/>
  <c r="J3494"/>
  <c r="I3494"/>
  <c r="G3494"/>
  <c r="F3494"/>
  <c r="E3494"/>
  <c r="J3493"/>
  <c r="I3493"/>
  <c r="G3493"/>
  <c r="F3493"/>
  <c r="E3493"/>
  <c r="J3492"/>
  <c r="I3492"/>
  <c r="G3492"/>
  <c r="F3492"/>
  <c r="E3492"/>
  <c r="J3491"/>
  <c r="I3491"/>
  <c r="G3491"/>
  <c r="F3491"/>
  <c r="E3491"/>
  <c r="J3490"/>
  <c r="I3490"/>
  <c r="G3490"/>
  <c r="F3490"/>
  <c r="E3490"/>
  <c r="J3489"/>
  <c r="I3489"/>
  <c r="G3489"/>
  <c r="F3489"/>
  <c r="E3489"/>
  <c r="J3488"/>
  <c r="I3488"/>
  <c r="G3488"/>
  <c r="F3488"/>
  <c r="E3488"/>
  <c r="J3487"/>
  <c r="I3487"/>
  <c r="G3487"/>
  <c r="F3487"/>
  <c r="E3487"/>
  <c r="J3486"/>
  <c r="I3486"/>
  <c r="G3486"/>
  <c r="F3486"/>
  <c r="E3486"/>
  <c r="J3485"/>
  <c r="I3485"/>
  <c r="G3485"/>
  <c r="F3485"/>
  <c r="E3485"/>
  <c r="J3484"/>
  <c r="I3484"/>
  <c r="G3484"/>
  <c r="F3484"/>
  <c r="E3484"/>
  <c r="J3483"/>
  <c r="I3483"/>
  <c r="G3483"/>
  <c r="F3483"/>
  <c r="E3483"/>
  <c r="J3482"/>
  <c r="I3482"/>
  <c r="G3482"/>
  <c r="F3482"/>
  <c r="E3482"/>
  <c r="J3481"/>
  <c r="I3481"/>
  <c r="G3481"/>
  <c r="F3481"/>
  <c r="E3481"/>
  <c r="J3480"/>
  <c r="I3480"/>
  <c r="G3480"/>
  <c r="F3480"/>
  <c r="E3480"/>
  <c r="J3479"/>
  <c r="I3479"/>
  <c r="G3479"/>
  <c r="F3479"/>
  <c r="E3479"/>
  <c r="J3478"/>
  <c r="I3478"/>
  <c r="G3478"/>
  <c r="F3478"/>
  <c r="E3478"/>
  <c r="J3477"/>
  <c r="I3477"/>
  <c r="G3477"/>
  <c r="F3477"/>
  <c r="E3477"/>
  <c r="J3476"/>
  <c r="I3476"/>
  <c r="G3476"/>
  <c r="F3476"/>
  <c r="E3476"/>
  <c r="J3475"/>
  <c r="I3475"/>
  <c r="G3475"/>
  <c r="F3475"/>
  <c r="E3475"/>
  <c r="J3474"/>
  <c r="I3474"/>
  <c r="G3474"/>
  <c r="F3474"/>
  <c r="E3474"/>
  <c r="J3473"/>
  <c r="I3473"/>
  <c r="G3473"/>
  <c r="F3473"/>
  <c r="E3473"/>
  <c r="J3472"/>
  <c r="I3472"/>
  <c r="G3472"/>
  <c r="F3472"/>
  <c r="E3472"/>
  <c r="J3471"/>
  <c r="I3471"/>
  <c r="G3471"/>
  <c r="F3471"/>
  <c r="E3471"/>
  <c r="J3470"/>
  <c r="I3470"/>
  <c r="G3470"/>
  <c r="F3470"/>
  <c r="E3470"/>
  <c r="J3469"/>
  <c r="I3469"/>
  <c r="G3469"/>
  <c r="F3469"/>
  <c r="E3469"/>
  <c r="J3468"/>
  <c r="I3468"/>
  <c r="G3468"/>
  <c r="F3468"/>
  <c r="E3468"/>
  <c r="J3467"/>
  <c r="I3467"/>
  <c r="G3467"/>
  <c r="F3467"/>
  <c r="E3467"/>
  <c r="J3466"/>
  <c r="I3466"/>
  <c r="G3466"/>
  <c r="F3466"/>
  <c r="E3466"/>
  <c r="J3465"/>
  <c r="I3465"/>
  <c r="G3465"/>
  <c r="F3465"/>
  <c r="E3465"/>
  <c r="J3464"/>
  <c r="I3464"/>
  <c r="G3464"/>
  <c r="F3464"/>
  <c r="E3464"/>
  <c r="J3463"/>
  <c r="I3463"/>
  <c r="G3463"/>
  <c r="F3463"/>
  <c r="E3463"/>
  <c r="J3462"/>
  <c r="I3462"/>
  <c r="G3462"/>
  <c r="F3462"/>
  <c r="E3462"/>
  <c r="J3461"/>
  <c r="I3461"/>
  <c r="G3461"/>
  <c r="F3461"/>
  <c r="E3461"/>
  <c r="J3460"/>
  <c r="I3460"/>
  <c r="G3460"/>
  <c r="F3460"/>
  <c r="E3460"/>
  <c r="J3459"/>
  <c r="I3459"/>
  <c r="G3459"/>
  <c r="F3459"/>
  <c r="E3459"/>
  <c r="J3458"/>
  <c r="I3458"/>
  <c r="G3458"/>
  <c r="F3458"/>
  <c r="E3458"/>
  <c r="J3457"/>
  <c r="I3457"/>
  <c r="G3457"/>
  <c r="F3457"/>
  <c r="E3457"/>
  <c r="J3456"/>
  <c r="I3456"/>
  <c r="G3456"/>
  <c r="F3456"/>
  <c r="E3456"/>
  <c r="J3455"/>
  <c r="I3455"/>
  <c r="G3455"/>
  <c r="F3455"/>
  <c r="E3455"/>
  <c r="J3454"/>
  <c r="I3454"/>
  <c r="G3454"/>
  <c r="F3454"/>
  <c r="E3454"/>
  <c r="J3453"/>
  <c r="I3453"/>
  <c r="G3453"/>
  <c r="F3453"/>
  <c r="E3453"/>
  <c r="J3452"/>
  <c r="I3452"/>
  <c r="G3452"/>
  <c r="F3452"/>
  <c r="E3452"/>
  <c r="J3451"/>
  <c r="I3451"/>
  <c r="G3451"/>
  <c r="F3451"/>
  <c r="E3451"/>
  <c r="J3450"/>
  <c r="I3450"/>
  <c r="G3450"/>
  <c r="F3450"/>
  <c r="E3450"/>
  <c r="J3449"/>
  <c r="I3449"/>
  <c r="G3449"/>
  <c r="F3449"/>
  <c r="E3449"/>
  <c r="J3448"/>
  <c r="I3448"/>
  <c r="G3448"/>
  <c r="F3448"/>
  <c r="E3448"/>
  <c r="J3447"/>
  <c r="I3447"/>
  <c r="G3447"/>
  <c r="F3447"/>
  <c r="E3447"/>
  <c r="J3446"/>
  <c r="I3446"/>
  <c r="G3446"/>
  <c r="F3446"/>
  <c r="E3446"/>
  <c r="J3445"/>
  <c r="I3445"/>
  <c r="G3445"/>
  <c r="F3445"/>
  <c r="E3445"/>
  <c r="J3444"/>
  <c r="I3444"/>
  <c r="G3444"/>
  <c r="F3444"/>
  <c r="E3444"/>
  <c r="J3443"/>
  <c r="I3443"/>
  <c r="G3443"/>
  <c r="F3443"/>
  <c r="E3443"/>
  <c r="J3442"/>
  <c r="I3442"/>
  <c r="G3442"/>
  <c r="F3442"/>
  <c r="E3442"/>
  <c r="J3441"/>
  <c r="I3441"/>
  <c r="G3441"/>
  <c r="F3441"/>
  <c r="E3441"/>
  <c r="J3440"/>
  <c r="I3440"/>
  <c r="G3440"/>
  <c r="F3440"/>
  <c r="E3440"/>
  <c r="J3439"/>
  <c r="I3439"/>
  <c r="G3439"/>
  <c r="F3439"/>
  <c r="E3439"/>
  <c r="J3438"/>
  <c r="I3438"/>
  <c r="G3438"/>
  <c r="F3438"/>
  <c r="E3438"/>
  <c r="J3437"/>
  <c r="I3437"/>
  <c r="G3437"/>
  <c r="F3437"/>
  <c r="E3437"/>
  <c r="J3436"/>
  <c r="I3436"/>
  <c r="G3436"/>
  <c r="F3436"/>
  <c r="E3436"/>
  <c r="J3435"/>
  <c r="I3435"/>
  <c r="G3435"/>
  <c r="F3435"/>
  <c r="E3435"/>
  <c r="J3434"/>
  <c r="I3434"/>
  <c r="G3434"/>
  <c r="F3434"/>
  <c r="E3434"/>
  <c r="J3433"/>
  <c r="I3433"/>
  <c r="G3433"/>
  <c r="F3433"/>
  <c r="E3433"/>
  <c r="J3432"/>
  <c r="I3432"/>
  <c r="G3432"/>
  <c r="F3432"/>
  <c r="E3432"/>
  <c r="J3431"/>
  <c r="I3431"/>
  <c r="G3431"/>
  <c r="F3431"/>
  <c r="E3431"/>
  <c r="J3430"/>
  <c r="I3430"/>
  <c r="G3430"/>
  <c r="F3430"/>
  <c r="E3430"/>
  <c r="J3429"/>
  <c r="I3429"/>
  <c r="G3429"/>
  <c r="F3429"/>
  <c r="E3429"/>
  <c r="J3428"/>
  <c r="I3428"/>
  <c r="G3428"/>
  <c r="F3428"/>
  <c r="E3428"/>
  <c r="J3427"/>
  <c r="I3427"/>
  <c r="G3427"/>
  <c r="F3427"/>
  <c r="E3427"/>
  <c r="J3426"/>
  <c r="I3426"/>
  <c r="G3426"/>
  <c r="F3426"/>
  <c r="E3426"/>
  <c r="J3425"/>
  <c r="I3425"/>
  <c r="G3425"/>
  <c r="F3425"/>
  <c r="E3425"/>
  <c r="J3424"/>
  <c r="I3424"/>
  <c r="G3424"/>
  <c r="F3424"/>
  <c r="E3424"/>
  <c r="J3423"/>
  <c r="I3423"/>
  <c r="G3423"/>
  <c r="F3423"/>
  <c r="E3423"/>
  <c r="J3422"/>
  <c r="I3422"/>
  <c r="G3422"/>
  <c r="F3422"/>
  <c r="E3422"/>
  <c r="J3421"/>
  <c r="I3421"/>
  <c r="G3421"/>
  <c r="F3421"/>
  <c r="E3421"/>
  <c r="J3420"/>
  <c r="I3420"/>
  <c r="G3420"/>
  <c r="F3420"/>
  <c r="E3420"/>
  <c r="J3419"/>
  <c r="I3419"/>
  <c r="G3419"/>
  <c r="F3419"/>
  <c r="E3419"/>
  <c r="J3418"/>
  <c r="I3418"/>
  <c r="G3418"/>
  <c r="F3418"/>
  <c r="E3418"/>
  <c r="J3417"/>
  <c r="I3417"/>
  <c r="G3417"/>
  <c r="F3417"/>
  <c r="E3417"/>
  <c r="J3416"/>
  <c r="I3416"/>
  <c r="G3416"/>
  <c r="F3416"/>
  <c r="E3416"/>
  <c r="J3415"/>
  <c r="I3415"/>
  <c r="G3415"/>
  <c r="F3415"/>
  <c r="E3415"/>
  <c r="J3414"/>
  <c r="I3414"/>
  <c r="G3414"/>
  <c r="F3414"/>
  <c r="E3414"/>
  <c r="J3413"/>
  <c r="I3413"/>
  <c r="G3413"/>
  <c r="F3413"/>
  <c r="E3413"/>
  <c r="J3412"/>
  <c r="I3412"/>
  <c r="G3412"/>
  <c r="F3412"/>
  <c r="E3412"/>
  <c r="J3411"/>
  <c r="I3411"/>
  <c r="G3411"/>
  <c r="F3411"/>
  <c r="E3411"/>
  <c r="J3410"/>
  <c r="I3410"/>
  <c r="G3410"/>
  <c r="F3410"/>
  <c r="E3410"/>
  <c r="J3409"/>
  <c r="I3409"/>
  <c r="G3409"/>
  <c r="F3409"/>
  <c r="E3409"/>
  <c r="J3408"/>
  <c r="I3408"/>
  <c r="G3408"/>
  <c r="F3408"/>
  <c r="E3408"/>
  <c r="J3407"/>
  <c r="I3407"/>
  <c r="G3407"/>
  <c r="F3407"/>
  <c r="E3407"/>
  <c r="J3406"/>
  <c r="I3406"/>
  <c r="G3406"/>
  <c r="F3406"/>
  <c r="E3406"/>
  <c r="J3405"/>
  <c r="I3405"/>
  <c r="G3405"/>
  <c r="F3405"/>
  <c r="E3405"/>
  <c r="J3404"/>
  <c r="I3404"/>
  <c r="G3404"/>
  <c r="F3404"/>
  <c r="E3404"/>
  <c r="J3403"/>
  <c r="I3403"/>
  <c r="G3403"/>
  <c r="F3403"/>
  <c r="E3403"/>
  <c r="J3402"/>
  <c r="I3402"/>
  <c r="G3402"/>
  <c r="F3402"/>
  <c r="E3402"/>
  <c r="J3401"/>
  <c r="I3401"/>
  <c r="G3401"/>
  <c r="F3401"/>
  <c r="E3401"/>
  <c r="J3400"/>
  <c r="I3400"/>
  <c r="G3400"/>
  <c r="F3400"/>
  <c r="E3400"/>
  <c r="J3399"/>
  <c r="I3399"/>
  <c r="G3399"/>
  <c r="F3399"/>
  <c r="E3399"/>
  <c r="J3398"/>
  <c r="I3398"/>
  <c r="G3398"/>
  <c r="F3398"/>
  <c r="E3398"/>
  <c r="J3397"/>
  <c r="I3397"/>
  <c r="G3397"/>
  <c r="F3397"/>
  <c r="E3397"/>
  <c r="J3396"/>
  <c r="I3396"/>
  <c r="G3396"/>
  <c r="F3396"/>
  <c r="E3396"/>
  <c r="J3395"/>
  <c r="I3395"/>
  <c r="G3395"/>
  <c r="F3395"/>
  <c r="E3395"/>
  <c r="J3394"/>
  <c r="I3394"/>
  <c r="G3394"/>
  <c r="F3394"/>
  <c r="E3394"/>
  <c r="J3393"/>
  <c r="I3393"/>
  <c r="G3393"/>
  <c r="F3393"/>
  <c r="E3393"/>
  <c r="J3392"/>
  <c r="I3392"/>
  <c r="G3392"/>
  <c r="F3392"/>
  <c r="E3392"/>
  <c r="J3391"/>
  <c r="I3391"/>
  <c r="G3391"/>
  <c r="F3391"/>
  <c r="E3391"/>
  <c r="J3390"/>
  <c r="I3390"/>
  <c r="G3390"/>
  <c r="F3390"/>
  <c r="E3390"/>
  <c r="J3389"/>
  <c r="I3389"/>
  <c r="G3389"/>
  <c r="F3389"/>
  <c r="E3389"/>
  <c r="J3388"/>
  <c r="I3388"/>
  <c r="G3388"/>
  <c r="F3388"/>
  <c r="E3388"/>
  <c r="J3387"/>
  <c r="I3387"/>
  <c r="G3387"/>
  <c r="F3387"/>
  <c r="E3387"/>
  <c r="J3386"/>
  <c r="I3386"/>
  <c r="G3386"/>
  <c r="F3386"/>
  <c r="E3386"/>
  <c r="J3385"/>
  <c r="I3385"/>
  <c r="G3385"/>
  <c r="F3385"/>
  <c r="E3385"/>
  <c r="J3384"/>
  <c r="I3384"/>
  <c r="G3384"/>
  <c r="F3384"/>
  <c r="E3384"/>
  <c r="J3383"/>
  <c r="I3383"/>
  <c r="G3383"/>
  <c r="F3383"/>
  <c r="E3383"/>
  <c r="J3382"/>
  <c r="I3382"/>
  <c r="G3382"/>
  <c r="F3382"/>
  <c r="E3382"/>
  <c r="J3381"/>
  <c r="I3381"/>
  <c r="G3381"/>
  <c r="F3381"/>
  <c r="E3381"/>
  <c r="J3380"/>
  <c r="I3380"/>
  <c r="G3380"/>
  <c r="F3380"/>
  <c r="E3380"/>
  <c r="J3379"/>
  <c r="I3379"/>
  <c r="G3379"/>
  <c r="F3379"/>
  <c r="E3379"/>
  <c r="J3378"/>
  <c r="I3378"/>
  <c r="G3378"/>
  <c r="F3378"/>
  <c r="E3378"/>
  <c r="J3377"/>
  <c r="I3377"/>
  <c r="G3377"/>
  <c r="F3377"/>
  <c r="E3377"/>
  <c r="J3376"/>
  <c r="I3376"/>
  <c r="G3376"/>
  <c r="F3376"/>
  <c r="E3376"/>
  <c r="J3375"/>
  <c r="I3375"/>
  <c r="G3375"/>
  <c r="F3375"/>
  <c r="E3375"/>
  <c r="J3374"/>
  <c r="I3374"/>
  <c r="G3374"/>
  <c r="F3374"/>
  <c r="E3374"/>
  <c r="J3373"/>
  <c r="I3373"/>
  <c r="G3373"/>
  <c r="F3373"/>
  <c r="E3373"/>
  <c r="J3372"/>
  <c r="I3372"/>
  <c r="G3372"/>
  <c r="F3372"/>
  <c r="E3372"/>
  <c r="J3371"/>
  <c r="I3371"/>
  <c r="G3371"/>
  <c r="F3371"/>
  <c r="E3371"/>
  <c r="J3370"/>
  <c r="I3370"/>
  <c r="G3370"/>
  <c r="F3370"/>
  <c r="E3370"/>
  <c r="J3369"/>
  <c r="I3369"/>
  <c r="G3369"/>
  <c r="F3369"/>
  <c r="E3369"/>
  <c r="J3368"/>
  <c r="I3368"/>
  <c r="G3368"/>
  <c r="F3368"/>
  <c r="E3368"/>
  <c r="J3367"/>
  <c r="I3367"/>
  <c r="G3367"/>
  <c r="F3367"/>
  <c r="E3367"/>
  <c r="J3366"/>
  <c r="I3366"/>
  <c r="G3366"/>
  <c r="F3366"/>
  <c r="E3366"/>
  <c r="J3365"/>
  <c r="I3365"/>
  <c r="G3365"/>
  <c r="F3365"/>
  <c r="E3365"/>
  <c r="J3364"/>
  <c r="I3364"/>
  <c r="G3364"/>
  <c r="F3364"/>
  <c r="E3364"/>
  <c r="J3363"/>
  <c r="I3363"/>
  <c r="G3363"/>
  <c r="F3363"/>
  <c r="E3363"/>
  <c r="J3362"/>
  <c r="I3362"/>
  <c r="G3362"/>
  <c r="F3362"/>
  <c r="E3362"/>
  <c r="J3361"/>
  <c r="I3361"/>
  <c r="G3361"/>
  <c r="F3361"/>
  <c r="E3361"/>
  <c r="J3360"/>
  <c r="I3360"/>
  <c r="G3360"/>
  <c r="F3360"/>
  <c r="E3360"/>
  <c r="J3359"/>
  <c r="I3359"/>
  <c r="G3359"/>
  <c r="F3359"/>
  <c r="E3359"/>
  <c r="J3358"/>
  <c r="I3358"/>
  <c r="G3358"/>
  <c r="F3358"/>
  <c r="E3358"/>
  <c r="J3357"/>
  <c r="I3357"/>
  <c r="G3357"/>
  <c r="F3357"/>
  <c r="E3357"/>
  <c r="J3356"/>
  <c r="I3356"/>
  <c r="G3356"/>
  <c r="F3356"/>
  <c r="E3356"/>
  <c r="J3355"/>
  <c r="I3355"/>
  <c r="G3355"/>
  <c r="F3355"/>
  <c r="E3355"/>
  <c r="J3354"/>
  <c r="I3354"/>
  <c r="G3354"/>
  <c r="F3354"/>
  <c r="E3354"/>
  <c r="J3353"/>
  <c r="I3353"/>
  <c r="G3353"/>
  <c r="F3353"/>
  <c r="E3353"/>
  <c r="J3352"/>
  <c r="I3352"/>
  <c r="G3352"/>
  <c r="F3352"/>
  <c r="E3352"/>
  <c r="J3351"/>
  <c r="I3351"/>
  <c r="G3351"/>
  <c r="F3351"/>
  <c r="E3351"/>
  <c r="J3350"/>
  <c r="I3350"/>
  <c r="G3350"/>
  <c r="F3350"/>
  <c r="E3350"/>
  <c r="J3349"/>
  <c r="I3349"/>
  <c r="G3349"/>
  <c r="F3349"/>
  <c r="E3349"/>
  <c r="J3348"/>
  <c r="I3348"/>
  <c r="G3348"/>
  <c r="F3348"/>
  <c r="E3348"/>
  <c r="J3347"/>
  <c r="I3347"/>
  <c r="G3347"/>
  <c r="F3347"/>
  <c r="E3347"/>
  <c r="J3346"/>
  <c r="I3346"/>
  <c r="G3346"/>
  <c r="F3346"/>
  <c r="E3346"/>
  <c r="J3345"/>
  <c r="I3345"/>
  <c r="G3345"/>
  <c r="F3345"/>
  <c r="E3345"/>
  <c r="J3344"/>
  <c r="I3344"/>
  <c r="G3344"/>
  <c r="F3344"/>
  <c r="E3344"/>
  <c r="J3343"/>
  <c r="I3343"/>
  <c r="G3343"/>
  <c r="F3343"/>
  <c r="E3343"/>
  <c r="J3342"/>
  <c r="I3342"/>
  <c r="G3342"/>
  <c r="F3342"/>
  <c r="E3342"/>
  <c r="J3341"/>
  <c r="I3341"/>
  <c r="G3341"/>
  <c r="F3341"/>
  <c r="E3341"/>
  <c r="J3340"/>
  <c r="I3340"/>
  <c r="G3340"/>
  <c r="F3340"/>
  <c r="E3340"/>
  <c r="J3339"/>
  <c r="I3339"/>
  <c r="G3339"/>
  <c r="F3339"/>
  <c r="E3339"/>
  <c r="J3338"/>
  <c r="I3338"/>
  <c r="G3338"/>
  <c r="F3338"/>
  <c r="E3338"/>
  <c r="J3337"/>
  <c r="I3337"/>
  <c r="G3337"/>
  <c r="F3337"/>
  <c r="E3337"/>
  <c r="J3336"/>
  <c r="I3336"/>
  <c r="G3336"/>
  <c r="F3336"/>
  <c r="E3336"/>
  <c r="J3335"/>
  <c r="I3335"/>
  <c r="G3335"/>
  <c r="F3335"/>
  <c r="E3335"/>
  <c r="J3334"/>
  <c r="I3334"/>
  <c r="G3334"/>
  <c r="F3334"/>
  <c r="E3334"/>
  <c r="J3333"/>
  <c r="I3333"/>
  <c r="G3333"/>
  <c r="F3333"/>
  <c r="E3333"/>
  <c r="J3332"/>
  <c r="I3332"/>
  <c r="G3332"/>
  <c r="F3332"/>
  <c r="E3332"/>
  <c r="J3331"/>
  <c r="I3331"/>
  <c r="G3331"/>
  <c r="F3331"/>
  <c r="E3331"/>
  <c r="J3330"/>
  <c r="I3330"/>
  <c r="G3330"/>
  <c r="F3330"/>
  <c r="E3330"/>
  <c r="J3329"/>
  <c r="I3329"/>
  <c r="G3329"/>
  <c r="F3329"/>
  <c r="E3329"/>
  <c r="J3328"/>
  <c r="I3328"/>
  <c r="G3328"/>
  <c r="F3328"/>
  <c r="E3328"/>
  <c r="J3327"/>
  <c r="I3327"/>
  <c r="G3327"/>
  <c r="F3327"/>
  <c r="E3327"/>
  <c r="J3326"/>
  <c r="I3326"/>
  <c r="G3326"/>
  <c r="F3326"/>
  <c r="E3326"/>
  <c r="J3325"/>
  <c r="I3325"/>
  <c r="G3325"/>
  <c r="F3325"/>
  <c r="E3325"/>
  <c r="J3324"/>
  <c r="I3324"/>
  <c r="G3324"/>
  <c r="F3324"/>
  <c r="E3324"/>
  <c r="J3323"/>
  <c r="I3323"/>
  <c r="G3323"/>
  <c r="F3323"/>
  <c r="E3323"/>
  <c r="J3322"/>
  <c r="I3322"/>
  <c r="G3322"/>
  <c r="F3322"/>
  <c r="E3322"/>
  <c r="J3321"/>
  <c r="I3321"/>
  <c r="G3321"/>
  <c r="F3321"/>
  <c r="E3321"/>
  <c r="J3320"/>
  <c r="I3320"/>
  <c r="G3320"/>
  <c r="F3320"/>
  <c r="E3320"/>
  <c r="J3319"/>
  <c r="I3319"/>
  <c r="G3319"/>
  <c r="F3319"/>
  <c r="E3319"/>
  <c r="J3318"/>
  <c r="I3318"/>
  <c r="G3318"/>
  <c r="F3318"/>
  <c r="E3318"/>
  <c r="J3317"/>
  <c r="I3317"/>
  <c r="G3317"/>
  <c r="F3317"/>
  <c r="E3317"/>
  <c r="J3316"/>
  <c r="I3316"/>
  <c r="G3316"/>
  <c r="F3316"/>
  <c r="E3316"/>
  <c r="J3315"/>
  <c r="I3315"/>
  <c r="G3315"/>
  <c r="F3315"/>
  <c r="E3315"/>
  <c r="J3314"/>
  <c r="I3314"/>
  <c r="G3314"/>
  <c r="F3314"/>
  <c r="E3314"/>
  <c r="J3313"/>
  <c r="I3313"/>
  <c r="G3313"/>
  <c r="F3313"/>
  <c r="E3313"/>
  <c r="J3312"/>
  <c r="I3312"/>
  <c r="G3312"/>
  <c r="F3312"/>
  <c r="E3312"/>
  <c r="J3311"/>
  <c r="I3311"/>
  <c r="G3311"/>
  <c r="F3311"/>
  <c r="E3311"/>
  <c r="J3310"/>
  <c r="I3310"/>
  <c r="G3310"/>
  <c r="F3310"/>
  <c r="E3310"/>
  <c r="J3309"/>
  <c r="I3309"/>
  <c r="G3309"/>
  <c r="F3309"/>
  <c r="E3309"/>
  <c r="J3308"/>
  <c r="I3308"/>
  <c r="G3308"/>
  <c r="F3308"/>
  <c r="E3308"/>
  <c r="J3307"/>
  <c r="I3307"/>
  <c r="G3307"/>
  <c r="F3307"/>
  <c r="E3307"/>
  <c r="J3306"/>
  <c r="I3306"/>
  <c r="G3306"/>
  <c r="F3306"/>
  <c r="E3306"/>
  <c r="J3305"/>
  <c r="I3305"/>
  <c r="G3305"/>
  <c r="F3305"/>
  <c r="E3305"/>
  <c r="J3304"/>
  <c r="I3304"/>
  <c r="G3304"/>
  <c r="F3304"/>
  <c r="E3304"/>
  <c r="J3303"/>
  <c r="I3303"/>
  <c r="G3303"/>
  <c r="F3303"/>
  <c r="E3303"/>
  <c r="J3302"/>
  <c r="I3302"/>
  <c r="G3302"/>
  <c r="F3302"/>
  <c r="E3302"/>
  <c r="J3301"/>
  <c r="I3301"/>
  <c r="G3301"/>
  <c r="F3301"/>
  <c r="E3301"/>
  <c r="J3300"/>
  <c r="I3300"/>
  <c r="G3300"/>
  <c r="F3300"/>
  <c r="E3300"/>
  <c r="J3299"/>
  <c r="I3299"/>
  <c r="G3299"/>
  <c r="F3299"/>
  <c r="E3299"/>
  <c r="J3298"/>
  <c r="I3298"/>
  <c r="G3298"/>
  <c r="F3298"/>
  <c r="E3298"/>
  <c r="J3297"/>
  <c r="I3297"/>
  <c r="G3297"/>
  <c r="F3297"/>
  <c r="E3297"/>
  <c r="J3296"/>
  <c r="I3296"/>
  <c r="G3296"/>
  <c r="F3296"/>
  <c r="E3296"/>
  <c r="J3295"/>
  <c r="I3295"/>
  <c r="G3295"/>
  <c r="F3295"/>
  <c r="E3295"/>
  <c r="J3294"/>
  <c r="I3294"/>
  <c r="G3294"/>
  <c r="F3294"/>
  <c r="E3294"/>
  <c r="J3293"/>
  <c r="I3293"/>
  <c r="G3293"/>
  <c r="F3293"/>
  <c r="E3293"/>
  <c r="J3292"/>
  <c r="I3292"/>
  <c r="G3292"/>
  <c r="F3292"/>
  <c r="E3292"/>
  <c r="J3291"/>
  <c r="I3291"/>
  <c r="G3291"/>
  <c r="F3291"/>
  <c r="E3291"/>
  <c r="J3290"/>
  <c r="I3290"/>
  <c r="G3290"/>
  <c r="F3290"/>
  <c r="E3290"/>
  <c r="J3289"/>
  <c r="I3289"/>
  <c r="G3289"/>
  <c r="F3289"/>
  <c r="E3289"/>
  <c r="J3288"/>
  <c r="I3288"/>
  <c r="G3288"/>
  <c r="F3288"/>
  <c r="E3288"/>
  <c r="J3287"/>
  <c r="I3287"/>
  <c r="G3287"/>
  <c r="F3287"/>
  <c r="E3287"/>
  <c r="J3286"/>
  <c r="I3286"/>
  <c r="G3286"/>
  <c r="F3286"/>
  <c r="E3286"/>
  <c r="J3285"/>
  <c r="I3285"/>
  <c r="G3285"/>
  <c r="F3285"/>
  <c r="E3285"/>
  <c r="J3284"/>
  <c r="I3284"/>
  <c r="G3284"/>
  <c r="F3284"/>
  <c r="E3284"/>
  <c r="J3283"/>
  <c r="I3283"/>
  <c r="G3283"/>
  <c r="F3283"/>
  <c r="E3283"/>
  <c r="J3282"/>
  <c r="I3282"/>
  <c r="G3282"/>
  <c r="F3282"/>
  <c r="E3282"/>
  <c r="J3281"/>
  <c r="I3281"/>
  <c r="G3281"/>
  <c r="F3281"/>
  <c r="E3281"/>
  <c r="J3280"/>
  <c r="I3280"/>
  <c r="G3280"/>
  <c r="F3280"/>
  <c r="E3280"/>
  <c r="J3279"/>
  <c r="I3279"/>
  <c r="G3279"/>
  <c r="F3279"/>
  <c r="E3279"/>
  <c r="J3278"/>
  <c r="I3278"/>
  <c r="G3278"/>
  <c r="F3278"/>
  <c r="E3278"/>
  <c r="J3277"/>
  <c r="I3277"/>
  <c r="G3277"/>
  <c r="F3277"/>
  <c r="E3277"/>
  <c r="J3276"/>
  <c r="I3276"/>
  <c r="G3276"/>
  <c r="F3276"/>
  <c r="E3276"/>
  <c r="J3275"/>
  <c r="I3275"/>
  <c r="G3275"/>
  <c r="F3275"/>
  <c r="E3275"/>
  <c r="J3274"/>
  <c r="I3274"/>
  <c r="G3274"/>
  <c r="F3274"/>
  <c r="E3274"/>
  <c r="J3273"/>
  <c r="I3273"/>
  <c r="G3273"/>
  <c r="F3273"/>
  <c r="E3273"/>
  <c r="J3272"/>
  <c r="I3272"/>
  <c r="G3272"/>
  <c r="F3272"/>
  <c r="E3272"/>
  <c r="J3271"/>
  <c r="I3271"/>
  <c r="G3271"/>
  <c r="F3271"/>
  <c r="E3271"/>
  <c r="J3270"/>
  <c r="I3270"/>
  <c r="G3270"/>
  <c r="F3270"/>
  <c r="E3270"/>
  <c r="J3269"/>
  <c r="I3269"/>
  <c r="G3269"/>
  <c r="F3269"/>
  <c r="E3269"/>
  <c r="J3268"/>
  <c r="I3268"/>
  <c r="G3268"/>
  <c r="F3268"/>
  <c r="E3268"/>
  <c r="J3267"/>
  <c r="I3267"/>
  <c r="G3267"/>
  <c r="F3267"/>
  <c r="E3267"/>
  <c r="J3266"/>
  <c r="I3266"/>
  <c r="G3266"/>
  <c r="F3266"/>
  <c r="E3266"/>
  <c r="J3265"/>
  <c r="I3265"/>
  <c r="G3265"/>
  <c r="F3265"/>
  <c r="E3265"/>
  <c r="J3264"/>
  <c r="I3264"/>
  <c r="G3264"/>
  <c r="F3264"/>
  <c r="E3264"/>
  <c r="J3263"/>
  <c r="I3263"/>
  <c r="G3263"/>
  <c r="F3263"/>
  <c r="E3263"/>
  <c r="J3262"/>
  <c r="I3262"/>
  <c r="G3262"/>
  <c r="F3262"/>
  <c r="E3262"/>
  <c r="J3261"/>
  <c r="I3261"/>
  <c r="G3261"/>
  <c r="F3261"/>
  <c r="E3261"/>
  <c r="J3260"/>
  <c r="I3260"/>
  <c r="G3260"/>
  <c r="F3260"/>
  <c r="E3260"/>
  <c r="J3259"/>
  <c r="I3259"/>
  <c r="G3259"/>
  <c r="F3259"/>
  <c r="E3259"/>
  <c r="J3258"/>
  <c r="I3258"/>
  <c r="G3258"/>
  <c r="F3258"/>
  <c r="E3258"/>
  <c r="J3257"/>
  <c r="I3257"/>
  <c r="G3257"/>
  <c r="F3257"/>
  <c r="E3257"/>
  <c r="J3256"/>
  <c r="I3256"/>
  <c r="G3256"/>
  <c r="F3256"/>
  <c r="E3256"/>
  <c r="J3255"/>
  <c r="I3255"/>
  <c r="G3255"/>
  <c r="F3255"/>
  <c r="E3255"/>
  <c r="J3254"/>
  <c r="I3254"/>
  <c r="G3254"/>
  <c r="F3254"/>
  <c r="E3254"/>
  <c r="J3253"/>
  <c r="I3253"/>
  <c r="G3253"/>
  <c r="F3253"/>
  <c r="E3253"/>
  <c r="J3252"/>
  <c r="I3252"/>
  <c r="G3252"/>
  <c r="F3252"/>
  <c r="E3252"/>
  <c r="J3251"/>
  <c r="I3251"/>
  <c r="G3251"/>
  <c r="F3251"/>
  <c r="E3251"/>
  <c r="J3250"/>
  <c r="I3250"/>
  <c r="G3250"/>
  <c r="F3250"/>
  <c r="E3250"/>
  <c r="J3249"/>
  <c r="I3249"/>
  <c r="G3249"/>
  <c r="F3249"/>
  <c r="E3249"/>
  <c r="J3248"/>
  <c r="I3248"/>
  <c r="G3248"/>
  <c r="F3248"/>
  <c r="E3248"/>
  <c r="J3247"/>
  <c r="I3247"/>
  <c r="G3247"/>
  <c r="F3247"/>
  <c r="E3247"/>
  <c r="J3246"/>
  <c r="I3246"/>
  <c r="G3246"/>
  <c r="F3246"/>
  <c r="E3246"/>
  <c r="J3245"/>
  <c r="I3245"/>
  <c r="G3245"/>
  <c r="F3245"/>
  <c r="E3245"/>
  <c r="J3244"/>
  <c r="I3244"/>
  <c r="G3244"/>
  <c r="F3244"/>
  <c r="E3244"/>
  <c r="J3243"/>
  <c r="I3243"/>
  <c r="G3243"/>
  <c r="F3243"/>
  <c r="E3243"/>
  <c r="J3242"/>
  <c r="I3242"/>
  <c r="G3242"/>
  <c r="F3242"/>
  <c r="E3242"/>
  <c r="J3241"/>
  <c r="I3241"/>
  <c r="G3241"/>
  <c r="F3241"/>
  <c r="E3241"/>
  <c r="J3240"/>
  <c r="I3240"/>
  <c r="G3240"/>
  <c r="F3240"/>
  <c r="E3240"/>
  <c r="J3239"/>
  <c r="I3239"/>
  <c r="G3239"/>
  <c r="F3239"/>
  <c r="E3239"/>
  <c r="J3238"/>
  <c r="I3238"/>
  <c r="G3238"/>
  <c r="F3238"/>
  <c r="E3238"/>
  <c r="J3237"/>
  <c r="I3237"/>
  <c r="G3237"/>
  <c r="F3237"/>
  <c r="E3237"/>
  <c r="J3236"/>
  <c r="I3236"/>
  <c r="G3236"/>
  <c r="F3236"/>
  <c r="E3236"/>
  <c r="J3235"/>
  <c r="I3235"/>
  <c r="G3235"/>
  <c r="F3235"/>
  <c r="E3235"/>
  <c r="J3234"/>
  <c r="I3234"/>
  <c r="G3234"/>
  <c r="F3234"/>
  <c r="E3234"/>
  <c r="J3233"/>
  <c r="I3233"/>
  <c r="G3233"/>
  <c r="F3233"/>
  <c r="E3233"/>
  <c r="J3232"/>
  <c r="I3232"/>
  <c r="G3232"/>
  <c r="F3232"/>
  <c r="E3232"/>
  <c r="J3231"/>
  <c r="I3231"/>
  <c r="G3231"/>
  <c r="F3231"/>
  <c r="E3231"/>
  <c r="J3230"/>
  <c r="I3230"/>
  <c r="G3230"/>
  <c r="F3230"/>
  <c r="E3230"/>
  <c r="J3229"/>
  <c r="I3229"/>
  <c r="G3229"/>
  <c r="F3229"/>
  <c r="E3229"/>
  <c r="J3228"/>
  <c r="I3228"/>
  <c r="G3228"/>
  <c r="F3228"/>
  <c r="E3228"/>
  <c r="J3227"/>
  <c r="I3227"/>
  <c r="G3227"/>
  <c r="F3227"/>
  <c r="E3227"/>
  <c r="J3226"/>
  <c r="I3226"/>
  <c r="G3226"/>
  <c r="F3226"/>
  <c r="E3226"/>
  <c r="J3225"/>
  <c r="I3225"/>
  <c r="G3225"/>
  <c r="F3225"/>
  <c r="E3225"/>
  <c r="J3224"/>
  <c r="I3224"/>
  <c r="G3224"/>
  <c r="F3224"/>
  <c r="E3224"/>
  <c r="J3223"/>
  <c r="I3223"/>
  <c r="G3223"/>
  <c r="F3223"/>
  <c r="E3223"/>
  <c r="J3222"/>
  <c r="I3222"/>
  <c r="G3222"/>
  <c r="F3222"/>
  <c r="E3222"/>
  <c r="J3221"/>
  <c r="I3221"/>
  <c r="G3221"/>
  <c r="F3221"/>
  <c r="E3221"/>
  <c r="J3220"/>
  <c r="I3220"/>
  <c r="G3220"/>
  <c r="F3220"/>
  <c r="E3220"/>
  <c r="J3219"/>
  <c r="I3219"/>
  <c r="G3219"/>
  <c r="F3219"/>
  <c r="E3219"/>
  <c r="J3218"/>
  <c r="I3218"/>
  <c r="G3218"/>
  <c r="F3218"/>
  <c r="E3218"/>
  <c r="J3217"/>
  <c r="I3217"/>
  <c r="G3217"/>
  <c r="F3217"/>
  <c r="E3217"/>
  <c r="J3216"/>
  <c r="I3216"/>
  <c r="G3216"/>
  <c r="F3216"/>
  <c r="E3216"/>
  <c r="J3215"/>
  <c r="I3215"/>
  <c r="G3215"/>
  <c r="F3215"/>
  <c r="E3215"/>
  <c r="J3214"/>
  <c r="I3214"/>
  <c r="G3214"/>
  <c r="F3214"/>
  <c r="E3214"/>
  <c r="J3213"/>
  <c r="I3213"/>
  <c r="G3213"/>
  <c r="F3213"/>
  <c r="E3213"/>
  <c r="J3212"/>
  <c r="I3212"/>
  <c r="G3212"/>
  <c r="F3212"/>
  <c r="E3212"/>
  <c r="J3211"/>
  <c r="I3211"/>
  <c r="G3211"/>
  <c r="F3211"/>
  <c r="E3211"/>
  <c r="J3210"/>
  <c r="I3210"/>
  <c r="G3210"/>
  <c r="F3210"/>
  <c r="E3210"/>
  <c r="J3209"/>
  <c r="I3209"/>
  <c r="G3209"/>
  <c r="F3209"/>
  <c r="E3209"/>
  <c r="J3208"/>
  <c r="I3208"/>
  <c r="G3208"/>
  <c r="F3208"/>
  <c r="E3208"/>
  <c r="J3207"/>
  <c r="I3207"/>
  <c r="G3207"/>
  <c r="F3207"/>
  <c r="E3207"/>
  <c r="J3206"/>
  <c r="I3206"/>
  <c r="G3206"/>
  <c r="F3206"/>
  <c r="E3206"/>
  <c r="J3205"/>
  <c r="I3205"/>
  <c r="G3205"/>
  <c r="F3205"/>
  <c r="E3205"/>
  <c r="J3204"/>
  <c r="I3204"/>
  <c r="G3204"/>
  <c r="F3204"/>
  <c r="E3204"/>
  <c r="J3203"/>
  <c r="I3203"/>
  <c r="G3203"/>
  <c r="F3203"/>
  <c r="E3203"/>
  <c r="J3202"/>
  <c r="I3202"/>
  <c r="G3202"/>
  <c r="F3202"/>
  <c r="E3202"/>
  <c r="J3201"/>
  <c r="I3201"/>
  <c r="G3201"/>
  <c r="F3201"/>
  <c r="E3201"/>
  <c r="J3200"/>
  <c r="I3200"/>
  <c r="G3200"/>
  <c r="F3200"/>
  <c r="E3200"/>
  <c r="J3199"/>
  <c r="I3199"/>
  <c r="G3199"/>
  <c r="F3199"/>
  <c r="E3199"/>
  <c r="J3198"/>
  <c r="I3198"/>
  <c r="G3198"/>
  <c r="F3198"/>
  <c r="E3198"/>
  <c r="J3197"/>
  <c r="I3197"/>
  <c r="G3197"/>
  <c r="F3197"/>
  <c r="E3197"/>
  <c r="J3196"/>
  <c r="I3196"/>
  <c r="G3196"/>
  <c r="F3196"/>
  <c r="E3196"/>
  <c r="J3195"/>
  <c r="I3195"/>
  <c r="G3195"/>
  <c r="F3195"/>
  <c r="E3195"/>
  <c r="J3194"/>
  <c r="I3194"/>
  <c r="G3194"/>
  <c r="F3194"/>
  <c r="E3194"/>
  <c r="J3193"/>
  <c r="I3193"/>
  <c r="G3193"/>
  <c r="F3193"/>
  <c r="E3193"/>
  <c r="J3192"/>
  <c r="I3192"/>
  <c r="G3192"/>
  <c r="F3192"/>
  <c r="E3192"/>
  <c r="J3191"/>
  <c r="I3191"/>
  <c r="G3191"/>
  <c r="F3191"/>
  <c r="E3191"/>
  <c r="J3190"/>
  <c r="I3190"/>
  <c r="G3190"/>
  <c r="F3190"/>
  <c r="E3190"/>
  <c r="J3189"/>
  <c r="I3189"/>
  <c r="G3189"/>
  <c r="F3189"/>
  <c r="E3189"/>
  <c r="J3188"/>
  <c r="I3188"/>
  <c r="G3188"/>
  <c r="F3188"/>
  <c r="E3188"/>
  <c r="J3187"/>
  <c r="I3187"/>
  <c r="G3187"/>
  <c r="F3187"/>
  <c r="E3187"/>
  <c r="J3186"/>
  <c r="I3186"/>
  <c r="G3186"/>
  <c r="F3186"/>
  <c r="E3186"/>
  <c r="J3185"/>
  <c r="I3185"/>
  <c r="G3185"/>
  <c r="F3185"/>
  <c r="E3185"/>
  <c r="J3184"/>
  <c r="I3184"/>
  <c r="G3184"/>
  <c r="F3184"/>
  <c r="E3184"/>
  <c r="J3183"/>
  <c r="I3183"/>
  <c r="G3183"/>
  <c r="F3183"/>
  <c r="E3183"/>
  <c r="J3182"/>
  <c r="I3182"/>
  <c r="G3182"/>
  <c r="F3182"/>
  <c r="E3182"/>
  <c r="J3181"/>
  <c r="I3181"/>
  <c r="G3181"/>
  <c r="F3181"/>
  <c r="E3181"/>
  <c r="J3180"/>
  <c r="I3180"/>
  <c r="G3180"/>
  <c r="F3180"/>
  <c r="E3180"/>
  <c r="J3179"/>
  <c r="I3179"/>
  <c r="G3179"/>
  <c r="F3179"/>
  <c r="E3179"/>
  <c r="J3178"/>
  <c r="I3178"/>
  <c r="G3178"/>
  <c r="F3178"/>
  <c r="E3178"/>
  <c r="J3177"/>
  <c r="I3177"/>
  <c r="G3177"/>
  <c r="F3177"/>
  <c r="E3177"/>
  <c r="J3176"/>
  <c r="I3176"/>
  <c r="G3176"/>
  <c r="F3176"/>
  <c r="E3176"/>
  <c r="J3175"/>
  <c r="I3175"/>
  <c r="G3175"/>
  <c r="F3175"/>
  <c r="E3175"/>
  <c r="J3174"/>
  <c r="I3174"/>
  <c r="G3174"/>
  <c r="F3174"/>
  <c r="E3174"/>
  <c r="J3173"/>
  <c r="I3173"/>
  <c r="G3173"/>
  <c r="F3173"/>
  <c r="E3173"/>
  <c r="J3172"/>
  <c r="I3172"/>
  <c r="G3172"/>
  <c r="F3172"/>
  <c r="E3172"/>
  <c r="J3171"/>
  <c r="I3171"/>
  <c r="G3171"/>
  <c r="F3171"/>
  <c r="E3171"/>
  <c r="J3170"/>
  <c r="I3170"/>
  <c r="G3170"/>
  <c r="F3170"/>
  <c r="E3170"/>
  <c r="J3169"/>
  <c r="I3169"/>
  <c r="G3169"/>
  <c r="F3169"/>
  <c r="E3169"/>
  <c r="J3168"/>
  <c r="I3168"/>
  <c r="G3168"/>
  <c r="F3168"/>
  <c r="E3168"/>
  <c r="J3167"/>
  <c r="I3167"/>
  <c r="G3167"/>
  <c r="F3167"/>
  <c r="E3167"/>
  <c r="J3166"/>
  <c r="I3166"/>
  <c r="G3166"/>
  <c r="F3166"/>
  <c r="E3166"/>
  <c r="J3165"/>
  <c r="I3165"/>
  <c r="G3165"/>
  <c r="F3165"/>
  <c r="E3165"/>
  <c r="J3164"/>
  <c r="I3164"/>
  <c r="G3164"/>
  <c r="F3164"/>
  <c r="E3164"/>
  <c r="J3163"/>
  <c r="I3163"/>
  <c r="G3163"/>
  <c r="F3163"/>
  <c r="E3163"/>
  <c r="J3162"/>
  <c r="I3162"/>
  <c r="G3162"/>
  <c r="F3162"/>
  <c r="E3162"/>
  <c r="J3161"/>
  <c r="I3161"/>
  <c r="G3161"/>
  <c r="F3161"/>
  <c r="E3161"/>
  <c r="J3160"/>
  <c r="I3160"/>
  <c r="G3160"/>
  <c r="F3160"/>
  <c r="E3160"/>
  <c r="J3159"/>
  <c r="I3159"/>
  <c r="G3159"/>
  <c r="F3159"/>
  <c r="E3159"/>
  <c r="J3158"/>
  <c r="I3158"/>
  <c r="G3158"/>
  <c r="F3158"/>
  <c r="E3158"/>
  <c r="J3157"/>
  <c r="I3157"/>
  <c r="G3157"/>
  <c r="F3157"/>
  <c r="E3157"/>
  <c r="J3156"/>
  <c r="I3156"/>
  <c r="G3156"/>
  <c r="F3156"/>
  <c r="E3156"/>
  <c r="J3155"/>
  <c r="I3155"/>
  <c r="G3155"/>
  <c r="F3155"/>
  <c r="E3155"/>
  <c r="J3154"/>
  <c r="I3154"/>
  <c r="G3154"/>
  <c r="F3154"/>
  <c r="E3154"/>
  <c r="J3153"/>
  <c r="I3153"/>
  <c r="G3153"/>
  <c r="F3153"/>
  <c r="E3153"/>
  <c r="J3152"/>
  <c r="I3152"/>
  <c r="G3152"/>
  <c r="F3152"/>
  <c r="E3152"/>
  <c r="J3151"/>
  <c r="I3151"/>
  <c r="G3151"/>
  <c r="F3151"/>
  <c r="E3151"/>
  <c r="J3150"/>
  <c r="I3150"/>
  <c r="G3150"/>
  <c r="F3150"/>
  <c r="E3150"/>
  <c r="J3149"/>
  <c r="I3149"/>
  <c r="G3149"/>
  <c r="F3149"/>
  <c r="E3149"/>
  <c r="J3148"/>
  <c r="I3148"/>
  <c r="G3148"/>
  <c r="F3148"/>
  <c r="E3148"/>
  <c r="J3147"/>
  <c r="I3147"/>
  <c r="G3147"/>
  <c r="F3147"/>
  <c r="E3147"/>
  <c r="J3146"/>
  <c r="I3146"/>
  <c r="G3146"/>
  <c r="F3146"/>
  <c r="E3146"/>
  <c r="J3145"/>
  <c r="I3145"/>
  <c r="G3145"/>
  <c r="F3145"/>
  <c r="E3145"/>
  <c r="J3144"/>
  <c r="I3144"/>
  <c r="G3144"/>
  <c r="F3144"/>
  <c r="E3144"/>
  <c r="J3143"/>
  <c r="I3143"/>
  <c r="G3143"/>
  <c r="F3143"/>
  <c r="E3143"/>
  <c r="J3142"/>
  <c r="I3142"/>
  <c r="G3142"/>
  <c r="F3142"/>
  <c r="E3142"/>
  <c r="J3141"/>
  <c r="I3141"/>
  <c r="G3141"/>
  <c r="F3141"/>
  <c r="E3141"/>
  <c r="J3140"/>
  <c r="I3140"/>
  <c r="G3140"/>
  <c r="F3140"/>
  <c r="E3140"/>
  <c r="J3139"/>
  <c r="I3139"/>
  <c r="G3139"/>
  <c r="F3139"/>
  <c r="E3139"/>
  <c r="J3138"/>
  <c r="I3138"/>
  <c r="G3138"/>
  <c r="F3138"/>
  <c r="E3138"/>
  <c r="J3137"/>
  <c r="I3137"/>
  <c r="G3137"/>
  <c r="F3137"/>
  <c r="E3137"/>
  <c r="J3136"/>
  <c r="I3136"/>
  <c r="G3136"/>
  <c r="F3136"/>
  <c r="E3136"/>
  <c r="J3135"/>
  <c r="I3135"/>
  <c r="G3135"/>
  <c r="F3135"/>
  <c r="E3135"/>
  <c r="J3134"/>
  <c r="I3134"/>
  <c r="G3134"/>
  <c r="F3134"/>
  <c r="E3134"/>
  <c r="J3133"/>
  <c r="I3133"/>
  <c r="G3133"/>
  <c r="F3133"/>
  <c r="E3133"/>
  <c r="J3132"/>
  <c r="I3132"/>
  <c r="G3132"/>
  <c r="F3132"/>
  <c r="E3132"/>
  <c r="J3131"/>
  <c r="I3131"/>
  <c r="G3131"/>
  <c r="F3131"/>
  <c r="E3131"/>
  <c r="J3130"/>
  <c r="I3130"/>
  <c r="G3130"/>
  <c r="F3130"/>
  <c r="E3130"/>
  <c r="J3129"/>
  <c r="I3129"/>
  <c r="G3129"/>
  <c r="F3129"/>
  <c r="E3129"/>
  <c r="J3128"/>
  <c r="I3128"/>
  <c r="G3128"/>
  <c r="F3128"/>
  <c r="E3128"/>
  <c r="J3127"/>
  <c r="I3127"/>
  <c r="G3127"/>
  <c r="F3127"/>
  <c r="E3127"/>
  <c r="J3126"/>
  <c r="I3126"/>
  <c r="G3126"/>
  <c r="F3126"/>
  <c r="E3126"/>
  <c r="J3125"/>
  <c r="I3125"/>
  <c r="G3125"/>
  <c r="F3125"/>
  <c r="E3125"/>
  <c r="J3124"/>
  <c r="I3124"/>
  <c r="G3124"/>
  <c r="F3124"/>
  <c r="E3124"/>
  <c r="J3123"/>
  <c r="I3123"/>
  <c r="G3123"/>
  <c r="F3123"/>
  <c r="E3123"/>
  <c r="J3122"/>
  <c r="I3122"/>
  <c r="G3122"/>
  <c r="F3122"/>
  <c r="E3122"/>
  <c r="J3121"/>
  <c r="I3121"/>
  <c r="G3121"/>
  <c r="F3121"/>
  <c r="E3121"/>
  <c r="J3120"/>
  <c r="I3120"/>
  <c r="G3120"/>
  <c r="F3120"/>
  <c r="E3120"/>
  <c r="J3119"/>
  <c r="I3119"/>
  <c r="G3119"/>
  <c r="F3119"/>
  <c r="E3119"/>
  <c r="J3118"/>
  <c r="I3118"/>
  <c r="G3118"/>
  <c r="F3118"/>
  <c r="E3118"/>
  <c r="J3117"/>
  <c r="I3117"/>
  <c r="G3117"/>
  <c r="F3117"/>
  <c r="E3117"/>
  <c r="J3116"/>
  <c r="I3116"/>
  <c r="G3116"/>
  <c r="F3116"/>
  <c r="E3116"/>
  <c r="J3115"/>
  <c r="I3115"/>
  <c r="G3115"/>
  <c r="F3115"/>
  <c r="E3115"/>
  <c r="J3114"/>
  <c r="I3114"/>
  <c r="G3114"/>
  <c r="F3114"/>
  <c r="E3114"/>
  <c r="J3113"/>
  <c r="I3113"/>
  <c r="G3113"/>
  <c r="F3113"/>
  <c r="E3113"/>
  <c r="J3112"/>
  <c r="I3112"/>
  <c r="G3112"/>
  <c r="F3112"/>
  <c r="E3112"/>
  <c r="J3111"/>
  <c r="I3111"/>
  <c r="G3111"/>
  <c r="F3111"/>
  <c r="E3111"/>
  <c r="J3110"/>
  <c r="I3110"/>
  <c r="G3110"/>
  <c r="F3110"/>
  <c r="E3110"/>
  <c r="J3109"/>
  <c r="I3109"/>
  <c r="G3109"/>
  <c r="F3109"/>
  <c r="E3109"/>
  <c r="J3108"/>
  <c r="I3108"/>
  <c r="G3108"/>
  <c r="F3108"/>
  <c r="E3108"/>
  <c r="J3107"/>
  <c r="I3107"/>
  <c r="G3107"/>
  <c r="F3107"/>
  <c r="E3107"/>
  <c r="J3106"/>
  <c r="I3106"/>
  <c r="G3106"/>
  <c r="F3106"/>
  <c r="E3106"/>
  <c r="J3105"/>
  <c r="I3105"/>
  <c r="G3105"/>
  <c r="F3105"/>
  <c r="E3105"/>
  <c r="J3104"/>
  <c r="I3104"/>
  <c r="G3104"/>
  <c r="F3104"/>
  <c r="E3104"/>
  <c r="J3103"/>
  <c r="I3103"/>
  <c r="G3103"/>
  <c r="F3103"/>
  <c r="E3103"/>
  <c r="J3102"/>
  <c r="I3102"/>
  <c r="G3102"/>
  <c r="F3102"/>
  <c r="E3102"/>
  <c r="J3101"/>
  <c r="I3101"/>
  <c r="G3101"/>
  <c r="F3101"/>
  <c r="E3101"/>
  <c r="J3100"/>
  <c r="I3100"/>
  <c r="G3100"/>
  <c r="F3100"/>
  <c r="E3100"/>
  <c r="J3099"/>
  <c r="I3099"/>
  <c r="G3099"/>
  <c r="F3099"/>
  <c r="E3099"/>
  <c r="J3098"/>
  <c r="I3098"/>
  <c r="G3098"/>
  <c r="F3098"/>
  <c r="E3098"/>
  <c r="J3097"/>
  <c r="I3097"/>
  <c r="G3097"/>
  <c r="F3097"/>
  <c r="E3097"/>
  <c r="J3096"/>
  <c r="I3096"/>
  <c r="G3096"/>
  <c r="F3096"/>
  <c r="E3096"/>
  <c r="J3095"/>
  <c r="I3095"/>
  <c r="G3095"/>
  <c r="F3095"/>
  <c r="E3095"/>
  <c r="J3094"/>
  <c r="I3094"/>
  <c r="G3094"/>
  <c r="F3094"/>
  <c r="E3094"/>
  <c r="J3093"/>
  <c r="I3093"/>
  <c r="G3093"/>
  <c r="F3093"/>
  <c r="E3093"/>
  <c r="J3092"/>
  <c r="I3092"/>
  <c r="G3092"/>
  <c r="F3092"/>
  <c r="E3092"/>
  <c r="J3091"/>
  <c r="I3091"/>
  <c r="G3091"/>
  <c r="F3091"/>
  <c r="E3091"/>
  <c r="J3090"/>
  <c r="I3090"/>
  <c r="G3090"/>
  <c r="F3090"/>
  <c r="E3090"/>
  <c r="J3089"/>
  <c r="I3089"/>
  <c r="G3089"/>
  <c r="F3089"/>
  <c r="E3089"/>
  <c r="J3088"/>
  <c r="I3088"/>
  <c r="G3088"/>
  <c r="F3088"/>
  <c r="E3088"/>
  <c r="J3087"/>
  <c r="I3087"/>
  <c r="G3087"/>
  <c r="F3087"/>
  <c r="E3087"/>
  <c r="J3086"/>
  <c r="I3086"/>
  <c r="G3086"/>
  <c r="F3086"/>
  <c r="E3086"/>
  <c r="J3085"/>
  <c r="I3085"/>
  <c r="G3085"/>
  <c r="F3085"/>
  <c r="E3085"/>
  <c r="J3084"/>
  <c r="I3084"/>
  <c r="G3084"/>
  <c r="F3084"/>
  <c r="E3084"/>
  <c r="J3083"/>
  <c r="I3083"/>
  <c r="G3083"/>
  <c r="F3083"/>
  <c r="E3083"/>
  <c r="J3082"/>
  <c r="I3082"/>
  <c r="G3082"/>
  <c r="F3082"/>
  <c r="E3082"/>
  <c r="J3081"/>
  <c r="I3081"/>
  <c r="G3081"/>
  <c r="F3081"/>
  <c r="E3081"/>
  <c r="J3080"/>
  <c r="I3080"/>
  <c r="G3080"/>
  <c r="F3080"/>
  <c r="E3080"/>
  <c r="J3079"/>
  <c r="I3079"/>
  <c r="G3079"/>
  <c r="F3079"/>
  <c r="E3079"/>
  <c r="J3078"/>
  <c r="I3078"/>
  <c r="G3078"/>
  <c r="F3078"/>
  <c r="E3078"/>
  <c r="J3077"/>
  <c r="I3077"/>
  <c r="G3077"/>
  <c r="F3077"/>
  <c r="E3077"/>
  <c r="J3076"/>
  <c r="I3076"/>
  <c r="G3076"/>
  <c r="F3076"/>
  <c r="E3076"/>
  <c r="J3075"/>
  <c r="I3075"/>
  <c r="G3075"/>
  <c r="F3075"/>
  <c r="E3075"/>
  <c r="J3074"/>
  <c r="I3074"/>
  <c r="G3074"/>
  <c r="F3074"/>
  <c r="E3074"/>
  <c r="J3073"/>
  <c r="I3073"/>
  <c r="G3073"/>
  <c r="F3073"/>
  <c r="E3073"/>
  <c r="J3072"/>
  <c r="I3072"/>
  <c r="G3072"/>
  <c r="F3072"/>
  <c r="E3072"/>
  <c r="J3071"/>
  <c r="I3071"/>
  <c r="G3071"/>
  <c r="F3071"/>
  <c r="E3071"/>
  <c r="J3070"/>
  <c r="I3070"/>
  <c r="G3070"/>
  <c r="F3070"/>
  <c r="E3070"/>
  <c r="J3069"/>
  <c r="I3069"/>
  <c r="G3069"/>
  <c r="F3069"/>
  <c r="E3069"/>
  <c r="J3068"/>
  <c r="I3068"/>
  <c r="G3068"/>
  <c r="F3068"/>
  <c r="E3068"/>
  <c r="J3067"/>
  <c r="I3067"/>
  <c r="G3067"/>
  <c r="F3067"/>
  <c r="E3067"/>
  <c r="J3066"/>
  <c r="I3066"/>
  <c r="G3066"/>
  <c r="F3066"/>
  <c r="E3066"/>
  <c r="J3065"/>
  <c r="I3065"/>
  <c r="G3065"/>
  <c r="F3065"/>
  <c r="E3065"/>
  <c r="J3064"/>
  <c r="I3064"/>
  <c r="G3064"/>
  <c r="F3064"/>
  <c r="E3064"/>
  <c r="J3063"/>
  <c r="I3063"/>
  <c r="G3063"/>
  <c r="F3063"/>
  <c r="E3063"/>
  <c r="J3062"/>
  <c r="I3062"/>
  <c r="G3062"/>
  <c r="F3062"/>
  <c r="E3062"/>
  <c r="J3061"/>
  <c r="I3061"/>
  <c r="G3061"/>
  <c r="F3061"/>
  <c r="E3061"/>
  <c r="J3060"/>
  <c r="I3060"/>
  <c r="G3060"/>
  <c r="F3060"/>
  <c r="E3060"/>
  <c r="J3059"/>
  <c r="I3059"/>
  <c r="G3059"/>
  <c r="F3059"/>
  <c r="E3059"/>
  <c r="J3058"/>
  <c r="I3058"/>
  <c r="G3058"/>
  <c r="F3058"/>
  <c r="E3058"/>
  <c r="J3057"/>
  <c r="I3057"/>
  <c r="G3057"/>
  <c r="F3057"/>
  <c r="E3057"/>
  <c r="J3056"/>
  <c r="I3056"/>
  <c r="G3056"/>
  <c r="F3056"/>
  <c r="E3056"/>
  <c r="J3055"/>
  <c r="I3055"/>
  <c r="G3055"/>
  <c r="F3055"/>
  <c r="E3055"/>
  <c r="J3054"/>
  <c r="I3054"/>
  <c r="G3054"/>
  <c r="F3054"/>
  <c r="E3054"/>
  <c r="J3053"/>
  <c r="I3053"/>
  <c r="G3053"/>
  <c r="F3053"/>
  <c r="E3053"/>
  <c r="J3052"/>
  <c r="I3052"/>
  <c r="G3052"/>
  <c r="F3052"/>
  <c r="E3052"/>
  <c r="J3051"/>
  <c r="I3051"/>
  <c r="G3051"/>
  <c r="F3051"/>
  <c r="E3051"/>
  <c r="J3050"/>
  <c r="I3050"/>
  <c r="G3050"/>
  <c r="F3050"/>
  <c r="E3050"/>
  <c r="J3049"/>
  <c r="I3049"/>
  <c r="G3049"/>
  <c r="F3049"/>
  <c r="E3049"/>
  <c r="J3048"/>
  <c r="I3048"/>
  <c r="G3048"/>
  <c r="F3048"/>
  <c r="E3048"/>
  <c r="J3047"/>
  <c r="I3047"/>
  <c r="G3047"/>
  <c r="F3047"/>
  <c r="E3047"/>
  <c r="J3046"/>
  <c r="I3046"/>
  <c r="G3046"/>
  <c r="F3046"/>
  <c r="E3046"/>
  <c r="J3045"/>
  <c r="I3045"/>
  <c r="G3045"/>
  <c r="F3045"/>
  <c r="E3045"/>
  <c r="J3044"/>
  <c r="I3044"/>
  <c r="G3044"/>
  <c r="F3044"/>
  <c r="E3044"/>
  <c r="J3043"/>
  <c r="I3043"/>
  <c r="G3043"/>
  <c r="F3043"/>
  <c r="E3043"/>
  <c r="J3042"/>
  <c r="I3042"/>
  <c r="G3042"/>
  <c r="F3042"/>
  <c r="E3042"/>
  <c r="J3041"/>
  <c r="I3041"/>
  <c r="G3041"/>
  <c r="F3041"/>
  <c r="E3041"/>
  <c r="J3040"/>
  <c r="I3040"/>
  <c r="G3040"/>
  <c r="F3040"/>
  <c r="E3040"/>
  <c r="J3039"/>
  <c r="I3039"/>
  <c r="G3039"/>
  <c r="F3039"/>
  <c r="E3039"/>
  <c r="J3038"/>
  <c r="I3038"/>
  <c r="G3038"/>
  <c r="F3038"/>
  <c r="E3038"/>
  <c r="J3037"/>
  <c r="I3037"/>
  <c r="G3037"/>
  <c r="F3037"/>
  <c r="E3037"/>
  <c r="J3036"/>
  <c r="I3036"/>
  <c r="G3036"/>
  <c r="F3036"/>
  <c r="E3036"/>
  <c r="J3035"/>
  <c r="I3035"/>
  <c r="G3035"/>
  <c r="F3035"/>
  <c r="E3035"/>
  <c r="J3034"/>
  <c r="I3034"/>
  <c r="G3034"/>
  <c r="F3034"/>
  <c r="E3034"/>
  <c r="J3033"/>
  <c r="I3033"/>
  <c r="G3033"/>
  <c r="F3033"/>
  <c r="E3033"/>
  <c r="J3032"/>
  <c r="I3032"/>
  <c r="G3032"/>
  <c r="F3032"/>
  <c r="E3032"/>
  <c r="J3031"/>
  <c r="I3031"/>
  <c r="G3031"/>
  <c r="F3031"/>
  <c r="E3031"/>
  <c r="J3030"/>
  <c r="I3030"/>
  <c r="G3030"/>
  <c r="F3030"/>
  <c r="E3030"/>
  <c r="J3029"/>
  <c r="I3029"/>
  <c r="G3029"/>
  <c r="F3029"/>
  <c r="E3029"/>
  <c r="J3028"/>
  <c r="I3028"/>
  <c r="G3028"/>
  <c r="F3028"/>
  <c r="E3028"/>
  <c r="J3027"/>
  <c r="I3027"/>
  <c r="G3027"/>
  <c r="F3027"/>
  <c r="E3027"/>
  <c r="J3026"/>
  <c r="I3026"/>
  <c r="G3026"/>
  <c r="F3026"/>
  <c r="E3026"/>
  <c r="J3025"/>
  <c r="I3025"/>
  <c r="G3025"/>
  <c r="F3025"/>
  <c r="E3025"/>
  <c r="J3024"/>
  <c r="I3024"/>
  <c r="G3024"/>
  <c r="F3024"/>
  <c r="E3024"/>
  <c r="J3023"/>
  <c r="I3023"/>
  <c r="G3023"/>
  <c r="F3023"/>
  <c r="E3023"/>
  <c r="J3022"/>
  <c r="I3022"/>
  <c r="G3022"/>
  <c r="F3022"/>
  <c r="E3022"/>
  <c r="J3021"/>
  <c r="I3021"/>
  <c r="G3021"/>
  <c r="F3021"/>
  <c r="E3021"/>
  <c r="J3020"/>
  <c r="I3020"/>
  <c r="G3020"/>
  <c r="F3020"/>
  <c r="E3020"/>
  <c r="J3019"/>
  <c r="I3019"/>
  <c r="G3019"/>
  <c r="F3019"/>
  <c r="E3019"/>
  <c r="J3018"/>
  <c r="I3018"/>
  <c r="G3018"/>
  <c r="F3018"/>
  <c r="E3018"/>
  <c r="J3017"/>
  <c r="I3017"/>
  <c r="G3017"/>
  <c r="F3017"/>
  <c r="E3017"/>
  <c r="J3016"/>
  <c r="I3016"/>
  <c r="G3016"/>
  <c r="F3016"/>
  <c r="E3016"/>
  <c r="J3015"/>
  <c r="I3015"/>
  <c r="G3015"/>
  <c r="F3015"/>
  <c r="E3015"/>
  <c r="J3014"/>
  <c r="I3014"/>
  <c r="G3014"/>
  <c r="F3014"/>
  <c r="E3014"/>
  <c r="J3013"/>
  <c r="I3013"/>
  <c r="G3013"/>
  <c r="F3013"/>
  <c r="E3013"/>
  <c r="J3012"/>
  <c r="I3012"/>
  <c r="G3012"/>
  <c r="F3012"/>
  <c r="E3012"/>
  <c r="J3011"/>
  <c r="I3011"/>
  <c r="G3011"/>
  <c r="F3011"/>
  <c r="E3011"/>
  <c r="J3010"/>
  <c r="I3010"/>
  <c r="G3010"/>
  <c r="F3010"/>
  <c r="E3010"/>
  <c r="J3009"/>
  <c r="I3009"/>
  <c r="G3009"/>
  <c r="F3009"/>
  <c r="E3009"/>
  <c r="J3008"/>
  <c r="I3008"/>
  <c r="G3008"/>
  <c r="F3008"/>
  <c r="E3008"/>
  <c r="J3007"/>
  <c r="I3007"/>
  <c r="G3007"/>
  <c r="F3007"/>
  <c r="E3007"/>
  <c r="J3006"/>
  <c r="I3006"/>
  <c r="G3006"/>
  <c r="F3006"/>
  <c r="E3006"/>
  <c r="J3005"/>
  <c r="I3005"/>
  <c r="G3005"/>
  <c r="F3005"/>
  <c r="E3005"/>
  <c r="J3004"/>
  <c r="I3004"/>
  <c r="G3004"/>
  <c r="F3004"/>
  <c r="E3004"/>
  <c r="J3003"/>
  <c r="I3003"/>
  <c r="G3003"/>
  <c r="F3003"/>
  <c r="E3003"/>
  <c r="J3002"/>
  <c r="I3002"/>
  <c r="G3002"/>
  <c r="F3002"/>
  <c r="E3002"/>
  <c r="J3001"/>
  <c r="I3001"/>
  <c r="G3001"/>
  <c r="F3001"/>
  <c r="E3001"/>
  <c r="J3000"/>
  <c r="I3000"/>
  <c r="G3000"/>
  <c r="F3000"/>
  <c r="E3000"/>
  <c r="J2999"/>
  <c r="I2999"/>
  <c r="G2999"/>
  <c r="F2999"/>
  <c r="E2999"/>
  <c r="J2998"/>
  <c r="I2998"/>
  <c r="G2998"/>
  <c r="F2998"/>
  <c r="E2998"/>
  <c r="J2997"/>
  <c r="I2997"/>
  <c r="G2997"/>
  <c r="F2997"/>
  <c r="E2997"/>
  <c r="J2996"/>
  <c r="I2996"/>
  <c r="G2996"/>
  <c r="F2996"/>
  <c r="E2996"/>
  <c r="J2995"/>
  <c r="I2995"/>
  <c r="G2995"/>
  <c r="F2995"/>
  <c r="E2995"/>
  <c r="J2994"/>
  <c r="I2994"/>
  <c r="G2994"/>
  <c r="F2994"/>
  <c r="E2994"/>
  <c r="J2993"/>
  <c r="I2993"/>
  <c r="G2993"/>
  <c r="F2993"/>
  <c r="E2993"/>
  <c r="J2992"/>
  <c r="I2992"/>
  <c r="G2992"/>
  <c r="F2992"/>
  <c r="E2992"/>
  <c r="J2991"/>
  <c r="I2991"/>
  <c r="G2991"/>
  <c r="F2991"/>
  <c r="E2991"/>
  <c r="J2990"/>
  <c r="I2990"/>
  <c r="G2990"/>
  <c r="F2990"/>
  <c r="E2990"/>
  <c r="J2989"/>
  <c r="I2989"/>
  <c r="G2989"/>
  <c r="F2989"/>
  <c r="E2989"/>
  <c r="J2988"/>
  <c r="I2988"/>
  <c r="G2988"/>
  <c r="F2988"/>
  <c r="E2988"/>
  <c r="J2987"/>
  <c r="I2987"/>
  <c r="G2987"/>
  <c r="F2987"/>
  <c r="E2987"/>
  <c r="J2986"/>
  <c r="I2986"/>
  <c r="G2986"/>
  <c r="F2986"/>
  <c r="E2986"/>
  <c r="J2985"/>
  <c r="I2985"/>
  <c r="G2985"/>
  <c r="F2985"/>
  <c r="E2985"/>
  <c r="J2984"/>
  <c r="I2984"/>
  <c r="G2984"/>
  <c r="F2984"/>
  <c r="E2984"/>
  <c r="J2983"/>
  <c r="I2983"/>
  <c r="G2983"/>
  <c r="F2983"/>
  <c r="E2983"/>
  <c r="J2982"/>
  <c r="I2982"/>
  <c r="G2982"/>
  <c r="F2982"/>
  <c r="E2982"/>
  <c r="J2981"/>
  <c r="I2981"/>
  <c r="G2981"/>
  <c r="F2981"/>
  <c r="E2981"/>
  <c r="J2980"/>
  <c r="I2980"/>
  <c r="G2980"/>
  <c r="F2980"/>
  <c r="E2980"/>
  <c r="J2979"/>
  <c r="I2979"/>
  <c r="G2979"/>
  <c r="F2979"/>
  <c r="E2979"/>
  <c r="J2978"/>
  <c r="I2978"/>
  <c r="G2978"/>
  <c r="F2978"/>
  <c r="E2978"/>
  <c r="J2977"/>
  <c r="I2977"/>
  <c r="G2977"/>
  <c r="F2977"/>
  <c r="E2977"/>
  <c r="J2976"/>
  <c r="I2976"/>
  <c r="G2976"/>
  <c r="F2976"/>
  <c r="E2976"/>
  <c r="J2975"/>
  <c r="I2975"/>
  <c r="G2975"/>
  <c r="F2975"/>
  <c r="E2975"/>
  <c r="J2974"/>
  <c r="I2974"/>
  <c r="G2974"/>
  <c r="F2974"/>
  <c r="E2974"/>
  <c r="J2973"/>
  <c r="I2973"/>
  <c r="G2973"/>
  <c r="F2973"/>
  <c r="E2973"/>
  <c r="J2972"/>
  <c r="I2972"/>
  <c r="G2972"/>
  <c r="F2972"/>
  <c r="E2972"/>
  <c r="J2971"/>
  <c r="I2971"/>
  <c r="G2971"/>
  <c r="F2971"/>
  <c r="E2971"/>
  <c r="J2970"/>
  <c r="I2970"/>
  <c r="G2970"/>
  <c r="F2970"/>
  <c r="E2970"/>
  <c r="J2969"/>
  <c r="I2969"/>
  <c r="G2969"/>
  <c r="F2969"/>
  <c r="E2969"/>
  <c r="J2968"/>
  <c r="I2968"/>
  <c r="G2968"/>
  <c r="F2968"/>
  <c r="E2968"/>
  <c r="J2967"/>
  <c r="I2967"/>
  <c r="G2967"/>
  <c r="F2967"/>
  <c r="E2967"/>
  <c r="J2966"/>
  <c r="I2966"/>
  <c r="G2966"/>
  <c r="F2966"/>
  <c r="E2966"/>
  <c r="J2965"/>
  <c r="I2965"/>
  <c r="G2965"/>
  <c r="F2965"/>
  <c r="E2965"/>
  <c r="J2964"/>
  <c r="I2964"/>
  <c r="G2964"/>
  <c r="F2964"/>
  <c r="E2964"/>
  <c r="J2963"/>
  <c r="I2963"/>
  <c r="G2963"/>
  <c r="F2963"/>
  <c r="E2963"/>
  <c r="J2962"/>
  <c r="I2962"/>
  <c r="G2962"/>
  <c r="F2962"/>
  <c r="E2962"/>
  <c r="J2961"/>
  <c r="I2961"/>
  <c r="G2961"/>
  <c r="F2961"/>
  <c r="E2961"/>
  <c r="J2960"/>
  <c r="I2960"/>
  <c r="G2960"/>
  <c r="F2960"/>
  <c r="E2960"/>
  <c r="J2959"/>
  <c r="I2959"/>
  <c r="G2959"/>
  <c r="F2959"/>
  <c r="E2959"/>
  <c r="J2958"/>
  <c r="I2958"/>
  <c r="G2958"/>
  <c r="F2958"/>
  <c r="E2958"/>
  <c r="J2957"/>
  <c r="I2957"/>
  <c r="G2957"/>
  <c r="F2957"/>
  <c r="E2957"/>
  <c r="J2956"/>
  <c r="I2956"/>
  <c r="G2956"/>
  <c r="F2956"/>
  <c r="E2956"/>
  <c r="J2955"/>
  <c r="I2955"/>
  <c r="G2955"/>
  <c r="F2955"/>
  <c r="E2955"/>
  <c r="J2954"/>
  <c r="I2954"/>
  <c r="G2954"/>
  <c r="F2954"/>
  <c r="E2954"/>
  <c r="J2953"/>
  <c r="I2953"/>
  <c r="G2953"/>
  <c r="F2953"/>
  <c r="E2953"/>
  <c r="J2952"/>
  <c r="I2952"/>
  <c r="G2952"/>
  <c r="F2952"/>
  <c r="E2952"/>
  <c r="J2951"/>
  <c r="I2951"/>
  <c r="G2951"/>
  <c r="F2951"/>
  <c r="E2951"/>
  <c r="J2950"/>
  <c r="I2950"/>
  <c r="G2950"/>
  <c r="F2950"/>
  <c r="E2950"/>
  <c r="J2949"/>
  <c r="I2949"/>
  <c r="G2949"/>
  <c r="F2949"/>
  <c r="E2949"/>
  <c r="J2948"/>
  <c r="I2948"/>
  <c r="G2948"/>
  <c r="F2948"/>
  <c r="E2948"/>
  <c r="J2947"/>
  <c r="I2947"/>
  <c r="G2947"/>
  <c r="F2947"/>
  <c r="E2947"/>
  <c r="J2946"/>
  <c r="I2946"/>
  <c r="G2946"/>
  <c r="F2946"/>
  <c r="E2946"/>
  <c r="J2945"/>
  <c r="I2945"/>
  <c r="G2945"/>
  <c r="F2945"/>
  <c r="E2945"/>
  <c r="J2944"/>
  <c r="I2944"/>
  <c r="G2944"/>
  <c r="F2944"/>
  <c r="E2944"/>
  <c r="J2943"/>
  <c r="I2943"/>
  <c r="G2943"/>
  <c r="F2943"/>
  <c r="E2943"/>
  <c r="J2942"/>
  <c r="I2942"/>
  <c r="G2942"/>
  <c r="F2942"/>
  <c r="E2942"/>
  <c r="J2941"/>
  <c r="I2941"/>
  <c r="G2941"/>
  <c r="F2941"/>
  <c r="E2941"/>
  <c r="J2940"/>
  <c r="I2940"/>
  <c r="G2940"/>
  <c r="F2940"/>
  <c r="E2940"/>
  <c r="J2939"/>
  <c r="I2939"/>
  <c r="G2939"/>
  <c r="F2939"/>
  <c r="E2939"/>
  <c r="J2938"/>
  <c r="I2938"/>
  <c r="G2938"/>
  <c r="F2938"/>
  <c r="E2938"/>
  <c r="J2937"/>
  <c r="I2937"/>
  <c r="G2937"/>
  <c r="F2937"/>
  <c r="E2937"/>
  <c r="J2936"/>
  <c r="I2936"/>
  <c r="G2936"/>
  <c r="F2936"/>
  <c r="E2936"/>
  <c r="J2935"/>
  <c r="I2935"/>
  <c r="G2935"/>
  <c r="F2935"/>
  <c r="E2935"/>
  <c r="J2934"/>
  <c r="I2934"/>
  <c r="G2934"/>
  <c r="F2934"/>
  <c r="E2934"/>
  <c r="J2933"/>
  <c r="I2933"/>
  <c r="G2933"/>
  <c r="F2933"/>
  <c r="E2933"/>
  <c r="J2932"/>
  <c r="I2932"/>
  <c r="G2932"/>
  <c r="F2932"/>
  <c r="E2932"/>
  <c r="J2931"/>
  <c r="I2931"/>
  <c r="G2931"/>
  <c r="F2931"/>
  <c r="E2931"/>
  <c r="J2930"/>
  <c r="I2930"/>
  <c r="G2930"/>
  <c r="F2930"/>
  <c r="E2930"/>
  <c r="J2929"/>
  <c r="I2929"/>
  <c r="G2929"/>
  <c r="F2929"/>
  <c r="E2929"/>
  <c r="J2928"/>
  <c r="I2928"/>
  <c r="G2928"/>
  <c r="F2928"/>
  <c r="E2928"/>
  <c r="J2927"/>
  <c r="I2927"/>
  <c r="G2927"/>
  <c r="F2927"/>
  <c r="E2927"/>
  <c r="J2926"/>
  <c r="I2926"/>
  <c r="G2926"/>
  <c r="F2926"/>
  <c r="E2926"/>
  <c r="J2925"/>
  <c r="I2925"/>
  <c r="G2925"/>
  <c r="F2925"/>
  <c r="E2925"/>
  <c r="J2924"/>
  <c r="I2924"/>
  <c r="G2924"/>
  <c r="F2924"/>
  <c r="E2924"/>
  <c r="J2923"/>
  <c r="I2923"/>
  <c r="G2923"/>
  <c r="F2923"/>
  <c r="E2923"/>
  <c r="J2922"/>
  <c r="I2922"/>
  <c r="G2922"/>
  <c r="F2922"/>
  <c r="E2922"/>
  <c r="J2921"/>
  <c r="I2921"/>
  <c r="G2921"/>
  <c r="F2921"/>
  <c r="E2921"/>
  <c r="J2920"/>
  <c r="I2920"/>
  <c r="G2920"/>
  <c r="F2920"/>
  <c r="E2920"/>
  <c r="J2919"/>
  <c r="I2919"/>
  <c r="G2919"/>
  <c r="F2919"/>
  <c r="E2919"/>
  <c r="J2918"/>
  <c r="I2918"/>
  <c r="G2918"/>
  <c r="F2918"/>
  <c r="E2918"/>
  <c r="J2917"/>
  <c r="I2917"/>
  <c r="G2917"/>
  <c r="F2917"/>
  <c r="E2917"/>
  <c r="J2916"/>
  <c r="I2916"/>
  <c r="G2916"/>
  <c r="F2916"/>
  <c r="E2916"/>
  <c r="J2915"/>
  <c r="I2915"/>
  <c r="G2915"/>
  <c r="F2915"/>
  <c r="E2915"/>
  <c r="J2914"/>
  <c r="I2914"/>
  <c r="G2914"/>
  <c r="F2914"/>
  <c r="E2914"/>
  <c r="J2913"/>
  <c r="I2913"/>
  <c r="G2913"/>
  <c r="F2913"/>
  <c r="E2913"/>
  <c r="J2912"/>
  <c r="I2912"/>
  <c r="G2912"/>
  <c r="F2912"/>
  <c r="E2912"/>
  <c r="J2911"/>
  <c r="I2911"/>
  <c r="G2911"/>
  <c r="F2911"/>
  <c r="E2911"/>
  <c r="J2910"/>
  <c r="I2910"/>
  <c r="G2910"/>
  <c r="F2910"/>
  <c r="E2910"/>
  <c r="J2909"/>
  <c r="I2909"/>
  <c r="G2909"/>
  <c r="F2909"/>
  <c r="E2909"/>
  <c r="J2908"/>
  <c r="I2908"/>
  <c r="G2908"/>
  <c r="F2908"/>
  <c r="E2908"/>
  <c r="J2907"/>
  <c r="I2907"/>
  <c r="G2907"/>
  <c r="F2907"/>
  <c r="E2907"/>
  <c r="J2906"/>
  <c r="I2906"/>
  <c r="G2906"/>
  <c r="F2906"/>
  <c r="E2906"/>
  <c r="J2905"/>
  <c r="I2905"/>
  <c r="G2905"/>
  <c r="F2905"/>
  <c r="E2905"/>
  <c r="J2904"/>
  <c r="I2904"/>
  <c r="G2904"/>
  <c r="F2904"/>
  <c r="E2904"/>
  <c r="J2903"/>
  <c r="I2903"/>
  <c r="G2903"/>
  <c r="F2903"/>
  <c r="E2903"/>
  <c r="J2902"/>
  <c r="I2902"/>
  <c r="G2902"/>
  <c r="F2902"/>
  <c r="E2902"/>
  <c r="J2901"/>
  <c r="I2901"/>
  <c r="G2901"/>
  <c r="F2901"/>
  <c r="E2901"/>
  <c r="J2900"/>
  <c r="I2900"/>
  <c r="G2900"/>
  <c r="F2900"/>
  <c r="E2900"/>
  <c r="J2899"/>
  <c r="I2899"/>
  <c r="G2899"/>
  <c r="F2899"/>
  <c r="E2899"/>
  <c r="J2898"/>
  <c r="I2898"/>
  <c r="G2898"/>
  <c r="F2898"/>
  <c r="E2898"/>
  <c r="J2897"/>
  <c r="I2897"/>
  <c r="G2897"/>
  <c r="F2897"/>
  <c r="E2897"/>
  <c r="J2896"/>
  <c r="I2896"/>
  <c r="G2896"/>
  <c r="F2896"/>
  <c r="E2896"/>
  <c r="J2895"/>
  <c r="I2895"/>
  <c r="G2895"/>
  <c r="F2895"/>
  <c r="E2895"/>
  <c r="J2894"/>
  <c r="I2894"/>
  <c r="G2894"/>
  <c r="F2894"/>
  <c r="E2894"/>
  <c r="J2893"/>
  <c r="I2893"/>
  <c r="G2893"/>
  <c r="F2893"/>
  <c r="E2893"/>
  <c r="J2892"/>
  <c r="I2892"/>
  <c r="G2892"/>
  <c r="F2892"/>
  <c r="E2892"/>
  <c r="J2891"/>
  <c r="I2891"/>
  <c r="G2891"/>
  <c r="F2891"/>
  <c r="E2891"/>
  <c r="J2890"/>
  <c r="I2890"/>
  <c r="G2890"/>
  <c r="F2890"/>
  <c r="E2890"/>
  <c r="J2889"/>
  <c r="I2889"/>
  <c r="G2889"/>
  <c r="F2889"/>
  <c r="E2889"/>
  <c r="J2888"/>
  <c r="I2888"/>
  <c r="G2888"/>
  <c r="F2888"/>
  <c r="E2888"/>
  <c r="J2887"/>
  <c r="I2887"/>
  <c r="G2887"/>
  <c r="F2887"/>
  <c r="E2887"/>
  <c r="J2886"/>
  <c r="I2886"/>
  <c r="G2886"/>
  <c r="F2886"/>
  <c r="E2886"/>
  <c r="J2885"/>
  <c r="I2885"/>
  <c r="G2885"/>
  <c r="F2885"/>
  <c r="E2885"/>
  <c r="J2884"/>
  <c r="I2884"/>
  <c r="G2884"/>
  <c r="F2884"/>
  <c r="E2884"/>
  <c r="J2883"/>
  <c r="I2883"/>
  <c r="G2883"/>
  <c r="F2883"/>
  <c r="E2883"/>
  <c r="J2882"/>
  <c r="I2882"/>
  <c r="G2882"/>
  <c r="F2882"/>
  <c r="E2882"/>
  <c r="J2881"/>
  <c r="I2881"/>
  <c r="G2881"/>
  <c r="F2881"/>
  <c r="E2881"/>
  <c r="J2880"/>
  <c r="I2880"/>
  <c r="G2880"/>
  <c r="F2880"/>
  <c r="E2880"/>
  <c r="J2879"/>
  <c r="I2879"/>
  <c r="G2879"/>
  <c r="F2879"/>
  <c r="E2879"/>
  <c r="J2878"/>
  <c r="I2878"/>
  <c r="G2878"/>
  <c r="F2878"/>
  <c r="E2878"/>
  <c r="J2877"/>
  <c r="I2877"/>
  <c r="G2877"/>
  <c r="F2877"/>
  <c r="E2877"/>
  <c r="J2876"/>
  <c r="I2876"/>
  <c r="G2876"/>
  <c r="F2876"/>
  <c r="E2876"/>
  <c r="J2875"/>
  <c r="I2875"/>
  <c r="G2875"/>
  <c r="F2875"/>
  <c r="E2875"/>
  <c r="J2874"/>
  <c r="I2874"/>
  <c r="G2874"/>
  <c r="F2874"/>
  <c r="E2874"/>
  <c r="J2873"/>
  <c r="I2873"/>
  <c r="G2873"/>
  <c r="F2873"/>
  <c r="E2873"/>
  <c r="J2872"/>
  <c r="I2872"/>
  <c r="G2872"/>
  <c r="F2872"/>
  <c r="E2872"/>
  <c r="J2871"/>
  <c r="I2871"/>
  <c r="G2871"/>
  <c r="F2871"/>
  <c r="E2871"/>
  <c r="J2870"/>
  <c r="I2870"/>
  <c r="G2870"/>
  <c r="F2870"/>
  <c r="E2870"/>
  <c r="J2869"/>
  <c r="I2869"/>
  <c r="G2869"/>
  <c r="F2869"/>
  <c r="E2869"/>
  <c r="J2868"/>
  <c r="I2868"/>
  <c r="G2868"/>
  <c r="F2868"/>
  <c r="E2868"/>
  <c r="J2867"/>
  <c r="I2867"/>
  <c r="G2867"/>
  <c r="F2867"/>
  <c r="E2867"/>
  <c r="J2866"/>
  <c r="I2866"/>
  <c r="G2866"/>
  <c r="F2866"/>
  <c r="E2866"/>
  <c r="J2865"/>
  <c r="I2865"/>
  <c r="G2865"/>
  <c r="F2865"/>
  <c r="E2865"/>
  <c r="J2864"/>
  <c r="I2864"/>
  <c r="G2864"/>
  <c r="F2864"/>
  <c r="E2864"/>
  <c r="J2863"/>
  <c r="I2863"/>
  <c r="G2863"/>
  <c r="F2863"/>
  <c r="E2863"/>
  <c r="J2862"/>
  <c r="I2862"/>
  <c r="G2862"/>
  <c r="F2862"/>
  <c r="E2862"/>
  <c r="J2861"/>
  <c r="I2861"/>
  <c r="G2861"/>
  <c r="F2861"/>
  <c r="E2861"/>
  <c r="J2860"/>
  <c r="I2860"/>
  <c r="G2860"/>
  <c r="F2860"/>
  <c r="E2860"/>
  <c r="J2859"/>
  <c r="I2859"/>
  <c r="G2859"/>
  <c r="F2859"/>
  <c r="E2859"/>
  <c r="J2858"/>
  <c r="I2858"/>
  <c r="G2858"/>
  <c r="F2858"/>
  <c r="E2858"/>
  <c r="J2857"/>
  <c r="I2857"/>
  <c r="G2857"/>
  <c r="F2857"/>
  <c r="E2857"/>
  <c r="J2856"/>
  <c r="I2856"/>
  <c r="G2856"/>
  <c r="F2856"/>
  <c r="E2856"/>
  <c r="J2855"/>
  <c r="I2855"/>
  <c r="G2855"/>
  <c r="F2855"/>
  <c r="E2855"/>
  <c r="J2854"/>
  <c r="I2854"/>
  <c r="G2854"/>
  <c r="F2854"/>
  <c r="E2854"/>
  <c r="J2853"/>
  <c r="I2853"/>
  <c r="G2853"/>
  <c r="F2853"/>
  <c r="E2853"/>
  <c r="J2852"/>
  <c r="I2852"/>
  <c r="G2852"/>
  <c r="F2852"/>
  <c r="E2852"/>
  <c r="J2851"/>
  <c r="I2851"/>
  <c r="G2851"/>
  <c r="F2851"/>
  <c r="E2851"/>
  <c r="J2850"/>
  <c r="I2850"/>
  <c r="G2850"/>
  <c r="F2850"/>
  <c r="E2850"/>
  <c r="J2849"/>
  <c r="I2849"/>
  <c r="G2849"/>
  <c r="F2849"/>
  <c r="E2849"/>
  <c r="J2848"/>
  <c r="I2848"/>
  <c r="G2848"/>
  <c r="F2848"/>
  <c r="E2848"/>
  <c r="J2847"/>
  <c r="I2847"/>
  <c r="G2847"/>
  <c r="F2847"/>
  <c r="E2847"/>
  <c r="J2846"/>
  <c r="I2846"/>
  <c r="G2846"/>
  <c r="F2846"/>
  <c r="E2846"/>
  <c r="J2845"/>
  <c r="I2845"/>
  <c r="G2845"/>
  <c r="F2845"/>
  <c r="E2845"/>
  <c r="J2844"/>
  <c r="I2844"/>
  <c r="G2844"/>
  <c r="F2844"/>
  <c r="E2844"/>
  <c r="J2843"/>
  <c r="I2843"/>
  <c r="G2843"/>
  <c r="F2843"/>
  <c r="E2843"/>
  <c r="J2842"/>
  <c r="I2842"/>
  <c r="G2842"/>
  <c r="F2842"/>
  <c r="E2842"/>
  <c r="J2841"/>
  <c r="I2841"/>
  <c r="G2841"/>
  <c r="F2841"/>
  <c r="E2841"/>
  <c r="J2840"/>
  <c r="I2840"/>
  <c r="G2840"/>
  <c r="F2840"/>
  <c r="E2840"/>
  <c r="J2839"/>
  <c r="I2839"/>
  <c r="G2839"/>
  <c r="F2839"/>
  <c r="E2839"/>
  <c r="J2838"/>
  <c r="I2838"/>
  <c r="G2838"/>
  <c r="F2838"/>
  <c r="E2838"/>
  <c r="J2837"/>
  <c r="I2837"/>
  <c r="G2837"/>
  <c r="F2837"/>
  <c r="E2837"/>
  <c r="J2836"/>
  <c r="I2836"/>
  <c r="G2836"/>
  <c r="F2836"/>
  <c r="E2836"/>
  <c r="J2835"/>
  <c r="I2835"/>
  <c r="G2835"/>
  <c r="F2835"/>
  <c r="E2835"/>
  <c r="J2834"/>
  <c r="I2834"/>
  <c r="G2834"/>
  <c r="F2834"/>
  <c r="E2834"/>
  <c r="J2833"/>
  <c r="I2833"/>
  <c r="G2833"/>
  <c r="F2833"/>
  <c r="E2833"/>
  <c r="J2832"/>
  <c r="I2832"/>
  <c r="G2832"/>
  <c r="F2832"/>
  <c r="E2832"/>
  <c r="J2831"/>
  <c r="I2831"/>
  <c r="G2831"/>
  <c r="F2831"/>
  <c r="E2831"/>
  <c r="J2830"/>
  <c r="I2830"/>
  <c r="G2830"/>
  <c r="F2830"/>
  <c r="E2830"/>
  <c r="J2829"/>
  <c r="I2829"/>
  <c r="G2829"/>
  <c r="F2829"/>
  <c r="E2829"/>
  <c r="J2828"/>
  <c r="I2828"/>
  <c r="G2828"/>
  <c r="F2828"/>
  <c r="E2828"/>
  <c r="J2827"/>
  <c r="I2827"/>
  <c r="G2827"/>
  <c r="F2827"/>
  <c r="E2827"/>
  <c r="J2826"/>
  <c r="I2826"/>
  <c r="G2826"/>
  <c r="F2826"/>
  <c r="E2826"/>
  <c r="J2825"/>
  <c r="I2825"/>
  <c r="G2825"/>
  <c r="F2825"/>
  <c r="E2825"/>
  <c r="J2824"/>
  <c r="I2824"/>
  <c r="G2824"/>
  <c r="F2824"/>
  <c r="E2824"/>
  <c r="J2823"/>
  <c r="I2823"/>
  <c r="G2823"/>
  <c r="F2823"/>
  <c r="E2823"/>
  <c r="J2822"/>
  <c r="I2822"/>
  <c r="G2822"/>
  <c r="F2822"/>
  <c r="E2822"/>
  <c r="J2821"/>
  <c r="I2821"/>
  <c r="G2821"/>
  <c r="F2821"/>
  <c r="E2821"/>
  <c r="J2820"/>
  <c r="I2820"/>
  <c r="G2820"/>
  <c r="F2820"/>
  <c r="E2820"/>
  <c r="J2819"/>
  <c r="I2819"/>
  <c r="G2819"/>
  <c r="F2819"/>
  <c r="E2819"/>
  <c r="J2818"/>
  <c r="I2818"/>
  <c r="G2818"/>
  <c r="F2818"/>
  <c r="E2818"/>
  <c r="J2817"/>
  <c r="I2817"/>
  <c r="G2817"/>
  <c r="F2817"/>
  <c r="E2817"/>
  <c r="J2816"/>
  <c r="I2816"/>
  <c r="G2816"/>
  <c r="F2816"/>
  <c r="E2816"/>
  <c r="J2815"/>
  <c r="I2815"/>
  <c r="G2815"/>
  <c r="F2815"/>
  <c r="E2815"/>
  <c r="J2814"/>
  <c r="I2814"/>
  <c r="G2814"/>
  <c r="F2814"/>
  <c r="E2814"/>
  <c r="J2813"/>
  <c r="I2813"/>
  <c r="G2813"/>
  <c r="F2813"/>
  <c r="E2813"/>
  <c r="J2812"/>
  <c r="I2812"/>
  <c r="G2812"/>
  <c r="F2812"/>
  <c r="E2812"/>
  <c r="J2811"/>
  <c r="I2811"/>
  <c r="G2811"/>
  <c r="F2811"/>
  <c r="E2811"/>
  <c r="J2810"/>
  <c r="I2810"/>
  <c r="G2810"/>
  <c r="F2810"/>
  <c r="E2810"/>
  <c r="J2809"/>
  <c r="I2809"/>
  <c r="G2809"/>
  <c r="F2809"/>
  <c r="E2809"/>
  <c r="J2808"/>
  <c r="I2808"/>
  <c r="G2808"/>
  <c r="F2808"/>
  <c r="E2808"/>
  <c r="J2807"/>
  <c r="I2807"/>
  <c r="G2807"/>
  <c r="F2807"/>
  <c r="E2807"/>
  <c r="J2806"/>
  <c r="I2806"/>
  <c r="G2806"/>
  <c r="F2806"/>
  <c r="E2806"/>
  <c r="J2805"/>
  <c r="I2805"/>
  <c r="G2805"/>
  <c r="F2805"/>
  <c r="E2805"/>
  <c r="J2804"/>
  <c r="I2804"/>
  <c r="G2804"/>
  <c r="F2804"/>
  <c r="E2804"/>
  <c r="J2803"/>
  <c r="I2803"/>
  <c r="G2803"/>
  <c r="F2803"/>
  <c r="E2803"/>
  <c r="J2802"/>
  <c r="I2802"/>
  <c r="G2802"/>
  <c r="F2802"/>
  <c r="E2802"/>
  <c r="J2801"/>
  <c r="I2801"/>
  <c r="G2801"/>
  <c r="F2801"/>
  <c r="E2801"/>
  <c r="J2800"/>
  <c r="I2800"/>
  <c r="G2800"/>
  <c r="F2800"/>
  <c r="E2800"/>
  <c r="J2799"/>
  <c r="I2799"/>
  <c r="G2799"/>
  <c r="F2799"/>
  <c r="E2799"/>
  <c r="J2798"/>
  <c r="I2798"/>
  <c r="G2798"/>
  <c r="F2798"/>
  <c r="E2798"/>
  <c r="J2797"/>
  <c r="I2797"/>
  <c r="G2797"/>
  <c r="F2797"/>
  <c r="E2797"/>
  <c r="J2796"/>
  <c r="I2796"/>
  <c r="G2796"/>
  <c r="F2796"/>
  <c r="E2796"/>
  <c r="J2795"/>
  <c r="I2795"/>
  <c r="G2795"/>
  <c r="F2795"/>
  <c r="E2795"/>
  <c r="J2794"/>
  <c r="I2794"/>
  <c r="G2794"/>
  <c r="F2794"/>
  <c r="E2794"/>
  <c r="J2793"/>
  <c r="I2793"/>
  <c r="G2793"/>
  <c r="F2793"/>
  <c r="E2793"/>
  <c r="J2792"/>
  <c r="I2792"/>
  <c r="G2792"/>
  <c r="F2792"/>
  <c r="E2792"/>
  <c r="J2791"/>
  <c r="I2791"/>
  <c r="G2791"/>
  <c r="F2791"/>
  <c r="E2791"/>
  <c r="J2790"/>
  <c r="I2790"/>
  <c r="G2790"/>
  <c r="F2790"/>
  <c r="E2790"/>
  <c r="J2789"/>
  <c r="I2789"/>
  <c r="G2789"/>
  <c r="F2789"/>
  <c r="E2789"/>
  <c r="J2788"/>
  <c r="I2788"/>
  <c r="G2788"/>
  <c r="F2788"/>
  <c r="E2788"/>
  <c r="J2787"/>
  <c r="I2787"/>
  <c r="G2787"/>
  <c r="F2787"/>
  <c r="E2787"/>
  <c r="J2786"/>
  <c r="I2786"/>
  <c r="G2786"/>
  <c r="F2786"/>
  <c r="E2786"/>
  <c r="J2785"/>
  <c r="I2785"/>
  <c r="G2785"/>
  <c r="F2785"/>
  <c r="E2785"/>
  <c r="J2784"/>
  <c r="I2784"/>
  <c r="G2784"/>
  <c r="F2784"/>
  <c r="E2784"/>
  <c r="J2783"/>
  <c r="I2783"/>
  <c r="G2783"/>
  <c r="F2783"/>
  <c r="E2783"/>
  <c r="J2782"/>
  <c r="I2782"/>
  <c r="G2782"/>
  <c r="F2782"/>
  <c r="E2782"/>
  <c r="J2781"/>
  <c r="I2781"/>
  <c r="G2781"/>
  <c r="F2781"/>
  <c r="E2781"/>
  <c r="J2780"/>
  <c r="I2780"/>
  <c r="G2780"/>
  <c r="F2780"/>
  <c r="E2780"/>
  <c r="J2779"/>
  <c r="I2779"/>
  <c r="G2779"/>
  <c r="F2779"/>
  <c r="E2779"/>
  <c r="J2778"/>
  <c r="I2778"/>
  <c r="G2778"/>
  <c r="F2778"/>
  <c r="E2778"/>
  <c r="J2777"/>
  <c r="I2777"/>
  <c r="G2777"/>
  <c r="F2777"/>
  <c r="E2777"/>
  <c r="J2776"/>
  <c r="I2776"/>
  <c r="G2776"/>
  <c r="F2776"/>
  <c r="E2776"/>
  <c r="J2775"/>
  <c r="I2775"/>
  <c r="G2775"/>
  <c r="F2775"/>
  <c r="E2775"/>
  <c r="J2774"/>
  <c r="I2774"/>
  <c r="G2774"/>
  <c r="F2774"/>
  <c r="E2774"/>
  <c r="J2773"/>
  <c r="I2773"/>
  <c r="G2773"/>
  <c r="F2773"/>
  <c r="E2773"/>
  <c r="J2772"/>
  <c r="I2772"/>
  <c r="G2772"/>
  <c r="F2772"/>
  <c r="E2772"/>
  <c r="J2771"/>
  <c r="I2771"/>
  <c r="G2771"/>
  <c r="F2771"/>
  <c r="E2771"/>
  <c r="J2770"/>
  <c r="I2770"/>
  <c r="G2770"/>
  <c r="F2770"/>
  <c r="E2770"/>
  <c r="J2769"/>
  <c r="I2769"/>
  <c r="G2769"/>
  <c r="F2769"/>
  <c r="E2769"/>
  <c r="J2768"/>
  <c r="I2768"/>
  <c r="G2768"/>
  <c r="F2768"/>
  <c r="E2768"/>
  <c r="J2767"/>
  <c r="I2767"/>
  <c r="G2767"/>
  <c r="F2767"/>
  <c r="E2767"/>
  <c r="J2766"/>
  <c r="I2766"/>
  <c r="G2766"/>
  <c r="F2766"/>
  <c r="E2766"/>
  <c r="J2765"/>
  <c r="I2765"/>
  <c r="G2765"/>
  <c r="F2765"/>
  <c r="E2765"/>
  <c r="J2764"/>
  <c r="I2764"/>
  <c r="G2764"/>
  <c r="F2764"/>
  <c r="E2764"/>
  <c r="J2763"/>
  <c r="I2763"/>
  <c r="G2763"/>
  <c r="F2763"/>
  <c r="E2763"/>
  <c r="J2762"/>
  <c r="I2762"/>
  <c r="G2762"/>
  <c r="F2762"/>
  <c r="E2762"/>
  <c r="J2761"/>
  <c r="I2761"/>
  <c r="G2761"/>
  <c r="F2761"/>
  <c r="E2761"/>
  <c r="J2760"/>
  <c r="I2760"/>
  <c r="G2760"/>
  <c r="F2760"/>
  <c r="E2760"/>
  <c r="J2759"/>
  <c r="I2759"/>
  <c r="G2759"/>
  <c r="F2759"/>
  <c r="E2759"/>
  <c r="J2758"/>
  <c r="I2758"/>
  <c r="G2758"/>
  <c r="F2758"/>
  <c r="E2758"/>
  <c r="J2757"/>
  <c r="I2757"/>
  <c r="G2757"/>
  <c r="F2757"/>
  <c r="E2757"/>
  <c r="J2756"/>
  <c r="I2756"/>
  <c r="G2756"/>
  <c r="F2756"/>
  <c r="E2756"/>
  <c r="J2755"/>
  <c r="I2755"/>
  <c r="G2755"/>
  <c r="F2755"/>
  <c r="E2755"/>
  <c r="J2754"/>
  <c r="I2754"/>
  <c r="G2754"/>
  <c r="F2754"/>
  <c r="E2754"/>
  <c r="J2753"/>
  <c r="I2753"/>
  <c r="G2753"/>
  <c r="F2753"/>
  <c r="E2753"/>
  <c r="J2752"/>
  <c r="I2752"/>
  <c r="G2752"/>
  <c r="F2752"/>
  <c r="E2752"/>
  <c r="J2751"/>
  <c r="I2751"/>
  <c r="G2751"/>
  <c r="F2751"/>
  <c r="E2751"/>
  <c r="J2750"/>
  <c r="I2750"/>
  <c r="G2750"/>
  <c r="F2750"/>
  <c r="E2750"/>
  <c r="J2749"/>
  <c r="I2749"/>
  <c r="G2749"/>
  <c r="F2749"/>
  <c r="E2749"/>
  <c r="J2748"/>
  <c r="I2748"/>
  <c r="G2748"/>
  <c r="F2748"/>
  <c r="E2748"/>
  <c r="J2747"/>
  <c r="I2747"/>
  <c r="G2747"/>
  <c r="F2747"/>
  <c r="E2747"/>
  <c r="J2746"/>
  <c r="I2746"/>
  <c r="G2746"/>
  <c r="F2746"/>
  <c r="E2746"/>
  <c r="J2745"/>
  <c r="I2745"/>
  <c r="G2745"/>
  <c r="F2745"/>
  <c r="E2745"/>
  <c r="J2744"/>
  <c r="I2744"/>
  <c r="G2744"/>
  <c r="F2744"/>
  <c r="E2744"/>
  <c r="J2743"/>
  <c r="I2743"/>
  <c r="G2743"/>
  <c r="F2743"/>
  <c r="E2743"/>
  <c r="J2742"/>
  <c r="I2742"/>
  <c r="G2742"/>
  <c r="F2742"/>
  <c r="E2742"/>
  <c r="J2741"/>
  <c r="I2741"/>
  <c r="G2741"/>
  <c r="F2741"/>
  <c r="E2741"/>
  <c r="J2740"/>
  <c r="I2740"/>
  <c r="G2740"/>
  <c r="F2740"/>
  <c r="E2740"/>
  <c r="J2739"/>
  <c r="I2739"/>
  <c r="G2739"/>
  <c r="F2739"/>
  <c r="E2739"/>
  <c r="J2738"/>
  <c r="I2738"/>
  <c r="G2738"/>
  <c r="F2738"/>
  <c r="E2738"/>
  <c r="J2737"/>
  <c r="I2737"/>
  <c r="G2737"/>
  <c r="F2737"/>
  <c r="E2737"/>
  <c r="J2736"/>
  <c r="I2736"/>
  <c r="G2736"/>
  <c r="F2736"/>
  <c r="E2736"/>
  <c r="J2735"/>
  <c r="I2735"/>
  <c r="G2735"/>
  <c r="F2735"/>
  <c r="E2735"/>
  <c r="J2734"/>
  <c r="I2734"/>
  <c r="G2734"/>
  <c r="F2734"/>
  <c r="E2734"/>
  <c r="J2733"/>
  <c r="I2733"/>
  <c r="G2733"/>
  <c r="F2733"/>
  <c r="E2733"/>
  <c r="J2732"/>
  <c r="I2732"/>
  <c r="G2732"/>
  <c r="F2732"/>
  <c r="E2732"/>
  <c r="J2731"/>
  <c r="I2731"/>
  <c r="G2731"/>
  <c r="F2731"/>
  <c r="E2731"/>
  <c r="J2730"/>
  <c r="I2730"/>
  <c r="G2730"/>
  <c r="F2730"/>
  <c r="E2730"/>
  <c r="J2729"/>
  <c r="I2729"/>
  <c r="G2729"/>
  <c r="F2729"/>
  <c r="E2729"/>
  <c r="J2728"/>
  <c r="I2728"/>
  <c r="G2728"/>
  <c r="F2728"/>
  <c r="E2728"/>
  <c r="J2727"/>
  <c r="I2727"/>
  <c r="G2727"/>
  <c r="F2727"/>
  <c r="E2727"/>
  <c r="J2726"/>
  <c r="I2726"/>
  <c r="G2726"/>
  <c r="F2726"/>
  <c r="E2726"/>
  <c r="J2725"/>
  <c r="I2725"/>
  <c r="G2725"/>
  <c r="F2725"/>
  <c r="E2725"/>
  <c r="J2724"/>
  <c r="I2724"/>
  <c r="G2724"/>
  <c r="F2724"/>
  <c r="E2724"/>
  <c r="J2723"/>
  <c r="I2723"/>
  <c r="G2723"/>
  <c r="F2723"/>
  <c r="E2723"/>
  <c r="J2722"/>
  <c r="I2722"/>
  <c r="G2722"/>
  <c r="F2722"/>
  <c r="E2722"/>
  <c r="J2721"/>
  <c r="I2721"/>
  <c r="G2721"/>
  <c r="F2721"/>
  <c r="E2721"/>
  <c r="J2720"/>
  <c r="I2720"/>
  <c r="G2720"/>
  <c r="F2720"/>
  <c r="E2720"/>
  <c r="J2719"/>
  <c r="I2719"/>
  <c r="G2719"/>
  <c r="F2719"/>
  <c r="E2719"/>
  <c r="J2718"/>
  <c r="I2718"/>
  <c r="G2718"/>
  <c r="F2718"/>
  <c r="E2718"/>
  <c r="J2717"/>
  <c r="I2717"/>
  <c r="G2717"/>
  <c r="F2717"/>
  <c r="E2717"/>
  <c r="J2716"/>
  <c r="I2716"/>
  <c r="G2716"/>
  <c r="F2716"/>
  <c r="E2716"/>
  <c r="J2715"/>
  <c r="I2715"/>
  <c r="G2715"/>
  <c r="F2715"/>
  <c r="E2715"/>
  <c r="J2714"/>
  <c r="I2714"/>
  <c r="G2714"/>
  <c r="F2714"/>
  <c r="E2714"/>
  <c r="J2713"/>
  <c r="I2713"/>
  <c r="G2713"/>
  <c r="F2713"/>
  <c r="E2713"/>
  <c r="J2712"/>
  <c r="I2712"/>
  <c r="G2712"/>
  <c r="F2712"/>
  <c r="E2712"/>
  <c r="J2711"/>
  <c r="I2711"/>
  <c r="G2711"/>
  <c r="F2711"/>
  <c r="E2711"/>
  <c r="J2710"/>
  <c r="I2710"/>
  <c r="G2710"/>
  <c r="F2710"/>
  <c r="E2710"/>
  <c r="J2709"/>
  <c r="I2709"/>
  <c r="G2709"/>
  <c r="F2709"/>
  <c r="E2709"/>
  <c r="J2708"/>
  <c r="I2708"/>
  <c r="G2708"/>
  <c r="F2708"/>
  <c r="E2708"/>
  <c r="J2707"/>
  <c r="I2707"/>
  <c r="G2707"/>
  <c r="F2707"/>
  <c r="E2707"/>
  <c r="J2706"/>
  <c r="I2706"/>
  <c r="G2706"/>
  <c r="F2706"/>
  <c r="E2706"/>
  <c r="J2705"/>
  <c r="I2705"/>
  <c r="G2705"/>
  <c r="F2705"/>
  <c r="E2705"/>
  <c r="J2704"/>
  <c r="I2704"/>
  <c r="G2704"/>
  <c r="F2704"/>
  <c r="E2704"/>
  <c r="J2703"/>
  <c r="I2703"/>
  <c r="G2703"/>
  <c r="F2703"/>
  <c r="E2703"/>
  <c r="J2702"/>
  <c r="I2702"/>
  <c r="G2702"/>
  <c r="F2702"/>
  <c r="E2702"/>
  <c r="J2701"/>
  <c r="I2701"/>
  <c r="G2701"/>
  <c r="F2701"/>
  <c r="E2701"/>
  <c r="J2700"/>
  <c r="I2700"/>
  <c r="G2700"/>
  <c r="F2700"/>
  <c r="E2700"/>
  <c r="J2699"/>
  <c r="I2699"/>
  <c r="G2699"/>
  <c r="F2699"/>
  <c r="E2699"/>
  <c r="J2698"/>
  <c r="I2698"/>
  <c r="G2698"/>
  <c r="F2698"/>
  <c r="E2698"/>
  <c r="J2697"/>
  <c r="I2697"/>
  <c r="G2697"/>
  <c r="F2697"/>
  <c r="E2697"/>
  <c r="J2696"/>
  <c r="I2696"/>
  <c r="G2696"/>
  <c r="F2696"/>
  <c r="E2696"/>
  <c r="J2695"/>
  <c r="I2695"/>
  <c r="G2695"/>
  <c r="F2695"/>
  <c r="E2695"/>
  <c r="J2694"/>
  <c r="I2694"/>
  <c r="G2694"/>
  <c r="F2694"/>
  <c r="E2694"/>
  <c r="J2693"/>
  <c r="I2693"/>
  <c r="G2693"/>
  <c r="F2693"/>
  <c r="E2693"/>
  <c r="J2692"/>
  <c r="I2692"/>
  <c r="G2692"/>
  <c r="F2692"/>
  <c r="E2692"/>
  <c r="J2691"/>
  <c r="I2691"/>
  <c r="G2691"/>
  <c r="F2691"/>
  <c r="E2691"/>
  <c r="J2690"/>
  <c r="I2690"/>
  <c r="G2690"/>
  <c r="F2690"/>
  <c r="E2690"/>
  <c r="J2689"/>
  <c r="I2689"/>
  <c r="G2689"/>
  <c r="F2689"/>
  <c r="E2689"/>
  <c r="J2688"/>
  <c r="I2688"/>
  <c r="G2688"/>
  <c r="F2688"/>
  <c r="E2688"/>
  <c r="J2687"/>
  <c r="I2687"/>
  <c r="G2687"/>
  <c r="F2687"/>
  <c r="E2687"/>
  <c r="J2686"/>
  <c r="I2686"/>
  <c r="G2686"/>
  <c r="F2686"/>
  <c r="E2686"/>
  <c r="J2685"/>
  <c r="I2685"/>
  <c r="G2685"/>
  <c r="F2685"/>
  <c r="E2685"/>
  <c r="J2684"/>
  <c r="I2684"/>
  <c r="G2684"/>
  <c r="F2684"/>
  <c r="E2684"/>
  <c r="J2683"/>
  <c r="I2683"/>
  <c r="G2683"/>
  <c r="F2683"/>
  <c r="E2683"/>
  <c r="J2682"/>
  <c r="I2682"/>
  <c r="G2682"/>
  <c r="F2682"/>
  <c r="E2682"/>
  <c r="J2681"/>
  <c r="I2681"/>
  <c r="G2681"/>
  <c r="F2681"/>
  <c r="E2681"/>
  <c r="J2680"/>
  <c r="I2680"/>
  <c r="G2680"/>
  <c r="F2680"/>
  <c r="E2680"/>
  <c r="J2679"/>
  <c r="I2679"/>
  <c r="G2679"/>
  <c r="F2679"/>
  <c r="E2679"/>
  <c r="J2678"/>
  <c r="I2678"/>
  <c r="G2678"/>
  <c r="F2678"/>
  <c r="E2678"/>
  <c r="J2677"/>
  <c r="I2677"/>
  <c r="G2677"/>
  <c r="F2677"/>
  <c r="E2677"/>
  <c r="J2676"/>
  <c r="I2676"/>
  <c r="G2676"/>
  <c r="F2676"/>
  <c r="E2676"/>
  <c r="J2675"/>
  <c r="I2675"/>
  <c r="G2675"/>
  <c r="F2675"/>
  <c r="E2675"/>
  <c r="J2674"/>
  <c r="I2674"/>
  <c r="G2674"/>
  <c r="F2674"/>
  <c r="E2674"/>
  <c r="J2673"/>
  <c r="I2673"/>
  <c r="G2673"/>
  <c r="F2673"/>
  <c r="E2673"/>
  <c r="J2672"/>
  <c r="I2672"/>
  <c r="G2672"/>
  <c r="F2672"/>
  <c r="E2672"/>
  <c r="J2671"/>
  <c r="I2671"/>
  <c r="G2671"/>
  <c r="F2671"/>
  <c r="E2671"/>
  <c r="J2670"/>
  <c r="I2670"/>
  <c r="G2670"/>
  <c r="F2670"/>
  <c r="E2670"/>
  <c r="J2669"/>
  <c r="I2669"/>
  <c r="G2669"/>
  <c r="F2669"/>
  <c r="E2669"/>
  <c r="J2668"/>
  <c r="I2668"/>
  <c r="G2668"/>
  <c r="F2668"/>
  <c r="E2668"/>
  <c r="J2667"/>
  <c r="I2667"/>
  <c r="G2667"/>
  <c r="F2667"/>
  <c r="E2667"/>
  <c r="J2666"/>
  <c r="I2666"/>
  <c r="G2666"/>
  <c r="F2666"/>
  <c r="E2666"/>
  <c r="J2665"/>
  <c r="I2665"/>
  <c r="G2665"/>
  <c r="F2665"/>
  <c r="E2665"/>
  <c r="J2664"/>
  <c r="I2664"/>
  <c r="G2664"/>
  <c r="F2664"/>
  <c r="E2664"/>
  <c r="J2663"/>
  <c r="I2663"/>
  <c r="G2663"/>
  <c r="F2663"/>
  <c r="E2663"/>
  <c r="J2662"/>
  <c r="I2662"/>
  <c r="G2662"/>
  <c r="F2662"/>
  <c r="E2662"/>
  <c r="J2661"/>
  <c r="I2661"/>
  <c r="G2661"/>
  <c r="F2661"/>
  <c r="E2661"/>
  <c r="J2660"/>
  <c r="I2660"/>
  <c r="G2660"/>
  <c r="F2660"/>
  <c r="E2660"/>
  <c r="J2659"/>
  <c r="I2659"/>
  <c r="G2659"/>
  <c r="F2659"/>
  <c r="E2659"/>
  <c r="J2658"/>
  <c r="I2658"/>
  <c r="G2658"/>
  <c r="F2658"/>
  <c r="E2658"/>
  <c r="J2657"/>
  <c r="I2657"/>
  <c r="G2657"/>
  <c r="F2657"/>
  <c r="E2657"/>
  <c r="J2656"/>
  <c r="I2656"/>
  <c r="G2656"/>
  <c r="F2656"/>
  <c r="E2656"/>
  <c r="J2655"/>
  <c r="I2655"/>
  <c r="G2655"/>
  <c r="F2655"/>
  <c r="E2655"/>
  <c r="J2654"/>
  <c r="I2654"/>
  <c r="G2654"/>
  <c r="F2654"/>
  <c r="E2654"/>
  <c r="J2653"/>
  <c r="I2653"/>
  <c r="G2653"/>
  <c r="F2653"/>
  <c r="E2653"/>
  <c r="J2652"/>
  <c r="I2652"/>
  <c r="G2652"/>
  <c r="F2652"/>
  <c r="E2652"/>
  <c r="J2651"/>
  <c r="I2651"/>
  <c r="G2651"/>
  <c r="F2651"/>
  <c r="E2651"/>
  <c r="J2650"/>
  <c r="I2650"/>
  <c r="G2650"/>
  <c r="F2650"/>
  <c r="E2650"/>
  <c r="J2649"/>
  <c r="I2649"/>
  <c r="G2649"/>
  <c r="F2649"/>
  <c r="E2649"/>
  <c r="J2648"/>
  <c r="I2648"/>
  <c r="G2648"/>
  <c r="F2648"/>
  <c r="E2648"/>
  <c r="J2647"/>
  <c r="I2647"/>
  <c r="G2647"/>
  <c r="F2647"/>
  <c r="E2647"/>
  <c r="J2646"/>
  <c r="I2646"/>
  <c r="G2646"/>
  <c r="F2646"/>
  <c r="E2646"/>
  <c r="J2645"/>
  <c r="I2645"/>
  <c r="G2645"/>
  <c r="F2645"/>
  <c r="E2645"/>
  <c r="J2644"/>
  <c r="I2644"/>
  <c r="G2644"/>
  <c r="F2644"/>
  <c r="E2644"/>
  <c r="J2643"/>
  <c r="I2643"/>
  <c r="G2643"/>
  <c r="F2643"/>
  <c r="E2643"/>
  <c r="J2642"/>
  <c r="I2642"/>
  <c r="G2642"/>
  <c r="F2642"/>
  <c r="E2642"/>
  <c r="J2641"/>
  <c r="I2641"/>
  <c r="G2641"/>
  <c r="F2641"/>
  <c r="E2641"/>
  <c r="J2640"/>
  <c r="I2640"/>
  <c r="G2640"/>
  <c r="F2640"/>
  <c r="E2640"/>
  <c r="J2639"/>
  <c r="I2639"/>
  <c r="G2639"/>
  <c r="F2639"/>
  <c r="E2639"/>
  <c r="J2638"/>
  <c r="I2638"/>
  <c r="G2638"/>
  <c r="F2638"/>
  <c r="E2638"/>
  <c r="J2637"/>
  <c r="I2637"/>
  <c r="G2637"/>
  <c r="F2637"/>
  <c r="E2637"/>
  <c r="J2636"/>
  <c r="I2636"/>
  <c r="G2636"/>
  <c r="F2636"/>
  <c r="E2636"/>
  <c r="J2635"/>
  <c r="I2635"/>
  <c r="G2635"/>
  <c r="F2635"/>
  <c r="E2635"/>
  <c r="J2634"/>
  <c r="I2634"/>
  <c r="G2634"/>
  <c r="F2634"/>
  <c r="E2634"/>
  <c r="J2633"/>
  <c r="I2633"/>
  <c r="G2633"/>
  <c r="F2633"/>
  <c r="E2633"/>
  <c r="J2632"/>
  <c r="I2632"/>
  <c r="G2632"/>
  <c r="F2632"/>
  <c r="E2632"/>
  <c r="J2631"/>
  <c r="I2631"/>
  <c r="G2631"/>
  <c r="F2631"/>
  <c r="E2631"/>
  <c r="J2630"/>
  <c r="I2630"/>
  <c r="G2630"/>
  <c r="F2630"/>
  <c r="E2630"/>
  <c r="J2629"/>
  <c r="I2629"/>
  <c r="G2629"/>
  <c r="F2629"/>
  <c r="E2629"/>
  <c r="J2628"/>
  <c r="I2628"/>
  <c r="G2628"/>
  <c r="F2628"/>
  <c r="E2628"/>
  <c r="J2627"/>
  <c r="I2627"/>
  <c r="G2627"/>
  <c r="F2627"/>
  <c r="E2627"/>
  <c r="J2626"/>
  <c r="I2626"/>
  <c r="G2626"/>
  <c r="F2626"/>
  <c r="E2626"/>
  <c r="J2625"/>
  <c r="I2625"/>
  <c r="G2625"/>
  <c r="F2625"/>
  <c r="E2625"/>
  <c r="J2624"/>
  <c r="I2624"/>
  <c r="G2624"/>
  <c r="F2624"/>
  <c r="E2624"/>
  <c r="J2623"/>
  <c r="I2623"/>
  <c r="G2623"/>
  <c r="F2623"/>
  <c r="E2623"/>
  <c r="J2622"/>
  <c r="I2622"/>
  <c r="G2622"/>
  <c r="F2622"/>
  <c r="E2622"/>
  <c r="J2621"/>
  <c r="I2621"/>
  <c r="G2621"/>
  <c r="F2621"/>
  <c r="E2621"/>
  <c r="J2620"/>
  <c r="I2620"/>
  <c r="G2620"/>
  <c r="F2620"/>
  <c r="E2620"/>
  <c r="J2619"/>
  <c r="I2619"/>
  <c r="G2619"/>
  <c r="F2619"/>
  <c r="E2619"/>
  <c r="J2618"/>
  <c r="I2618"/>
  <c r="G2618"/>
  <c r="F2618"/>
  <c r="E2618"/>
  <c r="J2617"/>
  <c r="I2617"/>
  <c r="G2617"/>
  <c r="F2617"/>
  <c r="E2617"/>
  <c r="J2616"/>
  <c r="I2616"/>
  <c r="G2616"/>
  <c r="F2616"/>
  <c r="E2616"/>
  <c r="J2615"/>
  <c r="I2615"/>
  <c r="G2615"/>
  <c r="F2615"/>
  <c r="E2615"/>
  <c r="J2614"/>
  <c r="I2614"/>
  <c r="G2614"/>
  <c r="F2614"/>
  <c r="E2614"/>
  <c r="J2613"/>
  <c r="I2613"/>
  <c r="G2613"/>
  <c r="F2613"/>
  <c r="E2613"/>
  <c r="J2612"/>
  <c r="I2612"/>
  <c r="G2612"/>
  <c r="F2612"/>
  <c r="E2612"/>
  <c r="J2611"/>
  <c r="I2611"/>
  <c r="G2611"/>
  <c r="F2611"/>
  <c r="E2611"/>
  <c r="J2610"/>
  <c r="I2610"/>
  <c r="G2610"/>
  <c r="F2610"/>
  <c r="E2610"/>
  <c r="J2609"/>
  <c r="I2609"/>
  <c r="G2609"/>
  <c r="F2609"/>
  <c r="E2609"/>
  <c r="J2608"/>
  <c r="I2608"/>
  <c r="G2608"/>
  <c r="F2608"/>
  <c r="E2608"/>
  <c r="J2607"/>
  <c r="I2607"/>
  <c r="G2607"/>
  <c r="F2607"/>
  <c r="E2607"/>
  <c r="J2606"/>
  <c r="I2606"/>
  <c r="G2606"/>
  <c r="F2606"/>
  <c r="E2606"/>
  <c r="J2605"/>
  <c r="I2605"/>
  <c r="G2605"/>
  <c r="F2605"/>
  <c r="E2605"/>
  <c r="J2604"/>
  <c r="I2604"/>
  <c r="G2604"/>
  <c r="F2604"/>
  <c r="E2604"/>
  <c r="J2603"/>
  <c r="I2603"/>
  <c r="G2603"/>
  <c r="F2603"/>
  <c r="E2603"/>
  <c r="J2602"/>
  <c r="I2602"/>
  <c r="G2602"/>
  <c r="F2602"/>
  <c r="E2602"/>
  <c r="J2601"/>
  <c r="I2601"/>
  <c r="G2601"/>
  <c r="F2601"/>
  <c r="E2601"/>
  <c r="J2600"/>
  <c r="I2600"/>
  <c r="G2600"/>
  <c r="F2600"/>
  <c r="E2600"/>
  <c r="J2599"/>
  <c r="I2599"/>
  <c r="G2599"/>
  <c r="F2599"/>
  <c r="E2599"/>
  <c r="J2598"/>
  <c r="I2598"/>
  <c r="G2598"/>
  <c r="F2598"/>
  <c r="E2598"/>
  <c r="J2597"/>
  <c r="I2597"/>
  <c r="G2597"/>
  <c r="F2597"/>
  <c r="E2597"/>
  <c r="J2596"/>
  <c r="I2596"/>
  <c r="G2596"/>
  <c r="F2596"/>
  <c r="E2596"/>
  <c r="J2595"/>
  <c r="I2595"/>
  <c r="G2595"/>
  <c r="F2595"/>
  <c r="E2595"/>
  <c r="J2594"/>
  <c r="I2594"/>
  <c r="G2594"/>
  <c r="F2594"/>
  <c r="E2594"/>
  <c r="J2593"/>
  <c r="I2593"/>
  <c r="G2593"/>
  <c r="F2593"/>
  <c r="E2593"/>
  <c r="J2592"/>
  <c r="I2592"/>
  <c r="G2592"/>
  <c r="F2592"/>
  <c r="E2592"/>
  <c r="J2591"/>
  <c r="I2591"/>
  <c r="G2591"/>
  <c r="F2591"/>
  <c r="E2591"/>
  <c r="J2590"/>
  <c r="I2590"/>
  <c r="G2590"/>
  <c r="F2590"/>
  <c r="E2590"/>
  <c r="J2589"/>
  <c r="I2589"/>
  <c r="G2589"/>
  <c r="F2589"/>
  <c r="E2589"/>
  <c r="J2588"/>
  <c r="I2588"/>
  <c r="G2588"/>
  <c r="F2588"/>
  <c r="E2588"/>
  <c r="J2587"/>
  <c r="I2587"/>
  <c r="G2587"/>
  <c r="F2587"/>
  <c r="E2587"/>
  <c r="J2586"/>
  <c r="I2586"/>
  <c r="G2586"/>
  <c r="F2586"/>
  <c r="E2586"/>
  <c r="J2585"/>
  <c r="I2585"/>
  <c r="G2585"/>
  <c r="F2585"/>
  <c r="E2585"/>
  <c r="J2584"/>
  <c r="I2584"/>
  <c r="G2584"/>
  <c r="F2584"/>
  <c r="E2584"/>
  <c r="J2583"/>
  <c r="I2583"/>
  <c r="G2583"/>
  <c r="F2583"/>
  <c r="E2583"/>
  <c r="J2582"/>
  <c r="I2582"/>
  <c r="G2582"/>
  <c r="F2582"/>
  <c r="E2582"/>
  <c r="J2581"/>
  <c r="I2581"/>
  <c r="G2581"/>
  <c r="F2581"/>
  <c r="E2581"/>
  <c r="J2580"/>
  <c r="I2580"/>
  <c r="G2580"/>
  <c r="F2580"/>
  <c r="E2580"/>
  <c r="J2579"/>
  <c r="I2579"/>
  <c r="G2579"/>
  <c r="F2579"/>
  <c r="E2579"/>
  <c r="J2578"/>
  <c r="I2578"/>
  <c r="G2578"/>
  <c r="F2578"/>
  <c r="E2578"/>
  <c r="J2577"/>
  <c r="I2577"/>
  <c r="G2577"/>
  <c r="F2577"/>
  <c r="E2577"/>
  <c r="J2576"/>
  <c r="I2576"/>
  <c r="G2576"/>
  <c r="F2576"/>
  <c r="E2576"/>
  <c r="J2575"/>
  <c r="I2575"/>
  <c r="G2575"/>
  <c r="F2575"/>
  <c r="E2575"/>
  <c r="J2574"/>
  <c r="I2574"/>
  <c r="G2574"/>
  <c r="F2574"/>
  <c r="E2574"/>
  <c r="J2573"/>
  <c r="I2573"/>
  <c r="G2573"/>
  <c r="F2573"/>
  <c r="E2573"/>
  <c r="J2572"/>
  <c r="I2572"/>
  <c r="G2572"/>
  <c r="F2572"/>
  <c r="E2572"/>
  <c r="J2571"/>
  <c r="I2571"/>
  <c r="G2571"/>
  <c r="F2571"/>
  <c r="E2571"/>
  <c r="J2570"/>
  <c r="I2570"/>
  <c r="G2570"/>
  <c r="F2570"/>
  <c r="E2570"/>
  <c r="J2569"/>
  <c r="I2569"/>
  <c r="G2569"/>
  <c r="F2569"/>
  <c r="E2569"/>
  <c r="J2568"/>
  <c r="I2568"/>
  <c r="G2568"/>
  <c r="F2568"/>
  <c r="E2568"/>
  <c r="J2567"/>
  <c r="I2567"/>
  <c r="G2567"/>
  <c r="F2567"/>
  <c r="E2567"/>
  <c r="J2566"/>
  <c r="I2566"/>
  <c r="G2566"/>
  <c r="F2566"/>
  <c r="E2566"/>
  <c r="J2565"/>
  <c r="I2565"/>
  <c r="G2565"/>
  <c r="F2565"/>
  <c r="E2565"/>
  <c r="J2564"/>
  <c r="I2564"/>
  <c r="G2564"/>
  <c r="F2564"/>
  <c r="E2564"/>
  <c r="J2563"/>
  <c r="I2563"/>
  <c r="G2563"/>
  <c r="F2563"/>
  <c r="E2563"/>
  <c r="J2562"/>
  <c r="I2562"/>
  <c r="G2562"/>
  <c r="F2562"/>
  <c r="E2562"/>
  <c r="J2561"/>
  <c r="I2561"/>
  <c r="G2561"/>
  <c r="F2561"/>
  <c r="E2561"/>
  <c r="J2560"/>
  <c r="I2560"/>
  <c r="G2560"/>
  <c r="F2560"/>
  <c r="E2560"/>
  <c r="J2559"/>
  <c r="I2559"/>
  <c r="G2559"/>
  <c r="F2559"/>
  <c r="E2559"/>
  <c r="J2558"/>
  <c r="I2558"/>
  <c r="G2558"/>
  <c r="F2558"/>
  <c r="E2558"/>
  <c r="J2557"/>
  <c r="I2557"/>
  <c r="G2557"/>
  <c r="F2557"/>
  <c r="E2557"/>
  <c r="J2556"/>
  <c r="I2556"/>
  <c r="G2556"/>
  <c r="F2556"/>
  <c r="E2556"/>
  <c r="J2555"/>
  <c r="I2555"/>
  <c r="G2555"/>
  <c r="F2555"/>
  <c r="E2555"/>
  <c r="J2554"/>
  <c r="I2554"/>
  <c r="G2554"/>
  <c r="F2554"/>
  <c r="E2554"/>
  <c r="J2553"/>
  <c r="I2553"/>
  <c r="G2553"/>
  <c r="F2553"/>
  <c r="E2553"/>
  <c r="J2552"/>
  <c r="I2552"/>
  <c r="G2552"/>
  <c r="F2552"/>
  <c r="E2552"/>
  <c r="J2551"/>
  <c r="I2551"/>
  <c r="G2551"/>
  <c r="F2551"/>
  <c r="E2551"/>
  <c r="J2550"/>
  <c r="I2550"/>
  <c r="G2550"/>
  <c r="F2550"/>
  <c r="E2550"/>
  <c r="J2549"/>
  <c r="I2549"/>
  <c r="G2549"/>
  <c r="F2549"/>
  <c r="E2549"/>
  <c r="J2548"/>
  <c r="I2548"/>
  <c r="G2548"/>
  <c r="F2548"/>
  <c r="E2548"/>
  <c r="J2547"/>
  <c r="I2547"/>
  <c r="G2547"/>
  <c r="F2547"/>
  <c r="E2547"/>
  <c r="J2546"/>
  <c r="I2546"/>
  <c r="G2546"/>
  <c r="F2546"/>
  <c r="E2546"/>
  <c r="J2545"/>
  <c r="I2545"/>
  <c r="G2545"/>
  <c r="F2545"/>
  <c r="E2545"/>
  <c r="J2544"/>
  <c r="I2544"/>
  <c r="G2544"/>
  <c r="F2544"/>
  <c r="E2544"/>
  <c r="J2543"/>
  <c r="I2543"/>
  <c r="G2543"/>
  <c r="F2543"/>
  <c r="E2543"/>
  <c r="J2542"/>
  <c r="I2542"/>
  <c r="G2542"/>
  <c r="F2542"/>
  <c r="E2542"/>
  <c r="J2541"/>
  <c r="I2541"/>
  <c r="G2541"/>
  <c r="F2541"/>
  <c r="E2541"/>
  <c r="J2540"/>
  <c r="I2540"/>
  <c r="G2540"/>
  <c r="F2540"/>
  <c r="E2540"/>
  <c r="J2539"/>
  <c r="I2539"/>
  <c r="G2539"/>
  <c r="F2539"/>
  <c r="E2539"/>
  <c r="J2538"/>
  <c r="I2538"/>
  <c r="G2538"/>
  <c r="F2538"/>
  <c r="E2538"/>
  <c r="J2537"/>
  <c r="I2537"/>
  <c r="G2537"/>
  <c r="F2537"/>
  <c r="E2537"/>
  <c r="J2536"/>
  <c r="I2536"/>
  <c r="G2536"/>
  <c r="F2536"/>
  <c r="E2536"/>
  <c r="J2535"/>
  <c r="I2535"/>
  <c r="G2535"/>
  <c r="F2535"/>
  <c r="E2535"/>
  <c r="J2534"/>
  <c r="I2534"/>
  <c r="G2534"/>
  <c r="F2534"/>
  <c r="E2534"/>
  <c r="J2533"/>
  <c r="I2533"/>
  <c r="G2533"/>
  <c r="F2533"/>
  <c r="E2533"/>
  <c r="J2532"/>
  <c r="I2532"/>
  <c r="G2532"/>
  <c r="F2532"/>
  <c r="E2532"/>
  <c r="J2531"/>
  <c r="I2531"/>
  <c r="G2531"/>
  <c r="F2531"/>
  <c r="E2531"/>
  <c r="J2530"/>
  <c r="I2530"/>
  <c r="G2530"/>
  <c r="F2530"/>
  <c r="E2530"/>
  <c r="J2529"/>
  <c r="I2529"/>
  <c r="G2529"/>
  <c r="F2529"/>
  <c r="E2529"/>
  <c r="J2528"/>
  <c r="I2528"/>
  <c r="G2528"/>
  <c r="F2528"/>
  <c r="E2528"/>
  <c r="J2527"/>
  <c r="I2527"/>
  <c r="G2527"/>
  <c r="F2527"/>
  <c r="E2527"/>
  <c r="J2526"/>
  <c r="I2526"/>
  <c r="G2526"/>
  <c r="F2526"/>
  <c r="E2526"/>
  <c r="J2525"/>
  <c r="I2525"/>
  <c r="G2525"/>
  <c r="F2525"/>
  <c r="E2525"/>
  <c r="J2524"/>
  <c r="I2524"/>
  <c r="G2524"/>
  <c r="F2524"/>
  <c r="E2524"/>
  <c r="J2523"/>
  <c r="I2523"/>
  <c r="G2523"/>
  <c r="F2523"/>
  <c r="E2523"/>
  <c r="J2522"/>
  <c r="I2522"/>
  <c r="G2522"/>
  <c r="F2522"/>
  <c r="E2522"/>
  <c r="J2521"/>
  <c r="I2521"/>
  <c r="G2521"/>
  <c r="F2521"/>
  <c r="E2521"/>
  <c r="J2520"/>
  <c r="I2520"/>
  <c r="G2520"/>
  <c r="F2520"/>
  <c r="E2520"/>
  <c r="J2519"/>
  <c r="I2519"/>
  <c r="G2519"/>
  <c r="F2519"/>
  <c r="E2519"/>
  <c r="J2518"/>
  <c r="I2518"/>
  <c r="G2518"/>
  <c r="F2518"/>
  <c r="E2518"/>
  <c r="J2517"/>
  <c r="I2517"/>
  <c r="G2517"/>
  <c r="F2517"/>
  <c r="E2517"/>
  <c r="J2516"/>
  <c r="I2516"/>
  <c r="G2516"/>
  <c r="F2516"/>
  <c r="E2516"/>
  <c r="J2515"/>
  <c r="I2515"/>
  <c r="G2515"/>
  <c r="F2515"/>
  <c r="E2515"/>
  <c r="J2514"/>
  <c r="I2514"/>
  <c r="G2514"/>
  <c r="F2514"/>
  <c r="E2514"/>
  <c r="J2513"/>
  <c r="I2513"/>
  <c r="G2513"/>
  <c r="F2513"/>
  <c r="E2513"/>
  <c r="J2512"/>
  <c r="I2512"/>
  <c r="G2512"/>
  <c r="F2512"/>
  <c r="E2512"/>
  <c r="J2511"/>
  <c r="I2511"/>
  <c r="G2511"/>
  <c r="F2511"/>
  <c r="E2511"/>
  <c r="J2510"/>
  <c r="I2510"/>
  <c r="G2510"/>
  <c r="F2510"/>
  <c r="E2510"/>
  <c r="J2509"/>
  <c r="I2509"/>
  <c r="G2509"/>
  <c r="F2509"/>
  <c r="E2509"/>
  <c r="J2508"/>
  <c r="I2508"/>
  <c r="G2508"/>
  <c r="F2508"/>
  <c r="E2508"/>
  <c r="J2507"/>
  <c r="I2507"/>
  <c r="G2507"/>
  <c r="F2507"/>
  <c r="E2507"/>
  <c r="J2506"/>
  <c r="I2506"/>
  <c r="G2506"/>
  <c r="F2506"/>
  <c r="E2506"/>
  <c r="J2505"/>
  <c r="I2505"/>
  <c r="G2505"/>
  <c r="F2505"/>
  <c r="E2505"/>
  <c r="J2504"/>
  <c r="I2504"/>
  <c r="G2504"/>
  <c r="F2504"/>
  <c r="E2504"/>
  <c r="J2503"/>
  <c r="I2503"/>
  <c r="G2503"/>
  <c r="F2503"/>
  <c r="E2503"/>
  <c r="J2502"/>
  <c r="I2502"/>
  <c r="G2502"/>
  <c r="F2502"/>
  <c r="E2502"/>
  <c r="J2501"/>
  <c r="I2501"/>
  <c r="G2501"/>
  <c r="F2501"/>
  <c r="E2501"/>
  <c r="J2500"/>
  <c r="I2500"/>
  <c r="G2500"/>
  <c r="F2500"/>
  <c r="E2500"/>
  <c r="J2499"/>
  <c r="I2499"/>
  <c r="G2499"/>
  <c r="F2499"/>
  <c r="E2499"/>
  <c r="J2498"/>
  <c r="I2498"/>
  <c r="G2498"/>
  <c r="F2498"/>
  <c r="E2498"/>
  <c r="J2497"/>
  <c r="I2497"/>
  <c r="G2497"/>
  <c r="F2497"/>
  <c r="E2497"/>
  <c r="J2496"/>
  <c r="I2496"/>
  <c r="G2496"/>
  <c r="F2496"/>
  <c r="E2496"/>
  <c r="J2495"/>
  <c r="I2495"/>
  <c r="G2495"/>
  <c r="F2495"/>
  <c r="E2495"/>
  <c r="J2494"/>
  <c r="I2494"/>
  <c r="G2494"/>
  <c r="F2494"/>
  <c r="E2494"/>
  <c r="J2493"/>
  <c r="I2493"/>
  <c r="G2493"/>
  <c r="F2493"/>
  <c r="E2493"/>
  <c r="J2492"/>
  <c r="I2492"/>
  <c r="G2492"/>
  <c r="F2492"/>
  <c r="E2492"/>
  <c r="J2491"/>
  <c r="I2491"/>
  <c r="G2491"/>
  <c r="F2491"/>
  <c r="E2491"/>
  <c r="J2490"/>
  <c r="I2490"/>
  <c r="G2490"/>
  <c r="F2490"/>
  <c r="E2490"/>
  <c r="J2489"/>
  <c r="I2489"/>
  <c r="G2489"/>
  <c r="F2489"/>
  <c r="E2489"/>
  <c r="J2488"/>
  <c r="I2488"/>
  <c r="G2488"/>
  <c r="F2488"/>
  <c r="E2488"/>
  <c r="J2487"/>
  <c r="I2487"/>
  <c r="G2487"/>
  <c r="F2487"/>
  <c r="E2487"/>
  <c r="J2486"/>
  <c r="I2486"/>
  <c r="G2486"/>
  <c r="F2486"/>
  <c r="E2486"/>
  <c r="J2485"/>
  <c r="I2485"/>
  <c r="G2485"/>
  <c r="F2485"/>
  <c r="E2485"/>
  <c r="J2484"/>
  <c r="I2484"/>
  <c r="G2484"/>
  <c r="F2484"/>
  <c r="E2484"/>
  <c r="J2483"/>
  <c r="I2483"/>
  <c r="G2483"/>
  <c r="F2483"/>
  <c r="E2483"/>
  <c r="J2482"/>
  <c r="I2482"/>
  <c r="G2482"/>
  <c r="F2482"/>
  <c r="E2482"/>
  <c r="J2481"/>
  <c r="I2481"/>
  <c r="G2481"/>
  <c r="F2481"/>
  <c r="E2481"/>
  <c r="J2480"/>
  <c r="I2480"/>
  <c r="G2480"/>
  <c r="F2480"/>
  <c r="E2480"/>
  <c r="J2479"/>
  <c r="I2479"/>
  <c r="G2479"/>
  <c r="F2479"/>
  <c r="E2479"/>
  <c r="J2478"/>
  <c r="I2478"/>
  <c r="G2478"/>
  <c r="F2478"/>
  <c r="E2478"/>
  <c r="J2477"/>
  <c r="I2477"/>
  <c r="G2477"/>
  <c r="F2477"/>
  <c r="E2477"/>
  <c r="J2476"/>
  <c r="I2476"/>
  <c r="G2476"/>
  <c r="F2476"/>
  <c r="E2476"/>
  <c r="J2475"/>
  <c r="I2475"/>
  <c r="G2475"/>
  <c r="F2475"/>
  <c r="E2475"/>
  <c r="J2474"/>
  <c r="I2474"/>
  <c r="G2474"/>
  <c r="F2474"/>
  <c r="E2474"/>
  <c r="J2473"/>
  <c r="I2473"/>
  <c r="G2473"/>
  <c r="F2473"/>
  <c r="E2473"/>
  <c r="J2472"/>
  <c r="I2472"/>
  <c r="G2472"/>
  <c r="F2472"/>
  <c r="E2472"/>
  <c r="J2471"/>
  <c r="I2471"/>
  <c r="G2471"/>
  <c r="F2471"/>
  <c r="E2471"/>
  <c r="J2470"/>
  <c r="I2470"/>
  <c r="G2470"/>
  <c r="F2470"/>
  <c r="E2470"/>
  <c r="J2469"/>
  <c r="I2469"/>
  <c r="G2469"/>
  <c r="F2469"/>
  <c r="E2469"/>
  <c r="J2468"/>
  <c r="I2468"/>
  <c r="G2468"/>
  <c r="F2468"/>
  <c r="E2468"/>
  <c r="J2467"/>
  <c r="I2467"/>
  <c r="G2467"/>
  <c r="F2467"/>
  <c r="E2467"/>
  <c r="J2466"/>
  <c r="I2466"/>
  <c r="G2466"/>
  <c r="F2466"/>
  <c r="E2466"/>
  <c r="J2465"/>
  <c r="I2465"/>
  <c r="G2465"/>
  <c r="F2465"/>
  <c r="E2465"/>
  <c r="J2464"/>
  <c r="I2464"/>
  <c r="G2464"/>
  <c r="F2464"/>
  <c r="E2464"/>
  <c r="J2463"/>
  <c r="I2463"/>
  <c r="G2463"/>
  <c r="F2463"/>
  <c r="E2463"/>
  <c r="J2462"/>
  <c r="I2462"/>
  <c r="G2462"/>
  <c r="F2462"/>
  <c r="E2462"/>
  <c r="J2461"/>
  <c r="I2461"/>
  <c r="G2461"/>
  <c r="F2461"/>
  <c r="E2461"/>
  <c r="J2460"/>
  <c r="I2460"/>
  <c r="G2460"/>
  <c r="F2460"/>
  <c r="E2460"/>
  <c r="J2459"/>
  <c r="I2459"/>
  <c r="G2459"/>
  <c r="F2459"/>
  <c r="E2459"/>
  <c r="J2458"/>
  <c r="I2458"/>
  <c r="G2458"/>
  <c r="F2458"/>
  <c r="E2458"/>
  <c r="J2457"/>
  <c r="I2457"/>
  <c r="G2457"/>
  <c r="F2457"/>
  <c r="E2457"/>
  <c r="J2456"/>
  <c r="I2456"/>
  <c r="G2456"/>
  <c r="F2456"/>
  <c r="E2456"/>
  <c r="J2455"/>
  <c r="I2455"/>
  <c r="G2455"/>
  <c r="F2455"/>
  <c r="E2455"/>
  <c r="J2454"/>
  <c r="I2454"/>
  <c r="G2454"/>
  <c r="F2454"/>
  <c r="E2454"/>
  <c r="J2453"/>
  <c r="I2453"/>
  <c r="G2453"/>
  <c r="F2453"/>
  <c r="E2453"/>
  <c r="J2452"/>
  <c r="I2452"/>
  <c r="G2452"/>
  <c r="F2452"/>
  <c r="E2452"/>
  <c r="J2451"/>
  <c r="I2451"/>
  <c r="G2451"/>
  <c r="F2451"/>
  <c r="E2451"/>
  <c r="J2450"/>
  <c r="I2450"/>
  <c r="G2450"/>
  <c r="F2450"/>
  <c r="E2450"/>
  <c r="J2449"/>
  <c r="I2449"/>
  <c r="G2449"/>
  <c r="F2449"/>
  <c r="E2449"/>
  <c r="J2448"/>
  <c r="I2448"/>
  <c r="G2448"/>
  <c r="F2448"/>
  <c r="E2448"/>
  <c r="J2447"/>
  <c r="I2447"/>
  <c r="G2447"/>
  <c r="F2447"/>
  <c r="E2447"/>
  <c r="J2446"/>
  <c r="I2446"/>
  <c r="G2446"/>
  <c r="F2446"/>
  <c r="E2446"/>
  <c r="J2445"/>
  <c r="I2445"/>
  <c r="G2445"/>
  <c r="F2445"/>
  <c r="E2445"/>
  <c r="J2444"/>
  <c r="I2444"/>
  <c r="G2444"/>
  <c r="F2444"/>
  <c r="E2444"/>
  <c r="J2443"/>
  <c r="I2443"/>
  <c r="G2443"/>
  <c r="F2443"/>
  <c r="E2443"/>
  <c r="J2442"/>
  <c r="I2442"/>
  <c r="G2442"/>
  <c r="F2442"/>
  <c r="E2442"/>
  <c r="J2441"/>
  <c r="I2441"/>
  <c r="G2441"/>
  <c r="F2441"/>
  <c r="E2441"/>
  <c r="J2440"/>
  <c r="I2440"/>
  <c r="G2440"/>
  <c r="F2440"/>
  <c r="E2440"/>
  <c r="J2439"/>
  <c r="I2439"/>
  <c r="G2439"/>
  <c r="F2439"/>
  <c r="E2439"/>
  <c r="J2438"/>
  <c r="I2438"/>
  <c r="G2438"/>
  <c r="F2438"/>
  <c r="E2438"/>
  <c r="J2437"/>
  <c r="I2437"/>
  <c r="G2437"/>
  <c r="F2437"/>
  <c r="E2437"/>
  <c r="J2436"/>
  <c r="I2436"/>
  <c r="G2436"/>
  <c r="F2436"/>
  <c r="E2436"/>
  <c r="J2435"/>
  <c r="I2435"/>
  <c r="G2435"/>
  <c r="F2435"/>
  <c r="E2435"/>
  <c r="J2434"/>
  <c r="I2434"/>
  <c r="G2434"/>
  <c r="F2434"/>
  <c r="E2434"/>
  <c r="J2433"/>
  <c r="I2433"/>
  <c r="G2433"/>
  <c r="F2433"/>
  <c r="E2433"/>
  <c r="J2432"/>
  <c r="I2432"/>
  <c r="G2432"/>
  <c r="F2432"/>
  <c r="E2432"/>
  <c r="J2431"/>
  <c r="I2431"/>
  <c r="G2431"/>
  <c r="F2431"/>
  <c r="E2431"/>
  <c r="J2430"/>
  <c r="I2430"/>
  <c r="G2430"/>
  <c r="F2430"/>
  <c r="E2430"/>
  <c r="J2429"/>
  <c r="I2429"/>
  <c r="G2429"/>
  <c r="F2429"/>
  <c r="E2429"/>
  <c r="J2428"/>
  <c r="I2428"/>
  <c r="G2428"/>
  <c r="F2428"/>
  <c r="E2428"/>
  <c r="J2427"/>
  <c r="I2427"/>
  <c r="G2427"/>
  <c r="F2427"/>
  <c r="E2427"/>
  <c r="J2426"/>
  <c r="I2426"/>
  <c r="G2426"/>
  <c r="F2426"/>
  <c r="E2426"/>
  <c r="J2425"/>
  <c r="I2425"/>
  <c r="G2425"/>
  <c r="F2425"/>
  <c r="E2425"/>
  <c r="J2424"/>
  <c r="I2424"/>
  <c r="G2424"/>
  <c r="F2424"/>
  <c r="E2424"/>
  <c r="J2423"/>
  <c r="I2423"/>
  <c r="G2423"/>
  <c r="F2423"/>
  <c r="E2423"/>
  <c r="J2422"/>
  <c r="I2422"/>
  <c r="G2422"/>
  <c r="F2422"/>
  <c r="E2422"/>
  <c r="J2421"/>
  <c r="I2421"/>
  <c r="G2421"/>
  <c r="F2421"/>
  <c r="E2421"/>
  <c r="J2420"/>
  <c r="I2420"/>
  <c r="G2420"/>
  <c r="F2420"/>
  <c r="E2420"/>
  <c r="J2419"/>
  <c r="I2419"/>
  <c r="G2419"/>
  <c r="F2419"/>
  <c r="E2419"/>
  <c r="J2418"/>
  <c r="I2418"/>
  <c r="G2418"/>
  <c r="F2418"/>
  <c r="E2418"/>
  <c r="J2417"/>
  <c r="I2417"/>
  <c r="G2417"/>
  <c r="F2417"/>
  <c r="E2417"/>
  <c r="J2416"/>
  <c r="I2416"/>
  <c r="G2416"/>
  <c r="F2416"/>
  <c r="E2416"/>
  <c r="J2415"/>
  <c r="I2415"/>
  <c r="G2415"/>
  <c r="F2415"/>
  <c r="E2415"/>
  <c r="J2414"/>
  <c r="I2414"/>
  <c r="G2414"/>
  <c r="F2414"/>
  <c r="E2414"/>
  <c r="J2413"/>
  <c r="I2413"/>
  <c r="G2413"/>
  <c r="F2413"/>
  <c r="E2413"/>
  <c r="J2412"/>
  <c r="I2412"/>
  <c r="G2412"/>
  <c r="F2412"/>
  <c r="E2412"/>
  <c r="J2411"/>
  <c r="I2411"/>
  <c r="G2411"/>
  <c r="F2411"/>
  <c r="E2411"/>
  <c r="J2410"/>
  <c r="I2410"/>
  <c r="G2410"/>
  <c r="F2410"/>
  <c r="E2410"/>
  <c r="J2409"/>
  <c r="I2409"/>
  <c r="G2409"/>
  <c r="F2409"/>
  <c r="E2409"/>
  <c r="J2408"/>
  <c r="I2408"/>
  <c r="G2408"/>
  <c r="F2408"/>
  <c r="E2408"/>
  <c r="J2407"/>
  <c r="I2407"/>
  <c r="G2407"/>
  <c r="F2407"/>
  <c r="E2407"/>
  <c r="J2406"/>
  <c r="I2406"/>
  <c r="G2406"/>
  <c r="F2406"/>
  <c r="E2406"/>
  <c r="J2405"/>
  <c r="I2405"/>
  <c r="G2405"/>
  <c r="F2405"/>
  <c r="E2405"/>
  <c r="J2404"/>
  <c r="I2404"/>
  <c r="G2404"/>
  <c r="F2404"/>
  <c r="E2404"/>
  <c r="J2403"/>
  <c r="I2403"/>
  <c r="G2403"/>
  <c r="F2403"/>
  <c r="E2403"/>
  <c r="J2402"/>
  <c r="I2402"/>
  <c r="G2402"/>
  <c r="F2402"/>
  <c r="E2402"/>
  <c r="J2401"/>
  <c r="I2401"/>
  <c r="G2401"/>
  <c r="F2401"/>
  <c r="E2401"/>
  <c r="J2400"/>
  <c r="I2400"/>
  <c r="G2400"/>
  <c r="F2400"/>
  <c r="E2400"/>
  <c r="J2399"/>
  <c r="I2399"/>
  <c r="G2399"/>
  <c r="F2399"/>
  <c r="E2399"/>
  <c r="J2398"/>
  <c r="I2398"/>
  <c r="G2398"/>
  <c r="F2398"/>
  <c r="E2398"/>
  <c r="J2397"/>
  <c r="I2397"/>
  <c r="G2397"/>
  <c r="F2397"/>
  <c r="E2397"/>
  <c r="J2396"/>
  <c r="I2396"/>
  <c r="G2396"/>
  <c r="F2396"/>
  <c r="E2396"/>
  <c r="J2395"/>
  <c r="I2395"/>
  <c r="G2395"/>
  <c r="F2395"/>
  <c r="E2395"/>
  <c r="J2394"/>
  <c r="I2394"/>
  <c r="G2394"/>
  <c r="F2394"/>
  <c r="E2394"/>
  <c r="J2393"/>
  <c r="I2393"/>
  <c r="G2393"/>
  <c r="F2393"/>
  <c r="E2393"/>
  <c r="J2392"/>
  <c r="I2392"/>
  <c r="G2392"/>
  <c r="F2392"/>
  <c r="E2392"/>
  <c r="J2391"/>
  <c r="I2391"/>
  <c r="G2391"/>
  <c r="F2391"/>
  <c r="E2391"/>
  <c r="J2390"/>
  <c r="I2390"/>
  <c r="G2390"/>
  <c r="F2390"/>
  <c r="E2390"/>
  <c r="J2389"/>
  <c r="I2389"/>
  <c r="G2389"/>
  <c r="F2389"/>
  <c r="E2389"/>
  <c r="J2388"/>
  <c r="I2388"/>
  <c r="G2388"/>
  <c r="F2388"/>
  <c r="E2388"/>
  <c r="J2387"/>
  <c r="I2387"/>
  <c r="G2387"/>
  <c r="F2387"/>
  <c r="E2387"/>
  <c r="J2386"/>
  <c r="I2386"/>
  <c r="G2386"/>
  <c r="F2386"/>
  <c r="E2386"/>
  <c r="J2385"/>
  <c r="I2385"/>
  <c r="G2385"/>
  <c r="F2385"/>
  <c r="E2385"/>
  <c r="J2384"/>
  <c r="I2384"/>
  <c r="G2384"/>
  <c r="F2384"/>
  <c r="E2384"/>
  <c r="J2383"/>
  <c r="I2383"/>
  <c r="G2383"/>
  <c r="F2383"/>
  <c r="E2383"/>
  <c r="J2382"/>
  <c r="I2382"/>
  <c r="G2382"/>
  <c r="F2382"/>
  <c r="E2382"/>
  <c r="J2381"/>
  <c r="I2381"/>
  <c r="G2381"/>
  <c r="F2381"/>
  <c r="E2381"/>
  <c r="J2380"/>
  <c r="I2380"/>
  <c r="G2380"/>
  <c r="F2380"/>
  <c r="E2380"/>
  <c r="J2379"/>
  <c r="I2379"/>
  <c r="G2379"/>
  <c r="F2379"/>
  <c r="E2379"/>
  <c r="J2378"/>
  <c r="I2378"/>
  <c r="G2378"/>
  <c r="F2378"/>
  <c r="E2378"/>
  <c r="J2377"/>
  <c r="I2377"/>
  <c r="G2377"/>
  <c r="F2377"/>
  <c r="E2377"/>
  <c r="J2376"/>
  <c r="I2376"/>
  <c r="G2376"/>
  <c r="F2376"/>
  <c r="E2376"/>
  <c r="J2375"/>
  <c r="I2375"/>
  <c r="G2375"/>
  <c r="F2375"/>
  <c r="E2375"/>
  <c r="J2374"/>
  <c r="I2374"/>
  <c r="G2374"/>
  <c r="F2374"/>
  <c r="E2374"/>
  <c r="J2373"/>
  <c r="I2373"/>
  <c r="G2373"/>
  <c r="F2373"/>
  <c r="E2373"/>
  <c r="J2372"/>
  <c r="I2372"/>
  <c r="G2372"/>
  <c r="F2372"/>
  <c r="E2372"/>
  <c r="J2371"/>
  <c r="I2371"/>
  <c r="G2371"/>
  <c r="F2371"/>
  <c r="E2371"/>
  <c r="J2370"/>
  <c r="I2370"/>
  <c r="G2370"/>
  <c r="F2370"/>
  <c r="E2370"/>
  <c r="J2369"/>
  <c r="I2369"/>
  <c r="G2369"/>
  <c r="F2369"/>
  <c r="E2369"/>
  <c r="J2368"/>
  <c r="I2368"/>
  <c r="G2368"/>
  <c r="F2368"/>
  <c r="E2368"/>
  <c r="J2367"/>
  <c r="I2367"/>
  <c r="G2367"/>
  <c r="F2367"/>
  <c r="E2367"/>
  <c r="J2366"/>
  <c r="I2366"/>
  <c r="G2366"/>
  <c r="F2366"/>
  <c r="E2366"/>
  <c r="J2365"/>
  <c r="I2365"/>
  <c r="G2365"/>
  <c r="F2365"/>
  <c r="E2365"/>
  <c r="J2364"/>
  <c r="I2364"/>
  <c r="G2364"/>
  <c r="F2364"/>
  <c r="E2364"/>
  <c r="J2363"/>
  <c r="I2363"/>
  <c r="G2363"/>
  <c r="F2363"/>
  <c r="E2363"/>
  <c r="J2362"/>
  <c r="I2362"/>
  <c r="G2362"/>
  <c r="F2362"/>
  <c r="E2362"/>
  <c r="J2361"/>
  <c r="I2361"/>
  <c r="G2361"/>
  <c r="F2361"/>
  <c r="E2361"/>
  <c r="J2360"/>
  <c r="I2360"/>
  <c r="G2360"/>
  <c r="F2360"/>
  <c r="E2360"/>
  <c r="J2359"/>
  <c r="I2359"/>
  <c r="G2359"/>
  <c r="F2359"/>
  <c r="E2359"/>
  <c r="J2358"/>
  <c r="I2358"/>
  <c r="G2358"/>
  <c r="F2358"/>
  <c r="E2358"/>
  <c r="J2357"/>
  <c r="I2357"/>
  <c r="G2357"/>
  <c r="F2357"/>
  <c r="E2357"/>
  <c r="J2356"/>
  <c r="I2356"/>
  <c r="G2356"/>
  <c r="F2356"/>
  <c r="E2356"/>
  <c r="J2355"/>
  <c r="I2355"/>
  <c r="G2355"/>
  <c r="F2355"/>
  <c r="E2355"/>
  <c r="J2354"/>
  <c r="I2354"/>
  <c r="G2354"/>
  <c r="F2354"/>
  <c r="E2354"/>
  <c r="J2353"/>
  <c r="I2353"/>
  <c r="G2353"/>
  <c r="F2353"/>
  <c r="E2353"/>
  <c r="J2352"/>
  <c r="I2352"/>
  <c r="G2352"/>
  <c r="F2352"/>
  <c r="E2352"/>
  <c r="J2351"/>
  <c r="I2351"/>
  <c r="G2351"/>
  <c r="F2351"/>
  <c r="E2351"/>
  <c r="J2350"/>
  <c r="I2350"/>
  <c r="G2350"/>
  <c r="F2350"/>
  <c r="E2350"/>
  <c r="J2349"/>
  <c r="I2349"/>
  <c r="G2349"/>
  <c r="F2349"/>
  <c r="E2349"/>
  <c r="J2348"/>
  <c r="I2348"/>
  <c r="G2348"/>
  <c r="F2348"/>
  <c r="E2348"/>
  <c r="J2347"/>
  <c r="I2347"/>
  <c r="G2347"/>
  <c r="F2347"/>
  <c r="E2347"/>
  <c r="J2346"/>
  <c r="I2346"/>
  <c r="G2346"/>
  <c r="F2346"/>
  <c r="E2346"/>
  <c r="J2345"/>
  <c r="I2345"/>
  <c r="G2345"/>
  <c r="F2345"/>
  <c r="E2345"/>
  <c r="J2344"/>
  <c r="I2344"/>
  <c r="G2344"/>
  <c r="F2344"/>
  <c r="E2344"/>
  <c r="J2343"/>
  <c r="I2343"/>
  <c r="G2343"/>
  <c r="F2343"/>
  <c r="E2343"/>
  <c r="J2342"/>
  <c r="I2342"/>
  <c r="G2342"/>
  <c r="F2342"/>
  <c r="E2342"/>
  <c r="J2341"/>
  <c r="I2341"/>
  <c r="G2341"/>
  <c r="F2341"/>
  <c r="E2341"/>
  <c r="J2340"/>
  <c r="I2340"/>
  <c r="G2340"/>
  <c r="F2340"/>
  <c r="E2340"/>
  <c r="J2339"/>
  <c r="I2339"/>
  <c r="G2339"/>
  <c r="F2339"/>
  <c r="E2339"/>
  <c r="J2338"/>
  <c r="I2338"/>
  <c r="G2338"/>
  <c r="F2338"/>
  <c r="E2338"/>
  <c r="J2337"/>
  <c r="I2337"/>
  <c r="G2337"/>
  <c r="F2337"/>
  <c r="E2337"/>
  <c r="J2336"/>
  <c r="I2336"/>
  <c r="G2336"/>
  <c r="F2336"/>
  <c r="E2336"/>
  <c r="J2335"/>
  <c r="I2335"/>
  <c r="G2335"/>
  <c r="F2335"/>
  <c r="E2335"/>
  <c r="J2334"/>
  <c r="I2334"/>
  <c r="G2334"/>
  <c r="F2334"/>
  <c r="E2334"/>
  <c r="J2333"/>
  <c r="I2333"/>
  <c r="G2333"/>
  <c r="F2333"/>
  <c r="E2333"/>
  <c r="J2332"/>
  <c r="I2332"/>
  <c r="G2332"/>
  <c r="F2332"/>
  <c r="E2332"/>
  <c r="J2331"/>
  <c r="I2331"/>
  <c r="G2331"/>
  <c r="F2331"/>
  <c r="E2331"/>
  <c r="J2330"/>
  <c r="I2330"/>
  <c r="G2330"/>
  <c r="F2330"/>
  <c r="E2330"/>
  <c r="J2329"/>
  <c r="I2329"/>
  <c r="G2329"/>
  <c r="F2329"/>
  <c r="E2329"/>
  <c r="J2328"/>
  <c r="I2328"/>
  <c r="G2328"/>
  <c r="F2328"/>
  <c r="E2328"/>
  <c r="J2327"/>
  <c r="I2327"/>
  <c r="G2327"/>
  <c r="F2327"/>
  <c r="E2327"/>
  <c r="J2326"/>
  <c r="I2326"/>
  <c r="G2326"/>
  <c r="F2326"/>
  <c r="E2326"/>
  <c r="J2325"/>
  <c r="I2325"/>
  <c r="G2325"/>
  <c r="F2325"/>
  <c r="E2325"/>
  <c r="J2324"/>
  <c r="I2324"/>
  <c r="G2324"/>
  <c r="F2324"/>
  <c r="E2324"/>
  <c r="J2323"/>
  <c r="I2323"/>
  <c r="G2323"/>
  <c r="F2323"/>
  <c r="E2323"/>
  <c r="J2322"/>
  <c r="I2322"/>
  <c r="G2322"/>
  <c r="F2322"/>
  <c r="E2322"/>
  <c r="J2321"/>
  <c r="I2321"/>
  <c r="G2321"/>
  <c r="F2321"/>
  <c r="E2321"/>
  <c r="J2320"/>
  <c r="I2320"/>
  <c r="G2320"/>
  <c r="F2320"/>
  <c r="E2320"/>
  <c r="J2319"/>
  <c r="I2319"/>
  <c r="G2319"/>
  <c r="F2319"/>
  <c r="E2319"/>
  <c r="J2318"/>
  <c r="I2318"/>
  <c r="G2318"/>
  <c r="F2318"/>
  <c r="E2318"/>
  <c r="J2317"/>
  <c r="I2317"/>
  <c r="G2317"/>
  <c r="F2317"/>
  <c r="E2317"/>
  <c r="J2316"/>
  <c r="I2316"/>
  <c r="G2316"/>
  <c r="F2316"/>
  <c r="E2316"/>
  <c r="J2315"/>
  <c r="I2315"/>
  <c r="G2315"/>
  <c r="F2315"/>
  <c r="E2315"/>
  <c r="J2314"/>
  <c r="I2314"/>
  <c r="G2314"/>
  <c r="F2314"/>
  <c r="E2314"/>
  <c r="J2313"/>
  <c r="I2313"/>
  <c r="G2313"/>
  <c r="F2313"/>
  <c r="E2313"/>
  <c r="J2312"/>
  <c r="I2312"/>
  <c r="G2312"/>
  <c r="F2312"/>
  <c r="E2312"/>
  <c r="J2311"/>
  <c r="I2311"/>
  <c r="G2311"/>
  <c r="F2311"/>
  <c r="E2311"/>
  <c r="J2310"/>
  <c r="I2310"/>
  <c r="G2310"/>
  <c r="F2310"/>
  <c r="E2310"/>
  <c r="J2309"/>
  <c r="I2309"/>
  <c r="G2309"/>
  <c r="F2309"/>
  <c r="E2309"/>
  <c r="J2308"/>
  <c r="I2308"/>
  <c r="G2308"/>
  <c r="F2308"/>
  <c r="E2308"/>
  <c r="J2307"/>
  <c r="I2307"/>
  <c r="G2307"/>
  <c r="F2307"/>
  <c r="E2307"/>
  <c r="J2306"/>
  <c r="I2306"/>
  <c r="G2306"/>
  <c r="F2306"/>
  <c r="E2306"/>
  <c r="J2305"/>
  <c r="I2305"/>
  <c r="G2305"/>
  <c r="F2305"/>
  <c r="E2305"/>
  <c r="J2304"/>
  <c r="I2304"/>
  <c r="G2304"/>
  <c r="F2304"/>
  <c r="E2304"/>
  <c r="J2303"/>
  <c r="I2303"/>
  <c r="G2303"/>
  <c r="F2303"/>
  <c r="E2303"/>
  <c r="J2302"/>
  <c r="I2302"/>
  <c r="G2302"/>
  <c r="F2302"/>
  <c r="E2302"/>
  <c r="J2301"/>
  <c r="I2301"/>
  <c r="G2301"/>
  <c r="F2301"/>
  <c r="E2301"/>
  <c r="J2300"/>
  <c r="I2300"/>
  <c r="G2300"/>
  <c r="F2300"/>
  <c r="E2300"/>
  <c r="J2299"/>
  <c r="I2299"/>
  <c r="G2299"/>
  <c r="F2299"/>
  <c r="E2299"/>
  <c r="J2298"/>
  <c r="I2298"/>
  <c r="G2298"/>
  <c r="F2298"/>
  <c r="E2298"/>
  <c r="J2297"/>
  <c r="I2297"/>
  <c r="G2297"/>
  <c r="F2297"/>
  <c r="E2297"/>
  <c r="J2296"/>
  <c r="I2296"/>
  <c r="G2296"/>
  <c r="F2296"/>
  <c r="E2296"/>
  <c r="J2295"/>
  <c r="I2295"/>
  <c r="G2295"/>
  <c r="F2295"/>
  <c r="E2295"/>
  <c r="J2294"/>
  <c r="I2294"/>
  <c r="G2294"/>
  <c r="F2294"/>
  <c r="E2294"/>
  <c r="J2293"/>
  <c r="I2293"/>
  <c r="G2293"/>
  <c r="F2293"/>
  <c r="E2293"/>
  <c r="J2292"/>
  <c r="I2292"/>
  <c r="G2292"/>
  <c r="F2292"/>
  <c r="E2292"/>
  <c r="J2291"/>
  <c r="I2291"/>
  <c r="G2291"/>
  <c r="F2291"/>
  <c r="E2291"/>
  <c r="J2290"/>
  <c r="I2290"/>
  <c r="G2290"/>
  <c r="F2290"/>
  <c r="E2290"/>
  <c r="J2289"/>
  <c r="I2289"/>
  <c r="G2289"/>
  <c r="F2289"/>
  <c r="E2289"/>
  <c r="J2288"/>
  <c r="I2288"/>
  <c r="G2288"/>
  <c r="F2288"/>
  <c r="E2288"/>
  <c r="J2287"/>
  <c r="I2287"/>
  <c r="G2287"/>
  <c r="F2287"/>
  <c r="E2287"/>
  <c r="J2286"/>
  <c r="I2286"/>
  <c r="G2286"/>
  <c r="F2286"/>
  <c r="E2286"/>
  <c r="J2285"/>
  <c r="I2285"/>
  <c r="G2285"/>
  <c r="F2285"/>
  <c r="E2285"/>
  <c r="J2284"/>
  <c r="I2284"/>
  <c r="G2284"/>
  <c r="F2284"/>
  <c r="E2284"/>
  <c r="J2283"/>
  <c r="I2283"/>
  <c r="G2283"/>
  <c r="F2283"/>
  <c r="E2283"/>
  <c r="J2282"/>
  <c r="I2282"/>
  <c r="G2282"/>
  <c r="F2282"/>
  <c r="E2282"/>
  <c r="J2281"/>
  <c r="I2281"/>
  <c r="G2281"/>
  <c r="F2281"/>
  <c r="E2281"/>
  <c r="J2280"/>
  <c r="I2280"/>
  <c r="G2280"/>
  <c r="F2280"/>
  <c r="E2280"/>
  <c r="J2279"/>
  <c r="I2279"/>
  <c r="G2279"/>
  <c r="F2279"/>
  <c r="E2279"/>
  <c r="J2278"/>
  <c r="I2278"/>
  <c r="G2278"/>
  <c r="F2278"/>
  <c r="E2278"/>
  <c r="J2277"/>
  <c r="I2277"/>
  <c r="G2277"/>
  <c r="F2277"/>
  <c r="E2277"/>
  <c r="J2276"/>
  <c r="I2276"/>
  <c r="G2276"/>
  <c r="F2276"/>
  <c r="E2276"/>
  <c r="J2275"/>
  <c r="I2275"/>
  <c r="G2275"/>
  <c r="F2275"/>
  <c r="E2275"/>
  <c r="J2274"/>
  <c r="I2274"/>
  <c r="G2274"/>
  <c r="F2274"/>
  <c r="E2274"/>
  <c r="J2273"/>
  <c r="I2273"/>
  <c r="G2273"/>
  <c r="F2273"/>
  <c r="E2273"/>
  <c r="J2272"/>
  <c r="I2272"/>
  <c r="G2272"/>
  <c r="F2272"/>
  <c r="E2272"/>
  <c r="J2271"/>
  <c r="I2271"/>
  <c r="G2271"/>
  <c r="F2271"/>
  <c r="E2271"/>
  <c r="J2270"/>
  <c r="I2270"/>
  <c r="G2270"/>
  <c r="F2270"/>
  <c r="E2270"/>
  <c r="J2269"/>
  <c r="I2269"/>
  <c r="G2269"/>
  <c r="F2269"/>
  <c r="E2269"/>
  <c r="J2268"/>
  <c r="I2268"/>
  <c r="G2268"/>
  <c r="F2268"/>
  <c r="E2268"/>
  <c r="J2267"/>
  <c r="I2267"/>
  <c r="G2267"/>
  <c r="F2267"/>
  <c r="E2267"/>
  <c r="J2266"/>
  <c r="I2266"/>
  <c r="G2266"/>
  <c r="F2266"/>
  <c r="E2266"/>
  <c r="J2265"/>
  <c r="I2265"/>
  <c r="G2265"/>
  <c r="F2265"/>
  <c r="E2265"/>
  <c r="J2264"/>
  <c r="I2264"/>
  <c r="G2264"/>
  <c r="F2264"/>
  <c r="E2264"/>
  <c r="J2263"/>
  <c r="I2263"/>
  <c r="G2263"/>
  <c r="F2263"/>
  <c r="E2263"/>
  <c r="J2262"/>
  <c r="I2262"/>
  <c r="G2262"/>
  <c r="F2262"/>
  <c r="E2262"/>
  <c r="J2261"/>
  <c r="I2261"/>
  <c r="G2261"/>
  <c r="F2261"/>
  <c r="E2261"/>
  <c r="J2260"/>
  <c r="I2260"/>
  <c r="G2260"/>
  <c r="F2260"/>
  <c r="E2260"/>
  <c r="J2259"/>
  <c r="I2259"/>
  <c r="G2259"/>
  <c r="F2259"/>
  <c r="E2259"/>
  <c r="J2258"/>
  <c r="I2258"/>
  <c r="G2258"/>
  <c r="F2258"/>
  <c r="E2258"/>
  <c r="J2257"/>
  <c r="I2257"/>
  <c r="G2257"/>
  <c r="F2257"/>
  <c r="E2257"/>
  <c r="J2256"/>
  <c r="I2256"/>
  <c r="G2256"/>
  <c r="F2256"/>
  <c r="E2256"/>
  <c r="J2255"/>
  <c r="I2255"/>
  <c r="G2255"/>
  <c r="F2255"/>
  <c r="E2255"/>
  <c r="J2254"/>
  <c r="I2254"/>
  <c r="G2254"/>
  <c r="F2254"/>
  <c r="E2254"/>
  <c r="J2253"/>
  <c r="I2253"/>
  <c r="G2253"/>
  <c r="F2253"/>
  <c r="E2253"/>
  <c r="J2252"/>
  <c r="I2252"/>
  <c r="G2252"/>
  <c r="F2252"/>
  <c r="E2252"/>
  <c r="J2251"/>
  <c r="I2251"/>
  <c r="G2251"/>
  <c r="F2251"/>
  <c r="E2251"/>
  <c r="J2250"/>
  <c r="I2250"/>
  <c r="G2250"/>
  <c r="F2250"/>
  <c r="E2250"/>
  <c r="J2249"/>
  <c r="I2249"/>
  <c r="G2249"/>
  <c r="F2249"/>
  <c r="E2249"/>
  <c r="J2248"/>
  <c r="I2248"/>
  <c r="G2248"/>
  <c r="F2248"/>
  <c r="E2248"/>
  <c r="J2247"/>
  <c r="I2247"/>
  <c r="G2247"/>
  <c r="F2247"/>
  <c r="E2247"/>
  <c r="J2246"/>
  <c r="I2246"/>
  <c r="G2246"/>
  <c r="F2246"/>
  <c r="E2246"/>
  <c r="J2245"/>
  <c r="I2245"/>
  <c r="G2245"/>
  <c r="F2245"/>
  <c r="E2245"/>
  <c r="J2244"/>
  <c r="I2244"/>
  <c r="G2244"/>
  <c r="F2244"/>
  <c r="E2244"/>
  <c r="J2243"/>
  <c r="I2243"/>
  <c r="G2243"/>
  <c r="F2243"/>
  <c r="E2243"/>
  <c r="J2242"/>
  <c r="I2242"/>
  <c r="G2242"/>
  <c r="F2242"/>
  <c r="E2242"/>
  <c r="J2241"/>
  <c r="I2241"/>
  <c r="G2241"/>
  <c r="F2241"/>
  <c r="E2241"/>
  <c r="J2240"/>
  <c r="I2240"/>
  <c r="G2240"/>
  <c r="F2240"/>
  <c r="E2240"/>
  <c r="J2239"/>
  <c r="I2239"/>
  <c r="G2239"/>
  <c r="F2239"/>
  <c r="E2239"/>
  <c r="J2238"/>
  <c r="I2238"/>
  <c r="G2238"/>
  <c r="F2238"/>
  <c r="E2238"/>
  <c r="J2237"/>
  <c r="I2237"/>
  <c r="G2237"/>
  <c r="F2237"/>
  <c r="E2237"/>
  <c r="J2236"/>
  <c r="I2236"/>
  <c r="G2236"/>
  <c r="F2236"/>
  <c r="E2236"/>
  <c r="J2235"/>
  <c r="I2235"/>
  <c r="G2235"/>
  <c r="F2235"/>
  <c r="E2235"/>
  <c r="J2234"/>
  <c r="I2234"/>
  <c r="G2234"/>
  <c r="F2234"/>
  <c r="E2234"/>
  <c r="J2233"/>
  <c r="I2233"/>
  <c r="G2233"/>
  <c r="F2233"/>
  <c r="E2233"/>
  <c r="J2232"/>
  <c r="I2232"/>
  <c r="G2232"/>
  <c r="F2232"/>
  <c r="E2232"/>
  <c r="J2231"/>
  <c r="I2231"/>
  <c r="G2231"/>
  <c r="F2231"/>
  <c r="E2231"/>
  <c r="J2230"/>
  <c r="I2230"/>
  <c r="G2230"/>
  <c r="F2230"/>
  <c r="E2230"/>
  <c r="J2229"/>
  <c r="I2229"/>
  <c r="G2229"/>
  <c r="F2229"/>
  <c r="E2229"/>
  <c r="J2228"/>
  <c r="I2228"/>
  <c r="G2228"/>
  <c r="F2228"/>
  <c r="E2228"/>
  <c r="J2227"/>
  <c r="I2227"/>
  <c r="G2227"/>
  <c r="F2227"/>
  <c r="E2227"/>
  <c r="J2226"/>
  <c r="I2226"/>
  <c r="G2226"/>
  <c r="F2226"/>
  <c r="E2226"/>
  <c r="J2225"/>
  <c r="I2225"/>
  <c r="G2225"/>
  <c r="F2225"/>
  <c r="E2225"/>
  <c r="J2224"/>
  <c r="I2224"/>
  <c r="G2224"/>
  <c r="F2224"/>
  <c r="E2224"/>
  <c r="J2223"/>
  <c r="I2223"/>
  <c r="G2223"/>
  <c r="F2223"/>
  <c r="E2223"/>
  <c r="J2222"/>
  <c r="I2222"/>
  <c r="G2222"/>
  <c r="F2222"/>
  <c r="E2222"/>
  <c r="J2221"/>
  <c r="I2221"/>
  <c r="G2221"/>
  <c r="F2221"/>
  <c r="E2221"/>
  <c r="J2220"/>
  <c r="I2220"/>
  <c r="G2220"/>
  <c r="F2220"/>
  <c r="E2220"/>
  <c r="J2219"/>
  <c r="I2219"/>
  <c r="G2219"/>
  <c r="F2219"/>
  <c r="E2219"/>
  <c r="J2218"/>
  <c r="I2218"/>
  <c r="G2218"/>
  <c r="F2218"/>
  <c r="E2218"/>
  <c r="J2217"/>
  <c r="I2217"/>
  <c r="G2217"/>
  <c r="F2217"/>
  <c r="E2217"/>
  <c r="J2216"/>
  <c r="I2216"/>
  <c r="G2216"/>
  <c r="F2216"/>
  <c r="E2216"/>
  <c r="J2215"/>
  <c r="I2215"/>
  <c r="G2215"/>
  <c r="F2215"/>
  <c r="E2215"/>
  <c r="J2214"/>
  <c r="I2214"/>
  <c r="G2214"/>
  <c r="F2214"/>
  <c r="E2214"/>
  <c r="J2213"/>
  <c r="I2213"/>
  <c r="G2213"/>
  <c r="F2213"/>
  <c r="E2213"/>
  <c r="J2212"/>
  <c r="I2212"/>
  <c r="G2212"/>
  <c r="F2212"/>
  <c r="E2212"/>
  <c r="J2211"/>
  <c r="I2211"/>
  <c r="G2211"/>
  <c r="F2211"/>
  <c r="E2211"/>
  <c r="J2210"/>
  <c r="I2210"/>
  <c r="G2210"/>
  <c r="F2210"/>
  <c r="E2210"/>
  <c r="J2209"/>
  <c r="I2209"/>
  <c r="G2209"/>
  <c r="F2209"/>
  <c r="E2209"/>
  <c r="J2208"/>
  <c r="I2208"/>
  <c r="G2208"/>
  <c r="F2208"/>
  <c r="E2208"/>
  <c r="J2207"/>
  <c r="I2207"/>
  <c r="G2207"/>
  <c r="F2207"/>
  <c r="E2207"/>
  <c r="J2206"/>
  <c r="I2206"/>
  <c r="G2206"/>
  <c r="F2206"/>
  <c r="E2206"/>
  <c r="J2205"/>
  <c r="I2205"/>
  <c r="G2205"/>
  <c r="F2205"/>
  <c r="E2205"/>
  <c r="J2204"/>
  <c r="I2204"/>
  <c r="G2204"/>
  <c r="F2204"/>
  <c r="E2204"/>
  <c r="J2203"/>
  <c r="I2203"/>
  <c r="G2203"/>
  <c r="F2203"/>
  <c r="E2203"/>
  <c r="J2202"/>
  <c r="I2202"/>
  <c r="G2202"/>
  <c r="F2202"/>
  <c r="E2202"/>
  <c r="J2201"/>
  <c r="I2201"/>
  <c r="G2201"/>
  <c r="F2201"/>
  <c r="E2201"/>
  <c r="J2200"/>
  <c r="I2200"/>
  <c r="G2200"/>
  <c r="F2200"/>
  <c r="E2200"/>
  <c r="J2199"/>
  <c r="I2199"/>
  <c r="G2199"/>
  <c r="F2199"/>
  <c r="E2199"/>
  <c r="J2198"/>
  <c r="I2198"/>
  <c r="G2198"/>
  <c r="F2198"/>
  <c r="E2198"/>
  <c r="J2197"/>
  <c r="I2197"/>
  <c r="G2197"/>
  <c r="F2197"/>
  <c r="E2197"/>
  <c r="J2196"/>
  <c r="I2196"/>
  <c r="G2196"/>
  <c r="F2196"/>
  <c r="E2196"/>
  <c r="J2195"/>
  <c r="I2195"/>
  <c r="G2195"/>
  <c r="F2195"/>
  <c r="E2195"/>
  <c r="J2194"/>
  <c r="I2194"/>
  <c r="G2194"/>
  <c r="F2194"/>
  <c r="E2194"/>
  <c r="J2193"/>
  <c r="I2193"/>
  <c r="G2193"/>
  <c r="F2193"/>
  <c r="E2193"/>
  <c r="J2192"/>
  <c r="I2192"/>
  <c r="G2192"/>
  <c r="F2192"/>
  <c r="E2192"/>
  <c r="J2191"/>
  <c r="I2191"/>
  <c r="G2191"/>
  <c r="F2191"/>
  <c r="E2191"/>
  <c r="J2190"/>
  <c r="I2190"/>
  <c r="G2190"/>
  <c r="F2190"/>
  <c r="E2190"/>
  <c r="J2189"/>
  <c r="I2189"/>
  <c r="G2189"/>
  <c r="F2189"/>
  <c r="E2189"/>
  <c r="J2188"/>
  <c r="I2188"/>
  <c r="G2188"/>
  <c r="F2188"/>
  <c r="E2188"/>
  <c r="J2187"/>
  <c r="I2187"/>
  <c r="G2187"/>
  <c r="F2187"/>
  <c r="E2187"/>
  <c r="J2186"/>
  <c r="I2186"/>
  <c r="G2186"/>
  <c r="F2186"/>
  <c r="E2186"/>
  <c r="J2185"/>
  <c r="I2185"/>
  <c r="G2185"/>
  <c r="F2185"/>
  <c r="E2185"/>
  <c r="J2184"/>
  <c r="I2184"/>
  <c r="G2184"/>
  <c r="F2184"/>
  <c r="E2184"/>
  <c r="J2183"/>
  <c r="I2183"/>
  <c r="G2183"/>
  <c r="F2183"/>
  <c r="E2183"/>
  <c r="J2182"/>
  <c r="I2182"/>
  <c r="G2182"/>
  <c r="F2182"/>
  <c r="E2182"/>
  <c r="J2181"/>
  <c r="I2181"/>
  <c r="G2181"/>
  <c r="F2181"/>
  <c r="E2181"/>
  <c r="J2180"/>
  <c r="I2180"/>
  <c r="G2180"/>
  <c r="F2180"/>
  <c r="E2180"/>
  <c r="J2179"/>
  <c r="I2179"/>
  <c r="G2179"/>
  <c r="F2179"/>
  <c r="E2179"/>
  <c r="J2178"/>
  <c r="I2178"/>
  <c r="G2178"/>
  <c r="F2178"/>
  <c r="E2178"/>
  <c r="J2177"/>
  <c r="I2177"/>
  <c r="G2177"/>
  <c r="F2177"/>
  <c r="E2177"/>
  <c r="J2176"/>
  <c r="I2176"/>
  <c r="G2176"/>
  <c r="F2176"/>
  <c r="E2176"/>
  <c r="J2175"/>
  <c r="I2175"/>
  <c r="G2175"/>
  <c r="F2175"/>
  <c r="E2175"/>
  <c r="J2174"/>
  <c r="I2174"/>
  <c r="G2174"/>
  <c r="F2174"/>
  <c r="E2174"/>
  <c r="J2173"/>
  <c r="I2173"/>
  <c r="G2173"/>
  <c r="F2173"/>
  <c r="E2173"/>
  <c r="J2172"/>
  <c r="I2172"/>
  <c r="G2172"/>
  <c r="F2172"/>
  <c r="E2172"/>
  <c r="J2171"/>
  <c r="I2171"/>
  <c r="G2171"/>
  <c r="F2171"/>
  <c r="E2171"/>
  <c r="J2170"/>
  <c r="I2170"/>
  <c r="G2170"/>
  <c r="F2170"/>
  <c r="E2170"/>
  <c r="J2169"/>
  <c r="I2169"/>
  <c r="G2169"/>
  <c r="F2169"/>
  <c r="E2169"/>
  <c r="J2168"/>
  <c r="I2168"/>
  <c r="G2168"/>
  <c r="F2168"/>
  <c r="E2168"/>
  <c r="J2167"/>
  <c r="I2167"/>
  <c r="G2167"/>
  <c r="F2167"/>
  <c r="E2167"/>
  <c r="J2166"/>
  <c r="I2166"/>
  <c r="G2166"/>
  <c r="F2166"/>
  <c r="E2166"/>
  <c r="J2165"/>
  <c r="I2165"/>
  <c r="G2165"/>
  <c r="F2165"/>
  <c r="E2165"/>
  <c r="J2164"/>
  <c r="I2164"/>
  <c r="G2164"/>
  <c r="F2164"/>
  <c r="E2164"/>
  <c r="J2163"/>
  <c r="I2163"/>
  <c r="G2163"/>
  <c r="F2163"/>
  <c r="E2163"/>
  <c r="J2162"/>
  <c r="I2162"/>
  <c r="G2162"/>
  <c r="F2162"/>
  <c r="E2162"/>
  <c r="J2161"/>
  <c r="I2161"/>
  <c r="G2161"/>
  <c r="F2161"/>
  <c r="E2161"/>
  <c r="J2160"/>
  <c r="I2160"/>
  <c r="G2160"/>
  <c r="F2160"/>
  <c r="E2160"/>
  <c r="J2159"/>
  <c r="I2159"/>
  <c r="G2159"/>
  <c r="F2159"/>
  <c r="E2159"/>
  <c r="J2158"/>
  <c r="I2158"/>
  <c r="G2158"/>
  <c r="F2158"/>
  <c r="E2158"/>
  <c r="J2157"/>
  <c r="I2157"/>
  <c r="G2157"/>
  <c r="F2157"/>
  <c r="E2157"/>
  <c r="J2156"/>
  <c r="I2156"/>
  <c r="G2156"/>
  <c r="F2156"/>
  <c r="E2156"/>
  <c r="J2155"/>
  <c r="I2155"/>
  <c r="G2155"/>
  <c r="F2155"/>
  <c r="E2155"/>
  <c r="J2154"/>
  <c r="I2154"/>
  <c r="G2154"/>
  <c r="F2154"/>
  <c r="E2154"/>
  <c r="J2153"/>
  <c r="I2153"/>
  <c r="G2153"/>
  <c r="F2153"/>
  <c r="E2153"/>
  <c r="J2152"/>
  <c r="I2152"/>
  <c r="G2152"/>
  <c r="F2152"/>
  <c r="E2152"/>
  <c r="J2151"/>
  <c r="I2151"/>
  <c r="G2151"/>
  <c r="F2151"/>
  <c r="E2151"/>
  <c r="J2150"/>
  <c r="I2150"/>
  <c r="G2150"/>
  <c r="F2150"/>
  <c r="E2150"/>
  <c r="J2149"/>
  <c r="I2149"/>
  <c r="G2149"/>
  <c r="F2149"/>
  <c r="E2149"/>
  <c r="J2148"/>
  <c r="I2148"/>
  <c r="G2148"/>
  <c r="F2148"/>
  <c r="E2148"/>
  <c r="J2147"/>
  <c r="I2147"/>
  <c r="G2147"/>
  <c r="F2147"/>
  <c r="E2147"/>
  <c r="J2146"/>
  <c r="I2146"/>
  <c r="G2146"/>
  <c r="F2146"/>
  <c r="E2146"/>
  <c r="J2145"/>
  <c r="I2145"/>
  <c r="G2145"/>
  <c r="F2145"/>
  <c r="E2145"/>
  <c r="J2144"/>
  <c r="I2144"/>
  <c r="G2144"/>
  <c r="F2144"/>
  <c r="E2144"/>
  <c r="J2143"/>
  <c r="I2143"/>
  <c r="G2143"/>
  <c r="F2143"/>
  <c r="E2143"/>
  <c r="J2142"/>
  <c r="I2142"/>
  <c r="G2142"/>
  <c r="F2142"/>
  <c r="E2142"/>
  <c r="J2141"/>
  <c r="I2141"/>
  <c r="G2141"/>
  <c r="F2141"/>
  <c r="E2141"/>
  <c r="J2140"/>
  <c r="I2140"/>
  <c r="G2140"/>
  <c r="F2140"/>
  <c r="E2140"/>
  <c r="J2139"/>
  <c r="I2139"/>
  <c r="G2139"/>
  <c r="F2139"/>
  <c r="E2139"/>
  <c r="J2138"/>
  <c r="I2138"/>
  <c r="G2138"/>
  <c r="F2138"/>
  <c r="E2138"/>
  <c r="J2137"/>
  <c r="I2137"/>
  <c r="G2137"/>
  <c r="F2137"/>
  <c r="E2137"/>
  <c r="J2136"/>
  <c r="I2136"/>
  <c r="G2136"/>
  <c r="F2136"/>
  <c r="E2136"/>
  <c r="J2135"/>
  <c r="I2135"/>
  <c r="G2135"/>
  <c r="F2135"/>
  <c r="E2135"/>
  <c r="J2134"/>
  <c r="I2134"/>
  <c r="G2134"/>
  <c r="F2134"/>
  <c r="E2134"/>
  <c r="J2133"/>
  <c r="I2133"/>
  <c r="G2133"/>
  <c r="F2133"/>
  <c r="E2133"/>
  <c r="J2132"/>
  <c r="I2132"/>
  <c r="G2132"/>
  <c r="F2132"/>
  <c r="E2132"/>
  <c r="J2131"/>
  <c r="I2131"/>
  <c r="G2131"/>
  <c r="F2131"/>
  <c r="E2131"/>
  <c r="J2130"/>
  <c r="I2130"/>
  <c r="G2130"/>
  <c r="F2130"/>
  <c r="E2130"/>
  <c r="J2129"/>
  <c r="I2129"/>
  <c r="G2129"/>
  <c r="F2129"/>
  <c r="E2129"/>
  <c r="J2128"/>
  <c r="I2128"/>
  <c r="G2128"/>
  <c r="F2128"/>
  <c r="E2128"/>
  <c r="J2127"/>
  <c r="I2127"/>
  <c r="G2127"/>
  <c r="F2127"/>
  <c r="E2127"/>
  <c r="J2126"/>
  <c r="I2126"/>
  <c r="G2126"/>
  <c r="F2126"/>
  <c r="E2126"/>
  <c r="J2125"/>
  <c r="I2125"/>
  <c r="G2125"/>
  <c r="F2125"/>
  <c r="E2125"/>
  <c r="J2124"/>
  <c r="I2124"/>
  <c r="G2124"/>
  <c r="F2124"/>
  <c r="E2124"/>
  <c r="J2123"/>
  <c r="I2123"/>
  <c r="G2123"/>
  <c r="F2123"/>
  <c r="E2123"/>
  <c r="J2122"/>
  <c r="I2122"/>
  <c r="G2122"/>
  <c r="F2122"/>
  <c r="E2122"/>
  <c r="J2121"/>
  <c r="I2121"/>
  <c r="G2121"/>
  <c r="F2121"/>
  <c r="E2121"/>
  <c r="J2120"/>
  <c r="I2120"/>
  <c r="G2120"/>
  <c r="F2120"/>
  <c r="E2120"/>
  <c r="J2119"/>
  <c r="I2119"/>
  <c r="G2119"/>
  <c r="F2119"/>
  <c r="E2119"/>
  <c r="J2118"/>
  <c r="I2118"/>
  <c r="G2118"/>
  <c r="F2118"/>
  <c r="E2118"/>
  <c r="J2117"/>
  <c r="I2117"/>
  <c r="G2117"/>
  <c r="F2117"/>
  <c r="E2117"/>
  <c r="J2116"/>
  <c r="I2116"/>
  <c r="G2116"/>
  <c r="F2116"/>
  <c r="E2116"/>
  <c r="J2115"/>
  <c r="I2115"/>
  <c r="G2115"/>
  <c r="F2115"/>
  <c r="E2115"/>
  <c r="J2114"/>
  <c r="I2114"/>
  <c r="G2114"/>
  <c r="F2114"/>
  <c r="E2114"/>
  <c r="J2113"/>
  <c r="I2113"/>
  <c r="G2113"/>
  <c r="F2113"/>
  <c r="E2113"/>
  <c r="J2112"/>
  <c r="I2112"/>
  <c r="G2112"/>
  <c r="F2112"/>
  <c r="E2112"/>
  <c r="J2111"/>
  <c r="I2111"/>
  <c r="G2111"/>
  <c r="F2111"/>
  <c r="E2111"/>
  <c r="J2110"/>
  <c r="I2110"/>
  <c r="G2110"/>
  <c r="F2110"/>
  <c r="E2110"/>
  <c r="J2109"/>
  <c r="I2109"/>
  <c r="G2109"/>
  <c r="F2109"/>
  <c r="E2109"/>
  <c r="J2108"/>
  <c r="I2108"/>
  <c r="G2108"/>
  <c r="F2108"/>
  <c r="E2108"/>
  <c r="J2107"/>
  <c r="I2107"/>
  <c r="G2107"/>
  <c r="F2107"/>
  <c r="E2107"/>
  <c r="J2106"/>
  <c r="I2106"/>
  <c r="G2106"/>
  <c r="F2106"/>
  <c r="E2106"/>
  <c r="J2105"/>
  <c r="I2105"/>
  <c r="G2105"/>
  <c r="F2105"/>
  <c r="E2105"/>
  <c r="J2104"/>
  <c r="I2104"/>
  <c r="G2104"/>
  <c r="F2104"/>
  <c r="E2104"/>
  <c r="J2103"/>
  <c r="I2103"/>
  <c r="G2103"/>
  <c r="F2103"/>
  <c r="E2103"/>
  <c r="J2102"/>
  <c r="I2102"/>
  <c r="G2102"/>
  <c r="F2102"/>
  <c r="E2102"/>
  <c r="J2101"/>
  <c r="I2101"/>
  <c r="G2101"/>
  <c r="F2101"/>
  <c r="E2101"/>
  <c r="J2100"/>
  <c r="I2100"/>
  <c r="G2100"/>
  <c r="F2100"/>
  <c r="E2100"/>
  <c r="J2099"/>
  <c r="I2099"/>
  <c r="G2099"/>
  <c r="F2099"/>
  <c r="E2099"/>
  <c r="J2098"/>
  <c r="I2098"/>
  <c r="G2098"/>
  <c r="F2098"/>
  <c r="E2098"/>
  <c r="J2097"/>
  <c r="I2097"/>
  <c r="G2097"/>
  <c r="F2097"/>
  <c r="E2097"/>
  <c r="J2096"/>
  <c r="I2096"/>
  <c r="G2096"/>
  <c r="F2096"/>
  <c r="E2096"/>
  <c r="J2095"/>
  <c r="I2095"/>
  <c r="G2095"/>
  <c r="F2095"/>
  <c r="E2095"/>
  <c r="J2094"/>
  <c r="I2094"/>
  <c r="G2094"/>
  <c r="F2094"/>
  <c r="E2094"/>
  <c r="J2093"/>
  <c r="I2093"/>
  <c r="G2093"/>
  <c r="F2093"/>
  <c r="E2093"/>
  <c r="J2092"/>
  <c r="I2092"/>
  <c r="G2092"/>
  <c r="F2092"/>
  <c r="E2092"/>
  <c r="J2091"/>
  <c r="I2091"/>
  <c r="G2091"/>
  <c r="F2091"/>
  <c r="E2091"/>
  <c r="J2090"/>
  <c r="I2090"/>
  <c r="G2090"/>
  <c r="F2090"/>
  <c r="E2090"/>
  <c r="J2089"/>
  <c r="I2089"/>
  <c r="G2089"/>
  <c r="F2089"/>
  <c r="E2089"/>
  <c r="J2088"/>
  <c r="I2088"/>
  <c r="G2088"/>
  <c r="F2088"/>
  <c r="E2088"/>
  <c r="J2087"/>
  <c r="I2087"/>
  <c r="G2087"/>
  <c r="F2087"/>
  <c r="E2087"/>
  <c r="J2086"/>
  <c r="I2086"/>
  <c r="G2086"/>
  <c r="F2086"/>
  <c r="E2086"/>
  <c r="J2085"/>
  <c r="I2085"/>
  <c r="G2085"/>
  <c r="F2085"/>
  <c r="E2085"/>
  <c r="J2084"/>
  <c r="I2084"/>
  <c r="G2084"/>
  <c r="F2084"/>
  <c r="E2084"/>
  <c r="J2083"/>
  <c r="I2083"/>
  <c r="G2083"/>
  <c r="F2083"/>
  <c r="E2083"/>
  <c r="J2082"/>
  <c r="I2082"/>
  <c r="G2082"/>
  <c r="F2082"/>
  <c r="E2082"/>
  <c r="J2081"/>
  <c r="I2081"/>
  <c r="G2081"/>
  <c r="F2081"/>
  <c r="E2081"/>
  <c r="J2080"/>
  <c r="I2080"/>
  <c r="G2080"/>
  <c r="F2080"/>
  <c r="E2080"/>
  <c r="J2079"/>
  <c r="I2079"/>
  <c r="G2079"/>
  <c r="F2079"/>
  <c r="E2079"/>
  <c r="J2078"/>
  <c r="I2078"/>
  <c r="G2078"/>
  <c r="F2078"/>
  <c r="E2078"/>
  <c r="J2077"/>
  <c r="I2077"/>
  <c r="G2077"/>
  <c r="F2077"/>
  <c r="E2077"/>
  <c r="J2076"/>
  <c r="I2076"/>
  <c r="G2076"/>
  <c r="F2076"/>
  <c r="E2076"/>
  <c r="J2075"/>
  <c r="I2075"/>
  <c r="G2075"/>
  <c r="F2075"/>
  <c r="E2075"/>
  <c r="J2074"/>
  <c r="I2074"/>
  <c r="G2074"/>
  <c r="F2074"/>
  <c r="E2074"/>
  <c r="J2073"/>
  <c r="I2073"/>
  <c r="G2073"/>
  <c r="F2073"/>
  <c r="E2073"/>
  <c r="J2072"/>
  <c r="I2072"/>
  <c r="G2072"/>
  <c r="F2072"/>
  <c r="E2072"/>
  <c r="J2071"/>
  <c r="I2071"/>
  <c r="G2071"/>
  <c r="F2071"/>
  <c r="E2071"/>
  <c r="J2070"/>
  <c r="I2070"/>
  <c r="G2070"/>
  <c r="F2070"/>
  <c r="E2070"/>
  <c r="J2069"/>
  <c r="I2069"/>
  <c r="G2069"/>
  <c r="F2069"/>
  <c r="E2069"/>
  <c r="J2068"/>
  <c r="I2068"/>
  <c r="G2068"/>
  <c r="F2068"/>
  <c r="E2068"/>
  <c r="J2067"/>
  <c r="I2067"/>
  <c r="G2067"/>
  <c r="F2067"/>
  <c r="E2067"/>
  <c r="J2066"/>
  <c r="I2066"/>
  <c r="G2066"/>
  <c r="F2066"/>
  <c r="E2066"/>
  <c r="J2065"/>
  <c r="I2065"/>
  <c r="G2065"/>
  <c r="F2065"/>
  <c r="E2065"/>
  <c r="J2064"/>
  <c r="I2064"/>
  <c r="G2064"/>
  <c r="F2064"/>
  <c r="E2064"/>
  <c r="J2063"/>
  <c r="I2063"/>
  <c r="G2063"/>
  <c r="F2063"/>
  <c r="E2063"/>
  <c r="J2062"/>
  <c r="I2062"/>
  <c r="G2062"/>
  <c r="F2062"/>
  <c r="E2062"/>
  <c r="J2061"/>
  <c r="I2061"/>
  <c r="G2061"/>
  <c r="F2061"/>
  <c r="E2061"/>
  <c r="J2060"/>
  <c r="I2060"/>
  <c r="G2060"/>
  <c r="F2060"/>
  <c r="E2060"/>
  <c r="J2059"/>
  <c r="I2059"/>
  <c r="G2059"/>
  <c r="F2059"/>
  <c r="E2059"/>
  <c r="J2058"/>
  <c r="I2058"/>
  <c r="G2058"/>
  <c r="F2058"/>
  <c r="E2058"/>
  <c r="J2057"/>
  <c r="I2057"/>
  <c r="G2057"/>
  <c r="F2057"/>
  <c r="E2057"/>
  <c r="J2056"/>
  <c r="I2056"/>
  <c r="G2056"/>
  <c r="F2056"/>
  <c r="E2056"/>
  <c r="J2055"/>
  <c r="I2055"/>
  <c r="G2055"/>
  <c r="F2055"/>
  <c r="E2055"/>
  <c r="J2054"/>
  <c r="I2054"/>
  <c r="G2054"/>
  <c r="F2054"/>
  <c r="E2054"/>
  <c r="J2053"/>
  <c r="I2053"/>
  <c r="G2053"/>
  <c r="F2053"/>
  <c r="E2053"/>
  <c r="J2052"/>
  <c r="I2052"/>
  <c r="G2052"/>
  <c r="F2052"/>
  <c r="E2052"/>
  <c r="J2051"/>
  <c r="I2051"/>
  <c r="G2051"/>
  <c r="F2051"/>
  <c r="E2051"/>
  <c r="J2050"/>
  <c r="I2050"/>
  <c r="G2050"/>
  <c r="F2050"/>
  <c r="E2050"/>
  <c r="J2049"/>
  <c r="I2049"/>
  <c r="G2049"/>
  <c r="F2049"/>
  <c r="E2049"/>
  <c r="J2048"/>
  <c r="I2048"/>
  <c r="G2048"/>
  <c r="F2048"/>
  <c r="E2048"/>
  <c r="J2047"/>
  <c r="I2047"/>
  <c r="G2047"/>
  <c r="F2047"/>
  <c r="E2047"/>
  <c r="J2046"/>
  <c r="I2046"/>
  <c r="G2046"/>
  <c r="F2046"/>
  <c r="E2046"/>
  <c r="J2045"/>
  <c r="I2045"/>
  <c r="G2045"/>
  <c r="F2045"/>
  <c r="E2045"/>
  <c r="J2044"/>
  <c r="I2044"/>
  <c r="G2044"/>
  <c r="F2044"/>
  <c r="E2044"/>
  <c r="J2043"/>
  <c r="I2043"/>
  <c r="G2043"/>
  <c r="F2043"/>
  <c r="E2043"/>
  <c r="J2042"/>
  <c r="I2042"/>
  <c r="G2042"/>
  <c r="F2042"/>
  <c r="E2042"/>
  <c r="J2041"/>
  <c r="I2041"/>
  <c r="G2041"/>
  <c r="F2041"/>
  <c r="E2041"/>
  <c r="J2040"/>
  <c r="I2040"/>
  <c r="G2040"/>
  <c r="F2040"/>
  <c r="E2040"/>
  <c r="J2039"/>
  <c r="I2039"/>
  <c r="G2039"/>
  <c r="F2039"/>
  <c r="E2039"/>
  <c r="J2038"/>
  <c r="I2038"/>
  <c r="G2038"/>
  <c r="F2038"/>
  <c r="E2038"/>
  <c r="J2037"/>
  <c r="I2037"/>
  <c r="G2037"/>
  <c r="F2037"/>
  <c r="E2037"/>
  <c r="J2036"/>
  <c r="I2036"/>
  <c r="G2036"/>
  <c r="F2036"/>
  <c r="E2036"/>
  <c r="J2035"/>
  <c r="I2035"/>
  <c r="G2035"/>
  <c r="F2035"/>
  <c r="E2035"/>
  <c r="J2034"/>
  <c r="I2034"/>
  <c r="G2034"/>
  <c r="F2034"/>
  <c r="E2034"/>
  <c r="J2033"/>
  <c r="I2033"/>
  <c r="G2033"/>
  <c r="F2033"/>
  <c r="E2033"/>
  <c r="J2032"/>
  <c r="I2032"/>
  <c r="G2032"/>
  <c r="F2032"/>
  <c r="E2032"/>
  <c r="J2031"/>
  <c r="I2031"/>
  <c r="G2031"/>
  <c r="F2031"/>
  <c r="E2031"/>
  <c r="J2030"/>
  <c r="I2030"/>
  <c r="G2030"/>
  <c r="F2030"/>
  <c r="E2030"/>
  <c r="J2029"/>
  <c r="I2029"/>
  <c r="G2029"/>
  <c r="F2029"/>
  <c r="E2029"/>
  <c r="J2028"/>
  <c r="I2028"/>
  <c r="G2028"/>
  <c r="F2028"/>
  <c r="E2028"/>
  <c r="J2027"/>
  <c r="I2027"/>
  <c r="G2027"/>
  <c r="F2027"/>
  <c r="E2027"/>
  <c r="J2026"/>
  <c r="I2026"/>
  <c r="G2026"/>
  <c r="F2026"/>
  <c r="E2026"/>
  <c r="J2025"/>
  <c r="I2025"/>
  <c r="G2025"/>
  <c r="F2025"/>
  <c r="E2025"/>
  <c r="J2024"/>
  <c r="I2024"/>
  <c r="G2024"/>
  <c r="F2024"/>
  <c r="E2024"/>
  <c r="J2023"/>
  <c r="I2023"/>
  <c r="G2023"/>
  <c r="F2023"/>
  <c r="E2023"/>
  <c r="J2022"/>
  <c r="I2022"/>
  <c r="G2022"/>
  <c r="F2022"/>
  <c r="E2022"/>
  <c r="J2021"/>
  <c r="I2021"/>
  <c r="G2021"/>
  <c r="F2021"/>
  <c r="E2021"/>
  <c r="J2020"/>
  <c r="I2020"/>
  <c r="G2020"/>
  <c r="F2020"/>
  <c r="E2020"/>
  <c r="J2019"/>
  <c r="I2019"/>
  <c r="G2019"/>
  <c r="F2019"/>
  <c r="E2019"/>
  <c r="J2018"/>
  <c r="I2018"/>
  <c r="G2018"/>
  <c r="F2018"/>
  <c r="E2018"/>
  <c r="J2017"/>
  <c r="I2017"/>
  <c r="G2017"/>
  <c r="F2017"/>
  <c r="E2017"/>
  <c r="J2016"/>
  <c r="I2016"/>
  <c r="G2016"/>
  <c r="F2016"/>
  <c r="E2016"/>
  <c r="J2015"/>
  <c r="I2015"/>
  <c r="G2015"/>
  <c r="F2015"/>
  <c r="E2015"/>
  <c r="J2014"/>
  <c r="I2014"/>
  <c r="G2014"/>
  <c r="F2014"/>
  <c r="E2014"/>
  <c r="J2013"/>
  <c r="I2013"/>
  <c r="G2013"/>
  <c r="F2013"/>
  <c r="E2013"/>
  <c r="J2012"/>
  <c r="I2012"/>
  <c r="G2012"/>
  <c r="F2012"/>
  <c r="E2012"/>
  <c r="J2011"/>
  <c r="I2011"/>
  <c r="G2011"/>
  <c r="F2011"/>
  <c r="E2011"/>
  <c r="J2010"/>
  <c r="I2010"/>
  <c r="G2010"/>
  <c r="F2010"/>
  <c r="E2010"/>
  <c r="J2009"/>
  <c r="I2009"/>
  <c r="G2009"/>
  <c r="F2009"/>
  <c r="E2009"/>
  <c r="J2008"/>
  <c r="I2008"/>
  <c r="G2008"/>
  <c r="F2008"/>
  <c r="E2008"/>
  <c r="J2007"/>
  <c r="I2007"/>
  <c r="G2007"/>
  <c r="F2007"/>
  <c r="E2007"/>
  <c r="J2006"/>
  <c r="I2006"/>
  <c r="G2006"/>
  <c r="F2006"/>
  <c r="E2006"/>
  <c r="J2005"/>
  <c r="I2005"/>
  <c r="G2005"/>
  <c r="F2005"/>
  <c r="E2005"/>
  <c r="J2004"/>
  <c r="I2004"/>
  <c r="G2004"/>
  <c r="F2004"/>
  <c r="E2004"/>
  <c r="J2003"/>
  <c r="I2003"/>
  <c r="G2003"/>
  <c r="F2003"/>
  <c r="E2003"/>
  <c r="J2002"/>
  <c r="I2002"/>
  <c r="G2002"/>
  <c r="F2002"/>
  <c r="E2002"/>
  <c r="J2001"/>
  <c r="I2001"/>
  <c r="G2001"/>
  <c r="F2001"/>
  <c r="E2001"/>
  <c r="J2000"/>
  <c r="I2000"/>
  <c r="G2000"/>
  <c r="F2000"/>
  <c r="E2000"/>
  <c r="J1999"/>
  <c r="I1999"/>
  <c r="G1999"/>
  <c r="F1999"/>
  <c r="E1999"/>
  <c r="J1998"/>
  <c r="I1998"/>
  <c r="G1998"/>
  <c r="F1998"/>
  <c r="E1998"/>
  <c r="J1997"/>
  <c r="I1997"/>
  <c r="G1997"/>
  <c r="F1997"/>
  <c r="E1997"/>
  <c r="J1996"/>
  <c r="I1996"/>
  <c r="G1996"/>
  <c r="F1996"/>
  <c r="E1996"/>
  <c r="J1995"/>
  <c r="I1995"/>
  <c r="G1995"/>
  <c r="F1995"/>
  <c r="E1995"/>
  <c r="J1994"/>
  <c r="I1994"/>
  <c r="G1994"/>
  <c r="F1994"/>
  <c r="E1994"/>
  <c r="J1993"/>
  <c r="I1993"/>
  <c r="G1993"/>
  <c r="F1993"/>
  <c r="E1993"/>
  <c r="J1992"/>
  <c r="I1992"/>
  <c r="G1992"/>
  <c r="F1992"/>
  <c r="E1992"/>
  <c r="J1991"/>
  <c r="I1991"/>
  <c r="G1991"/>
  <c r="F1991"/>
  <c r="E1991"/>
  <c r="J1990"/>
  <c r="I1990"/>
  <c r="G1990"/>
  <c r="F1990"/>
  <c r="E1990"/>
  <c r="J1989"/>
  <c r="I1989"/>
  <c r="G1989"/>
  <c r="F1989"/>
  <c r="E1989"/>
  <c r="J1988"/>
  <c r="I1988"/>
  <c r="G1988"/>
  <c r="F1988"/>
  <c r="E1988"/>
  <c r="J1987"/>
  <c r="I1987"/>
  <c r="G1987"/>
  <c r="F1987"/>
  <c r="E1987"/>
  <c r="J1986"/>
  <c r="I1986"/>
  <c r="G1986"/>
  <c r="F1986"/>
  <c r="E1986"/>
  <c r="J1985"/>
  <c r="I1985"/>
  <c r="G1985"/>
  <c r="F1985"/>
  <c r="E1985"/>
  <c r="J1984"/>
  <c r="I1984"/>
  <c r="G1984"/>
  <c r="F1984"/>
  <c r="E1984"/>
  <c r="J1983"/>
  <c r="I1983"/>
  <c r="G1983"/>
  <c r="F1983"/>
  <c r="E1983"/>
  <c r="J1982"/>
  <c r="I1982"/>
  <c r="G1982"/>
  <c r="F1982"/>
  <c r="E1982"/>
  <c r="J1981"/>
  <c r="I1981"/>
  <c r="G1981"/>
  <c r="F1981"/>
  <c r="E1981"/>
  <c r="J1980"/>
  <c r="I1980"/>
  <c r="G1980"/>
  <c r="F1980"/>
  <c r="E1980"/>
  <c r="J1979"/>
  <c r="I1979"/>
  <c r="G1979"/>
  <c r="F1979"/>
  <c r="E1979"/>
  <c r="J1978"/>
  <c r="I1978"/>
  <c r="G1978"/>
  <c r="F1978"/>
  <c r="E1978"/>
  <c r="J1977"/>
  <c r="I1977"/>
  <c r="G1977"/>
  <c r="F1977"/>
  <c r="E1977"/>
  <c r="J1976"/>
  <c r="I1976"/>
  <c r="G1976"/>
  <c r="F1976"/>
  <c r="E1976"/>
  <c r="J1975"/>
  <c r="I1975"/>
  <c r="G1975"/>
  <c r="F1975"/>
  <c r="E1975"/>
  <c r="J1974"/>
  <c r="I1974"/>
  <c r="G1974"/>
  <c r="F1974"/>
  <c r="E1974"/>
  <c r="J1973"/>
  <c r="I1973"/>
  <c r="G1973"/>
  <c r="F1973"/>
  <c r="E1973"/>
  <c r="J1972"/>
  <c r="I1972"/>
  <c r="G1972"/>
  <c r="F1972"/>
  <c r="E1972"/>
  <c r="J1971"/>
  <c r="I1971"/>
  <c r="G1971"/>
  <c r="F1971"/>
  <c r="E1971"/>
  <c r="J1970"/>
  <c r="I1970"/>
  <c r="G1970"/>
  <c r="F1970"/>
  <c r="E1970"/>
  <c r="J1969"/>
  <c r="I1969"/>
  <c r="G1969"/>
  <c r="F1969"/>
  <c r="E1969"/>
  <c r="J1968"/>
  <c r="I1968"/>
  <c r="G1968"/>
  <c r="F1968"/>
  <c r="E1968"/>
  <c r="J1967"/>
  <c r="I1967"/>
  <c r="G1967"/>
  <c r="F1967"/>
  <c r="E1967"/>
  <c r="J1966"/>
  <c r="I1966"/>
  <c r="G1966"/>
  <c r="F1966"/>
  <c r="E1966"/>
  <c r="J1965"/>
  <c r="I1965"/>
  <c r="G1965"/>
  <c r="F1965"/>
  <c r="E1965"/>
  <c r="J1964"/>
  <c r="I1964"/>
  <c r="G1964"/>
  <c r="F1964"/>
  <c r="E1964"/>
  <c r="J1963"/>
  <c r="I1963"/>
  <c r="G1963"/>
  <c r="F1963"/>
  <c r="E1963"/>
  <c r="J1962"/>
  <c r="I1962"/>
  <c r="G1962"/>
  <c r="F1962"/>
  <c r="E1962"/>
  <c r="J1961"/>
  <c r="I1961"/>
  <c r="G1961"/>
  <c r="F1961"/>
  <c r="E1961"/>
  <c r="J1960"/>
  <c r="I1960"/>
  <c r="G1960"/>
  <c r="F1960"/>
  <c r="E1960"/>
  <c r="J1959"/>
  <c r="I1959"/>
  <c r="G1959"/>
  <c r="F1959"/>
  <c r="E1959"/>
  <c r="J1958"/>
  <c r="I1958"/>
  <c r="G1958"/>
  <c r="F1958"/>
  <c r="E1958"/>
  <c r="J1957"/>
  <c r="I1957"/>
  <c r="G1957"/>
  <c r="F1957"/>
  <c r="E1957"/>
  <c r="J1956"/>
  <c r="I1956"/>
  <c r="G1956"/>
  <c r="F1956"/>
  <c r="E1956"/>
  <c r="J1955"/>
  <c r="I1955"/>
  <c r="G1955"/>
  <c r="F1955"/>
  <c r="E1955"/>
  <c r="J1954"/>
  <c r="I1954"/>
  <c r="G1954"/>
  <c r="F1954"/>
  <c r="E1954"/>
  <c r="J1953"/>
  <c r="I1953"/>
  <c r="G1953"/>
  <c r="F1953"/>
  <c r="E1953"/>
  <c r="J1952"/>
  <c r="I1952"/>
  <c r="G1952"/>
  <c r="F1952"/>
  <c r="E1952"/>
  <c r="J1951"/>
  <c r="I1951"/>
  <c r="G1951"/>
  <c r="F1951"/>
  <c r="E1951"/>
  <c r="J1950"/>
  <c r="I1950"/>
  <c r="G1950"/>
  <c r="F1950"/>
  <c r="E1950"/>
  <c r="J1949"/>
  <c r="I1949"/>
  <c r="G1949"/>
  <c r="F1949"/>
  <c r="E1949"/>
  <c r="J1948"/>
  <c r="I1948"/>
  <c r="G1948"/>
  <c r="F1948"/>
  <c r="E1948"/>
  <c r="J1947"/>
  <c r="I1947"/>
  <c r="G1947"/>
  <c r="F1947"/>
  <c r="E1947"/>
  <c r="J1946"/>
  <c r="I1946"/>
  <c r="G1946"/>
  <c r="F1946"/>
  <c r="E1946"/>
  <c r="J1945"/>
  <c r="I1945"/>
  <c r="G1945"/>
  <c r="F1945"/>
  <c r="E1945"/>
  <c r="J1944"/>
  <c r="I1944"/>
  <c r="G1944"/>
  <c r="F1944"/>
  <c r="E1944"/>
  <c r="J1943"/>
  <c r="I1943"/>
  <c r="G1943"/>
  <c r="F1943"/>
  <c r="E1943"/>
  <c r="J1942"/>
  <c r="I1942"/>
  <c r="G1942"/>
  <c r="F1942"/>
  <c r="E1942"/>
  <c r="J1941"/>
  <c r="I1941"/>
  <c r="G1941"/>
  <c r="F1941"/>
  <c r="E1941"/>
  <c r="J1940"/>
  <c r="I1940"/>
  <c r="G1940"/>
  <c r="F1940"/>
  <c r="E1940"/>
  <c r="J1939"/>
  <c r="I1939"/>
  <c r="G1939"/>
  <c r="F1939"/>
  <c r="E1939"/>
  <c r="J1938"/>
  <c r="I1938"/>
  <c r="G1938"/>
  <c r="F1938"/>
  <c r="E1938"/>
  <c r="J1937"/>
  <c r="I1937"/>
  <c r="G1937"/>
  <c r="F1937"/>
  <c r="E1937"/>
  <c r="J1936"/>
  <c r="I1936"/>
  <c r="G1936"/>
  <c r="F1936"/>
  <c r="E1936"/>
  <c r="J1935"/>
  <c r="I1935"/>
  <c r="G1935"/>
  <c r="F1935"/>
  <c r="E1935"/>
  <c r="J1934"/>
  <c r="I1934"/>
  <c r="G1934"/>
  <c r="F1934"/>
  <c r="E1934"/>
  <c r="J1933"/>
  <c r="I1933"/>
  <c r="G1933"/>
  <c r="F1933"/>
  <c r="E1933"/>
  <c r="J1932"/>
  <c r="I1932"/>
  <c r="G1932"/>
  <c r="F1932"/>
  <c r="E1932"/>
  <c r="J1931"/>
  <c r="I1931"/>
  <c r="G1931"/>
  <c r="F1931"/>
  <c r="E1931"/>
  <c r="J1930"/>
  <c r="I1930"/>
  <c r="G1930"/>
  <c r="F1930"/>
  <c r="E1930"/>
  <c r="J1929"/>
  <c r="I1929"/>
  <c r="G1929"/>
  <c r="F1929"/>
  <c r="E1929"/>
  <c r="J1928"/>
  <c r="I1928"/>
  <c r="G1928"/>
  <c r="F1928"/>
  <c r="E1928"/>
  <c r="J1927"/>
  <c r="I1927"/>
  <c r="G1927"/>
  <c r="F1927"/>
  <c r="E1927"/>
  <c r="J1926"/>
  <c r="I1926"/>
  <c r="G1926"/>
  <c r="F1926"/>
  <c r="E1926"/>
  <c r="J1925"/>
  <c r="I1925"/>
  <c r="G1925"/>
  <c r="F1925"/>
  <c r="E1925"/>
  <c r="J1924"/>
  <c r="I1924"/>
  <c r="G1924"/>
  <c r="F1924"/>
  <c r="E1924"/>
  <c r="J1923"/>
  <c r="I1923"/>
  <c r="G1923"/>
  <c r="F1923"/>
  <c r="E1923"/>
  <c r="J1922"/>
  <c r="I1922"/>
  <c r="G1922"/>
  <c r="F1922"/>
  <c r="E1922"/>
  <c r="J1921"/>
  <c r="I1921"/>
  <c r="G1921"/>
  <c r="F1921"/>
  <c r="E1921"/>
  <c r="J1920"/>
  <c r="I1920"/>
  <c r="G1920"/>
  <c r="F1920"/>
  <c r="E1920"/>
  <c r="J1919"/>
  <c r="I1919"/>
  <c r="G1919"/>
  <c r="F1919"/>
  <c r="E1919"/>
  <c r="J1918"/>
  <c r="I1918"/>
  <c r="G1918"/>
  <c r="F1918"/>
  <c r="E1918"/>
  <c r="J1917"/>
  <c r="I1917"/>
  <c r="G1917"/>
  <c r="F1917"/>
  <c r="E1917"/>
  <c r="J1916"/>
  <c r="I1916"/>
  <c r="G1916"/>
  <c r="F1916"/>
  <c r="E1916"/>
  <c r="J1915"/>
  <c r="I1915"/>
  <c r="G1915"/>
  <c r="F1915"/>
  <c r="E1915"/>
  <c r="J1914"/>
  <c r="I1914"/>
  <c r="G1914"/>
  <c r="F1914"/>
  <c r="E1914"/>
  <c r="J1913"/>
  <c r="I1913"/>
  <c r="G1913"/>
  <c r="F1913"/>
  <c r="E1913"/>
  <c r="J1912"/>
  <c r="I1912"/>
  <c r="G1912"/>
  <c r="F1912"/>
  <c r="E1912"/>
  <c r="J1911"/>
  <c r="I1911"/>
  <c r="G1911"/>
  <c r="F1911"/>
  <c r="E1911"/>
  <c r="J1910"/>
  <c r="I1910"/>
  <c r="G1910"/>
  <c r="F1910"/>
  <c r="E1910"/>
  <c r="J1909"/>
  <c r="I1909"/>
  <c r="G1909"/>
  <c r="F1909"/>
  <c r="E1909"/>
  <c r="J1908"/>
  <c r="I1908"/>
  <c r="G1908"/>
  <c r="F1908"/>
  <c r="E1908"/>
  <c r="J1907"/>
  <c r="I1907"/>
  <c r="G1907"/>
  <c r="F1907"/>
  <c r="E1907"/>
  <c r="J1906"/>
  <c r="I1906"/>
  <c r="G1906"/>
  <c r="F1906"/>
  <c r="E1906"/>
  <c r="J1905"/>
  <c r="I1905"/>
  <c r="G1905"/>
  <c r="F1905"/>
  <c r="E1905"/>
  <c r="J1904"/>
  <c r="I1904"/>
  <c r="G1904"/>
  <c r="F1904"/>
  <c r="E1904"/>
  <c r="J1903"/>
  <c r="I1903"/>
  <c r="G1903"/>
  <c r="F1903"/>
  <c r="E1903"/>
  <c r="J1902"/>
  <c r="I1902"/>
  <c r="G1902"/>
  <c r="F1902"/>
  <c r="E1902"/>
  <c r="J1901"/>
  <c r="I1901"/>
  <c r="G1901"/>
  <c r="F1901"/>
  <c r="E1901"/>
  <c r="J1900"/>
  <c r="I1900"/>
  <c r="G1900"/>
  <c r="F1900"/>
  <c r="E1900"/>
  <c r="J1899"/>
  <c r="I1899"/>
  <c r="G1899"/>
  <c r="F1899"/>
  <c r="E1899"/>
  <c r="J1898"/>
  <c r="I1898"/>
  <c r="G1898"/>
  <c r="F1898"/>
  <c r="E1898"/>
  <c r="J1897"/>
  <c r="I1897"/>
  <c r="G1897"/>
  <c r="F1897"/>
  <c r="E1897"/>
  <c r="J1896"/>
  <c r="I1896"/>
  <c r="G1896"/>
  <c r="F1896"/>
  <c r="E1896"/>
  <c r="J1895"/>
  <c r="I1895"/>
  <c r="G1895"/>
  <c r="F1895"/>
  <c r="E1895"/>
  <c r="J1894"/>
  <c r="I1894"/>
  <c r="G1894"/>
  <c r="F1894"/>
  <c r="E1894"/>
  <c r="J1893"/>
  <c r="I1893"/>
  <c r="G1893"/>
  <c r="F1893"/>
  <c r="E1893"/>
  <c r="J1892"/>
  <c r="I1892"/>
  <c r="G1892"/>
  <c r="F1892"/>
  <c r="E1892"/>
  <c r="J1891"/>
  <c r="I1891"/>
  <c r="G1891"/>
  <c r="F1891"/>
  <c r="E1891"/>
  <c r="J1890"/>
  <c r="I1890"/>
  <c r="G1890"/>
  <c r="F1890"/>
  <c r="E1890"/>
  <c r="J1889"/>
  <c r="I1889"/>
  <c r="G1889"/>
  <c r="F1889"/>
  <c r="E1889"/>
  <c r="J1888"/>
  <c r="I1888"/>
  <c r="G1888"/>
  <c r="F1888"/>
  <c r="E1888"/>
  <c r="J1887"/>
  <c r="I1887"/>
  <c r="G1887"/>
  <c r="F1887"/>
  <c r="E1887"/>
  <c r="J1886"/>
  <c r="I1886"/>
  <c r="G1886"/>
  <c r="F1886"/>
  <c r="E1886"/>
  <c r="J1885"/>
  <c r="I1885"/>
  <c r="G1885"/>
  <c r="F1885"/>
  <c r="E1885"/>
  <c r="J1884"/>
  <c r="I1884"/>
  <c r="G1884"/>
  <c r="F1884"/>
  <c r="E1884"/>
  <c r="J1883"/>
  <c r="I1883"/>
  <c r="G1883"/>
  <c r="F1883"/>
  <c r="E1883"/>
  <c r="J1882"/>
  <c r="I1882"/>
  <c r="G1882"/>
  <c r="F1882"/>
  <c r="E1882"/>
  <c r="J1881"/>
  <c r="I1881"/>
  <c r="G1881"/>
  <c r="F1881"/>
  <c r="E1881"/>
  <c r="J1880"/>
  <c r="I1880"/>
  <c r="G1880"/>
  <c r="F1880"/>
  <c r="E1880"/>
  <c r="J1879"/>
  <c r="I1879"/>
  <c r="G1879"/>
  <c r="F1879"/>
  <c r="E1879"/>
  <c r="J1878"/>
  <c r="I1878"/>
  <c r="G1878"/>
  <c r="F1878"/>
  <c r="E1878"/>
  <c r="J1877"/>
  <c r="I1877"/>
  <c r="G1877"/>
  <c r="F1877"/>
  <c r="E1877"/>
  <c r="J1876"/>
  <c r="I1876"/>
  <c r="G1876"/>
  <c r="F1876"/>
  <c r="E1876"/>
  <c r="J1875"/>
  <c r="I1875"/>
  <c r="G1875"/>
  <c r="F1875"/>
  <c r="E1875"/>
  <c r="J1874"/>
  <c r="I1874"/>
  <c r="G1874"/>
  <c r="F1874"/>
  <c r="E1874"/>
  <c r="J1873"/>
  <c r="I1873"/>
  <c r="G1873"/>
  <c r="F1873"/>
  <c r="E1873"/>
  <c r="J1872"/>
  <c r="I1872"/>
  <c r="G1872"/>
  <c r="F1872"/>
  <c r="E1872"/>
  <c r="J1871"/>
  <c r="I1871"/>
  <c r="G1871"/>
  <c r="F1871"/>
  <c r="E1871"/>
  <c r="J1870"/>
  <c r="I1870"/>
  <c r="G1870"/>
  <c r="F1870"/>
  <c r="E1870"/>
  <c r="J1869"/>
  <c r="I1869"/>
  <c r="G1869"/>
  <c r="F1869"/>
  <c r="E1869"/>
  <c r="J1868"/>
  <c r="I1868"/>
  <c r="G1868"/>
  <c r="F1868"/>
  <c r="E1868"/>
  <c r="J1867"/>
  <c r="I1867"/>
  <c r="G1867"/>
  <c r="F1867"/>
  <c r="E1867"/>
  <c r="J1866"/>
  <c r="I1866"/>
  <c r="G1866"/>
  <c r="F1866"/>
  <c r="E1866"/>
  <c r="J1865"/>
  <c r="I1865"/>
  <c r="G1865"/>
  <c r="F1865"/>
  <c r="E1865"/>
  <c r="J1864"/>
  <c r="I1864"/>
  <c r="G1864"/>
  <c r="F1864"/>
  <c r="E1864"/>
  <c r="J1863"/>
  <c r="I1863"/>
  <c r="G1863"/>
  <c r="F1863"/>
  <c r="E1863"/>
  <c r="J1862"/>
  <c r="I1862"/>
  <c r="G1862"/>
  <c r="F1862"/>
  <c r="E1862"/>
  <c r="J1861"/>
  <c r="I1861"/>
  <c r="G1861"/>
  <c r="F1861"/>
  <c r="E1861"/>
  <c r="J1860"/>
  <c r="I1860"/>
  <c r="G1860"/>
  <c r="F1860"/>
  <c r="E1860"/>
  <c r="J1859"/>
  <c r="I1859"/>
  <c r="G1859"/>
  <c r="F1859"/>
  <c r="E1859"/>
  <c r="J1858"/>
  <c r="I1858"/>
  <c r="G1858"/>
  <c r="F1858"/>
  <c r="E1858"/>
  <c r="J1857"/>
  <c r="I1857"/>
  <c r="G1857"/>
  <c r="F1857"/>
  <c r="E1857"/>
  <c r="J1856"/>
  <c r="I1856"/>
  <c r="G1856"/>
  <c r="F1856"/>
  <c r="E1856"/>
  <c r="J1855"/>
  <c r="I1855"/>
  <c r="G1855"/>
  <c r="F1855"/>
  <c r="E1855"/>
  <c r="J1854"/>
  <c r="I1854"/>
  <c r="G1854"/>
  <c r="F1854"/>
  <c r="E1854"/>
  <c r="J1853"/>
  <c r="I1853"/>
  <c r="G1853"/>
  <c r="F1853"/>
  <c r="E1853"/>
  <c r="J1852"/>
  <c r="I1852"/>
  <c r="G1852"/>
  <c r="F1852"/>
  <c r="E1852"/>
  <c r="J1851"/>
  <c r="I1851"/>
  <c r="G1851"/>
  <c r="F1851"/>
  <c r="E1851"/>
  <c r="J1850"/>
  <c r="I1850"/>
  <c r="G1850"/>
  <c r="F1850"/>
  <c r="E1850"/>
  <c r="J1849"/>
  <c r="I1849"/>
  <c r="G1849"/>
  <c r="F1849"/>
  <c r="E1849"/>
  <c r="J1848"/>
  <c r="I1848"/>
  <c r="G1848"/>
  <c r="F1848"/>
  <c r="E1848"/>
  <c r="J1847"/>
  <c r="I1847"/>
  <c r="G1847"/>
  <c r="F1847"/>
  <c r="E1847"/>
  <c r="J1846"/>
  <c r="I1846"/>
  <c r="G1846"/>
  <c r="F1846"/>
  <c r="E1846"/>
  <c r="J1845"/>
  <c r="I1845"/>
  <c r="G1845"/>
  <c r="F1845"/>
  <c r="E1845"/>
  <c r="J1844"/>
  <c r="I1844"/>
  <c r="G1844"/>
  <c r="F1844"/>
  <c r="E1844"/>
  <c r="J1843"/>
  <c r="I1843"/>
  <c r="G1843"/>
  <c r="F1843"/>
  <c r="E1843"/>
  <c r="J1842"/>
  <c r="I1842"/>
  <c r="G1842"/>
  <c r="F1842"/>
  <c r="E1842"/>
  <c r="J1841"/>
  <c r="I1841"/>
  <c r="G1841"/>
  <c r="F1841"/>
  <c r="E1841"/>
  <c r="J1840"/>
  <c r="I1840"/>
  <c r="G1840"/>
  <c r="F1840"/>
  <c r="E1840"/>
  <c r="J1839"/>
  <c r="I1839"/>
  <c r="G1839"/>
  <c r="F1839"/>
  <c r="E1839"/>
  <c r="J1838"/>
  <c r="I1838"/>
  <c r="G1838"/>
  <c r="F1838"/>
  <c r="E1838"/>
  <c r="J1837"/>
  <c r="I1837"/>
  <c r="G1837"/>
  <c r="F1837"/>
  <c r="E1837"/>
  <c r="J1836"/>
  <c r="I1836"/>
  <c r="G1836"/>
  <c r="F1836"/>
  <c r="E1836"/>
  <c r="J1835"/>
  <c r="I1835"/>
  <c r="G1835"/>
  <c r="F1835"/>
  <c r="E1835"/>
  <c r="J1834"/>
  <c r="I1834"/>
  <c r="G1834"/>
  <c r="F1834"/>
  <c r="E1834"/>
  <c r="J1833"/>
  <c r="I1833"/>
  <c r="G1833"/>
  <c r="F1833"/>
  <c r="E1833"/>
  <c r="J1832"/>
  <c r="I1832"/>
  <c r="G1832"/>
  <c r="F1832"/>
  <c r="E1832"/>
  <c r="J1831"/>
  <c r="I1831"/>
  <c r="G1831"/>
  <c r="F1831"/>
  <c r="E1831"/>
  <c r="J1830"/>
  <c r="I1830"/>
  <c r="G1830"/>
  <c r="F1830"/>
  <c r="E1830"/>
  <c r="J1829"/>
  <c r="I1829"/>
  <c r="G1829"/>
  <c r="F1829"/>
  <c r="E1829"/>
  <c r="J1828"/>
  <c r="I1828"/>
  <c r="G1828"/>
  <c r="F1828"/>
  <c r="E1828"/>
  <c r="J1827"/>
  <c r="I1827"/>
  <c r="G1827"/>
  <c r="F1827"/>
  <c r="E1827"/>
  <c r="J1826"/>
  <c r="I1826"/>
  <c r="G1826"/>
  <c r="F1826"/>
  <c r="E1826"/>
  <c r="J1825"/>
  <c r="I1825"/>
  <c r="G1825"/>
  <c r="F1825"/>
  <c r="E1825"/>
  <c r="J1824"/>
  <c r="I1824"/>
  <c r="G1824"/>
  <c r="F1824"/>
  <c r="E1824"/>
  <c r="J1823"/>
  <c r="I1823"/>
  <c r="G1823"/>
  <c r="F1823"/>
  <c r="E1823"/>
  <c r="J1822"/>
  <c r="I1822"/>
  <c r="G1822"/>
  <c r="F1822"/>
  <c r="E1822"/>
  <c r="J1821"/>
  <c r="I1821"/>
  <c r="G1821"/>
  <c r="F1821"/>
  <c r="E1821"/>
  <c r="J1820"/>
  <c r="I1820"/>
  <c r="G1820"/>
  <c r="F1820"/>
  <c r="E1820"/>
  <c r="J1819"/>
  <c r="I1819"/>
  <c r="G1819"/>
  <c r="F1819"/>
  <c r="E1819"/>
  <c r="J1818"/>
  <c r="I1818"/>
  <c r="G1818"/>
  <c r="F1818"/>
  <c r="E1818"/>
  <c r="J1817"/>
  <c r="I1817"/>
  <c r="G1817"/>
  <c r="F1817"/>
  <c r="E1817"/>
  <c r="J1816"/>
  <c r="I1816"/>
  <c r="G1816"/>
  <c r="F1816"/>
  <c r="E1816"/>
  <c r="J1815"/>
  <c r="I1815"/>
  <c r="G1815"/>
  <c r="F1815"/>
  <c r="E1815"/>
  <c r="J1814"/>
  <c r="I1814"/>
  <c r="G1814"/>
  <c r="F1814"/>
  <c r="E1814"/>
  <c r="J1813"/>
  <c r="I1813"/>
  <c r="G1813"/>
  <c r="F1813"/>
  <c r="E1813"/>
  <c r="J1812"/>
  <c r="I1812"/>
  <c r="G1812"/>
  <c r="F1812"/>
  <c r="E1812"/>
  <c r="J1811"/>
  <c r="I1811"/>
  <c r="G1811"/>
  <c r="F1811"/>
  <c r="E1811"/>
  <c r="J1810"/>
  <c r="I1810"/>
  <c r="G1810"/>
  <c r="F1810"/>
  <c r="E1810"/>
  <c r="J1809"/>
  <c r="I1809"/>
  <c r="G1809"/>
  <c r="F1809"/>
  <c r="E1809"/>
  <c r="J1808"/>
  <c r="I1808"/>
  <c r="G1808"/>
  <c r="F1808"/>
  <c r="E1808"/>
  <c r="J1807"/>
  <c r="I1807"/>
  <c r="G1807"/>
  <c r="F1807"/>
  <c r="E1807"/>
  <c r="J1806"/>
  <c r="I1806"/>
  <c r="G1806"/>
  <c r="F1806"/>
  <c r="E1806"/>
  <c r="J1805"/>
  <c r="I1805"/>
  <c r="G1805"/>
  <c r="F1805"/>
  <c r="E1805"/>
  <c r="J1804"/>
  <c r="I1804"/>
  <c r="G1804"/>
  <c r="F1804"/>
  <c r="E1804"/>
  <c r="J1803"/>
  <c r="I1803"/>
  <c r="G1803"/>
  <c r="F1803"/>
  <c r="E1803"/>
  <c r="J1802"/>
  <c r="I1802"/>
  <c r="G1802"/>
  <c r="F1802"/>
  <c r="E1802"/>
  <c r="J1801"/>
  <c r="I1801"/>
  <c r="G1801"/>
  <c r="F1801"/>
  <c r="E1801"/>
  <c r="J1800"/>
  <c r="I1800"/>
  <c r="G1800"/>
  <c r="F1800"/>
  <c r="E1800"/>
  <c r="J1799"/>
  <c r="I1799"/>
  <c r="G1799"/>
  <c r="F1799"/>
  <c r="E1799"/>
  <c r="J1798"/>
  <c r="I1798"/>
  <c r="G1798"/>
  <c r="F1798"/>
  <c r="E1798"/>
  <c r="J1797"/>
  <c r="I1797"/>
  <c r="G1797"/>
  <c r="F1797"/>
  <c r="E1797"/>
  <c r="J1796"/>
  <c r="I1796"/>
  <c r="G1796"/>
  <c r="F1796"/>
  <c r="E1796"/>
  <c r="J1795"/>
  <c r="I1795"/>
  <c r="G1795"/>
  <c r="F1795"/>
  <c r="E1795"/>
  <c r="J1794"/>
  <c r="I1794"/>
  <c r="G1794"/>
  <c r="F1794"/>
  <c r="E1794"/>
  <c r="J1793"/>
  <c r="I1793"/>
  <c r="G1793"/>
  <c r="F1793"/>
  <c r="E1793"/>
  <c r="J1792"/>
  <c r="I1792"/>
  <c r="G1792"/>
  <c r="F1792"/>
  <c r="E1792"/>
  <c r="J1791"/>
  <c r="I1791"/>
  <c r="G1791"/>
  <c r="F1791"/>
  <c r="E1791"/>
  <c r="J1790"/>
  <c r="I1790"/>
  <c r="G1790"/>
  <c r="F1790"/>
  <c r="E1790"/>
  <c r="J1789"/>
  <c r="I1789"/>
  <c r="G1789"/>
  <c r="F1789"/>
  <c r="E1789"/>
  <c r="J1788"/>
  <c r="I1788"/>
  <c r="G1788"/>
  <c r="F1788"/>
  <c r="E1788"/>
  <c r="J1787"/>
  <c r="I1787"/>
  <c r="G1787"/>
  <c r="F1787"/>
  <c r="E1787"/>
  <c r="J1786"/>
  <c r="I1786"/>
  <c r="G1786"/>
  <c r="F1786"/>
  <c r="E1786"/>
  <c r="J1785"/>
  <c r="I1785"/>
  <c r="G1785"/>
  <c r="F1785"/>
  <c r="E1785"/>
  <c r="J1784"/>
  <c r="I1784"/>
  <c r="G1784"/>
  <c r="F1784"/>
  <c r="E1784"/>
  <c r="J1783"/>
  <c r="I1783"/>
  <c r="G1783"/>
  <c r="F1783"/>
  <c r="E1783"/>
  <c r="J1782"/>
  <c r="I1782"/>
  <c r="G1782"/>
  <c r="F1782"/>
  <c r="E1782"/>
  <c r="J1781"/>
  <c r="I1781"/>
  <c r="G1781"/>
  <c r="F1781"/>
  <c r="E1781"/>
  <c r="J1780"/>
  <c r="I1780"/>
  <c r="G1780"/>
  <c r="F1780"/>
  <c r="E1780"/>
  <c r="J1779"/>
  <c r="I1779"/>
  <c r="G1779"/>
  <c r="F1779"/>
  <c r="E1779"/>
  <c r="J1778"/>
  <c r="I1778"/>
  <c r="G1778"/>
  <c r="F1778"/>
  <c r="E1778"/>
  <c r="J1777"/>
  <c r="I1777"/>
  <c r="G1777"/>
  <c r="F1777"/>
  <c r="E1777"/>
  <c r="J1776"/>
  <c r="I1776"/>
  <c r="G1776"/>
  <c r="F1776"/>
  <c r="E1776"/>
  <c r="J1775"/>
  <c r="I1775"/>
  <c r="G1775"/>
  <c r="F1775"/>
  <c r="E1775"/>
  <c r="J1774"/>
  <c r="I1774"/>
  <c r="G1774"/>
  <c r="F1774"/>
  <c r="E1774"/>
  <c r="J1773"/>
  <c r="I1773"/>
  <c r="G1773"/>
  <c r="F1773"/>
  <c r="E1773"/>
  <c r="J1772"/>
  <c r="I1772"/>
  <c r="G1772"/>
  <c r="F1772"/>
  <c r="E1772"/>
  <c r="J1771"/>
  <c r="I1771"/>
  <c r="G1771"/>
  <c r="F1771"/>
  <c r="E1771"/>
  <c r="J1770"/>
  <c r="I1770"/>
  <c r="G1770"/>
  <c r="F1770"/>
  <c r="E1770"/>
  <c r="J1769"/>
  <c r="I1769"/>
  <c r="G1769"/>
  <c r="F1769"/>
  <c r="E1769"/>
  <c r="J1768"/>
  <c r="I1768"/>
  <c r="G1768"/>
  <c r="F1768"/>
  <c r="E1768"/>
  <c r="J1767"/>
  <c r="I1767"/>
  <c r="G1767"/>
  <c r="F1767"/>
  <c r="E1767"/>
  <c r="J1766"/>
  <c r="I1766"/>
  <c r="G1766"/>
  <c r="F1766"/>
  <c r="E1766"/>
  <c r="J1765"/>
  <c r="I1765"/>
  <c r="G1765"/>
  <c r="F1765"/>
  <c r="E1765"/>
  <c r="J1764"/>
  <c r="I1764"/>
  <c r="G1764"/>
  <c r="F1764"/>
  <c r="E1764"/>
  <c r="J1763"/>
  <c r="I1763"/>
  <c r="G1763"/>
  <c r="F1763"/>
  <c r="E1763"/>
  <c r="J1762"/>
  <c r="I1762"/>
  <c r="G1762"/>
  <c r="F1762"/>
  <c r="E1762"/>
  <c r="J1761"/>
  <c r="I1761"/>
  <c r="G1761"/>
  <c r="F1761"/>
  <c r="E1761"/>
  <c r="J1760"/>
  <c r="I1760"/>
  <c r="G1760"/>
  <c r="F1760"/>
  <c r="E1760"/>
  <c r="J1759"/>
  <c r="I1759"/>
  <c r="G1759"/>
  <c r="F1759"/>
  <c r="E1759"/>
  <c r="J1758"/>
  <c r="I1758"/>
  <c r="G1758"/>
  <c r="F1758"/>
  <c r="E1758"/>
  <c r="J1757"/>
  <c r="I1757"/>
  <c r="G1757"/>
  <c r="F1757"/>
  <c r="E1757"/>
  <c r="J1756"/>
  <c r="I1756"/>
  <c r="G1756"/>
  <c r="F1756"/>
  <c r="E1756"/>
  <c r="J1755"/>
  <c r="I1755"/>
  <c r="G1755"/>
  <c r="F1755"/>
  <c r="E1755"/>
  <c r="J1754"/>
  <c r="I1754"/>
  <c r="G1754"/>
  <c r="F1754"/>
  <c r="E1754"/>
  <c r="J1753"/>
  <c r="I1753"/>
  <c r="G1753"/>
  <c r="F1753"/>
  <c r="E1753"/>
  <c r="J1752"/>
  <c r="I1752"/>
  <c r="G1752"/>
  <c r="F1752"/>
  <c r="E1752"/>
  <c r="J1751"/>
  <c r="I1751"/>
  <c r="G1751"/>
  <c r="F1751"/>
  <c r="E1751"/>
  <c r="J1750"/>
  <c r="I1750"/>
  <c r="G1750"/>
  <c r="F1750"/>
  <c r="E1750"/>
  <c r="J1749"/>
  <c r="I1749"/>
  <c r="G1749"/>
  <c r="F1749"/>
  <c r="E1749"/>
  <c r="J1748"/>
  <c r="I1748"/>
  <c r="G1748"/>
  <c r="F1748"/>
  <c r="E1748"/>
  <c r="J1747"/>
  <c r="I1747"/>
  <c r="G1747"/>
  <c r="F1747"/>
  <c r="E1747"/>
  <c r="J1746"/>
  <c r="I1746"/>
  <c r="G1746"/>
  <c r="F1746"/>
  <c r="E1746"/>
  <c r="J1745"/>
  <c r="I1745"/>
  <c r="G1745"/>
  <c r="F1745"/>
  <c r="E1745"/>
  <c r="J1744"/>
  <c r="I1744"/>
  <c r="G1744"/>
  <c r="F1744"/>
  <c r="E1744"/>
  <c r="J1743"/>
  <c r="I1743"/>
  <c r="G1743"/>
  <c r="F1743"/>
  <c r="E1743"/>
  <c r="J1742"/>
  <c r="I1742"/>
  <c r="G1742"/>
  <c r="F1742"/>
  <c r="E1742"/>
  <c r="J1741"/>
  <c r="I1741"/>
  <c r="G1741"/>
  <c r="F1741"/>
  <c r="E1741"/>
  <c r="J1740"/>
  <c r="I1740"/>
  <c r="G1740"/>
  <c r="F1740"/>
  <c r="E1740"/>
  <c r="J1739"/>
  <c r="I1739"/>
  <c r="G1739"/>
  <c r="F1739"/>
  <c r="E1739"/>
  <c r="J1738"/>
  <c r="I1738"/>
  <c r="G1738"/>
  <c r="F1738"/>
  <c r="E1738"/>
  <c r="J1737"/>
  <c r="I1737"/>
  <c r="G1737"/>
  <c r="F1737"/>
  <c r="E1737"/>
  <c r="J1736"/>
  <c r="I1736"/>
  <c r="G1736"/>
  <c r="F1736"/>
  <c r="E1736"/>
  <c r="J1735"/>
  <c r="I1735"/>
  <c r="G1735"/>
  <c r="F1735"/>
  <c r="E1735"/>
  <c r="J1734"/>
  <c r="I1734"/>
  <c r="G1734"/>
  <c r="F1734"/>
  <c r="E1734"/>
  <c r="J1733"/>
  <c r="I1733"/>
  <c r="G1733"/>
  <c r="F1733"/>
  <c r="E1733"/>
  <c r="J1732"/>
  <c r="I1732"/>
  <c r="G1732"/>
  <c r="F1732"/>
  <c r="E1732"/>
  <c r="J1731"/>
  <c r="I1731"/>
  <c r="G1731"/>
  <c r="F1731"/>
  <c r="E1731"/>
  <c r="J1730"/>
  <c r="I1730"/>
  <c r="G1730"/>
  <c r="F1730"/>
  <c r="E1730"/>
  <c r="J1729"/>
  <c r="I1729"/>
  <c r="G1729"/>
  <c r="F1729"/>
  <c r="E1729"/>
  <c r="J1728"/>
  <c r="I1728"/>
  <c r="G1728"/>
  <c r="F1728"/>
  <c r="E1728"/>
  <c r="J1727"/>
  <c r="I1727"/>
  <c r="G1727"/>
  <c r="F1727"/>
  <c r="E1727"/>
  <c r="J1726"/>
  <c r="I1726"/>
  <c r="G1726"/>
  <c r="F1726"/>
  <c r="E1726"/>
  <c r="J1725"/>
  <c r="I1725"/>
  <c r="G1725"/>
  <c r="F1725"/>
  <c r="E1725"/>
  <c r="J1724"/>
  <c r="I1724"/>
  <c r="G1724"/>
  <c r="F1724"/>
  <c r="E1724"/>
  <c r="J1723"/>
  <c r="I1723"/>
  <c r="G1723"/>
  <c r="F1723"/>
  <c r="E1723"/>
  <c r="J1722"/>
  <c r="I1722"/>
  <c r="G1722"/>
  <c r="F1722"/>
  <c r="E1722"/>
  <c r="J1721"/>
  <c r="I1721"/>
  <c r="G1721"/>
  <c r="F1721"/>
  <c r="E1721"/>
  <c r="J1720"/>
  <c r="I1720"/>
  <c r="G1720"/>
  <c r="F1720"/>
  <c r="E1720"/>
  <c r="J1719"/>
  <c r="I1719"/>
  <c r="G1719"/>
  <c r="F1719"/>
  <c r="E1719"/>
  <c r="J1718"/>
  <c r="I1718"/>
  <c r="G1718"/>
  <c r="F1718"/>
  <c r="E1718"/>
  <c r="J1717"/>
  <c r="I1717"/>
  <c r="G1717"/>
  <c r="F1717"/>
  <c r="E1717"/>
  <c r="J1716"/>
  <c r="I1716"/>
  <c r="G1716"/>
  <c r="F1716"/>
  <c r="E1716"/>
  <c r="J1715"/>
  <c r="I1715"/>
  <c r="G1715"/>
  <c r="F1715"/>
  <c r="E1715"/>
  <c r="J1714"/>
  <c r="I1714"/>
  <c r="G1714"/>
  <c r="F1714"/>
  <c r="E1714"/>
  <c r="J1713"/>
  <c r="I1713"/>
  <c r="G1713"/>
  <c r="F1713"/>
  <c r="E1713"/>
  <c r="J1712"/>
  <c r="I1712"/>
  <c r="G1712"/>
  <c r="F1712"/>
  <c r="E1712"/>
  <c r="J1711"/>
  <c r="I1711"/>
  <c r="G1711"/>
  <c r="F1711"/>
  <c r="E1711"/>
  <c r="J1710"/>
  <c r="I1710"/>
  <c r="G1710"/>
  <c r="F1710"/>
  <c r="E1710"/>
  <c r="J1709"/>
  <c r="I1709"/>
  <c r="G1709"/>
  <c r="F1709"/>
  <c r="E1709"/>
  <c r="J1708"/>
  <c r="I1708"/>
  <c r="G1708"/>
  <c r="F1708"/>
  <c r="E1708"/>
  <c r="J1707"/>
  <c r="I1707"/>
  <c r="G1707"/>
  <c r="F1707"/>
  <c r="E1707"/>
  <c r="J1706"/>
  <c r="I1706"/>
  <c r="G1706"/>
  <c r="F1706"/>
  <c r="E1706"/>
  <c r="J1705"/>
  <c r="I1705"/>
  <c r="G1705"/>
  <c r="F1705"/>
  <c r="E1705"/>
  <c r="J1704"/>
  <c r="I1704"/>
  <c r="G1704"/>
  <c r="F1704"/>
  <c r="E1704"/>
  <c r="J1703"/>
  <c r="I1703"/>
  <c r="G1703"/>
  <c r="F1703"/>
  <c r="E1703"/>
  <c r="J1702"/>
  <c r="I1702"/>
  <c r="G1702"/>
  <c r="F1702"/>
  <c r="E1702"/>
  <c r="J1701"/>
  <c r="I1701"/>
  <c r="G1701"/>
  <c r="F1701"/>
  <c r="E1701"/>
  <c r="J1700"/>
  <c r="I1700"/>
  <c r="G1700"/>
  <c r="F1700"/>
  <c r="E1700"/>
  <c r="J1699"/>
  <c r="I1699"/>
  <c r="G1699"/>
  <c r="F1699"/>
  <c r="E1699"/>
  <c r="J1698"/>
  <c r="I1698"/>
  <c r="G1698"/>
  <c r="F1698"/>
  <c r="E1698"/>
  <c r="J1697"/>
  <c r="I1697"/>
  <c r="G1697"/>
  <c r="F1697"/>
  <c r="E1697"/>
  <c r="J1696"/>
  <c r="I1696"/>
  <c r="G1696"/>
  <c r="F1696"/>
  <c r="E1696"/>
  <c r="J1695"/>
  <c r="I1695"/>
  <c r="G1695"/>
  <c r="F1695"/>
  <c r="E1695"/>
  <c r="J1694"/>
  <c r="I1694"/>
  <c r="G1694"/>
  <c r="F1694"/>
  <c r="E1694"/>
  <c r="J1693"/>
  <c r="I1693"/>
  <c r="G1693"/>
  <c r="F1693"/>
  <c r="E1693"/>
  <c r="J1692"/>
  <c r="I1692"/>
  <c r="G1692"/>
  <c r="F1692"/>
  <c r="E1692"/>
  <c r="J1691"/>
  <c r="I1691"/>
  <c r="G1691"/>
  <c r="F1691"/>
  <c r="E1691"/>
  <c r="J1690"/>
  <c r="I1690"/>
  <c r="G1690"/>
  <c r="F1690"/>
  <c r="E1690"/>
  <c r="J1689"/>
  <c r="I1689"/>
  <c r="G1689"/>
  <c r="F1689"/>
  <c r="E1689"/>
  <c r="J1688"/>
  <c r="I1688"/>
  <c r="G1688"/>
  <c r="F1688"/>
  <c r="E1688"/>
  <c r="J1687"/>
  <c r="I1687"/>
  <c r="G1687"/>
  <c r="F1687"/>
  <c r="E1687"/>
  <c r="J1686"/>
  <c r="I1686"/>
  <c r="G1686"/>
  <c r="F1686"/>
  <c r="E1686"/>
  <c r="J1685"/>
  <c r="I1685"/>
  <c r="G1685"/>
  <c r="F1685"/>
  <c r="E1685"/>
  <c r="J1684"/>
  <c r="I1684"/>
  <c r="G1684"/>
  <c r="F1684"/>
  <c r="E1684"/>
  <c r="J1683"/>
  <c r="I1683"/>
  <c r="G1683"/>
  <c r="F1683"/>
  <c r="E1683"/>
  <c r="J1682"/>
  <c r="I1682"/>
  <c r="G1682"/>
  <c r="F1682"/>
  <c r="E1682"/>
  <c r="J1681"/>
  <c r="I1681"/>
  <c r="G1681"/>
  <c r="F1681"/>
  <c r="E1681"/>
  <c r="J1680"/>
  <c r="I1680"/>
  <c r="G1680"/>
  <c r="F1680"/>
  <c r="E1680"/>
  <c r="J1679"/>
  <c r="I1679"/>
  <c r="G1679"/>
  <c r="F1679"/>
  <c r="E1679"/>
  <c r="J1678"/>
  <c r="I1678"/>
  <c r="G1678"/>
  <c r="F1678"/>
  <c r="E1678"/>
  <c r="J1677"/>
  <c r="I1677"/>
  <c r="G1677"/>
  <c r="F1677"/>
  <c r="E1677"/>
  <c r="J1676"/>
  <c r="I1676"/>
  <c r="G1676"/>
  <c r="F1676"/>
  <c r="E1676"/>
  <c r="J1675"/>
  <c r="I1675"/>
  <c r="G1675"/>
  <c r="F1675"/>
  <c r="E1675"/>
  <c r="J1674"/>
  <c r="I1674"/>
  <c r="G1674"/>
  <c r="F1674"/>
  <c r="E1674"/>
  <c r="J1673"/>
  <c r="I1673"/>
  <c r="G1673"/>
  <c r="F1673"/>
  <c r="E1673"/>
  <c r="J1672"/>
  <c r="I1672"/>
  <c r="G1672"/>
  <c r="F1672"/>
  <c r="E1672"/>
  <c r="J1671"/>
  <c r="I1671"/>
  <c r="G1671"/>
  <c r="F1671"/>
  <c r="E1671"/>
  <c r="J1670"/>
  <c r="I1670"/>
  <c r="G1670"/>
  <c r="F1670"/>
  <c r="E1670"/>
  <c r="J1669"/>
  <c r="I1669"/>
  <c r="G1669"/>
  <c r="F1669"/>
  <c r="E1669"/>
  <c r="J1668"/>
  <c r="I1668"/>
  <c r="G1668"/>
  <c r="F1668"/>
  <c r="E1668"/>
  <c r="J1667"/>
  <c r="I1667"/>
  <c r="G1667"/>
  <c r="F1667"/>
  <c r="E1667"/>
  <c r="J1666"/>
  <c r="I1666"/>
  <c r="G1666"/>
  <c r="F1666"/>
  <c r="E1666"/>
  <c r="J1665"/>
  <c r="I1665"/>
  <c r="G1665"/>
  <c r="F1665"/>
  <c r="E1665"/>
  <c r="J1664"/>
  <c r="I1664"/>
  <c r="G1664"/>
  <c r="F1664"/>
  <c r="E1664"/>
  <c r="J1663"/>
  <c r="I1663"/>
  <c r="G1663"/>
  <c r="F1663"/>
  <c r="E1663"/>
  <c r="J1662"/>
  <c r="I1662"/>
  <c r="G1662"/>
  <c r="F1662"/>
  <c r="E1662"/>
  <c r="J1661"/>
  <c r="I1661"/>
  <c r="G1661"/>
  <c r="F1661"/>
  <c r="E1661"/>
  <c r="J1660"/>
  <c r="I1660"/>
  <c r="G1660"/>
  <c r="F1660"/>
  <c r="E1660"/>
  <c r="J1659"/>
  <c r="I1659"/>
  <c r="G1659"/>
  <c r="F1659"/>
  <c r="E1659"/>
  <c r="J1658"/>
  <c r="I1658"/>
  <c r="G1658"/>
  <c r="F1658"/>
  <c r="E1658"/>
  <c r="J1657"/>
  <c r="I1657"/>
  <c r="G1657"/>
  <c r="F1657"/>
  <c r="E1657"/>
  <c r="J1656"/>
  <c r="I1656"/>
  <c r="G1656"/>
  <c r="F1656"/>
  <c r="E1656"/>
  <c r="J1655"/>
  <c r="I1655"/>
  <c r="G1655"/>
  <c r="F1655"/>
  <c r="E1655"/>
  <c r="J1654"/>
  <c r="I1654"/>
  <c r="G1654"/>
  <c r="F1654"/>
  <c r="E1654"/>
  <c r="J1653"/>
  <c r="I1653"/>
  <c r="G1653"/>
  <c r="F1653"/>
  <c r="E1653"/>
  <c r="J1652"/>
  <c r="I1652"/>
  <c r="G1652"/>
  <c r="F1652"/>
  <c r="E1652"/>
  <c r="J1651"/>
  <c r="I1651"/>
  <c r="G1651"/>
  <c r="F1651"/>
  <c r="E1651"/>
  <c r="J1650"/>
  <c r="I1650"/>
  <c r="G1650"/>
  <c r="F1650"/>
  <c r="E1650"/>
  <c r="J1649"/>
  <c r="I1649"/>
  <c r="G1649"/>
  <c r="F1649"/>
  <c r="E1649"/>
  <c r="J1648"/>
  <c r="I1648"/>
  <c r="G1648"/>
  <c r="F1648"/>
  <c r="E1648"/>
  <c r="J1647"/>
  <c r="I1647"/>
  <c r="G1647"/>
  <c r="F1647"/>
  <c r="E1647"/>
  <c r="J1646"/>
  <c r="I1646"/>
  <c r="G1646"/>
  <c r="F1646"/>
  <c r="E1646"/>
  <c r="J1645"/>
  <c r="I1645"/>
  <c r="G1645"/>
  <c r="F1645"/>
  <c r="E1645"/>
  <c r="J1644"/>
  <c r="I1644"/>
  <c r="G1644"/>
  <c r="F1644"/>
  <c r="E1644"/>
  <c r="J1643"/>
  <c r="I1643"/>
  <c r="G1643"/>
  <c r="F1643"/>
  <c r="E1643"/>
  <c r="J1642"/>
  <c r="I1642"/>
  <c r="G1642"/>
  <c r="F1642"/>
  <c r="E1642"/>
  <c r="J1641"/>
  <c r="I1641"/>
  <c r="G1641"/>
  <c r="F1641"/>
  <c r="E1641"/>
  <c r="J1640"/>
  <c r="I1640"/>
  <c r="G1640"/>
  <c r="F1640"/>
  <c r="E1640"/>
  <c r="J1639"/>
  <c r="I1639"/>
  <c r="G1639"/>
  <c r="F1639"/>
  <c r="E1639"/>
  <c r="J1638"/>
  <c r="I1638"/>
  <c r="G1638"/>
  <c r="F1638"/>
  <c r="E1638"/>
  <c r="J1637"/>
  <c r="I1637"/>
  <c r="G1637"/>
  <c r="F1637"/>
  <c r="E1637"/>
  <c r="J1636"/>
  <c r="I1636"/>
  <c r="G1636"/>
  <c r="F1636"/>
  <c r="E1636"/>
  <c r="J1635"/>
  <c r="I1635"/>
  <c r="G1635"/>
  <c r="F1635"/>
  <c r="E1635"/>
  <c r="J1634"/>
  <c r="I1634"/>
  <c r="G1634"/>
  <c r="F1634"/>
  <c r="E1634"/>
  <c r="J1633"/>
  <c r="I1633"/>
  <c r="G1633"/>
  <c r="F1633"/>
  <c r="E1633"/>
  <c r="J1632"/>
  <c r="I1632"/>
  <c r="G1632"/>
  <c r="F1632"/>
  <c r="E1632"/>
  <c r="J1631"/>
  <c r="I1631"/>
  <c r="G1631"/>
  <c r="F1631"/>
  <c r="E1631"/>
  <c r="J1630"/>
  <c r="I1630"/>
  <c r="G1630"/>
  <c r="F1630"/>
  <c r="E1630"/>
  <c r="J1629"/>
  <c r="I1629"/>
  <c r="G1629"/>
  <c r="F1629"/>
  <c r="E1629"/>
  <c r="J1628"/>
  <c r="I1628"/>
  <c r="G1628"/>
  <c r="F1628"/>
  <c r="E1628"/>
  <c r="J1627"/>
  <c r="I1627"/>
  <c r="G1627"/>
  <c r="F1627"/>
  <c r="E1627"/>
  <c r="J1626"/>
  <c r="I1626"/>
  <c r="G1626"/>
  <c r="F1626"/>
  <c r="E1626"/>
  <c r="J1625"/>
  <c r="I1625"/>
  <c r="G1625"/>
  <c r="F1625"/>
  <c r="E1625"/>
  <c r="J1624"/>
  <c r="I1624"/>
  <c r="G1624"/>
  <c r="F1624"/>
  <c r="E1624"/>
  <c r="J1623"/>
  <c r="I1623"/>
  <c r="G1623"/>
  <c r="F1623"/>
  <c r="E1623"/>
  <c r="J1622"/>
  <c r="I1622"/>
  <c r="G1622"/>
  <c r="F1622"/>
  <c r="E1622"/>
  <c r="J1621"/>
  <c r="I1621"/>
  <c r="G1621"/>
  <c r="F1621"/>
  <c r="E1621"/>
  <c r="J1620"/>
  <c r="I1620"/>
  <c r="G1620"/>
  <c r="F1620"/>
  <c r="E1620"/>
  <c r="J1619"/>
  <c r="I1619"/>
  <c r="G1619"/>
  <c r="F1619"/>
  <c r="E1619"/>
  <c r="J1618"/>
  <c r="I1618"/>
  <c r="G1618"/>
  <c r="F1618"/>
  <c r="E1618"/>
  <c r="J1617"/>
  <c r="I1617"/>
  <c r="G1617"/>
  <c r="F1617"/>
  <c r="E1617"/>
  <c r="J1616"/>
  <c r="I1616"/>
  <c r="G1616"/>
  <c r="F1616"/>
  <c r="E1616"/>
  <c r="J1615"/>
  <c r="I1615"/>
  <c r="G1615"/>
  <c r="F1615"/>
  <c r="E1615"/>
  <c r="J1614"/>
  <c r="I1614"/>
  <c r="G1614"/>
  <c r="F1614"/>
  <c r="E1614"/>
  <c r="J1613"/>
  <c r="I1613"/>
  <c r="G1613"/>
  <c r="F1613"/>
  <c r="E1613"/>
  <c r="J1612"/>
  <c r="I1612"/>
  <c r="G1612"/>
  <c r="F1612"/>
  <c r="E1612"/>
  <c r="J1611"/>
  <c r="I1611"/>
  <c r="G1611"/>
  <c r="F1611"/>
  <c r="E1611"/>
  <c r="J1610"/>
  <c r="I1610"/>
  <c r="G1610"/>
  <c r="F1610"/>
  <c r="E1610"/>
  <c r="J1609"/>
  <c r="I1609"/>
  <c r="G1609"/>
  <c r="F1609"/>
  <c r="E1609"/>
  <c r="J1608"/>
  <c r="I1608"/>
  <c r="G1608"/>
  <c r="F1608"/>
  <c r="E1608"/>
  <c r="J1607"/>
  <c r="I1607"/>
  <c r="G1607"/>
  <c r="F1607"/>
  <c r="E1607"/>
  <c r="J1606"/>
  <c r="I1606"/>
  <c r="G1606"/>
  <c r="F1606"/>
  <c r="E1606"/>
  <c r="J1605"/>
  <c r="I1605"/>
  <c r="G1605"/>
  <c r="F1605"/>
  <c r="E1605"/>
  <c r="J1604"/>
  <c r="I1604"/>
  <c r="G1604"/>
  <c r="F1604"/>
  <c r="E1604"/>
  <c r="J1603"/>
  <c r="I1603"/>
  <c r="G1603"/>
  <c r="F1603"/>
  <c r="E1603"/>
  <c r="J1602"/>
  <c r="I1602"/>
  <c r="G1602"/>
  <c r="F1602"/>
  <c r="E1602"/>
  <c r="J1601"/>
  <c r="I1601"/>
  <c r="G1601"/>
  <c r="F1601"/>
  <c r="E1601"/>
  <c r="J1600"/>
  <c r="I1600"/>
  <c r="G1600"/>
  <c r="F1600"/>
  <c r="E1600"/>
  <c r="J1599"/>
  <c r="I1599"/>
  <c r="G1599"/>
  <c r="F1599"/>
  <c r="E1599"/>
  <c r="J1598"/>
  <c r="I1598"/>
  <c r="G1598"/>
  <c r="F1598"/>
  <c r="E1598"/>
  <c r="J1597"/>
  <c r="I1597"/>
  <c r="G1597"/>
  <c r="F1597"/>
  <c r="E1597"/>
  <c r="J1596"/>
  <c r="I1596"/>
  <c r="G1596"/>
  <c r="F1596"/>
  <c r="E1596"/>
  <c r="J1595"/>
  <c r="I1595"/>
  <c r="G1595"/>
  <c r="F1595"/>
  <c r="E1595"/>
  <c r="J1594"/>
  <c r="I1594"/>
  <c r="G1594"/>
  <c r="F1594"/>
  <c r="E1594"/>
  <c r="J1593"/>
  <c r="I1593"/>
  <c r="G1593"/>
  <c r="F1593"/>
  <c r="E1593"/>
  <c r="J1592"/>
  <c r="I1592"/>
  <c r="G1592"/>
  <c r="F1592"/>
  <c r="E1592"/>
  <c r="J1591"/>
  <c r="I1591"/>
  <c r="G1591"/>
  <c r="F1591"/>
  <c r="E1591"/>
  <c r="J1590"/>
  <c r="I1590"/>
  <c r="G1590"/>
  <c r="F1590"/>
  <c r="E1590"/>
  <c r="J1589"/>
  <c r="I1589"/>
  <c r="G1589"/>
  <c r="F1589"/>
  <c r="E1589"/>
  <c r="J1588"/>
  <c r="I1588"/>
  <c r="G1588"/>
  <c r="F1588"/>
  <c r="E1588"/>
  <c r="J1587"/>
  <c r="I1587"/>
  <c r="G1587"/>
  <c r="F1587"/>
  <c r="E1587"/>
  <c r="J1586"/>
  <c r="I1586"/>
  <c r="G1586"/>
  <c r="F1586"/>
  <c r="E1586"/>
  <c r="J1585"/>
  <c r="I1585"/>
  <c r="G1585"/>
  <c r="F1585"/>
  <c r="E1585"/>
  <c r="J1584"/>
  <c r="I1584"/>
  <c r="G1584"/>
  <c r="F1584"/>
  <c r="E1584"/>
  <c r="J1583"/>
  <c r="I1583"/>
  <c r="G1583"/>
  <c r="F1583"/>
  <c r="E1583"/>
  <c r="J1582"/>
  <c r="I1582"/>
  <c r="G1582"/>
  <c r="F1582"/>
  <c r="E1582"/>
  <c r="J1581"/>
  <c r="I1581"/>
  <c r="G1581"/>
  <c r="F1581"/>
  <c r="E1581"/>
  <c r="J1580"/>
  <c r="I1580"/>
  <c r="G1580"/>
  <c r="F1580"/>
  <c r="E1580"/>
  <c r="J1579"/>
  <c r="I1579"/>
  <c r="G1579"/>
  <c r="F1579"/>
  <c r="E1579"/>
  <c r="J1578"/>
  <c r="I1578"/>
  <c r="G1578"/>
  <c r="F1578"/>
  <c r="E1578"/>
  <c r="J1577"/>
  <c r="I1577"/>
  <c r="G1577"/>
  <c r="F1577"/>
  <c r="E1577"/>
  <c r="J1576"/>
  <c r="I1576"/>
  <c r="G1576"/>
  <c r="F1576"/>
  <c r="E1576"/>
  <c r="J1575"/>
  <c r="I1575"/>
  <c r="G1575"/>
  <c r="F1575"/>
  <c r="E1575"/>
  <c r="J1574"/>
  <c r="I1574"/>
  <c r="G1574"/>
  <c r="F1574"/>
  <c r="E1574"/>
  <c r="J1573"/>
  <c r="I1573"/>
  <c r="G1573"/>
  <c r="F1573"/>
  <c r="E1573"/>
  <c r="J1572"/>
  <c r="I1572"/>
  <c r="G1572"/>
  <c r="F1572"/>
  <c r="E1572"/>
  <c r="J1571"/>
  <c r="I1571"/>
  <c r="G1571"/>
  <c r="F1571"/>
  <c r="E1571"/>
  <c r="J1570"/>
  <c r="I1570"/>
  <c r="G1570"/>
  <c r="F1570"/>
  <c r="E1570"/>
  <c r="J1569"/>
  <c r="I1569"/>
  <c r="G1569"/>
  <c r="F1569"/>
  <c r="E1569"/>
  <c r="J1568"/>
  <c r="I1568"/>
  <c r="G1568"/>
  <c r="F1568"/>
  <c r="E1568"/>
  <c r="J1567"/>
  <c r="I1567"/>
  <c r="G1567"/>
  <c r="F1567"/>
  <c r="E1567"/>
  <c r="J1566"/>
  <c r="I1566"/>
  <c r="G1566"/>
  <c r="F1566"/>
  <c r="E1566"/>
  <c r="J1565"/>
  <c r="I1565"/>
  <c r="G1565"/>
  <c r="F1565"/>
  <c r="E1565"/>
  <c r="J1564"/>
  <c r="I1564"/>
  <c r="G1564"/>
  <c r="F1564"/>
  <c r="E1564"/>
  <c r="J1563"/>
  <c r="I1563"/>
  <c r="G1563"/>
  <c r="F1563"/>
  <c r="E1563"/>
  <c r="J1562"/>
  <c r="I1562"/>
  <c r="G1562"/>
  <c r="F1562"/>
  <c r="E1562"/>
  <c r="J1561"/>
  <c r="I1561"/>
  <c r="G1561"/>
  <c r="F1561"/>
  <c r="E1561"/>
  <c r="J1560"/>
  <c r="I1560"/>
  <c r="G1560"/>
  <c r="F1560"/>
  <c r="E1560"/>
  <c r="J1559"/>
  <c r="I1559"/>
  <c r="G1559"/>
  <c r="F1559"/>
  <c r="E1559"/>
  <c r="J1558"/>
  <c r="I1558"/>
  <c r="G1558"/>
  <c r="F1558"/>
  <c r="E1558"/>
  <c r="J1557"/>
  <c r="I1557"/>
  <c r="G1557"/>
  <c r="F1557"/>
  <c r="E1557"/>
  <c r="J1556"/>
  <c r="I1556"/>
  <c r="G1556"/>
  <c r="F1556"/>
  <c r="E1556"/>
  <c r="J1555"/>
  <c r="I1555"/>
  <c r="G1555"/>
  <c r="F1555"/>
  <c r="E1555"/>
  <c r="J1554"/>
  <c r="I1554"/>
  <c r="G1554"/>
  <c r="F1554"/>
  <c r="E1554"/>
  <c r="J1553"/>
  <c r="I1553"/>
  <c r="G1553"/>
  <c r="F1553"/>
  <c r="E1553"/>
  <c r="J1552"/>
  <c r="I1552"/>
  <c r="G1552"/>
  <c r="F1552"/>
  <c r="E1552"/>
  <c r="J1551"/>
  <c r="I1551"/>
  <c r="G1551"/>
  <c r="F1551"/>
  <c r="E1551"/>
  <c r="J1550"/>
  <c r="I1550"/>
  <c r="G1550"/>
  <c r="F1550"/>
  <c r="E1550"/>
  <c r="J1549"/>
  <c r="I1549"/>
  <c r="G1549"/>
  <c r="F1549"/>
  <c r="E1549"/>
  <c r="J1548"/>
  <c r="I1548"/>
  <c r="G1548"/>
  <c r="F1548"/>
  <c r="E1548"/>
  <c r="J1547"/>
  <c r="I1547"/>
  <c r="G1547"/>
  <c r="F1547"/>
  <c r="E1547"/>
  <c r="J1546"/>
  <c r="I1546"/>
  <c r="G1546"/>
  <c r="F1546"/>
  <c r="E1546"/>
  <c r="J1545"/>
  <c r="I1545"/>
  <c r="G1545"/>
  <c r="F1545"/>
  <c r="E1545"/>
  <c r="J1544"/>
  <c r="I1544"/>
  <c r="G1544"/>
  <c r="F1544"/>
  <c r="E1544"/>
  <c r="J1543"/>
  <c r="I1543"/>
  <c r="G1543"/>
  <c r="F1543"/>
  <c r="E1543"/>
  <c r="J1542"/>
  <c r="I1542"/>
  <c r="G1542"/>
  <c r="F1542"/>
  <c r="E1542"/>
  <c r="J1541"/>
  <c r="I1541"/>
  <c r="G1541"/>
  <c r="F1541"/>
  <c r="E1541"/>
  <c r="J1540"/>
  <c r="I1540"/>
  <c r="G1540"/>
  <c r="F1540"/>
  <c r="E1540"/>
  <c r="J1539"/>
  <c r="I1539"/>
  <c r="G1539"/>
  <c r="F1539"/>
  <c r="E1539"/>
  <c r="J1538"/>
  <c r="I1538"/>
  <c r="G1538"/>
  <c r="F1538"/>
  <c r="E1538"/>
  <c r="J1537"/>
  <c r="I1537"/>
  <c r="G1537"/>
  <c r="F1537"/>
  <c r="E1537"/>
  <c r="J1536"/>
  <c r="I1536"/>
  <c r="G1536"/>
  <c r="F1536"/>
  <c r="E1536"/>
  <c r="J1535"/>
  <c r="I1535"/>
  <c r="G1535"/>
  <c r="F1535"/>
  <c r="E1535"/>
  <c r="J1534"/>
  <c r="I1534"/>
  <c r="G1534"/>
  <c r="F1534"/>
  <c r="E1534"/>
  <c r="J1533"/>
  <c r="I1533"/>
  <c r="G1533"/>
  <c r="F1533"/>
  <c r="E1533"/>
  <c r="J1532"/>
  <c r="I1532"/>
  <c r="G1532"/>
  <c r="F1532"/>
  <c r="E1532"/>
  <c r="J1531"/>
  <c r="I1531"/>
  <c r="G1531"/>
  <c r="F1531"/>
  <c r="E1531"/>
  <c r="J1530"/>
  <c r="I1530"/>
  <c r="G1530"/>
  <c r="F1530"/>
  <c r="E1530"/>
  <c r="J1529"/>
  <c r="I1529"/>
  <c r="G1529"/>
  <c r="F1529"/>
  <c r="E1529"/>
  <c r="J1528"/>
  <c r="I1528"/>
  <c r="G1528"/>
  <c r="F1528"/>
  <c r="E1528"/>
  <c r="J1527"/>
  <c r="I1527"/>
  <c r="G1527"/>
  <c r="F1527"/>
  <c r="E1527"/>
  <c r="J1526"/>
  <c r="I1526"/>
  <c r="G1526"/>
  <c r="F1526"/>
  <c r="E1526"/>
  <c r="J1525"/>
  <c r="I1525"/>
  <c r="G1525"/>
  <c r="F1525"/>
  <c r="E1525"/>
  <c r="J1524"/>
  <c r="I1524"/>
  <c r="G1524"/>
  <c r="F1524"/>
  <c r="E1524"/>
  <c r="J1523"/>
  <c r="I1523"/>
  <c r="G1523"/>
  <c r="F1523"/>
  <c r="E1523"/>
  <c r="J1522"/>
  <c r="I1522"/>
  <c r="G1522"/>
  <c r="F1522"/>
  <c r="E1522"/>
  <c r="J1521"/>
  <c r="I1521"/>
  <c r="G1521"/>
  <c r="F1521"/>
  <c r="E1521"/>
  <c r="J1520"/>
  <c r="I1520"/>
  <c r="G1520"/>
  <c r="F1520"/>
  <c r="E1520"/>
  <c r="J1519"/>
  <c r="I1519"/>
  <c r="G1519"/>
  <c r="F1519"/>
  <c r="E1519"/>
  <c r="J1518"/>
  <c r="I1518"/>
  <c r="G1518"/>
  <c r="F1518"/>
  <c r="E1518"/>
  <c r="J1517"/>
  <c r="I1517"/>
  <c r="G1517"/>
  <c r="F1517"/>
  <c r="E1517"/>
  <c r="J1516"/>
  <c r="I1516"/>
  <c r="G1516"/>
  <c r="F1516"/>
  <c r="E1516"/>
  <c r="J1515"/>
  <c r="I1515"/>
  <c r="G1515"/>
  <c r="F1515"/>
  <c r="E1515"/>
  <c r="J1514"/>
  <c r="I1514"/>
  <c r="G1514"/>
  <c r="F1514"/>
  <c r="E1514"/>
  <c r="J1513"/>
  <c r="I1513"/>
  <c r="G1513"/>
  <c r="F1513"/>
  <c r="E1513"/>
  <c r="J1512"/>
  <c r="I1512"/>
  <c r="G1512"/>
  <c r="F1512"/>
  <c r="E1512"/>
  <c r="J1511"/>
  <c r="I1511"/>
  <c r="G1511"/>
  <c r="F1511"/>
  <c r="E1511"/>
  <c r="J1510"/>
  <c r="I1510"/>
  <c r="G1510"/>
  <c r="F1510"/>
  <c r="E1510"/>
  <c r="J1509"/>
  <c r="I1509"/>
  <c r="G1509"/>
  <c r="F1509"/>
  <c r="E1509"/>
  <c r="J1508"/>
  <c r="I1508"/>
  <c r="G1508"/>
  <c r="F1508"/>
  <c r="E1508"/>
  <c r="J1507"/>
  <c r="I1507"/>
  <c r="G1507"/>
  <c r="F1507"/>
  <c r="E1507"/>
  <c r="J1506"/>
  <c r="I1506"/>
  <c r="G1506"/>
  <c r="F1506"/>
  <c r="E1506"/>
  <c r="J1505"/>
  <c r="I1505"/>
  <c r="G1505"/>
  <c r="F1505"/>
  <c r="E1505"/>
  <c r="J1504"/>
  <c r="I1504"/>
  <c r="G1504"/>
  <c r="F1504"/>
  <c r="E1504"/>
  <c r="J1503"/>
  <c r="I1503"/>
  <c r="G1503"/>
  <c r="F1503"/>
  <c r="E1503"/>
  <c r="J1502"/>
  <c r="I1502"/>
  <c r="G1502"/>
  <c r="F1502"/>
  <c r="E1502"/>
  <c r="J1501"/>
  <c r="I1501"/>
  <c r="G1501"/>
  <c r="F1501"/>
  <c r="E1501"/>
  <c r="J1500"/>
  <c r="I1500"/>
  <c r="G1500"/>
  <c r="F1500"/>
  <c r="E1500"/>
  <c r="J1499"/>
  <c r="I1499"/>
  <c r="G1499"/>
  <c r="F1499"/>
  <c r="E1499"/>
  <c r="J1498"/>
  <c r="I1498"/>
  <c r="G1498"/>
  <c r="F1498"/>
  <c r="E1498"/>
  <c r="J1497"/>
  <c r="I1497"/>
  <c r="G1497"/>
  <c r="F1497"/>
  <c r="E1497"/>
  <c r="J1496"/>
  <c r="I1496"/>
  <c r="G1496"/>
  <c r="F1496"/>
  <c r="E1496"/>
  <c r="J1495"/>
  <c r="I1495"/>
  <c r="G1495"/>
  <c r="F1495"/>
  <c r="E1495"/>
  <c r="J1494"/>
  <c r="I1494"/>
  <c r="G1494"/>
  <c r="F1494"/>
  <c r="E1494"/>
  <c r="J1493"/>
  <c r="I1493"/>
  <c r="G1493"/>
  <c r="F1493"/>
  <c r="E1493"/>
  <c r="J1492"/>
  <c r="I1492"/>
  <c r="G1492"/>
  <c r="F1492"/>
  <c r="E1492"/>
  <c r="J1491"/>
  <c r="I1491"/>
  <c r="G1491"/>
  <c r="F1491"/>
  <c r="E1491"/>
  <c r="J1490"/>
  <c r="I1490"/>
  <c r="G1490"/>
  <c r="F1490"/>
  <c r="E1490"/>
  <c r="J1489"/>
  <c r="I1489"/>
  <c r="G1489"/>
  <c r="F1489"/>
  <c r="E1489"/>
  <c r="J1488"/>
  <c r="I1488"/>
  <c r="G1488"/>
  <c r="F1488"/>
  <c r="E1488"/>
  <c r="J1487"/>
  <c r="I1487"/>
  <c r="G1487"/>
  <c r="F1487"/>
  <c r="E1487"/>
  <c r="J1486"/>
  <c r="I1486"/>
  <c r="G1486"/>
  <c r="F1486"/>
  <c r="E1486"/>
  <c r="J1485"/>
  <c r="I1485"/>
  <c r="G1485"/>
  <c r="F1485"/>
  <c r="E1485"/>
  <c r="J1484"/>
  <c r="I1484"/>
  <c r="G1484"/>
  <c r="F1484"/>
  <c r="E1484"/>
  <c r="J1483"/>
  <c r="I1483"/>
  <c r="G1483"/>
  <c r="F1483"/>
  <c r="E1483"/>
  <c r="J1482"/>
  <c r="I1482"/>
  <c r="G1482"/>
  <c r="F1482"/>
  <c r="E1482"/>
  <c r="J1481"/>
  <c r="I1481"/>
  <c r="G1481"/>
  <c r="F1481"/>
  <c r="E1481"/>
  <c r="J1480"/>
  <c r="I1480"/>
  <c r="G1480"/>
  <c r="F1480"/>
  <c r="E1480"/>
  <c r="J1479"/>
  <c r="I1479"/>
  <c r="G1479"/>
  <c r="F1479"/>
  <c r="E1479"/>
  <c r="J1478"/>
  <c r="I1478"/>
  <c r="G1478"/>
  <c r="F1478"/>
  <c r="E1478"/>
  <c r="J1477"/>
  <c r="I1477"/>
  <c r="G1477"/>
  <c r="F1477"/>
  <c r="E1477"/>
  <c r="J1476"/>
  <c r="I1476"/>
  <c r="G1476"/>
  <c r="F1476"/>
  <c r="E1476"/>
  <c r="J1475"/>
  <c r="I1475"/>
  <c r="G1475"/>
  <c r="F1475"/>
  <c r="E1475"/>
  <c r="J1474"/>
  <c r="I1474"/>
  <c r="G1474"/>
  <c r="F1474"/>
  <c r="E1474"/>
  <c r="J1473"/>
  <c r="I1473"/>
  <c r="G1473"/>
  <c r="F1473"/>
  <c r="E1473"/>
  <c r="J1472"/>
  <c r="I1472"/>
  <c r="G1472"/>
  <c r="F1472"/>
  <c r="E1472"/>
  <c r="J1471"/>
  <c r="I1471"/>
  <c r="G1471"/>
  <c r="F1471"/>
  <c r="E1471"/>
  <c r="J1470"/>
  <c r="I1470"/>
  <c r="G1470"/>
  <c r="F1470"/>
  <c r="E1470"/>
  <c r="J1469"/>
  <c r="I1469"/>
  <c r="G1469"/>
  <c r="F1469"/>
  <c r="E1469"/>
  <c r="J1468"/>
  <c r="I1468"/>
  <c r="G1468"/>
  <c r="F1468"/>
  <c r="E1468"/>
  <c r="J1467"/>
  <c r="I1467"/>
  <c r="G1467"/>
  <c r="F1467"/>
  <c r="E1467"/>
  <c r="J1466"/>
  <c r="I1466"/>
  <c r="G1466"/>
  <c r="F1466"/>
  <c r="E1466"/>
  <c r="J1465"/>
  <c r="I1465"/>
  <c r="G1465"/>
  <c r="F1465"/>
  <c r="E1465"/>
  <c r="J1464"/>
  <c r="I1464"/>
  <c r="G1464"/>
  <c r="F1464"/>
  <c r="E1464"/>
  <c r="J1463"/>
  <c r="I1463"/>
  <c r="G1463"/>
  <c r="F1463"/>
  <c r="E1463"/>
  <c r="J1462"/>
  <c r="I1462"/>
  <c r="G1462"/>
  <c r="F1462"/>
  <c r="E1462"/>
  <c r="J1461"/>
  <c r="I1461"/>
  <c r="G1461"/>
  <c r="F1461"/>
  <c r="E1461"/>
  <c r="J1460"/>
  <c r="I1460"/>
  <c r="G1460"/>
  <c r="F1460"/>
  <c r="E1460"/>
  <c r="J1459"/>
  <c r="I1459"/>
  <c r="G1459"/>
  <c r="F1459"/>
  <c r="E1459"/>
  <c r="J1458"/>
  <c r="I1458"/>
  <c r="G1458"/>
  <c r="F1458"/>
  <c r="E1458"/>
  <c r="J1457"/>
  <c r="I1457"/>
  <c r="G1457"/>
  <c r="F1457"/>
  <c r="E1457"/>
  <c r="J1456"/>
  <c r="I1456"/>
  <c r="G1456"/>
  <c r="F1456"/>
  <c r="E1456"/>
  <c r="J1455"/>
  <c r="I1455"/>
  <c r="G1455"/>
  <c r="F1455"/>
  <c r="E1455"/>
  <c r="J1454"/>
  <c r="I1454"/>
  <c r="G1454"/>
  <c r="F1454"/>
  <c r="E1454"/>
  <c r="J1453"/>
  <c r="I1453"/>
  <c r="G1453"/>
  <c r="F1453"/>
  <c r="E1453"/>
  <c r="J1452"/>
  <c r="I1452"/>
  <c r="G1452"/>
  <c r="F1452"/>
  <c r="E1452"/>
  <c r="J1451"/>
  <c r="I1451"/>
  <c r="G1451"/>
  <c r="F1451"/>
  <c r="E1451"/>
  <c r="J1450"/>
  <c r="I1450"/>
  <c r="G1450"/>
  <c r="F1450"/>
  <c r="E1450"/>
  <c r="J1449"/>
  <c r="I1449"/>
  <c r="G1449"/>
  <c r="F1449"/>
  <c r="E1449"/>
  <c r="J1448"/>
  <c r="I1448"/>
  <c r="G1448"/>
  <c r="F1448"/>
  <c r="E1448"/>
  <c r="J1447"/>
  <c r="I1447"/>
  <c r="G1447"/>
  <c r="F1447"/>
  <c r="E1447"/>
  <c r="J1446"/>
  <c r="I1446"/>
  <c r="G1446"/>
  <c r="F1446"/>
  <c r="E1446"/>
  <c r="J1445"/>
  <c r="I1445"/>
  <c r="G1445"/>
  <c r="F1445"/>
  <c r="E1445"/>
  <c r="J1444"/>
  <c r="I1444"/>
  <c r="G1444"/>
  <c r="F1444"/>
  <c r="E1444"/>
  <c r="J1443"/>
  <c r="I1443"/>
  <c r="G1443"/>
  <c r="F1443"/>
  <c r="E1443"/>
  <c r="J1442"/>
  <c r="I1442"/>
  <c r="G1442"/>
  <c r="F1442"/>
  <c r="E1442"/>
  <c r="J1441"/>
  <c r="I1441"/>
  <c r="G1441"/>
  <c r="F1441"/>
  <c r="E1441"/>
  <c r="J1440"/>
  <c r="I1440"/>
  <c r="G1440"/>
  <c r="F1440"/>
  <c r="E1440"/>
  <c r="J1439"/>
  <c r="I1439"/>
  <c r="G1439"/>
  <c r="F1439"/>
  <c r="E1439"/>
  <c r="J1438"/>
  <c r="I1438"/>
  <c r="G1438"/>
  <c r="F1438"/>
  <c r="E1438"/>
  <c r="J1437"/>
  <c r="I1437"/>
  <c r="G1437"/>
  <c r="F1437"/>
  <c r="E1437"/>
  <c r="J1436"/>
  <c r="I1436"/>
  <c r="G1436"/>
  <c r="F1436"/>
  <c r="E1436"/>
  <c r="J1435"/>
  <c r="I1435"/>
  <c r="G1435"/>
  <c r="F1435"/>
  <c r="E1435"/>
  <c r="J1434"/>
  <c r="I1434"/>
  <c r="G1434"/>
  <c r="F1434"/>
  <c r="E1434"/>
  <c r="J1433"/>
  <c r="I1433"/>
  <c r="G1433"/>
  <c r="F1433"/>
  <c r="E1433"/>
  <c r="J1432"/>
  <c r="I1432"/>
  <c r="G1432"/>
  <c r="F1432"/>
  <c r="E1432"/>
  <c r="J1431"/>
  <c r="I1431"/>
  <c r="G1431"/>
  <c r="F1431"/>
  <c r="E1431"/>
  <c r="J1430"/>
  <c r="I1430"/>
  <c r="G1430"/>
  <c r="F1430"/>
  <c r="E1430"/>
  <c r="J1429"/>
  <c r="I1429"/>
  <c r="G1429"/>
  <c r="F1429"/>
  <c r="E1429"/>
  <c r="J1428"/>
  <c r="I1428"/>
  <c r="G1428"/>
  <c r="F1428"/>
  <c r="E1428"/>
  <c r="J1427"/>
  <c r="I1427"/>
  <c r="G1427"/>
  <c r="F1427"/>
  <c r="E1427"/>
  <c r="J1426"/>
  <c r="I1426"/>
  <c r="G1426"/>
  <c r="F1426"/>
  <c r="E1426"/>
  <c r="J1425"/>
  <c r="I1425"/>
  <c r="G1425"/>
  <c r="F1425"/>
  <c r="E1425"/>
  <c r="J1424"/>
  <c r="I1424"/>
  <c r="G1424"/>
  <c r="F1424"/>
  <c r="E1424"/>
  <c r="J1423"/>
  <c r="I1423"/>
  <c r="G1423"/>
  <c r="F1423"/>
  <c r="E1423"/>
  <c r="J1422"/>
  <c r="I1422"/>
  <c r="G1422"/>
  <c r="F1422"/>
  <c r="E1422"/>
  <c r="J1421"/>
  <c r="I1421"/>
  <c r="G1421"/>
  <c r="F1421"/>
  <c r="E1421"/>
  <c r="J1420"/>
  <c r="I1420"/>
  <c r="G1420"/>
  <c r="F1420"/>
  <c r="E1420"/>
  <c r="J1419"/>
  <c r="I1419"/>
  <c r="G1419"/>
  <c r="F1419"/>
  <c r="E1419"/>
  <c r="J1418"/>
  <c r="I1418"/>
  <c r="G1418"/>
  <c r="F1418"/>
  <c r="E1418"/>
  <c r="J1417"/>
  <c r="I1417"/>
  <c r="G1417"/>
  <c r="F1417"/>
  <c r="E1417"/>
  <c r="J1416"/>
  <c r="I1416"/>
  <c r="G1416"/>
  <c r="F1416"/>
  <c r="E1416"/>
  <c r="J1415"/>
  <c r="I1415"/>
  <c r="G1415"/>
  <c r="F1415"/>
  <c r="E1415"/>
  <c r="J1414"/>
  <c r="I1414"/>
  <c r="G1414"/>
  <c r="F1414"/>
  <c r="E1414"/>
  <c r="J1413"/>
  <c r="I1413"/>
  <c r="G1413"/>
  <c r="F1413"/>
  <c r="E1413"/>
  <c r="J1412"/>
  <c r="I1412"/>
  <c r="G1412"/>
  <c r="F1412"/>
  <c r="E1412"/>
  <c r="J1411"/>
  <c r="I1411"/>
  <c r="G1411"/>
  <c r="F1411"/>
  <c r="E1411"/>
  <c r="J1410"/>
  <c r="I1410"/>
  <c r="G1410"/>
  <c r="F1410"/>
  <c r="E1410"/>
  <c r="J1409"/>
  <c r="I1409"/>
  <c r="G1409"/>
  <c r="F1409"/>
  <c r="E1409"/>
  <c r="J1408"/>
  <c r="I1408"/>
  <c r="G1408"/>
  <c r="F1408"/>
  <c r="E1408"/>
  <c r="J1407"/>
  <c r="I1407"/>
  <c r="G1407"/>
  <c r="F1407"/>
  <c r="E1407"/>
  <c r="J1406"/>
  <c r="I1406"/>
  <c r="G1406"/>
  <c r="F1406"/>
  <c r="E1406"/>
  <c r="J1405"/>
  <c r="I1405"/>
  <c r="G1405"/>
  <c r="F1405"/>
  <c r="E1405"/>
  <c r="J1404"/>
  <c r="I1404"/>
  <c r="G1404"/>
  <c r="F1404"/>
  <c r="E1404"/>
  <c r="J1403"/>
  <c r="I1403"/>
  <c r="G1403"/>
  <c r="F1403"/>
  <c r="E1403"/>
  <c r="J1402"/>
  <c r="I1402"/>
  <c r="G1402"/>
  <c r="F1402"/>
  <c r="E1402"/>
  <c r="J1401"/>
  <c r="I1401"/>
  <c r="G1401"/>
  <c r="F1401"/>
  <c r="E1401"/>
  <c r="J1400"/>
  <c r="I1400"/>
  <c r="G1400"/>
  <c r="F1400"/>
  <c r="E1400"/>
  <c r="J1399"/>
  <c r="I1399"/>
  <c r="G1399"/>
  <c r="F1399"/>
  <c r="E1399"/>
  <c r="J1398"/>
  <c r="I1398"/>
  <c r="G1398"/>
  <c r="F1398"/>
  <c r="E1398"/>
  <c r="J1397"/>
  <c r="I1397"/>
  <c r="G1397"/>
  <c r="F1397"/>
  <c r="E1397"/>
  <c r="J1396"/>
  <c r="I1396"/>
  <c r="G1396"/>
  <c r="F1396"/>
  <c r="E1396"/>
  <c r="J1395"/>
  <c r="I1395"/>
  <c r="G1395"/>
  <c r="F1395"/>
  <c r="E1395"/>
  <c r="J1394"/>
  <c r="I1394"/>
  <c r="G1394"/>
  <c r="F1394"/>
  <c r="E1394"/>
  <c r="J1393"/>
  <c r="I1393"/>
  <c r="G1393"/>
  <c r="F1393"/>
  <c r="E1393"/>
  <c r="J1392"/>
  <c r="I1392"/>
  <c r="G1392"/>
  <c r="F1392"/>
  <c r="E1392"/>
  <c r="J1391"/>
  <c r="I1391"/>
  <c r="G1391"/>
  <c r="F1391"/>
  <c r="E1391"/>
  <c r="J1390"/>
  <c r="I1390"/>
  <c r="G1390"/>
  <c r="F1390"/>
  <c r="E1390"/>
  <c r="J1389"/>
  <c r="I1389"/>
  <c r="G1389"/>
  <c r="F1389"/>
  <c r="E1389"/>
  <c r="J1388"/>
  <c r="I1388"/>
  <c r="G1388"/>
  <c r="F1388"/>
  <c r="E1388"/>
  <c r="J1387"/>
  <c r="I1387"/>
  <c r="G1387"/>
  <c r="F1387"/>
  <c r="E1387"/>
  <c r="J1386"/>
  <c r="I1386"/>
  <c r="G1386"/>
  <c r="F1386"/>
  <c r="E1386"/>
  <c r="J1385"/>
  <c r="I1385"/>
  <c r="G1385"/>
  <c r="F1385"/>
  <c r="E1385"/>
  <c r="J1384"/>
  <c r="I1384"/>
  <c r="G1384"/>
  <c r="F1384"/>
  <c r="E1384"/>
  <c r="J1383"/>
  <c r="I1383"/>
  <c r="G1383"/>
  <c r="F1383"/>
  <c r="E1383"/>
  <c r="J1382"/>
  <c r="I1382"/>
  <c r="G1382"/>
  <c r="F1382"/>
  <c r="E1382"/>
  <c r="J1381"/>
  <c r="I1381"/>
  <c r="G1381"/>
  <c r="F1381"/>
  <c r="E1381"/>
  <c r="J1380"/>
  <c r="I1380"/>
  <c r="G1380"/>
  <c r="F1380"/>
  <c r="E1380"/>
  <c r="J1379"/>
  <c r="I1379"/>
  <c r="G1379"/>
  <c r="F1379"/>
  <c r="E1379"/>
  <c r="J1378"/>
  <c r="I1378"/>
  <c r="G1378"/>
  <c r="F1378"/>
  <c r="E1378"/>
  <c r="J1377"/>
  <c r="I1377"/>
  <c r="G1377"/>
  <c r="F1377"/>
  <c r="E1377"/>
  <c r="J1376"/>
  <c r="I1376"/>
  <c r="G1376"/>
  <c r="F1376"/>
  <c r="E1376"/>
  <c r="J1375"/>
  <c r="I1375"/>
  <c r="G1375"/>
  <c r="F1375"/>
  <c r="E1375"/>
  <c r="J1374"/>
  <c r="I1374"/>
  <c r="G1374"/>
  <c r="F1374"/>
  <c r="E1374"/>
  <c r="J1373"/>
  <c r="I1373"/>
  <c r="G1373"/>
  <c r="F1373"/>
  <c r="E1373"/>
  <c r="J1372"/>
  <c r="I1372"/>
  <c r="G1372"/>
  <c r="F1372"/>
  <c r="E1372"/>
  <c r="J1371"/>
  <c r="I1371"/>
  <c r="G1371"/>
  <c r="F1371"/>
  <c r="E1371"/>
  <c r="J1370"/>
  <c r="I1370"/>
  <c r="G1370"/>
  <c r="F1370"/>
  <c r="E1370"/>
  <c r="J1369"/>
  <c r="I1369"/>
  <c r="G1369"/>
  <c r="F1369"/>
  <c r="E1369"/>
  <c r="J1368"/>
  <c r="I1368"/>
  <c r="G1368"/>
  <c r="F1368"/>
  <c r="E1368"/>
  <c r="J1367"/>
  <c r="I1367"/>
  <c r="G1367"/>
  <c r="F1367"/>
  <c r="E1367"/>
  <c r="J1366"/>
  <c r="I1366"/>
  <c r="G1366"/>
  <c r="F1366"/>
  <c r="E1366"/>
  <c r="J1365"/>
  <c r="I1365"/>
  <c r="G1365"/>
  <c r="F1365"/>
  <c r="E1365"/>
  <c r="J1364"/>
  <c r="I1364"/>
  <c r="G1364"/>
  <c r="F1364"/>
  <c r="E1364"/>
  <c r="J1363"/>
  <c r="I1363"/>
  <c r="G1363"/>
  <c r="F1363"/>
  <c r="E1363"/>
  <c r="J1362"/>
  <c r="I1362"/>
  <c r="G1362"/>
  <c r="F1362"/>
  <c r="E1362"/>
  <c r="J1361"/>
  <c r="I1361"/>
  <c r="G1361"/>
  <c r="F1361"/>
  <c r="E1361"/>
  <c r="J1360"/>
  <c r="I1360"/>
  <c r="G1360"/>
  <c r="F1360"/>
  <c r="E1360"/>
  <c r="J1359"/>
  <c r="I1359"/>
  <c r="G1359"/>
  <c r="F1359"/>
  <c r="E1359"/>
  <c r="J1358"/>
  <c r="I1358"/>
  <c r="G1358"/>
  <c r="F1358"/>
  <c r="E1358"/>
  <c r="J1357"/>
  <c r="I1357"/>
  <c r="G1357"/>
  <c r="F1357"/>
  <c r="E1357"/>
  <c r="J1356"/>
  <c r="I1356"/>
  <c r="G1356"/>
  <c r="F1356"/>
  <c r="E1356"/>
  <c r="J1355"/>
  <c r="I1355"/>
  <c r="G1355"/>
  <c r="F1355"/>
  <c r="E1355"/>
  <c r="J1354"/>
  <c r="I1354"/>
  <c r="G1354"/>
  <c r="F1354"/>
  <c r="E1354"/>
  <c r="J1353"/>
  <c r="I1353"/>
  <c r="G1353"/>
  <c r="F1353"/>
  <c r="E1353"/>
  <c r="J1352"/>
  <c r="I1352"/>
  <c r="G1352"/>
  <c r="F1352"/>
  <c r="E1352"/>
  <c r="J1351"/>
  <c r="I1351"/>
  <c r="G1351"/>
  <c r="F1351"/>
  <c r="E1351"/>
  <c r="J1350"/>
  <c r="I1350"/>
  <c r="G1350"/>
  <c r="F1350"/>
  <c r="E1350"/>
  <c r="J1349"/>
  <c r="I1349"/>
  <c r="G1349"/>
  <c r="F1349"/>
  <c r="E1349"/>
  <c r="J1348"/>
  <c r="I1348"/>
  <c r="G1348"/>
  <c r="F1348"/>
  <c r="E1348"/>
  <c r="J1347"/>
  <c r="I1347"/>
  <c r="G1347"/>
  <c r="F1347"/>
  <c r="E1347"/>
  <c r="J1346"/>
  <c r="I1346"/>
  <c r="G1346"/>
  <c r="F1346"/>
  <c r="E1346"/>
  <c r="J1345"/>
  <c r="I1345"/>
  <c r="G1345"/>
  <c r="F1345"/>
  <c r="E1345"/>
  <c r="J1344"/>
  <c r="I1344"/>
  <c r="G1344"/>
  <c r="F1344"/>
  <c r="E1344"/>
  <c r="J1343"/>
  <c r="I1343"/>
  <c r="G1343"/>
  <c r="F1343"/>
  <c r="E1343"/>
  <c r="J1342"/>
  <c r="I1342"/>
  <c r="G1342"/>
  <c r="F1342"/>
  <c r="E1342"/>
  <c r="J1341"/>
  <c r="I1341"/>
  <c r="G1341"/>
  <c r="F1341"/>
  <c r="E1341"/>
  <c r="J1340"/>
  <c r="I1340"/>
  <c r="G1340"/>
  <c r="F1340"/>
  <c r="E1340"/>
  <c r="J1339"/>
  <c r="I1339"/>
  <c r="G1339"/>
  <c r="F1339"/>
  <c r="E1339"/>
  <c r="J1338"/>
  <c r="I1338"/>
  <c r="G1338"/>
  <c r="F1338"/>
  <c r="E1338"/>
  <c r="J1337"/>
  <c r="I1337"/>
  <c r="G1337"/>
  <c r="F1337"/>
  <c r="E1337"/>
  <c r="J1336"/>
  <c r="I1336"/>
  <c r="G1336"/>
  <c r="F1336"/>
  <c r="E1336"/>
  <c r="J1335"/>
  <c r="I1335"/>
  <c r="G1335"/>
  <c r="F1335"/>
  <c r="E1335"/>
  <c r="J1334"/>
  <c r="I1334"/>
  <c r="G1334"/>
  <c r="F1334"/>
  <c r="E1334"/>
  <c r="J1333"/>
  <c r="I1333"/>
  <c r="G1333"/>
  <c r="F1333"/>
  <c r="E1333"/>
  <c r="J1332"/>
  <c r="I1332"/>
  <c r="G1332"/>
  <c r="F1332"/>
  <c r="E1332"/>
  <c r="J1331"/>
  <c r="I1331"/>
  <c r="G1331"/>
  <c r="F1331"/>
  <c r="E1331"/>
  <c r="J1330"/>
  <c r="I1330"/>
  <c r="G1330"/>
  <c r="F1330"/>
  <c r="E1330"/>
  <c r="J1329"/>
  <c r="I1329"/>
  <c r="G1329"/>
  <c r="F1329"/>
  <c r="E1329"/>
  <c r="J1328"/>
  <c r="I1328"/>
  <c r="G1328"/>
  <c r="F1328"/>
  <c r="E1328"/>
  <c r="J1327"/>
  <c r="I1327"/>
  <c r="G1327"/>
  <c r="F1327"/>
  <c r="E1327"/>
  <c r="J1326"/>
  <c r="I1326"/>
  <c r="G1326"/>
  <c r="F1326"/>
  <c r="E1326"/>
  <c r="J1325"/>
  <c r="I1325"/>
  <c r="G1325"/>
  <c r="F1325"/>
  <c r="E1325"/>
  <c r="J1324"/>
  <c r="I1324"/>
  <c r="G1324"/>
  <c r="F1324"/>
  <c r="E1324"/>
  <c r="J1323"/>
  <c r="I1323"/>
  <c r="G1323"/>
  <c r="F1323"/>
  <c r="E1323"/>
  <c r="J1322"/>
  <c r="I1322"/>
  <c r="G1322"/>
  <c r="F1322"/>
  <c r="E1322"/>
  <c r="J1321"/>
  <c r="I1321"/>
  <c r="G1321"/>
  <c r="F1321"/>
  <c r="E1321"/>
  <c r="J1320"/>
  <c r="I1320"/>
  <c r="G1320"/>
  <c r="F1320"/>
  <c r="E1320"/>
  <c r="J1319"/>
  <c r="I1319"/>
  <c r="G1319"/>
  <c r="F1319"/>
  <c r="E1319"/>
  <c r="J1318"/>
  <c r="I1318"/>
  <c r="G1318"/>
  <c r="F1318"/>
  <c r="E1318"/>
  <c r="J1317"/>
  <c r="I1317"/>
  <c r="G1317"/>
  <c r="F1317"/>
  <c r="E1317"/>
  <c r="J1316"/>
  <c r="I1316"/>
  <c r="G1316"/>
  <c r="F1316"/>
  <c r="E1316"/>
  <c r="J1315"/>
  <c r="I1315"/>
  <c r="G1315"/>
  <c r="F1315"/>
  <c r="E1315"/>
  <c r="J1314"/>
  <c r="I1314"/>
  <c r="G1314"/>
  <c r="F1314"/>
  <c r="E1314"/>
  <c r="J1313"/>
  <c r="I1313"/>
  <c r="G1313"/>
  <c r="F1313"/>
  <c r="E1313"/>
  <c r="J1312"/>
  <c r="I1312"/>
  <c r="G1312"/>
  <c r="F1312"/>
  <c r="E1312"/>
  <c r="J1311"/>
  <c r="I1311"/>
  <c r="G1311"/>
  <c r="F1311"/>
  <c r="E1311"/>
  <c r="J1310"/>
  <c r="I1310"/>
  <c r="G1310"/>
  <c r="F1310"/>
  <c r="E1310"/>
  <c r="J1309"/>
  <c r="I1309"/>
  <c r="G1309"/>
  <c r="F1309"/>
  <c r="E1309"/>
  <c r="J1308"/>
  <c r="I1308"/>
  <c r="G1308"/>
  <c r="F1308"/>
  <c r="E1308"/>
  <c r="J1307"/>
  <c r="I1307"/>
  <c r="G1307"/>
  <c r="F1307"/>
  <c r="E1307"/>
  <c r="J1306"/>
  <c r="I1306"/>
  <c r="G1306"/>
  <c r="F1306"/>
  <c r="E1306"/>
  <c r="J1305"/>
  <c r="I1305"/>
  <c r="G1305"/>
  <c r="F1305"/>
  <c r="E1305"/>
  <c r="J1304"/>
  <c r="I1304"/>
  <c r="G1304"/>
  <c r="F1304"/>
  <c r="E1304"/>
  <c r="J1303"/>
  <c r="I1303"/>
  <c r="G1303"/>
  <c r="F1303"/>
  <c r="E1303"/>
  <c r="J1302"/>
  <c r="I1302"/>
  <c r="G1302"/>
  <c r="F1302"/>
  <c r="E1302"/>
  <c r="J1301"/>
  <c r="I1301"/>
  <c r="G1301"/>
  <c r="F1301"/>
  <c r="E1301"/>
  <c r="J1300"/>
  <c r="I1300"/>
  <c r="G1300"/>
  <c r="F1300"/>
  <c r="E1300"/>
  <c r="J1299"/>
  <c r="I1299"/>
  <c r="G1299"/>
  <c r="F1299"/>
  <c r="E1299"/>
  <c r="J1298"/>
  <c r="I1298"/>
  <c r="G1298"/>
  <c r="F1298"/>
  <c r="E1298"/>
  <c r="J1297"/>
  <c r="I1297"/>
  <c r="G1297"/>
  <c r="F1297"/>
  <c r="E1297"/>
  <c r="J1296"/>
  <c r="I1296"/>
  <c r="G1296"/>
  <c r="F1296"/>
  <c r="E1296"/>
  <c r="J1295"/>
  <c r="I1295"/>
  <c r="G1295"/>
  <c r="F1295"/>
  <c r="E1295"/>
  <c r="J1294"/>
  <c r="I1294"/>
  <c r="G1294"/>
  <c r="F1294"/>
  <c r="E1294"/>
  <c r="J1293"/>
  <c r="I1293"/>
  <c r="G1293"/>
  <c r="F1293"/>
  <c r="E1293"/>
  <c r="J1292"/>
  <c r="I1292"/>
  <c r="G1292"/>
  <c r="F1292"/>
  <c r="E1292"/>
  <c r="J1291"/>
  <c r="I1291"/>
  <c r="G1291"/>
  <c r="F1291"/>
  <c r="E1291"/>
  <c r="J1290"/>
  <c r="I1290"/>
  <c r="G1290"/>
  <c r="F1290"/>
  <c r="E1290"/>
  <c r="J1289"/>
  <c r="I1289"/>
  <c r="G1289"/>
  <c r="F1289"/>
  <c r="E1289"/>
  <c r="J1288"/>
  <c r="I1288"/>
  <c r="G1288"/>
  <c r="F1288"/>
  <c r="E1288"/>
  <c r="J1287"/>
  <c r="I1287"/>
  <c r="G1287"/>
  <c r="F1287"/>
  <c r="E1287"/>
  <c r="J1286"/>
  <c r="I1286"/>
  <c r="G1286"/>
  <c r="F1286"/>
  <c r="E1286"/>
  <c r="J1285"/>
  <c r="I1285"/>
  <c r="G1285"/>
  <c r="F1285"/>
  <c r="E1285"/>
  <c r="J1284"/>
  <c r="I1284"/>
  <c r="G1284"/>
  <c r="F1284"/>
  <c r="E1284"/>
  <c r="J1283"/>
  <c r="I1283"/>
  <c r="G1283"/>
  <c r="F1283"/>
  <c r="E1283"/>
  <c r="J1282"/>
  <c r="I1282"/>
  <c r="G1282"/>
  <c r="F1282"/>
  <c r="E1282"/>
  <c r="J1281"/>
  <c r="I1281"/>
  <c r="G1281"/>
  <c r="F1281"/>
  <c r="E1281"/>
  <c r="J1280"/>
  <c r="I1280"/>
  <c r="G1280"/>
  <c r="F1280"/>
  <c r="E1280"/>
  <c r="J1279"/>
  <c r="I1279"/>
  <c r="G1279"/>
  <c r="F1279"/>
  <c r="E1279"/>
  <c r="J1278"/>
  <c r="I1278"/>
  <c r="G1278"/>
  <c r="F1278"/>
  <c r="E1278"/>
  <c r="J1277"/>
  <c r="I1277"/>
  <c r="G1277"/>
  <c r="F1277"/>
  <c r="E1277"/>
  <c r="J1276"/>
  <c r="I1276"/>
  <c r="G1276"/>
  <c r="F1276"/>
  <c r="E1276"/>
  <c r="J1275"/>
  <c r="I1275"/>
  <c r="G1275"/>
  <c r="F1275"/>
  <c r="E1275"/>
  <c r="J1274"/>
  <c r="I1274"/>
  <c r="G1274"/>
  <c r="F1274"/>
  <c r="E1274"/>
  <c r="J1273"/>
  <c r="I1273"/>
  <c r="G1273"/>
  <c r="F1273"/>
  <c r="E1273"/>
  <c r="J1272"/>
  <c r="I1272"/>
  <c r="G1272"/>
  <c r="F1272"/>
  <c r="E1272"/>
  <c r="J1271"/>
  <c r="I1271"/>
  <c r="G1271"/>
  <c r="F1271"/>
  <c r="E1271"/>
  <c r="J1270"/>
  <c r="I1270"/>
  <c r="G1270"/>
  <c r="F1270"/>
  <c r="E1270"/>
  <c r="J1269"/>
  <c r="I1269"/>
  <c r="G1269"/>
  <c r="F1269"/>
  <c r="E1269"/>
  <c r="J1268"/>
  <c r="I1268"/>
  <c r="G1268"/>
  <c r="F1268"/>
  <c r="E1268"/>
  <c r="J1267"/>
  <c r="I1267"/>
  <c r="G1267"/>
  <c r="F1267"/>
  <c r="E1267"/>
  <c r="J1266"/>
  <c r="I1266"/>
  <c r="G1266"/>
  <c r="F1266"/>
  <c r="E1266"/>
  <c r="J1265"/>
  <c r="I1265"/>
  <c r="G1265"/>
  <c r="F1265"/>
  <c r="E1265"/>
  <c r="J1264"/>
  <c r="I1264"/>
  <c r="G1264"/>
  <c r="F1264"/>
  <c r="E1264"/>
  <c r="J1263"/>
  <c r="I1263"/>
  <c r="G1263"/>
  <c r="F1263"/>
  <c r="E1263"/>
  <c r="J1262"/>
  <c r="I1262"/>
  <c r="G1262"/>
  <c r="F1262"/>
  <c r="E1262"/>
  <c r="J1261"/>
  <c r="I1261"/>
  <c r="G1261"/>
  <c r="F1261"/>
  <c r="E1261"/>
  <c r="J1260"/>
  <c r="I1260"/>
  <c r="G1260"/>
  <c r="F1260"/>
  <c r="E1260"/>
  <c r="J1259"/>
  <c r="I1259"/>
  <c r="G1259"/>
  <c r="F1259"/>
  <c r="E1259"/>
  <c r="J1258"/>
  <c r="I1258"/>
  <c r="G1258"/>
  <c r="F1258"/>
  <c r="E1258"/>
  <c r="J1257"/>
  <c r="I1257"/>
  <c r="G1257"/>
  <c r="F1257"/>
  <c r="E1257"/>
  <c r="J1256"/>
  <c r="I1256"/>
  <c r="G1256"/>
  <c r="F1256"/>
  <c r="E1256"/>
  <c r="J1255"/>
  <c r="I1255"/>
  <c r="G1255"/>
  <c r="F1255"/>
  <c r="E1255"/>
  <c r="J1254"/>
  <c r="I1254"/>
  <c r="G1254"/>
  <c r="F1254"/>
  <c r="E1254"/>
  <c r="J1253"/>
  <c r="I1253"/>
  <c r="G1253"/>
  <c r="F1253"/>
  <c r="E1253"/>
  <c r="J1252"/>
  <c r="I1252"/>
  <c r="G1252"/>
  <c r="F1252"/>
  <c r="E1252"/>
  <c r="J1251"/>
  <c r="I1251"/>
  <c r="G1251"/>
  <c r="F1251"/>
  <c r="E1251"/>
  <c r="J1250"/>
  <c r="I1250"/>
  <c r="G1250"/>
  <c r="F1250"/>
  <c r="E1250"/>
  <c r="J1249"/>
  <c r="I1249"/>
  <c r="G1249"/>
  <c r="F1249"/>
  <c r="E1249"/>
  <c r="J1248"/>
  <c r="I1248"/>
  <c r="G1248"/>
  <c r="F1248"/>
  <c r="E1248"/>
  <c r="J1247"/>
  <c r="I1247"/>
  <c r="G1247"/>
  <c r="F1247"/>
  <c r="E1247"/>
  <c r="J1246"/>
  <c r="I1246"/>
  <c r="G1246"/>
  <c r="F1246"/>
  <c r="E1246"/>
  <c r="J1245"/>
  <c r="I1245"/>
  <c r="G1245"/>
  <c r="F1245"/>
  <c r="E1245"/>
  <c r="J1244"/>
  <c r="I1244"/>
  <c r="G1244"/>
  <c r="F1244"/>
  <c r="E1244"/>
  <c r="J1243"/>
  <c r="I1243"/>
  <c r="G1243"/>
  <c r="F1243"/>
  <c r="E1243"/>
  <c r="J1242"/>
  <c r="I1242"/>
  <c r="G1242"/>
  <c r="F1242"/>
  <c r="E1242"/>
  <c r="J1241"/>
  <c r="I1241"/>
  <c r="G1241"/>
  <c r="F1241"/>
  <c r="E1241"/>
  <c r="J1240"/>
  <c r="I1240"/>
  <c r="G1240"/>
  <c r="F1240"/>
  <c r="E1240"/>
  <c r="J1239"/>
  <c r="I1239"/>
  <c r="G1239"/>
  <c r="F1239"/>
  <c r="E1239"/>
  <c r="J1238"/>
  <c r="I1238"/>
  <c r="G1238"/>
  <c r="F1238"/>
  <c r="E1238"/>
  <c r="J1237"/>
  <c r="I1237"/>
  <c r="G1237"/>
  <c r="F1237"/>
  <c r="E1237"/>
  <c r="J1236"/>
  <c r="I1236"/>
  <c r="G1236"/>
  <c r="F1236"/>
  <c r="E1236"/>
  <c r="J1235"/>
  <c r="I1235"/>
  <c r="G1235"/>
  <c r="F1235"/>
  <c r="E1235"/>
  <c r="J1234"/>
  <c r="I1234"/>
  <c r="G1234"/>
  <c r="F1234"/>
  <c r="E1234"/>
  <c r="J1233"/>
  <c r="I1233"/>
  <c r="G1233"/>
  <c r="F1233"/>
  <c r="E1233"/>
  <c r="J1232"/>
  <c r="I1232"/>
  <c r="G1232"/>
  <c r="F1232"/>
  <c r="E1232"/>
  <c r="J1231"/>
  <c r="I1231"/>
  <c r="G1231"/>
  <c r="F1231"/>
  <c r="E1231"/>
  <c r="J1230"/>
  <c r="I1230"/>
  <c r="G1230"/>
  <c r="F1230"/>
  <c r="E1230"/>
  <c r="J1229"/>
  <c r="I1229"/>
  <c r="G1229"/>
  <c r="F1229"/>
  <c r="E1229"/>
  <c r="J1228"/>
  <c r="I1228"/>
  <c r="G1228"/>
  <c r="F1228"/>
  <c r="E1228"/>
  <c r="J1227"/>
  <c r="I1227"/>
  <c r="G1227"/>
  <c r="F1227"/>
  <c r="E1227"/>
  <c r="J1226"/>
  <c r="I1226"/>
  <c r="G1226"/>
  <c r="F1226"/>
  <c r="E1226"/>
  <c r="J1225"/>
  <c r="I1225"/>
  <c r="G1225"/>
  <c r="F1225"/>
  <c r="E1225"/>
  <c r="J1224"/>
  <c r="I1224"/>
  <c r="G1224"/>
  <c r="F1224"/>
  <c r="E1224"/>
  <c r="J1223"/>
  <c r="I1223"/>
  <c r="G1223"/>
  <c r="F1223"/>
  <c r="E1223"/>
  <c r="J1222"/>
  <c r="I1222"/>
  <c r="G1222"/>
  <c r="F1222"/>
  <c r="E1222"/>
  <c r="J1221"/>
  <c r="I1221"/>
  <c r="G1221"/>
  <c r="F1221"/>
  <c r="E1221"/>
  <c r="J1220"/>
  <c r="I1220"/>
  <c r="G1220"/>
  <c r="F1220"/>
  <c r="E1220"/>
  <c r="J1219"/>
  <c r="I1219"/>
  <c r="G1219"/>
  <c r="F1219"/>
  <c r="E1219"/>
  <c r="J1218"/>
  <c r="I1218"/>
  <c r="G1218"/>
  <c r="F1218"/>
  <c r="E1218"/>
  <c r="J1217"/>
  <c r="I1217"/>
  <c r="G1217"/>
  <c r="F1217"/>
  <c r="E1217"/>
  <c r="J1216"/>
  <c r="I1216"/>
  <c r="G1216"/>
  <c r="F1216"/>
  <c r="E1216"/>
  <c r="J1215"/>
  <c r="I1215"/>
  <c r="G1215"/>
  <c r="F1215"/>
  <c r="E1215"/>
  <c r="J1214"/>
  <c r="I1214"/>
  <c r="G1214"/>
  <c r="F1214"/>
  <c r="E1214"/>
  <c r="J1213"/>
  <c r="I1213"/>
  <c r="G1213"/>
  <c r="F1213"/>
  <c r="E1213"/>
  <c r="J1212"/>
  <c r="I1212"/>
  <c r="G1212"/>
  <c r="F1212"/>
  <c r="E1212"/>
  <c r="J1211"/>
  <c r="I1211"/>
  <c r="G1211"/>
  <c r="F1211"/>
  <c r="E1211"/>
  <c r="J1210"/>
  <c r="I1210"/>
  <c r="G1210"/>
  <c r="F1210"/>
  <c r="E1210"/>
  <c r="J1209"/>
  <c r="I1209"/>
  <c r="G1209"/>
  <c r="F1209"/>
  <c r="E1209"/>
  <c r="J1208"/>
  <c r="I1208"/>
  <c r="G1208"/>
  <c r="F1208"/>
  <c r="E1208"/>
  <c r="J1207"/>
  <c r="I1207"/>
  <c r="G1207"/>
  <c r="F1207"/>
  <c r="E1207"/>
  <c r="J1206"/>
  <c r="I1206"/>
  <c r="G1206"/>
  <c r="F1206"/>
  <c r="E1206"/>
  <c r="J1205"/>
  <c r="I1205"/>
  <c r="G1205"/>
  <c r="F1205"/>
  <c r="E1205"/>
  <c r="J1204"/>
  <c r="I1204"/>
  <c r="G1204"/>
  <c r="F1204"/>
  <c r="E1204"/>
  <c r="J1203"/>
  <c r="I1203"/>
  <c r="G1203"/>
  <c r="F1203"/>
  <c r="E1203"/>
  <c r="J1202"/>
  <c r="I1202"/>
  <c r="G1202"/>
  <c r="F1202"/>
  <c r="E1202"/>
  <c r="J1201"/>
  <c r="I1201"/>
  <c r="G1201"/>
  <c r="F1201"/>
  <c r="E1201"/>
  <c r="J1200"/>
  <c r="I1200"/>
  <c r="G1200"/>
  <c r="F1200"/>
  <c r="E1200"/>
  <c r="J1199"/>
  <c r="I1199"/>
  <c r="G1199"/>
  <c r="F1199"/>
  <c r="E1199"/>
  <c r="J1198"/>
  <c r="I1198"/>
  <c r="G1198"/>
  <c r="F1198"/>
  <c r="E1198"/>
  <c r="J1197"/>
  <c r="I1197"/>
  <c r="G1197"/>
  <c r="F1197"/>
  <c r="E1197"/>
  <c r="J1196"/>
  <c r="I1196"/>
  <c r="G1196"/>
  <c r="F1196"/>
  <c r="E1196"/>
  <c r="J1195"/>
  <c r="I1195"/>
  <c r="G1195"/>
  <c r="F1195"/>
  <c r="E1195"/>
  <c r="J1194"/>
  <c r="I1194"/>
  <c r="G1194"/>
  <c r="F1194"/>
  <c r="E1194"/>
  <c r="J1193"/>
  <c r="I1193"/>
  <c r="G1193"/>
  <c r="F1193"/>
  <c r="E1193"/>
  <c r="J1192"/>
  <c r="I1192"/>
  <c r="G1192"/>
  <c r="F1192"/>
  <c r="E1192"/>
  <c r="J1191"/>
  <c r="I1191"/>
  <c r="G1191"/>
  <c r="F1191"/>
  <c r="E1191"/>
  <c r="J1190"/>
  <c r="I1190"/>
  <c r="G1190"/>
  <c r="F1190"/>
  <c r="E1190"/>
  <c r="J1189"/>
  <c r="I1189"/>
  <c r="G1189"/>
  <c r="F1189"/>
  <c r="E1189"/>
  <c r="J1188"/>
  <c r="I1188"/>
  <c r="G1188"/>
  <c r="F1188"/>
  <c r="E1188"/>
  <c r="J1187"/>
  <c r="I1187"/>
  <c r="G1187"/>
  <c r="F1187"/>
  <c r="E1187"/>
  <c r="J1186"/>
  <c r="I1186"/>
  <c r="G1186"/>
  <c r="F1186"/>
  <c r="E1186"/>
  <c r="J1185"/>
  <c r="I1185"/>
  <c r="G1185"/>
  <c r="F1185"/>
  <c r="E1185"/>
  <c r="J1184"/>
  <c r="I1184"/>
  <c r="G1184"/>
  <c r="F1184"/>
  <c r="E1184"/>
  <c r="J1183"/>
  <c r="I1183"/>
  <c r="G1183"/>
  <c r="F1183"/>
  <c r="E1183"/>
  <c r="J1182"/>
  <c r="I1182"/>
  <c r="G1182"/>
  <c r="F1182"/>
  <c r="E1182"/>
  <c r="J1181"/>
  <c r="I1181"/>
  <c r="G1181"/>
  <c r="F1181"/>
  <c r="E1181"/>
  <c r="J1180"/>
  <c r="I1180"/>
  <c r="G1180"/>
  <c r="F1180"/>
  <c r="E1180"/>
  <c r="J1179"/>
  <c r="I1179"/>
  <c r="G1179"/>
  <c r="F1179"/>
  <c r="E1179"/>
  <c r="J1178"/>
  <c r="I1178"/>
  <c r="G1178"/>
  <c r="F1178"/>
  <c r="E1178"/>
  <c r="J1177"/>
  <c r="I1177"/>
  <c r="G1177"/>
  <c r="F1177"/>
  <c r="E1177"/>
  <c r="J1176"/>
  <c r="I1176"/>
  <c r="G1176"/>
  <c r="F1176"/>
  <c r="E1176"/>
  <c r="J1175"/>
  <c r="I1175"/>
  <c r="G1175"/>
  <c r="F1175"/>
  <c r="E1175"/>
  <c r="J1174"/>
  <c r="I1174"/>
  <c r="G1174"/>
  <c r="F1174"/>
  <c r="E1174"/>
  <c r="J1173"/>
  <c r="I1173"/>
  <c r="G1173"/>
  <c r="F1173"/>
  <c r="E1173"/>
  <c r="J1172"/>
  <c r="I1172"/>
  <c r="G1172"/>
  <c r="F1172"/>
  <c r="E1172"/>
  <c r="J1171"/>
  <c r="I1171"/>
  <c r="G1171"/>
  <c r="F1171"/>
  <c r="E1171"/>
  <c r="J1170"/>
  <c r="I1170"/>
  <c r="G1170"/>
  <c r="F1170"/>
  <c r="E1170"/>
  <c r="J1169"/>
  <c r="I1169"/>
  <c r="G1169"/>
  <c r="F1169"/>
  <c r="E1169"/>
  <c r="J1168"/>
  <c r="I1168"/>
  <c r="G1168"/>
  <c r="F1168"/>
  <c r="E1168"/>
  <c r="J1167"/>
  <c r="I1167"/>
  <c r="G1167"/>
  <c r="F1167"/>
  <c r="E1167"/>
  <c r="J1166"/>
  <c r="I1166"/>
  <c r="G1166"/>
  <c r="F1166"/>
  <c r="E1166"/>
  <c r="J1165"/>
  <c r="I1165"/>
  <c r="G1165"/>
  <c r="F1165"/>
  <c r="E1165"/>
  <c r="J1164"/>
  <c r="I1164"/>
  <c r="G1164"/>
  <c r="F1164"/>
  <c r="E1164"/>
  <c r="J1163"/>
  <c r="I1163"/>
  <c r="G1163"/>
  <c r="F1163"/>
  <c r="E1163"/>
  <c r="J1162"/>
  <c r="I1162"/>
  <c r="G1162"/>
  <c r="F1162"/>
  <c r="E1162"/>
  <c r="J1161"/>
  <c r="I1161"/>
  <c r="G1161"/>
  <c r="F1161"/>
  <c r="E1161"/>
  <c r="J1160"/>
  <c r="I1160"/>
  <c r="G1160"/>
  <c r="F1160"/>
  <c r="E1160"/>
  <c r="J1159"/>
  <c r="I1159"/>
  <c r="G1159"/>
  <c r="F1159"/>
  <c r="E1159"/>
  <c r="J1158"/>
  <c r="I1158"/>
  <c r="G1158"/>
  <c r="F1158"/>
  <c r="E1158"/>
  <c r="J1157"/>
  <c r="I1157"/>
  <c r="G1157"/>
  <c r="F1157"/>
  <c r="E1157"/>
  <c r="J1156"/>
  <c r="I1156"/>
  <c r="G1156"/>
  <c r="F1156"/>
  <c r="E1156"/>
  <c r="J1155"/>
  <c r="I1155"/>
  <c r="G1155"/>
  <c r="F1155"/>
  <c r="E1155"/>
  <c r="J1154"/>
  <c r="I1154"/>
  <c r="G1154"/>
  <c r="F1154"/>
  <c r="E1154"/>
  <c r="J1153"/>
  <c r="I1153"/>
  <c r="G1153"/>
  <c r="F1153"/>
  <c r="E1153"/>
  <c r="J1152"/>
  <c r="I1152"/>
  <c r="G1152"/>
  <c r="F1152"/>
  <c r="E1152"/>
  <c r="J1151"/>
  <c r="I1151"/>
  <c r="G1151"/>
  <c r="F1151"/>
  <c r="E1151"/>
  <c r="J1150"/>
  <c r="I1150"/>
  <c r="G1150"/>
  <c r="F1150"/>
  <c r="E1150"/>
  <c r="J1149"/>
  <c r="I1149"/>
  <c r="G1149"/>
  <c r="F1149"/>
  <c r="E1149"/>
  <c r="J1148"/>
  <c r="I1148"/>
  <c r="G1148"/>
  <c r="F1148"/>
  <c r="E1148"/>
  <c r="J1147"/>
  <c r="I1147"/>
  <c r="G1147"/>
  <c r="F1147"/>
  <c r="E1147"/>
  <c r="J1146"/>
  <c r="I1146"/>
  <c r="G1146"/>
  <c r="F1146"/>
  <c r="E1146"/>
  <c r="J1145"/>
  <c r="I1145"/>
  <c r="G1145"/>
  <c r="F1145"/>
  <c r="E1145"/>
  <c r="J1144"/>
  <c r="I1144"/>
  <c r="G1144"/>
  <c r="F1144"/>
  <c r="E1144"/>
  <c r="J1143"/>
  <c r="I1143"/>
  <c r="G1143"/>
  <c r="F1143"/>
  <c r="E1143"/>
  <c r="J1142"/>
  <c r="I1142"/>
  <c r="G1142"/>
  <c r="F1142"/>
  <c r="E1142"/>
  <c r="J1141"/>
  <c r="I1141"/>
  <c r="G1141"/>
  <c r="F1141"/>
  <c r="E1141"/>
  <c r="J1140"/>
  <c r="I1140"/>
  <c r="G1140"/>
  <c r="F1140"/>
  <c r="E1140"/>
  <c r="J1139"/>
  <c r="I1139"/>
  <c r="G1139"/>
  <c r="F1139"/>
  <c r="E1139"/>
  <c r="J1138"/>
  <c r="I1138"/>
  <c r="G1138"/>
  <c r="F1138"/>
  <c r="E1138"/>
  <c r="J1137"/>
  <c r="I1137"/>
  <c r="G1137"/>
  <c r="F1137"/>
  <c r="E1137"/>
  <c r="J1136"/>
  <c r="I1136"/>
  <c r="G1136"/>
  <c r="F1136"/>
  <c r="E1136"/>
  <c r="J1135"/>
  <c r="I1135"/>
  <c r="G1135"/>
  <c r="F1135"/>
  <c r="E1135"/>
  <c r="J1134"/>
  <c r="I1134"/>
  <c r="G1134"/>
  <c r="F1134"/>
  <c r="E1134"/>
  <c r="J1133"/>
  <c r="I1133"/>
  <c r="G1133"/>
  <c r="F1133"/>
  <c r="E1133"/>
  <c r="J1132"/>
  <c r="I1132"/>
  <c r="G1132"/>
  <c r="F1132"/>
  <c r="E1132"/>
  <c r="J1131"/>
  <c r="I1131"/>
  <c r="G1131"/>
  <c r="F1131"/>
  <c r="E1131"/>
  <c r="J1130"/>
  <c r="I1130"/>
  <c r="G1130"/>
  <c r="F1130"/>
  <c r="E1130"/>
  <c r="J1129"/>
  <c r="I1129"/>
  <c r="G1129"/>
  <c r="F1129"/>
  <c r="E1129"/>
  <c r="J1128"/>
  <c r="I1128"/>
  <c r="G1128"/>
  <c r="F1128"/>
  <c r="E1128"/>
  <c r="J1127"/>
  <c r="I1127"/>
  <c r="G1127"/>
  <c r="F1127"/>
  <c r="E1127"/>
  <c r="J1126"/>
  <c r="I1126"/>
  <c r="G1126"/>
  <c r="F1126"/>
  <c r="E1126"/>
  <c r="J1125"/>
  <c r="I1125"/>
  <c r="G1125"/>
  <c r="F1125"/>
  <c r="E1125"/>
  <c r="J1124"/>
  <c r="I1124"/>
  <c r="G1124"/>
  <c r="F1124"/>
  <c r="E1124"/>
  <c r="J1123"/>
  <c r="I1123"/>
  <c r="G1123"/>
  <c r="F1123"/>
  <c r="E1123"/>
  <c r="J1122"/>
  <c r="I1122"/>
  <c r="G1122"/>
  <c r="F1122"/>
  <c r="E1122"/>
  <c r="J1121"/>
  <c r="I1121"/>
  <c r="G1121"/>
  <c r="F1121"/>
  <c r="E1121"/>
  <c r="J1120"/>
  <c r="I1120"/>
  <c r="G1120"/>
  <c r="F1120"/>
  <c r="E1120"/>
  <c r="J1119"/>
  <c r="I1119"/>
  <c r="G1119"/>
  <c r="F1119"/>
  <c r="E1119"/>
  <c r="J1118"/>
  <c r="I1118"/>
  <c r="G1118"/>
  <c r="F1118"/>
  <c r="E1118"/>
  <c r="J1117"/>
  <c r="I1117"/>
  <c r="G1117"/>
  <c r="F1117"/>
  <c r="E1117"/>
  <c r="J1116"/>
  <c r="I1116"/>
  <c r="G1116"/>
  <c r="F1116"/>
  <c r="E1116"/>
  <c r="J1115"/>
  <c r="I1115"/>
  <c r="G1115"/>
  <c r="F1115"/>
  <c r="E1115"/>
  <c r="J1114"/>
  <c r="I1114"/>
  <c r="G1114"/>
  <c r="F1114"/>
  <c r="E1114"/>
  <c r="J1113"/>
  <c r="I1113"/>
  <c r="G1113"/>
  <c r="F1113"/>
  <c r="E1113"/>
  <c r="J1112"/>
  <c r="I1112"/>
  <c r="G1112"/>
  <c r="F1112"/>
  <c r="E1112"/>
  <c r="J1111"/>
  <c r="I1111"/>
  <c r="G1111"/>
  <c r="F1111"/>
  <c r="E1111"/>
  <c r="J1110"/>
  <c r="I1110"/>
  <c r="G1110"/>
  <c r="F1110"/>
  <c r="E1110"/>
  <c r="J1109"/>
  <c r="I1109"/>
  <c r="G1109"/>
  <c r="F1109"/>
  <c r="E1109"/>
  <c r="J1108"/>
  <c r="I1108"/>
  <c r="G1108"/>
  <c r="F1108"/>
  <c r="E1108"/>
  <c r="J1107"/>
  <c r="I1107"/>
  <c r="G1107"/>
  <c r="F1107"/>
  <c r="E1107"/>
  <c r="J1106"/>
  <c r="I1106"/>
  <c r="G1106"/>
  <c r="F1106"/>
  <c r="E1106"/>
  <c r="J1105"/>
  <c r="I1105"/>
  <c r="G1105"/>
  <c r="F1105"/>
  <c r="E1105"/>
  <c r="J1104"/>
  <c r="I1104"/>
  <c r="G1104"/>
  <c r="F1104"/>
  <c r="E1104"/>
  <c r="J1103"/>
  <c r="I1103"/>
  <c r="G1103"/>
  <c r="F1103"/>
  <c r="E1103"/>
  <c r="J1102"/>
  <c r="I1102"/>
  <c r="G1102"/>
  <c r="F1102"/>
  <c r="E1102"/>
  <c r="J1101"/>
  <c r="I1101"/>
  <c r="G1101"/>
  <c r="F1101"/>
  <c r="E1101"/>
  <c r="J1100"/>
  <c r="I1100"/>
  <c r="G1100"/>
  <c r="F1100"/>
  <c r="E1100"/>
  <c r="J1099"/>
  <c r="I1099"/>
  <c r="G1099"/>
  <c r="F1099"/>
  <c r="E1099"/>
  <c r="J1098"/>
  <c r="I1098"/>
  <c r="G1098"/>
  <c r="F1098"/>
  <c r="E1098"/>
  <c r="J1097"/>
  <c r="I1097"/>
  <c r="G1097"/>
  <c r="F1097"/>
  <c r="E1097"/>
  <c r="J1096"/>
  <c r="I1096"/>
  <c r="G1096"/>
  <c r="F1096"/>
  <c r="E1096"/>
  <c r="J1095"/>
  <c r="I1095"/>
  <c r="G1095"/>
  <c r="F1095"/>
  <c r="E1095"/>
  <c r="J1094"/>
  <c r="I1094"/>
  <c r="G1094"/>
  <c r="F1094"/>
  <c r="E1094"/>
  <c r="J1093"/>
  <c r="I1093"/>
  <c r="G1093"/>
  <c r="F1093"/>
  <c r="E1093"/>
  <c r="J1092"/>
  <c r="I1092"/>
  <c r="G1092"/>
  <c r="F1092"/>
  <c r="E1092"/>
  <c r="J1091"/>
  <c r="I1091"/>
  <c r="G1091"/>
  <c r="F1091"/>
  <c r="E1091"/>
  <c r="J1090"/>
  <c r="I1090"/>
  <c r="G1090"/>
  <c r="F1090"/>
  <c r="E1090"/>
  <c r="J1089"/>
  <c r="I1089"/>
  <c r="G1089"/>
  <c r="F1089"/>
  <c r="E1089"/>
  <c r="J1088"/>
  <c r="I1088"/>
  <c r="G1088"/>
  <c r="F1088"/>
  <c r="E1088"/>
  <c r="J1087"/>
  <c r="I1087"/>
  <c r="G1087"/>
  <c r="F1087"/>
  <c r="E1087"/>
  <c r="J1086"/>
  <c r="I1086"/>
  <c r="G1086"/>
  <c r="F1086"/>
  <c r="E1086"/>
  <c r="J1085"/>
  <c r="I1085"/>
  <c r="G1085"/>
  <c r="F1085"/>
  <c r="E1085"/>
  <c r="J1084"/>
  <c r="I1084"/>
  <c r="G1084"/>
  <c r="F1084"/>
  <c r="E1084"/>
  <c r="J1083"/>
  <c r="I1083"/>
  <c r="G1083"/>
  <c r="F1083"/>
  <c r="E1083"/>
  <c r="J1082"/>
  <c r="I1082"/>
  <c r="G1082"/>
  <c r="F1082"/>
  <c r="E1082"/>
  <c r="J1081"/>
  <c r="I1081"/>
  <c r="G1081"/>
  <c r="F1081"/>
  <c r="E1081"/>
  <c r="J1080"/>
  <c r="I1080"/>
  <c r="G1080"/>
  <c r="F1080"/>
  <c r="E1080"/>
  <c r="J1079"/>
  <c r="I1079"/>
  <c r="G1079"/>
  <c r="F1079"/>
  <c r="E1079"/>
  <c r="J1078"/>
  <c r="I1078"/>
  <c r="G1078"/>
  <c r="F1078"/>
  <c r="E1078"/>
  <c r="J1077"/>
  <c r="I1077"/>
  <c r="G1077"/>
  <c r="F1077"/>
  <c r="E1077"/>
  <c r="J1076"/>
  <c r="I1076"/>
  <c r="G1076"/>
  <c r="F1076"/>
  <c r="E1076"/>
  <c r="J1075"/>
  <c r="I1075"/>
  <c r="G1075"/>
  <c r="F1075"/>
  <c r="E1075"/>
  <c r="J1074"/>
  <c r="I1074"/>
  <c r="G1074"/>
  <c r="F1074"/>
  <c r="E1074"/>
  <c r="J1073"/>
  <c r="I1073"/>
  <c r="G1073"/>
  <c r="F1073"/>
  <c r="E1073"/>
  <c r="J1072"/>
  <c r="I1072"/>
  <c r="G1072"/>
  <c r="F1072"/>
  <c r="E1072"/>
  <c r="J1071"/>
  <c r="I1071"/>
  <c r="G1071"/>
  <c r="F1071"/>
  <c r="E1071"/>
  <c r="J1070"/>
  <c r="I1070"/>
  <c r="G1070"/>
  <c r="F1070"/>
  <c r="E1070"/>
  <c r="J1069"/>
  <c r="I1069"/>
  <c r="G1069"/>
  <c r="F1069"/>
  <c r="E1069"/>
  <c r="J1068"/>
  <c r="I1068"/>
  <c r="G1068"/>
  <c r="F1068"/>
  <c r="E1068"/>
  <c r="J1067"/>
  <c r="I1067"/>
  <c r="G1067"/>
  <c r="F1067"/>
  <c r="E1067"/>
  <c r="J1066"/>
  <c r="I1066"/>
  <c r="G1066"/>
  <c r="F1066"/>
  <c r="E1066"/>
  <c r="J1065"/>
  <c r="I1065"/>
  <c r="G1065"/>
  <c r="F1065"/>
  <c r="E1065"/>
  <c r="J1064"/>
  <c r="I1064"/>
  <c r="G1064"/>
  <c r="F1064"/>
  <c r="E1064"/>
  <c r="J1063"/>
  <c r="I1063"/>
  <c r="G1063"/>
  <c r="F1063"/>
  <c r="E1063"/>
  <c r="J1062"/>
  <c r="I1062"/>
  <c r="G1062"/>
  <c r="F1062"/>
  <c r="E1062"/>
  <c r="J1061"/>
  <c r="I1061"/>
  <c r="G1061"/>
  <c r="F1061"/>
  <c r="E1061"/>
  <c r="J1060"/>
  <c r="I1060"/>
  <c r="G1060"/>
  <c r="F1060"/>
  <c r="E1060"/>
  <c r="J1059"/>
  <c r="I1059"/>
  <c r="G1059"/>
  <c r="F1059"/>
  <c r="E1059"/>
  <c r="J1058"/>
  <c r="I1058"/>
  <c r="G1058"/>
  <c r="F1058"/>
  <c r="E1058"/>
  <c r="J1057"/>
  <c r="I1057"/>
  <c r="G1057"/>
  <c r="F1057"/>
  <c r="E1057"/>
  <c r="J1056"/>
  <c r="I1056"/>
  <c r="G1056"/>
  <c r="F1056"/>
  <c r="E1056"/>
  <c r="J1055"/>
  <c r="I1055"/>
  <c r="G1055"/>
  <c r="F1055"/>
  <c r="E1055"/>
  <c r="J1054"/>
  <c r="I1054"/>
  <c r="G1054"/>
  <c r="F1054"/>
  <c r="E1054"/>
  <c r="J1053"/>
  <c r="I1053"/>
  <c r="G1053"/>
  <c r="F1053"/>
  <c r="E1053"/>
  <c r="J1052"/>
  <c r="I1052"/>
  <c r="G1052"/>
  <c r="F1052"/>
  <c r="E1052"/>
  <c r="J1051"/>
  <c r="I1051"/>
  <c r="G1051"/>
  <c r="F1051"/>
  <c r="E1051"/>
  <c r="J1050"/>
  <c r="I1050"/>
  <c r="G1050"/>
  <c r="F1050"/>
  <c r="E1050"/>
  <c r="J1049"/>
  <c r="I1049"/>
  <c r="G1049"/>
  <c r="F1049"/>
  <c r="E1049"/>
  <c r="J1048"/>
  <c r="I1048"/>
  <c r="G1048"/>
  <c r="F1048"/>
  <c r="E1048"/>
  <c r="J1047"/>
  <c r="I1047"/>
  <c r="G1047"/>
  <c r="F1047"/>
  <c r="E1047"/>
  <c r="J1046"/>
  <c r="I1046"/>
  <c r="G1046"/>
  <c r="F1046"/>
  <c r="E1046"/>
  <c r="J1045"/>
  <c r="I1045"/>
  <c r="G1045"/>
  <c r="F1045"/>
  <c r="E1045"/>
  <c r="J1044"/>
  <c r="I1044"/>
  <c r="G1044"/>
  <c r="F1044"/>
  <c r="E1044"/>
  <c r="J1043"/>
  <c r="I1043"/>
  <c r="G1043"/>
  <c r="F1043"/>
  <c r="E1043"/>
  <c r="J1042"/>
  <c r="I1042"/>
  <c r="G1042"/>
  <c r="F1042"/>
  <c r="E1042"/>
  <c r="J1041"/>
  <c r="I1041"/>
  <c r="G1041"/>
  <c r="F1041"/>
  <c r="E1041"/>
  <c r="J1040"/>
  <c r="I1040"/>
  <c r="G1040"/>
  <c r="F1040"/>
  <c r="E1040"/>
  <c r="J1039"/>
  <c r="I1039"/>
  <c r="G1039"/>
  <c r="F1039"/>
  <c r="E1039"/>
  <c r="J1038"/>
  <c r="I1038"/>
  <c r="G1038"/>
  <c r="F1038"/>
  <c r="E1038"/>
  <c r="J1037"/>
  <c r="I1037"/>
  <c r="G1037"/>
  <c r="F1037"/>
  <c r="E1037"/>
  <c r="J1036"/>
  <c r="I1036"/>
  <c r="G1036"/>
  <c r="F1036"/>
  <c r="E1036"/>
  <c r="J1035"/>
  <c r="I1035"/>
  <c r="G1035"/>
  <c r="F1035"/>
  <c r="E1035"/>
  <c r="J1034"/>
  <c r="I1034"/>
  <c r="G1034"/>
  <c r="F1034"/>
  <c r="E1034"/>
  <c r="J1033"/>
  <c r="I1033"/>
  <c r="G1033"/>
  <c r="F1033"/>
  <c r="E1033"/>
  <c r="J1032"/>
  <c r="I1032"/>
  <c r="G1032"/>
  <c r="F1032"/>
  <c r="E1032"/>
  <c r="J1031"/>
  <c r="I1031"/>
  <c r="G1031"/>
  <c r="F1031"/>
  <c r="E1031"/>
  <c r="J1030"/>
  <c r="I1030"/>
  <c r="G1030"/>
  <c r="F1030"/>
  <c r="E1030"/>
  <c r="J1029"/>
  <c r="I1029"/>
  <c r="G1029"/>
  <c r="F1029"/>
  <c r="E1029"/>
  <c r="J1028"/>
  <c r="I1028"/>
  <c r="G1028"/>
  <c r="F1028"/>
  <c r="E1028"/>
  <c r="J1027"/>
  <c r="I1027"/>
  <c r="G1027"/>
  <c r="F1027"/>
  <c r="E1027"/>
  <c r="J1026"/>
  <c r="I1026"/>
  <c r="G1026"/>
  <c r="F1026"/>
  <c r="E1026"/>
  <c r="J1025"/>
  <c r="I1025"/>
  <c r="G1025"/>
  <c r="F1025"/>
  <c r="E1025"/>
  <c r="J1024"/>
  <c r="I1024"/>
  <c r="G1024"/>
  <c r="F1024"/>
  <c r="E1024"/>
  <c r="J1023"/>
  <c r="I1023"/>
  <c r="G1023"/>
  <c r="F1023"/>
  <c r="E1023"/>
  <c r="J1022"/>
  <c r="I1022"/>
  <c r="G1022"/>
  <c r="F1022"/>
  <c r="E1022"/>
  <c r="J1021"/>
  <c r="I1021"/>
  <c r="G1021"/>
  <c r="F1021"/>
  <c r="E1021"/>
  <c r="J1020"/>
  <c r="I1020"/>
  <c r="G1020"/>
  <c r="F1020"/>
  <c r="E1020"/>
  <c r="J1019"/>
  <c r="I1019"/>
  <c r="G1019"/>
  <c r="F1019"/>
  <c r="E1019"/>
  <c r="J1018"/>
  <c r="I1018"/>
  <c r="G1018"/>
  <c r="F1018"/>
  <c r="E1018"/>
  <c r="J1017"/>
  <c r="I1017"/>
  <c r="G1017"/>
  <c r="F1017"/>
  <c r="E1017"/>
  <c r="J1016"/>
  <c r="I1016"/>
  <c r="G1016"/>
  <c r="F1016"/>
  <c r="E1016"/>
  <c r="J1015"/>
  <c r="I1015"/>
  <c r="G1015"/>
  <c r="F1015"/>
  <c r="E1015"/>
  <c r="J1014"/>
  <c r="I1014"/>
  <c r="G1014"/>
  <c r="F1014"/>
  <c r="E1014"/>
  <c r="J1013"/>
  <c r="I1013"/>
  <c r="G1013"/>
  <c r="F1013"/>
  <c r="E1013"/>
  <c r="J1012"/>
  <c r="I1012"/>
  <c r="G1012"/>
  <c r="F1012"/>
  <c r="E1012"/>
  <c r="J1011"/>
  <c r="I1011"/>
  <c r="G1011"/>
  <c r="F1011"/>
  <c r="E1011"/>
  <c r="J1010"/>
  <c r="I1010"/>
  <c r="G1010"/>
  <c r="F1010"/>
  <c r="E1010"/>
  <c r="J1009"/>
  <c r="I1009"/>
  <c r="G1009"/>
  <c r="F1009"/>
  <c r="E1009"/>
  <c r="J1008"/>
  <c r="I1008"/>
  <c r="G1008"/>
  <c r="F1008"/>
  <c r="E1008"/>
  <c r="J1007"/>
  <c r="I1007"/>
  <c r="G1007"/>
  <c r="F1007"/>
  <c r="E1007"/>
  <c r="J1006"/>
  <c r="I1006"/>
  <c r="G1006"/>
  <c r="F1006"/>
  <c r="E1006"/>
  <c r="J1005"/>
  <c r="I1005"/>
  <c r="G1005"/>
  <c r="F1005"/>
  <c r="E1005"/>
  <c r="J1004"/>
  <c r="I1004"/>
  <c r="G1004"/>
  <c r="F1004"/>
  <c r="E1004"/>
  <c r="J1003"/>
  <c r="I1003"/>
  <c r="G1003"/>
  <c r="F1003"/>
  <c r="E1003"/>
  <c r="J1002"/>
  <c r="I1002"/>
  <c r="G1002"/>
  <c r="F1002"/>
  <c r="E1002"/>
  <c r="J1001"/>
  <c r="I1001"/>
  <c r="G1001"/>
  <c r="F1001"/>
  <c r="E1001"/>
  <c r="J1000"/>
  <c r="I1000"/>
  <c r="G1000"/>
  <c r="F1000"/>
  <c r="E1000"/>
  <c r="J999"/>
  <c r="I999"/>
  <c r="G999"/>
  <c r="F999"/>
  <c r="E999"/>
  <c r="J998"/>
  <c r="I998"/>
  <c r="G998"/>
  <c r="F998"/>
  <c r="E998"/>
  <c r="J997"/>
  <c r="I997"/>
  <c r="G997"/>
  <c r="F997"/>
  <c r="E997"/>
  <c r="J996"/>
  <c r="I996"/>
  <c r="G996"/>
  <c r="F996"/>
  <c r="E996"/>
  <c r="J995"/>
  <c r="I995"/>
  <c r="G995"/>
  <c r="F995"/>
  <c r="E995"/>
  <c r="J994"/>
  <c r="I994"/>
  <c r="G994"/>
  <c r="F994"/>
  <c r="E994"/>
  <c r="J993"/>
  <c r="I993"/>
  <c r="G993"/>
  <c r="F993"/>
  <c r="E993"/>
  <c r="J992"/>
  <c r="I992"/>
  <c r="G992"/>
  <c r="F992"/>
  <c r="E992"/>
  <c r="J991"/>
  <c r="I991"/>
  <c r="G991"/>
  <c r="F991"/>
  <c r="E991"/>
  <c r="J990"/>
  <c r="I990"/>
  <c r="G990"/>
  <c r="F990"/>
  <c r="E990"/>
  <c r="J989"/>
  <c r="I989"/>
  <c r="G989"/>
  <c r="F989"/>
  <c r="E989"/>
  <c r="J988"/>
  <c r="I988"/>
  <c r="G988"/>
  <c r="F988"/>
  <c r="E988"/>
  <c r="J987"/>
  <c r="I987"/>
  <c r="G987"/>
  <c r="F987"/>
  <c r="E987"/>
  <c r="J986"/>
  <c r="I986"/>
  <c r="G986"/>
  <c r="F986"/>
  <c r="E986"/>
  <c r="J985"/>
  <c r="I985"/>
  <c r="G985"/>
  <c r="F985"/>
  <c r="E985"/>
  <c r="J984"/>
  <c r="I984"/>
  <c r="G984"/>
  <c r="F984"/>
  <c r="E984"/>
  <c r="J983"/>
  <c r="I983"/>
  <c r="G983"/>
  <c r="F983"/>
  <c r="E983"/>
  <c r="J982"/>
  <c r="I982"/>
  <c r="G982"/>
  <c r="F982"/>
  <c r="E982"/>
  <c r="J981"/>
  <c r="I981"/>
  <c r="G981"/>
  <c r="F981"/>
  <c r="E981"/>
  <c r="J980"/>
  <c r="I980"/>
  <c r="G980"/>
  <c r="F980"/>
  <c r="E980"/>
  <c r="J979"/>
  <c r="I979"/>
  <c r="G979"/>
  <c r="F979"/>
  <c r="E979"/>
  <c r="J978"/>
  <c r="I978"/>
  <c r="G978"/>
  <c r="F978"/>
  <c r="E978"/>
  <c r="J977"/>
  <c r="I977"/>
  <c r="G977"/>
  <c r="F977"/>
  <c r="E977"/>
  <c r="J976"/>
  <c r="I976"/>
  <c r="G976"/>
  <c r="F976"/>
  <c r="E976"/>
  <c r="J975"/>
  <c r="I975"/>
  <c r="G975"/>
  <c r="F975"/>
  <c r="E975"/>
  <c r="J974"/>
  <c r="I974"/>
  <c r="G974"/>
  <c r="F974"/>
  <c r="E974"/>
  <c r="J973"/>
  <c r="I973"/>
  <c r="G973"/>
  <c r="F973"/>
  <c r="E973"/>
  <c r="J972"/>
  <c r="I972"/>
  <c r="G972"/>
  <c r="F972"/>
  <c r="E972"/>
  <c r="J971"/>
  <c r="I971"/>
  <c r="G971"/>
  <c r="F971"/>
  <c r="E971"/>
  <c r="J970"/>
  <c r="I970"/>
  <c r="G970"/>
  <c r="F970"/>
  <c r="E970"/>
  <c r="J969"/>
  <c r="I969"/>
  <c r="G969"/>
  <c r="F969"/>
  <c r="E969"/>
  <c r="J968"/>
  <c r="I968"/>
  <c r="G968"/>
  <c r="F968"/>
  <c r="E968"/>
  <c r="J967"/>
  <c r="I967"/>
  <c r="G967"/>
  <c r="F967"/>
  <c r="E967"/>
  <c r="J966"/>
  <c r="I966"/>
  <c r="G966"/>
  <c r="F966"/>
  <c r="E966"/>
  <c r="J965"/>
  <c r="I965"/>
  <c r="G965"/>
  <c r="F965"/>
  <c r="E965"/>
  <c r="J964"/>
  <c r="I964"/>
  <c r="G964"/>
  <c r="F964"/>
  <c r="E964"/>
  <c r="J963"/>
  <c r="I963"/>
  <c r="G963"/>
  <c r="F963"/>
  <c r="E963"/>
  <c r="J962"/>
  <c r="I962"/>
  <c r="G962"/>
  <c r="F962"/>
  <c r="E962"/>
  <c r="J961"/>
  <c r="I961"/>
  <c r="G961"/>
  <c r="F961"/>
  <c r="E961"/>
  <c r="J960"/>
  <c r="I960"/>
  <c r="G960"/>
  <c r="F960"/>
  <c r="E960"/>
  <c r="J959"/>
  <c r="I959"/>
  <c r="G959"/>
  <c r="F959"/>
  <c r="E959"/>
  <c r="J958"/>
  <c r="I958"/>
  <c r="G958"/>
  <c r="F958"/>
  <c r="E958"/>
  <c r="J957"/>
  <c r="I957"/>
  <c r="G957"/>
  <c r="F957"/>
  <c r="E957"/>
  <c r="J956"/>
  <c r="I956"/>
  <c r="G956"/>
  <c r="F956"/>
  <c r="E956"/>
  <c r="J955"/>
  <c r="I955"/>
  <c r="G955"/>
  <c r="F955"/>
  <c r="E955"/>
  <c r="J954"/>
  <c r="I954"/>
  <c r="G954"/>
  <c r="F954"/>
  <c r="E954"/>
  <c r="J953"/>
  <c r="I953"/>
  <c r="G953"/>
  <c r="F953"/>
  <c r="E953"/>
  <c r="J952"/>
  <c r="I952"/>
  <c r="G952"/>
  <c r="F952"/>
  <c r="E952"/>
  <c r="J951"/>
  <c r="I951"/>
  <c r="G951"/>
  <c r="F951"/>
  <c r="E951"/>
  <c r="J950"/>
  <c r="I950"/>
  <c r="G950"/>
  <c r="F950"/>
  <c r="E950"/>
  <c r="J949"/>
  <c r="I949"/>
  <c r="G949"/>
  <c r="F949"/>
  <c r="E949"/>
  <c r="J948"/>
  <c r="I948"/>
  <c r="G948"/>
  <c r="F948"/>
  <c r="E948"/>
  <c r="J947"/>
  <c r="I947"/>
  <c r="G947"/>
  <c r="F947"/>
  <c r="E947"/>
  <c r="J946"/>
  <c r="I946"/>
  <c r="G946"/>
  <c r="F946"/>
  <c r="E946"/>
  <c r="J945"/>
  <c r="I945"/>
  <c r="G945"/>
  <c r="F945"/>
  <c r="E945"/>
  <c r="J944"/>
  <c r="I944"/>
  <c r="G944"/>
  <c r="F944"/>
  <c r="E944"/>
  <c r="J943"/>
  <c r="I943"/>
  <c r="G943"/>
  <c r="F943"/>
  <c r="E943"/>
  <c r="J942"/>
  <c r="I942"/>
  <c r="G942"/>
  <c r="F942"/>
  <c r="E942"/>
  <c r="J941"/>
  <c r="I941"/>
  <c r="G941"/>
  <c r="F941"/>
  <c r="E941"/>
  <c r="J940"/>
  <c r="I940"/>
  <c r="G940"/>
  <c r="F940"/>
  <c r="E940"/>
  <c r="J939"/>
  <c r="I939"/>
  <c r="G939"/>
  <c r="F939"/>
  <c r="E939"/>
  <c r="J938"/>
  <c r="I938"/>
  <c r="G938"/>
  <c r="F938"/>
  <c r="E938"/>
  <c r="J937"/>
  <c r="I937"/>
  <c r="G937"/>
  <c r="F937"/>
  <c r="E937"/>
  <c r="J936"/>
  <c r="I936"/>
  <c r="G936"/>
  <c r="F936"/>
  <c r="E936"/>
  <c r="J935"/>
  <c r="I935"/>
  <c r="G935"/>
  <c r="F935"/>
  <c r="E935"/>
  <c r="J934"/>
  <c r="I934"/>
  <c r="G934"/>
  <c r="F934"/>
  <c r="E934"/>
  <c r="J933"/>
  <c r="I933"/>
  <c r="G933"/>
  <c r="F933"/>
  <c r="E933"/>
  <c r="J932"/>
  <c r="I932"/>
  <c r="G932"/>
  <c r="F932"/>
  <c r="E932"/>
  <c r="J931"/>
  <c r="I931"/>
  <c r="G931"/>
  <c r="F931"/>
  <c r="E931"/>
  <c r="J930"/>
  <c r="I930"/>
  <c r="G930"/>
  <c r="F930"/>
  <c r="E930"/>
  <c r="J929"/>
  <c r="I929"/>
  <c r="G929"/>
  <c r="F929"/>
  <c r="E929"/>
  <c r="J928"/>
  <c r="I928"/>
  <c r="G928"/>
  <c r="F928"/>
  <c r="E928"/>
  <c r="J927"/>
  <c r="I927"/>
  <c r="G927"/>
  <c r="F927"/>
  <c r="E927"/>
  <c r="J926"/>
  <c r="I926"/>
  <c r="G926"/>
  <c r="F926"/>
  <c r="E926"/>
  <c r="J925"/>
  <c r="I925"/>
  <c r="G925"/>
  <c r="F925"/>
  <c r="E925"/>
  <c r="J924"/>
  <c r="I924"/>
  <c r="G924"/>
  <c r="F924"/>
  <c r="E924"/>
  <c r="J923"/>
  <c r="I923"/>
  <c r="G923"/>
  <c r="F923"/>
  <c r="E923"/>
  <c r="J922"/>
  <c r="I922"/>
  <c r="G922"/>
  <c r="F922"/>
  <c r="E922"/>
  <c r="J921"/>
  <c r="I921"/>
  <c r="G921"/>
  <c r="F921"/>
  <c r="E921"/>
  <c r="J920"/>
  <c r="I920"/>
  <c r="G920"/>
  <c r="F920"/>
  <c r="E920"/>
  <c r="J919"/>
  <c r="I919"/>
  <c r="G919"/>
  <c r="F919"/>
  <c r="E919"/>
  <c r="J918"/>
  <c r="I918"/>
  <c r="G918"/>
  <c r="F918"/>
  <c r="E918"/>
  <c r="J917"/>
  <c r="I917"/>
  <c r="G917"/>
  <c r="F917"/>
  <c r="E917"/>
  <c r="J916"/>
  <c r="I916"/>
  <c r="G916"/>
  <c r="F916"/>
  <c r="E916"/>
  <c r="J915"/>
  <c r="I915"/>
  <c r="G915"/>
  <c r="F915"/>
  <c r="E915"/>
  <c r="J914"/>
  <c r="I914"/>
  <c r="G914"/>
  <c r="F914"/>
  <c r="E914"/>
  <c r="J913"/>
  <c r="I913"/>
  <c r="G913"/>
  <c r="F913"/>
  <c r="E913"/>
  <c r="J912"/>
  <c r="I912"/>
  <c r="G912"/>
  <c r="F912"/>
  <c r="E912"/>
  <c r="J911"/>
  <c r="I911"/>
  <c r="G911"/>
  <c r="F911"/>
  <c r="E911"/>
  <c r="J910"/>
  <c r="I910"/>
  <c r="G910"/>
  <c r="F910"/>
  <c r="E910"/>
  <c r="J909"/>
  <c r="I909"/>
  <c r="G909"/>
  <c r="F909"/>
  <c r="E909"/>
  <c r="J908"/>
  <c r="I908"/>
  <c r="G908"/>
  <c r="F908"/>
  <c r="E908"/>
  <c r="J907"/>
  <c r="I907"/>
  <c r="G907"/>
  <c r="F907"/>
  <c r="E907"/>
  <c r="J906"/>
  <c r="I906"/>
  <c r="G906"/>
  <c r="F906"/>
  <c r="E906"/>
  <c r="J905"/>
  <c r="I905"/>
  <c r="G905"/>
  <c r="F905"/>
  <c r="E905"/>
  <c r="J904"/>
  <c r="I904"/>
  <c r="G904"/>
  <c r="F904"/>
  <c r="E904"/>
  <c r="J903"/>
  <c r="I903"/>
  <c r="G903"/>
  <c r="F903"/>
  <c r="E903"/>
  <c r="J902"/>
  <c r="I902"/>
  <c r="G902"/>
  <c r="F902"/>
  <c r="E902"/>
  <c r="J901"/>
  <c r="I901"/>
  <c r="G901"/>
  <c r="F901"/>
  <c r="E901"/>
  <c r="J900"/>
  <c r="I900"/>
  <c r="G900"/>
  <c r="F900"/>
  <c r="E900"/>
  <c r="J899"/>
  <c r="I899"/>
  <c r="G899"/>
  <c r="F899"/>
  <c r="E899"/>
  <c r="J898"/>
  <c r="I898"/>
  <c r="G898"/>
  <c r="F898"/>
  <c r="E898"/>
  <c r="J897"/>
  <c r="I897"/>
  <c r="G897"/>
  <c r="F897"/>
  <c r="E897"/>
  <c r="J896"/>
  <c r="I896"/>
  <c r="G896"/>
  <c r="F896"/>
  <c r="E896"/>
  <c r="J895"/>
  <c r="I895"/>
  <c r="G895"/>
  <c r="F895"/>
  <c r="E895"/>
  <c r="J894"/>
  <c r="I894"/>
  <c r="G894"/>
  <c r="F894"/>
  <c r="E894"/>
  <c r="J893"/>
  <c r="I893"/>
  <c r="G893"/>
  <c r="F893"/>
  <c r="E893"/>
  <c r="J892"/>
  <c r="I892"/>
  <c r="G892"/>
  <c r="F892"/>
  <c r="E892"/>
  <c r="J891"/>
  <c r="I891"/>
  <c r="G891"/>
  <c r="F891"/>
  <c r="E891"/>
  <c r="J890"/>
  <c r="I890"/>
  <c r="G890"/>
  <c r="F890"/>
  <c r="E890"/>
  <c r="J889"/>
  <c r="I889"/>
  <c r="G889"/>
  <c r="F889"/>
  <c r="E889"/>
  <c r="J888"/>
  <c r="I888"/>
  <c r="G888"/>
  <c r="F888"/>
  <c r="E888"/>
  <c r="J887"/>
  <c r="I887"/>
  <c r="G887"/>
  <c r="F887"/>
  <c r="E887"/>
  <c r="J886"/>
  <c r="I886"/>
  <c r="G886"/>
  <c r="F886"/>
  <c r="E886"/>
  <c r="J885"/>
  <c r="I885"/>
  <c r="G885"/>
  <c r="F885"/>
  <c r="E885"/>
  <c r="J884"/>
  <c r="I884"/>
  <c r="G884"/>
  <c r="F884"/>
  <c r="E884"/>
  <c r="J883"/>
  <c r="I883"/>
  <c r="G883"/>
  <c r="F883"/>
  <c r="E883"/>
  <c r="J882"/>
  <c r="I882"/>
  <c r="G882"/>
  <c r="F882"/>
  <c r="E882"/>
  <c r="J881"/>
  <c r="I881"/>
  <c r="G881"/>
  <c r="F881"/>
  <c r="E881"/>
  <c r="J880"/>
  <c r="I880"/>
  <c r="G880"/>
  <c r="F880"/>
  <c r="E880"/>
  <c r="J879"/>
  <c r="I879"/>
  <c r="G879"/>
  <c r="F879"/>
  <c r="E879"/>
  <c r="J878"/>
  <c r="I878"/>
  <c r="G878"/>
  <c r="F878"/>
  <c r="E878"/>
  <c r="J877"/>
  <c r="I877"/>
  <c r="G877"/>
  <c r="F877"/>
  <c r="E877"/>
  <c r="J876"/>
  <c r="I876"/>
  <c r="G876"/>
  <c r="F876"/>
  <c r="E876"/>
  <c r="J875"/>
  <c r="I875"/>
  <c r="G875"/>
  <c r="F875"/>
  <c r="E875"/>
  <c r="J874"/>
  <c r="I874"/>
  <c r="G874"/>
  <c r="F874"/>
  <c r="E874"/>
  <c r="J873"/>
  <c r="I873"/>
  <c r="G873"/>
  <c r="F873"/>
  <c r="E873"/>
  <c r="J872"/>
  <c r="I872"/>
  <c r="G872"/>
  <c r="F872"/>
  <c r="E872"/>
  <c r="J871"/>
  <c r="I871"/>
  <c r="G871"/>
  <c r="F871"/>
  <c r="E871"/>
  <c r="J870"/>
  <c r="I870"/>
  <c r="G870"/>
  <c r="F870"/>
  <c r="E870"/>
  <c r="J869"/>
  <c r="I869"/>
  <c r="G869"/>
  <c r="F869"/>
  <c r="E869"/>
  <c r="J868"/>
  <c r="I868"/>
  <c r="G868"/>
  <c r="F868"/>
  <c r="E868"/>
  <c r="J867"/>
  <c r="I867"/>
  <c r="G867"/>
  <c r="F867"/>
  <c r="E867"/>
  <c r="J866"/>
  <c r="I866"/>
  <c r="G866"/>
  <c r="F866"/>
  <c r="E866"/>
  <c r="J865"/>
  <c r="I865"/>
  <c r="G865"/>
  <c r="F865"/>
  <c r="E865"/>
  <c r="J864"/>
  <c r="I864"/>
  <c r="G864"/>
  <c r="F864"/>
  <c r="E864"/>
  <c r="J863"/>
  <c r="I863"/>
  <c r="G863"/>
  <c r="F863"/>
  <c r="E863"/>
  <c r="J862"/>
  <c r="I862"/>
  <c r="G862"/>
  <c r="F862"/>
  <c r="E862"/>
  <c r="J861"/>
  <c r="I861"/>
  <c r="G861"/>
  <c r="F861"/>
  <c r="E861"/>
  <c r="J860"/>
  <c r="I860"/>
  <c r="G860"/>
  <c r="F860"/>
  <c r="E860"/>
  <c r="J859"/>
  <c r="I859"/>
  <c r="G859"/>
  <c r="F859"/>
  <c r="E859"/>
  <c r="J858"/>
  <c r="I858"/>
  <c r="G858"/>
  <c r="F858"/>
  <c r="E858"/>
  <c r="J857"/>
  <c r="I857"/>
  <c r="G857"/>
  <c r="F857"/>
  <c r="E857"/>
  <c r="J856"/>
  <c r="I856"/>
  <c r="G856"/>
  <c r="F856"/>
  <c r="E856"/>
  <c r="J855"/>
  <c r="I855"/>
  <c r="G855"/>
  <c r="F855"/>
  <c r="E855"/>
  <c r="J854"/>
  <c r="I854"/>
  <c r="G854"/>
  <c r="F854"/>
  <c r="E854"/>
  <c r="J853"/>
  <c r="I853"/>
  <c r="G853"/>
  <c r="F853"/>
  <c r="E853"/>
  <c r="J852"/>
  <c r="I852"/>
  <c r="G852"/>
  <c r="F852"/>
  <c r="E852"/>
  <c r="J851"/>
  <c r="I851"/>
  <c r="G851"/>
  <c r="F851"/>
  <c r="E851"/>
  <c r="J850"/>
  <c r="I850"/>
  <c r="G850"/>
  <c r="F850"/>
  <c r="E850"/>
  <c r="J849"/>
  <c r="I849"/>
  <c r="G849"/>
  <c r="F849"/>
  <c r="E849"/>
  <c r="J848"/>
  <c r="I848"/>
  <c r="G848"/>
  <c r="F848"/>
  <c r="E848"/>
  <c r="J847"/>
  <c r="I847"/>
  <c r="G847"/>
  <c r="F847"/>
  <c r="E847"/>
  <c r="J846"/>
  <c r="I846"/>
  <c r="G846"/>
  <c r="F846"/>
  <c r="E846"/>
  <c r="J845"/>
  <c r="I845"/>
  <c r="G845"/>
  <c r="F845"/>
  <c r="E845"/>
  <c r="J844"/>
  <c r="I844"/>
  <c r="G844"/>
  <c r="F844"/>
  <c r="E844"/>
  <c r="J843"/>
  <c r="I843"/>
  <c r="G843"/>
  <c r="F843"/>
  <c r="E843"/>
  <c r="J842"/>
  <c r="I842"/>
  <c r="G842"/>
  <c r="F842"/>
  <c r="E842"/>
  <c r="J841"/>
  <c r="I841"/>
  <c r="G841"/>
  <c r="F841"/>
  <c r="E841"/>
  <c r="J840"/>
  <c r="I840"/>
  <c r="G840"/>
  <c r="F840"/>
  <c r="E840"/>
  <c r="J839"/>
  <c r="I839"/>
  <c r="G839"/>
  <c r="F839"/>
  <c r="E839"/>
  <c r="J838"/>
  <c r="I838"/>
  <c r="G838"/>
  <c r="F838"/>
  <c r="E838"/>
  <c r="J837"/>
  <c r="I837"/>
  <c r="G837"/>
  <c r="F837"/>
  <c r="E837"/>
  <c r="J836"/>
  <c r="I836"/>
  <c r="G836"/>
  <c r="F836"/>
  <c r="E836"/>
  <c r="J835"/>
  <c r="I835"/>
  <c r="G835"/>
  <c r="F835"/>
  <c r="E835"/>
  <c r="J834"/>
  <c r="I834"/>
  <c r="G834"/>
  <c r="F834"/>
  <c r="E834"/>
  <c r="J833"/>
  <c r="I833"/>
  <c r="G833"/>
  <c r="F833"/>
  <c r="E833"/>
  <c r="J832"/>
  <c r="I832"/>
  <c r="G832"/>
  <c r="F832"/>
  <c r="E832"/>
  <c r="J831"/>
  <c r="I831"/>
  <c r="G831"/>
  <c r="F831"/>
  <c r="E831"/>
  <c r="J830"/>
  <c r="I830"/>
  <c r="G830"/>
  <c r="F830"/>
  <c r="E830"/>
  <c r="J829"/>
  <c r="I829"/>
  <c r="G829"/>
  <c r="F829"/>
  <c r="E829"/>
  <c r="J828"/>
  <c r="I828"/>
  <c r="G828"/>
  <c r="F828"/>
  <c r="E828"/>
  <c r="J827"/>
  <c r="I827"/>
  <c r="G827"/>
  <c r="F827"/>
  <c r="E827"/>
  <c r="J826"/>
  <c r="I826"/>
  <c r="G826"/>
  <c r="F826"/>
  <c r="E826"/>
  <c r="J825"/>
  <c r="I825"/>
  <c r="G825"/>
  <c r="F825"/>
  <c r="E825"/>
  <c r="J824"/>
  <c r="I824"/>
  <c r="G824"/>
  <c r="F824"/>
  <c r="E824"/>
  <c r="J823"/>
  <c r="I823"/>
  <c r="G823"/>
  <c r="F823"/>
  <c r="E823"/>
  <c r="J822"/>
  <c r="I822"/>
  <c r="G822"/>
  <c r="F822"/>
  <c r="E822"/>
  <c r="J821"/>
  <c r="I821"/>
  <c r="G821"/>
  <c r="F821"/>
  <c r="E821"/>
  <c r="J820"/>
  <c r="I820"/>
  <c r="G820"/>
  <c r="F820"/>
  <c r="E820"/>
  <c r="J819"/>
  <c r="I819"/>
  <c r="G819"/>
  <c r="F819"/>
  <c r="E819"/>
  <c r="J818"/>
  <c r="I818"/>
  <c r="G818"/>
  <c r="F818"/>
  <c r="E818"/>
  <c r="J817"/>
  <c r="I817"/>
  <c r="G817"/>
  <c r="F817"/>
  <c r="E817"/>
  <c r="J816"/>
  <c r="I816"/>
  <c r="G816"/>
  <c r="F816"/>
  <c r="E816"/>
  <c r="J815"/>
  <c r="I815"/>
  <c r="G815"/>
  <c r="F815"/>
  <c r="E815"/>
  <c r="J814"/>
  <c r="I814"/>
  <c r="G814"/>
  <c r="F814"/>
  <c r="E814"/>
  <c r="J813"/>
  <c r="I813"/>
  <c r="G813"/>
  <c r="F813"/>
  <c r="E813"/>
  <c r="J812"/>
  <c r="I812"/>
  <c r="G812"/>
  <c r="F812"/>
  <c r="E812"/>
  <c r="J811"/>
  <c r="I811"/>
  <c r="G811"/>
  <c r="F811"/>
  <c r="E811"/>
  <c r="J810"/>
  <c r="I810"/>
  <c r="G810"/>
  <c r="F810"/>
  <c r="E810"/>
  <c r="J809"/>
  <c r="I809"/>
  <c r="G809"/>
  <c r="F809"/>
  <c r="E809"/>
  <c r="J808"/>
  <c r="I808"/>
  <c r="G808"/>
  <c r="F808"/>
  <c r="E808"/>
  <c r="J807"/>
  <c r="I807"/>
  <c r="G807"/>
  <c r="F807"/>
  <c r="E807"/>
  <c r="J806"/>
  <c r="I806"/>
  <c r="G806"/>
  <c r="F806"/>
  <c r="E806"/>
  <c r="J805"/>
  <c r="I805"/>
  <c r="G805"/>
  <c r="F805"/>
  <c r="E805"/>
  <c r="J804"/>
  <c r="I804"/>
  <c r="G804"/>
  <c r="F804"/>
  <c r="E804"/>
  <c r="J803"/>
  <c r="I803"/>
  <c r="G803"/>
  <c r="F803"/>
  <c r="E803"/>
  <c r="J802"/>
  <c r="I802"/>
  <c r="G802"/>
  <c r="F802"/>
  <c r="E802"/>
  <c r="J801"/>
  <c r="I801"/>
  <c r="G801"/>
  <c r="F801"/>
  <c r="E801"/>
  <c r="J800"/>
  <c r="I800"/>
  <c r="G800"/>
  <c r="F800"/>
  <c r="E800"/>
  <c r="J799"/>
  <c r="I799"/>
  <c r="G799"/>
  <c r="F799"/>
  <c r="E799"/>
  <c r="J798"/>
  <c r="I798"/>
  <c r="G798"/>
  <c r="F798"/>
  <c r="E798"/>
  <c r="J797"/>
  <c r="I797"/>
  <c r="G797"/>
  <c r="F797"/>
  <c r="E797"/>
  <c r="J796"/>
  <c r="I796"/>
  <c r="G796"/>
  <c r="F796"/>
  <c r="E796"/>
  <c r="J795"/>
  <c r="I795"/>
  <c r="G795"/>
  <c r="F795"/>
  <c r="E795"/>
  <c r="J794"/>
  <c r="I794"/>
  <c r="G794"/>
  <c r="F794"/>
  <c r="E794"/>
  <c r="J793"/>
  <c r="I793"/>
  <c r="G793"/>
  <c r="F793"/>
  <c r="E793"/>
  <c r="J792"/>
  <c r="I792"/>
  <c r="G792"/>
  <c r="F792"/>
  <c r="E792"/>
  <c r="J791"/>
  <c r="I791"/>
  <c r="G791"/>
  <c r="F791"/>
  <c r="E791"/>
  <c r="J790"/>
  <c r="I790"/>
  <c r="G790"/>
  <c r="F790"/>
  <c r="E790"/>
  <c r="J789"/>
  <c r="I789"/>
  <c r="G789"/>
  <c r="F789"/>
  <c r="E789"/>
  <c r="J788"/>
  <c r="I788"/>
  <c r="G788"/>
  <c r="F788"/>
  <c r="E788"/>
  <c r="J787"/>
  <c r="I787"/>
  <c r="G787"/>
  <c r="F787"/>
  <c r="E787"/>
  <c r="J786"/>
  <c r="I786"/>
  <c r="G786"/>
  <c r="F786"/>
  <c r="E786"/>
  <c r="J785"/>
  <c r="I785"/>
  <c r="G785"/>
  <c r="F785"/>
  <c r="E785"/>
  <c r="J784"/>
  <c r="I784"/>
  <c r="G784"/>
  <c r="F784"/>
  <c r="E784"/>
  <c r="J783"/>
  <c r="I783"/>
  <c r="G783"/>
  <c r="F783"/>
  <c r="E783"/>
  <c r="J782"/>
  <c r="I782"/>
  <c r="G782"/>
  <c r="F782"/>
  <c r="E782"/>
  <c r="J781"/>
  <c r="I781"/>
  <c r="G781"/>
  <c r="F781"/>
  <c r="E781"/>
  <c r="J780"/>
  <c r="I780"/>
  <c r="G780"/>
  <c r="F780"/>
  <c r="E780"/>
  <c r="J779"/>
  <c r="I779"/>
  <c r="G779"/>
  <c r="F779"/>
  <c r="E779"/>
  <c r="J778"/>
  <c r="I778"/>
  <c r="G778"/>
  <c r="F778"/>
  <c r="E778"/>
  <c r="J777"/>
  <c r="I777"/>
  <c r="G777"/>
  <c r="F777"/>
  <c r="E777"/>
  <c r="J776"/>
  <c r="I776"/>
  <c r="G776"/>
  <c r="F776"/>
  <c r="E776"/>
  <c r="J775"/>
  <c r="I775"/>
  <c r="G775"/>
  <c r="F775"/>
  <c r="E775"/>
  <c r="J774"/>
  <c r="I774"/>
  <c r="G774"/>
  <c r="F774"/>
  <c r="E774"/>
  <c r="J773"/>
  <c r="I773"/>
  <c r="G773"/>
  <c r="F773"/>
  <c r="E773"/>
  <c r="J772"/>
  <c r="I772"/>
  <c r="G772"/>
  <c r="F772"/>
  <c r="E772"/>
  <c r="J771"/>
  <c r="I771"/>
  <c r="G771"/>
  <c r="F771"/>
  <c r="E771"/>
  <c r="J770"/>
  <c r="I770"/>
  <c r="G770"/>
  <c r="F770"/>
  <c r="E770"/>
  <c r="J769"/>
  <c r="I769"/>
  <c r="G769"/>
  <c r="F769"/>
  <c r="E769"/>
  <c r="J768"/>
  <c r="I768"/>
  <c r="G768"/>
  <c r="F768"/>
  <c r="E768"/>
  <c r="J767"/>
  <c r="I767"/>
  <c r="G767"/>
  <c r="F767"/>
  <c r="E767"/>
  <c r="J766"/>
  <c r="I766"/>
  <c r="G766"/>
  <c r="F766"/>
  <c r="E766"/>
  <c r="J765"/>
  <c r="I765"/>
  <c r="G765"/>
  <c r="F765"/>
  <c r="E765"/>
  <c r="J764"/>
  <c r="I764"/>
  <c r="G764"/>
  <c r="F764"/>
  <c r="E764"/>
  <c r="J763"/>
  <c r="I763"/>
  <c r="G763"/>
  <c r="F763"/>
  <c r="E763"/>
  <c r="J762"/>
  <c r="I762"/>
  <c r="G762"/>
  <c r="F762"/>
  <c r="E762"/>
  <c r="J761"/>
  <c r="I761"/>
  <c r="G761"/>
  <c r="F761"/>
  <c r="E761"/>
  <c r="J760"/>
  <c r="I760"/>
  <c r="G760"/>
  <c r="F760"/>
  <c r="E760"/>
  <c r="J759"/>
  <c r="I759"/>
  <c r="G759"/>
  <c r="F759"/>
  <c r="E759"/>
  <c r="J758"/>
  <c r="I758"/>
  <c r="G758"/>
  <c r="F758"/>
  <c r="E758"/>
  <c r="J757"/>
  <c r="I757"/>
  <c r="G757"/>
  <c r="F757"/>
  <c r="E757"/>
  <c r="J756"/>
  <c r="I756"/>
  <c r="G756"/>
  <c r="F756"/>
  <c r="E756"/>
  <c r="J755"/>
  <c r="I755"/>
  <c r="G755"/>
  <c r="F755"/>
  <c r="E755"/>
  <c r="J754"/>
  <c r="I754"/>
  <c r="G754"/>
  <c r="F754"/>
  <c r="E754"/>
  <c r="J753"/>
  <c r="I753"/>
  <c r="G753"/>
  <c r="F753"/>
  <c r="E753"/>
  <c r="J752"/>
  <c r="I752"/>
  <c r="G752"/>
  <c r="F752"/>
  <c r="E752"/>
  <c r="J751"/>
  <c r="I751"/>
  <c r="G751"/>
  <c r="F751"/>
  <c r="E751"/>
  <c r="J750"/>
  <c r="I750"/>
  <c r="G750"/>
  <c r="F750"/>
  <c r="E750"/>
  <c r="J749"/>
  <c r="I749"/>
  <c r="G749"/>
  <c r="F749"/>
  <c r="E749"/>
  <c r="J748"/>
  <c r="I748"/>
  <c r="G748"/>
  <c r="F748"/>
  <c r="E748"/>
  <c r="J747"/>
  <c r="I747"/>
  <c r="G747"/>
  <c r="F747"/>
  <c r="E747"/>
  <c r="J746"/>
  <c r="I746"/>
  <c r="G746"/>
  <c r="F746"/>
  <c r="E746"/>
  <c r="J745"/>
  <c r="I745"/>
  <c r="G745"/>
  <c r="F745"/>
  <c r="E745"/>
  <c r="J744"/>
  <c r="I744"/>
  <c r="G744"/>
  <c r="F744"/>
  <c r="E744"/>
  <c r="J743"/>
  <c r="I743"/>
  <c r="G743"/>
  <c r="F743"/>
  <c r="E743"/>
  <c r="J742"/>
  <c r="I742"/>
  <c r="G742"/>
  <c r="F742"/>
  <c r="E742"/>
  <c r="J741"/>
  <c r="I741"/>
  <c r="G741"/>
  <c r="F741"/>
  <c r="E741"/>
  <c r="J740"/>
  <c r="I740"/>
  <c r="G740"/>
  <c r="F740"/>
  <c r="E740"/>
  <c r="J739"/>
  <c r="I739"/>
  <c r="G739"/>
  <c r="F739"/>
  <c r="E739"/>
  <c r="J738"/>
  <c r="I738"/>
  <c r="G738"/>
  <c r="F738"/>
  <c r="E738"/>
  <c r="J737"/>
  <c r="I737"/>
  <c r="G737"/>
  <c r="F737"/>
  <c r="E737"/>
  <c r="J736"/>
  <c r="I736"/>
  <c r="G736"/>
  <c r="F736"/>
  <c r="E736"/>
  <c r="J735"/>
  <c r="I735"/>
  <c r="G735"/>
  <c r="F735"/>
  <c r="E735"/>
  <c r="J734"/>
  <c r="I734"/>
  <c r="G734"/>
  <c r="F734"/>
  <c r="E734"/>
  <c r="J733"/>
  <c r="I733"/>
  <c r="G733"/>
  <c r="F733"/>
  <c r="E733"/>
  <c r="J732"/>
  <c r="I732"/>
  <c r="G732"/>
  <c r="F732"/>
  <c r="E732"/>
  <c r="J731"/>
  <c r="I731"/>
  <c r="G731"/>
  <c r="F731"/>
  <c r="E731"/>
  <c r="J730"/>
  <c r="I730"/>
  <c r="G730"/>
  <c r="F730"/>
  <c r="E730"/>
  <c r="J729"/>
  <c r="I729"/>
  <c r="G729"/>
  <c r="F729"/>
  <c r="E729"/>
  <c r="J728"/>
  <c r="I728"/>
  <c r="G728"/>
  <c r="F728"/>
  <c r="E728"/>
  <c r="J727"/>
  <c r="I727"/>
  <c r="G727"/>
  <c r="F727"/>
  <c r="E727"/>
  <c r="J726"/>
  <c r="I726"/>
  <c r="G726"/>
  <c r="F726"/>
  <c r="E726"/>
  <c r="J725"/>
  <c r="I725"/>
  <c r="G725"/>
  <c r="F725"/>
  <c r="E725"/>
  <c r="J724"/>
  <c r="I724"/>
  <c r="G724"/>
  <c r="F724"/>
  <c r="E724"/>
  <c r="J723"/>
  <c r="I723"/>
  <c r="G723"/>
  <c r="F723"/>
  <c r="E723"/>
  <c r="J722"/>
  <c r="I722"/>
  <c r="G722"/>
  <c r="F722"/>
  <c r="E722"/>
  <c r="J721"/>
  <c r="I721"/>
  <c r="G721"/>
  <c r="F721"/>
  <c r="E721"/>
  <c r="J720"/>
  <c r="I720"/>
  <c r="G720"/>
  <c r="F720"/>
  <c r="E720"/>
  <c r="J719"/>
  <c r="I719"/>
  <c r="G719"/>
  <c r="F719"/>
  <c r="E719"/>
  <c r="J718"/>
  <c r="I718"/>
  <c r="G718"/>
  <c r="F718"/>
  <c r="E718"/>
  <c r="J717"/>
  <c r="I717"/>
  <c r="G717"/>
  <c r="F717"/>
  <c r="E717"/>
  <c r="J716"/>
  <c r="I716"/>
  <c r="G716"/>
  <c r="F716"/>
  <c r="E716"/>
  <c r="J715"/>
  <c r="I715"/>
  <c r="G715"/>
  <c r="F715"/>
  <c r="E715"/>
  <c r="J714"/>
  <c r="I714"/>
  <c r="G714"/>
  <c r="F714"/>
  <c r="E714"/>
  <c r="J713"/>
  <c r="I713"/>
  <c r="G713"/>
  <c r="F713"/>
  <c r="E713"/>
  <c r="J712"/>
  <c r="I712"/>
  <c r="G712"/>
  <c r="F712"/>
  <c r="E712"/>
  <c r="J711"/>
  <c r="I711"/>
  <c r="G711"/>
  <c r="F711"/>
  <c r="E711"/>
  <c r="J710"/>
  <c r="I710"/>
  <c r="G710"/>
  <c r="F710"/>
  <c r="E710"/>
  <c r="J709"/>
  <c r="I709"/>
  <c r="G709"/>
  <c r="F709"/>
  <c r="E709"/>
  <c r="J708"/>
  <c r="I708"/>
  <c r="G708"/>
  <c r="F708"/>
  <c r="E708"/>
  <c r="J707"/>
  <c r="I707"/>
  <c r="G707"/>
  <c r="F707"/>
  <c r="E707"/>
  <c r="J706"/>
  <c r="I706"/>
  <c r="G706"/>
  <c r="F706"/>
  <c r="E706"/>
  <c r="J705"/>
  <c r="I705"/>
  <c r="G705"/>
  <c r="F705"/>
  <c r="E705"/>
  <c r="J704"/>
  <c r="I704"/>
  <c r="G704"/>
  <c r="F704"/>
  <c r="E704"/>
  <c r="J703"/>
  <c r="I703"/>
  <c r="G703"/>
  <c r="F703"/>
  <c r="E703"/>
  <c r="J702"/>
  <c r="I702"/>
  <c r="G702"/>
  <c r="F702"/>
  <c r="E702"/>
  <c r="J701"/>
  <c r="I701"/>
  <c r="G701"/>
  <c r="F701"/>
  <c r="E701"/>
  <c r="J700"/>
  <c r="I700"/>
  <c r="G700"/>
  <c r="F700"/>
  <c r="E700"/>
  <c r="J699"/>
  <c r="I699"/>
  <c r="G699"/>
  <c r="F699"/>
  <c r="E699"/>
  <c r="J698"/>
  <c r="I698"/>
  <c r="G698"/>
  <c r="F698"/>
  <c r="E698"/>
  <c r="J697"/>
  <c r="I697"/>
  <c r="G697"/>
  <c r="F697"/>
  <c r="E697"/>
  <c r="J696"/>
  <c r="I696"/>
  <c r="G696"/>
  <c r="F696"/>
  <c r="E696"/>
  <c r="J695"/>
  <c r="I695"/>
  <c r="G695"/>
  <c r="F695"/>
  <c r="E695"/>
  <c r="J694"/>
  <c r="I694"/>
  <c r="G694"/>
  <c r="F694"/>
  <c r="E694"/>
  <c r="J693"/>
  <c r="I693"/>
  <c r="G693"/>
  <c r="F693"/>
  <c r="E693"/>
  <c r="J692"/>
  <c r="I692"/>
  <c r="G692"/>
  <c r="F692"/>
  <c r="E692"/>
  <c r="J691"/>
  <c r="I691"/>
  <c r="G691"/>
  <c r="F691"/>
  <c r="E691"/>
  <c r="J690"/>
  <c r="I690"/>
  <c r="G690"/>
  <c r="F690"/>
  <c r="E690"/>
  <c r="J689"/>
  <c r="I689"/>
  <c r="G689"/>
  <c r="F689"/>
  <c r="E689"/>
  <c r="J688"/>
  <c r="I688"/>
  <c r="G688"/>
  <c r="F688"/>
  <c r="E688"/>
  <c r="J687"/>
  <c r="I687"/>
  <c r="G687"/>
  <c r="F687"/>
  <c r="E687"/>
  <c r="J686"/>
  <c r="I686"/>
  <c r="G686"/>
  <c r="F686"/>
  <c r="E686"/>
  <c r="J685"/>
  <c r="I685"/>
  <c r="G685"/>
  <c r="F685"/>
  <c r="E685"/>
  <c r="J684"/>
  <c r="I684"/>
  <c r="G684"/>
  <c r="F684"/>
  <c r="E684"/>
  <c r="J683"/>
  <c r="I683"/>
  <c r="G683"/>
  <c r="F683"/>
  <c r="E683"/>
  <c r="J682"/>
  <c r="I682"/>
  <c r="G682"/>
  <c r="F682"/>
  <c r="E682"/>
  <c r="J681"/>
  <c r="I681"/>
  <c r="G681"/>
  <c r="F681"/>
  <c r="E681"/>
  <c r="J680"/>
  <c r="I680"/>
  <c r="G680"/>
  <c r="F680"/>
  <c r="E680"/>
  <c r="J679"/>
  <c r="I679"/>
  <c r="G679"/>
  <c r="F679"/>
  <c r="E679"/>
  <c r="J678"/>
  <c r="I678"/>
  <c r="G678"/>
  <c r="F678"/>
  <c r="E678"/>
  <c r="J677"/>
  <c r="I677"/>
  <c r="G677"/>
  <c r="F677"/>
  <c r="E677"/>
  <c r="J676"/>
  <c r="I676"/>
  <c r="G676"/>
  <c r="F676"/>
  <c r="E676"/>
  <c r="J675"/>
  <c r="I675"/>
  <c r="G675"/>
  <c r="F675"/>
  <c r="E675"/>
  <c r="J674"/>
  <c r="I674"/>
  <c r="G674"/>
  <c r="F674"/>
  <c r="E674"/>
  <c r="J673"/>
  <c r="I673"/>
  <c r="G673"/>
  <c r="F673"/>
  <c r="E673"/>
  <c r="J672"/>
  <c r="I672"/>
  <c r="G672"/>
  <c r="F672"/>
  <c r="E672"/>
  <c r="J671"/>
  <c r="I671"/>
  <c r="G671"/>
  <c r="F671"/>
  <c r="E671"/>
  <c r="J670"/>
  <c r="I670"/>
  <c r="G670"/>
  <c r="F670"/>
  <c r="E670"/>
  <c r="J669"/>
  <c r="I669"/>
  <c r="G669"/>
  <c r="F669"/>
  <c r="E669"/>
  <c r="J668"/>
  <c r="I668"/>
  <c r="G668"/>
  <c r="F668"/>
  <c r="E668"/>
  <c r="J667"/>
  <c r="I667"/>
  <c r="G667"/>
  <c r="F667"/>
  <c r="E667"/>
  <c r="J666"/>
  <c r="I666"/>
  <c r="G666"/>
  <c r="F666"/>
  <c r="E666"/>
  <c r="J665"/>
  <c r="I665"/>
  <c r="G665"/>
  <c r="F665"/>
  <c r="E665"/>
  <c r="J664"/>
  <c r="I664"/>
  <c r="G664"/>
  <c r="F664"/>
  <c r="E664"/>
  <c r="J663"/>
  <c r="I663"/>
  <c r="G663"/>
  <c r="F663"/>
  <c r="E663"/>
  <c r="J662"/>
  <c r="I662"/>
  <c r="G662"/>
  <c r="F662"/>
  <c r="E662"/>
  <c r="J661"/>
  <c r="I661"/>
  <c r="G661"/>
  <c r="F661"/>
  <c r="E661"/>
  <c r="J660"/>
  <c r="I660"/>
  <c r="G660"/>
  <c r="F660"/>
  <c r="E660"/>
  <c r="J659"/>
  <c r="I659"/>
  <c r="G659"/>
  <c r="F659"/>
  <c r="E659"/>
  <c r="J658"/>
  <c r="I658"/>
  <c r="G658"/>
  <c r="F658"/>
  <c r="E658"/>
  <c r="J657"/>
  <c r="I657"/>
  <c r="G657"/>
  <c r="F657"/>
  <c r="E657"/>
  <c r="J656"/>
  <c r="I656"/>
  <c r="G656"/>
  <c r="F656"/>
  <c r="E656"/>
  <c r="J655"/>
  <c r="I655"/>
  <c r="G655"/>
  <c r="F655"/>
  <c r="E655"/>
  <c r="J654"/>
  <c r="I654"/>
  <c r="G654"/>
  <c r="F654"/>
  <c r="E654"/>
  <c r="J653"/>
  <c r="I653"/>
  <c r="G653"/>
  <c r="F653"/>
  <c r="E653"/>
  <c r="J652"/>
  <c r="I652"/>
  <c r="G652"/>
  <c r="F652"/>
  <c r="E652"/>
  <c r="J651"/>
  <c r="I651"/>
  <c r="G651"/>
  <c r="F651"/>
  <c r="E651"/>
  <c r="J650"/>
  <c r="I650"/>
  <c r="G650"/>
  <c r="F650"/>
  <c r="E650"/>
  <c r="J649"/>
  <c r="I649"/>
  <c r="G649"/>
  <c r="F649"/>
  <c r="E649"/>
  <c r="J648"/>
  <c r="I648"/>
  <c r="G648"/>
  <c r="F648"/>
  <c r="E648"/>
  <c r="J647"/>
  <c r="I647"/>
  <c r="G647"/>
  <c r="F647"/>
  <c r="E647"/>
  <c r="J646"/>
  <c r="I646"/>
  <c r="G646"/>
  <c r="F646"/>
  <c r="E646"/>
  <c r="J645"/>
  <c r="I645"/>
  <c r="G645"/>
  <c r="F645"/>
  <c r="E645"/>
  <c r="J644"/>
  <c r="I644"/>
  <c r="G644"/>
  <c r="F644"/>
  <c r="E644"/>
  <c r="J643"/>
  <c r="I643"/>
  <c r="G643"/>
  <c r="F643"/>
  <c r="E643"/>
  <c r="J642"/>
  <c r="I642"/>
  <c r="G642"/>
  <c r="F642"/>
  <c r="E642"/>
  <c r="J641"/>
  <c r="I641"/>
  <c r="G641"/>
  <c r="F641"/>
  <c r="E641"/>
  <c r="J640"/>
  <c r="I640"/>
  <c r="G640"/>
  <c r="F640"/>
  <c r="E640"/>
  <c r="J639"/>
  <c r="I639"/>
  <c r="G639"/>
  <c r="F639"/>
  <c r="E639"/>
  <c r="J638"/>
  <c r="I638"/>
  <c r="G638"/>
  <c r="F638"/>
  <c r="E638"/>
  <c r="J637"/>
  <c r="I637"/>
  <c r="G637"/>
  <c r="F637"/>
  <c r="E637"/>
  <c r="J636"/>
  <c r="I636"/>
  <c r="G636"/>
  <c r="F636"/>
  <c r="E636"/>
  <c r="J635"/>
  <c r="I635"/>
  <c r="G635"/>
  <c r="F635"/>
  <c r="E635"/>
  <c r="J634"/>
  <c r="I634"/>
  <c r="G634"/>
  <c r="F634"/>
  <c r="E634"/>
  <c r="J633"/>
  <c r="I633"/>
  <c r="G633"/>
  <c r="F633"/>
  <c r="E633"/>
  <c r="J632"/>
  <c r="I632"/>
  <c r="G632"/>
  <c r="F632"/>
  <c r="E632"/>
  <c r="J631"/>
  <c r="I631"/>
  <c r="G631"/>
  <c r="F631"/>
  <c r="E631"/>
  <c r="J630"/>
  <c r="I630"/>
  <c r="G630"/>
  <c r="F630"/>
  <c r="E630"/>
  <c r="J629"/>
  <c r="I629"/>
  <c r="G629"/>
  <c r="F629"/>
  <c r="E629"/>
  <c r="J628"/>
  <c r="I628"/>
  <c r="G628"/>
  <c r="F628"/>
  <c r="E628"/>
  <c r="J627"/>
  <c r="I627"/>
  <c r="G627"/>
  <c r="F627"/>
  <c r="E627"/>
  <c r="J626"/>
  <c r="I626"/>
  <c r="G626"/>
  <c r="F626"/>
  <c r="E626"/>
  <c r="J625"/>
  <c r="I625"/>
  <c r="G625"/>
  <c r="F625"/>
  <c r="E625"/>
  <c r="J624"/>
  <c r="I624"/>
  <c r="G624"/>
  <c r="F624"/>
  <c r="E624"/>
  <c r="J623"/>
  <c r="I623"/>
  <c r="G623"/>
  <c r="F623"/>
  <c r="E623"/>
  <c r="J622"/>
  <c r="I622"/>
  <c r="G622"/>
  <c r="F622"/>
  <c r="E622"/>
  <c r="J621"/>
  <c r="I621"/>
  <c r="G621"/>
  <c r="F621"/>
  <c r="E621"/>
  <c r="J620"/>
  <c r="I620"/>
  <c r="G620"/>
  <c r="F620"/>
  <c r="E620"/>
  <c r="J619"/>
  <c r="I619"/>
  <c r="G619"/>
  <c r="F619"/>
  <c r="E619"/>
  <c r="J618"/>
  <c r="I618"/>
  <c r="G618"/>
  <c r="F618"/>
  <c r="E618"/>
  <c r="J617"/>
  <c r="I617"/>
  <c r="G617"/>
  <c r="F617"/>
  <c r="E617"/>
  <c r="J616"/>
  <c r="I616"/>
  <c r="G616"/>
  <c r="F616"/>
  <c r="E616"/>
  <c r="J615"/>
  <c r="I615"/>
  <c r="G615"/>
  <c r="F615"/>
  <c r="E615"/>
  <c r="J614"/>
  <c r="I614"/>
  <c r="G614"/>
  <c r="F614"/>
  <c r="E614"/>
  <c r="J613"/>
  <c r="I613"/>
  <c r="G613"/>
  <c r="F613"/>
  <c r="E613"/>
  <c r="J612"/>
  <c r="I612"/>
  <c r="G612"/>
  <c r="F612"/>
  <c r="E612"/>
  <c r="J611"/>
  <c r="I611"/>
  <c r="G611"/>
  <c r="F611"/>
  <c r="E611"/>
  <c r="J610"/>
  <c r="I610"/>
  <c r="G610"/>
  <c r="F610"/>
  <c r="E610"/>
  <c r="J609"/>
  <c r="I609"/>
  <c r="G609"/>
  <c r="F609"/>
  <c r="E609"/>
  <c r="J608"/>
  <c r="I608"/>
  <c r="G608"/>
  <c r="F608"/>
  <c r="E608"/>
  <c r="J607"/>
  <c r="I607"/>
  <c r="G607"/>
  <c r="F607"/>
  <c r="E607"/>
  <c r="J606"/>
  <c r="I606"/>
  <c r="G606"/>
  <c r="F606"/>
  <c r="E606"/>
  <c r="J605"/>
  <c r="I605"/>
  <c r="G605"/>
  <c r="F605"/>
  <c r="E605"/>
  <c r="J604"/>
  <c r="I604"/>
  <c r="G604"/>
  <c r="F604"/>
  <c r="E604"/>
  <c r="J603"/>
  <c r="I603"/>
  <c r="G603"/>
  <c r="F603"/>
  <c r="E603"/>
  <c r="J602"/>
  <c r="I602"/>
  <c r="G602"/>
  <c r="F602"/>
  <c r="E602"/>
  <c r="J601"/>
  <c r="I601"/>
  <c r="G601"/>
  <c r="F601"/>
  <c r="E601"/>
  <c r="J600"/>
  <c r="I600"/>
  <c r="G600"/>
  <c r="F600"/>
  <c r="E600"/>
  <c r="J599"/>
  <c r="I599"/>
  <c r="G599"/>
  <c r="F599"/>
  <c r="E599"/>
  <c r="J598"/>
  <c r="I598"/>
  <c r="G598"/>
  <c r="F598"/>
  <c r="E598"/>
  <c r="J597"/>
  <c r="I597"/>
  <c r="G597"/>
  <c r="F597"/>
  <c r="E597"/>
  <c r="J596"/>
  <c r="I596"/>
  <c r="G596"/>
  <c r="F596"/>
  <c r="E596"/>
  <c r="J595"/>
  <c r="I595"/>
  <c r="G595"/>
  <c r="F595"/>
  <c r="E595"/>
  <c r="J594"/>
  <c r="I594"/>
  <c r="G594"/>
  <c r="F594"/>
  <c r="E594"/>
  <c r="J593"/>
  <c r="I593"/>
  <c r="G593"/>
  <c r="F593"/>
  <c r="E593"/>
  <c r="J592"/>
  <c r="I592"/>
  <c r="G592"/>
  <c r="F592"/>
  <c r="E592"/>
  <c r="J591"/>
  <c r="I591"/>
  <c r="G591"/>
  <c r="F591"/>
  <c r="E591"/>
  <c r="J590"/>
  <c r="I590"/>
  <c r="G590"/>
  <c r="F590"/>
  <c r="E590"/>
  <c r="J589"/>
  <c r="I589"/>
  <c r="G589"/>
  <c r="F589"/>
  <c r="E589"/>
  <c r="J588"/>
  <c r="I588"/>
  <c r="G588"/>
  <c r="F588"/>
  <c r="E588"/>
  <c r="J587"/>
  <c r="I587"/>
  <c r="G587"/>
  <c r="F587"/>
  <c r="E587"/>
  <c r="J586"/>
  <c r="I586"/>
  <c r="G586"/>
  <c r="F586"/>
  <c r="E586"/>
  <c r="J585"/>
  <c r="I585"/>
  <c r="G585"/>
  <c r="F585"/>
  <c r="E585"/>
  <c r="J584"/>
  <c r="I584"/>
  <c r="G584"/>
  <c r="F584"/>
  <c r="E584"/>
  <c r="J583"/>
  <c r="I583"/>
  <c r="G583"/>
  <c r="F583"/>
  <c r="E583"/>
  <c r="J582"/>
  <c r="I582"/>
  <c r="G582"/>
  <c r="F582"/>
  <c r="E582"/>
  <c r="J581"/>
  <c r="I581"/>
  <c r="G581"/>
  <c r="F581"/>
  <c r="E581"/>
  <c r="J580"/>
  <c r="I580"/>
  <c r="G580"/>
  <c r="F580"/>
  <c r="E580"/>
  <c r="J579"/>
  <c r="I579"/>
  <c r="G579"/>
  <c r="F579"/>
  <c r="E579"/>
  <c r="J578"/>
  <c r="I578"/>
  <c r="G578"/>
  <c r="F578"/>
  <c r="E578"/>
  <c r="J577"/>
  <c r="I577"/>
  <c r="G577"/>
  <c r="F577"/>
  <c r="E577"/>
  <c r="J576"/>
  <c r="I576"/>
  <c r="G576"/>
  <c r="F576"/>
  <c r="E576"/>
  <c r="J575"/>
  <c r="I575"/>
  <c r="G575"/>
  <c r="F575"/>
  <c r="E575"/>
  <c r="J574"/>
  <c r="I574"/>
  <c r="G574"/>
  <c r="F574"/>
  <c r="E574"/>
  <c r="J573"/>
  <c r="I573"/>
  <c r="G573"/>
  <c r="F573"/>
  <c r="E573"/>
  <c r="J572"/>
  <c r="I572"/>
  <c r="G572"/>
  <c r="F572"/>
  <c r="E572"/>
  <c r="J571"/>
  <c r="I571"/>
  <c r="G571"/>
  <c r="F571"/>
  <c r="E571"/>
  <c r="J570"/>
  <c r="I570"/>
  <c r="G570"/>
  <c r="F570"/>
  <c r="E570"/>
  <c r="J569"/>
  <c r="I569"/>
  <c r="G569"/>
  <c r="F569"/>
  <c r="E569"/>
  <c r="J568"/>
  <c r="I568"/>
  <c r="G568"/>
  <c r="F568"/>
  <c r="E568"/>
  <c r="J567"/>
  <c r="I567"/>
  <c r="G567"/>
  <c r="F567"/>
  <c r="E567"/>
  <c r="J566"/>
  <c r="I566"/>
  <c r="G566"/>
  <c r="F566"/>
  <c r="E566"/>
  <c r="J565"/>
  <c r="I565"/>
  <c r="G565"/>
  <c r="F565"/>
  <c r="E565"/>
  <c r="J564"/>
  <c r="I564"/>
  <c r="G564"/>
  <c r="F564"/>
  <c r="E564"/>
  <c r="J563"/>
  <c r="I563"/>
  <c r="G563"/>
  <c r="F563"/>
  <c r="E563"/>
  <c r="J562"/>
  <c r="I562"/>
  <c r="G562"/>
  <c r="F562"/>
  <c r="E562"/>
  <c r="J561"/>
  <c r="I561"/>
  <c r="G561"/>
  <c r="F561"/>
  <c r="E561"/>
  <c r="J560"/>
  <c r="I560"/>
  <c r="G560"/>
  <c r="F560"/>
  <c r="E560"/>
  <c r="J559"/>
  <c r="I559"/>
  <c r="G559"/>
  <c r="F559"/>
  <c r="E559"/>
  <c r="J558"/>
  <c r="I558"/>
  <c r="G558"/>
  <c r="F558"/>
  <c r="E558"/>
  <c r="J557"/>
  <c r="I557"/>
  <c r="G557"/>
  <c r="F557"/>
  <c r="E557"/>
  <c r="J556"/>
  <c r="I556"/>
  <c r="G556"/>
  <c r="F556"/>
  <c r="E556"/>
  <c r="J555"/>
  <c r="I555"/>
  <c r="G555"/>
  <c r="F555"/>
  <c r="E555"/>
  <c r="J554"/>
  <c r="I554"/>
  <c r="G554"/>
  <c r="F554"/>
  <c r="E554"/>
  <c r="J553"/>
  <c r="I553"/>
  <c r="G553"/>
  <c r="F553"/>
  <c r="E553"/>
  <c r="J552"/>
  <c r="I552"/>
  <c r="G552"/>
  <c r="F552"/>
  <c r="E552"/>
  <c r="J551"/>
  <c r="I551"/>
  <c r="G551"/>
  <c r="F551"/>
  <c r="E551"/>
  <c r="J550"/>
  <c r="I550"/>
  <c r="G550"/>
  <c r="F550"/>
  <c r="E550"/>
  <c r="J549"/>
  <c r="I549"/>
  <c r="G549"/>
  <c r="F549"/>
  <c r="E549"/>
  <c r="J548"/>
  <c r="I548"/>
  <c r="G548"/>
  <c r="F548"/>
  <c r="E548"/>
  <c r="J547"/>
  <c r="I547"/>
  <c r="G547"/>
  <c r="F547"/>
  <c r="E547"/>
  <c r="J546"/>
  <c r="I546"/>
  <c r="G546"/>
  <c r="F546"/>
  <c r="E546"/>
  <c r="J545"/>
  <c r="I545"/>
  <c r="G545"/>
  <c r="F545"/>
  <c r="E545"/>
  <c r="J544"/>
  <c r="I544"/>
  <c r="G544"/>
  <c r="F544"/>
  <c r="E544"/>
  <c r="J543"/>
  <c r="I543"/>
  <c r="G543"/>
  <c r="F543"/>
  <c r="E543"/>
  <c r="J542"/>
  <c r="I542"/>
  <c r="G542"/>
  <c r="F542"/>
  <c r="E542"/>
  <c r="J541"/>
  <c r="I541"/>
  <c r="G541"/>
  <c r="F541"/>
  <c r="E541"/>
  <c r="J540"/>
  <c r="I540"/>
  <c r="G540"/>
  <c r="F540"/>
  <c r="E540"/>
  <c r="J539"/>
  <c r="I539"/>
  <c r="G539"/>
  <c r="F539"/>
  <c r="E539"/>
  <c r="J538"/>
  <c r="I538"/>
  <c r="G538"/>
  <c r="F538"/>
  <c r="E538"/>
  <c r="J537"/>
  <c r="I537"/>
  <c r="G537"/>
  <c r="F537"/>
  <c r="E537"/>
  <c r="J536"/>
  <c r="I536"/>
  <c r="G536"/>
  <c r="F536"/>
  <c r="E536"/>
  <c r="J535"/>
  <c r="I535"/>
  <c r="G535"/>
  <c r="F535"/>
  <c r="E535"/>
  <c r="J534"/>
  <c r="I534"/>
  <c r="G534"/>
  <c r="F534"/>
  <c r="E534"/>
  <c r="J533"/>
  <c r="I533"/>
  <c r="G533"/>
  <c r="F533"/>
  <c r="E533"/>
  <c r="J532"/>
  <c r="I532"/>
  <c r="G532"/>
  <c r="F532"/>
  <c r="E532"/>
  <c r="J531"/>
  <c r="I531"/>
  <c r="G531"/>
  <c r="F531"/>
  <c r="E531"/>
  <c r="J530"/>
  <c r="I530"/>
  <c r="G530"/>
  <c r="F530"/>
  <c r="E530"/>
  <c r="J529"/>
  <c r="I529"/>
  <c r="G529"/>
  <c r="F529"/>
  <c r="E529"/>
  <c r="J528"/>
  <c r="I528"/>
  <c r="G528"/>
  <c r="F528"/>
  <c r="E528"/>
  <c r="J527"/>
  <c r="I527"/>
  <c r="G527"/>
  <c r="F527"/>
  <c r="E527"/>
  <c r="J526"/>
  <c r="I526"/>
  <c r="G526"/>
  <c r="F526"/>
  <c r="E526"/>
  <c r="J525"/>
  <c r="I525"/>
  <c r="G525"/>
  <c r="F525"/>
  <c r="E525"/>
  <c r="J524"/>
  <c r="I524"/>
  <c r="G524"/>
  <c r="F524"/>
  <c r="E524"/>
  <c r="J523"/>
  <c r="I523"/>
  <c r="G523"/>
  <c r="F523"/>
  <c r="E523"/>
  <c r="J522"/>
  <c r="I522"/>
  <c r="G522"/>
  <c r="F522"/>
  <c r="E522"/>
  <c r="J521"/>
  <c r="I521"/>
  <c r="G521"/>
  <c r="F521"/>
  <c r="E521"/>
  <c r="J520"/>
  <c r="I520"/>
  <c r="G520"/>
  <c r="F520"/>
  <c r="E520"/>
  <c r="J519"/>
  <c r="I519"/>
  <c r="G519"/>
  <c r="F519"/>
  <c r="E519"/>
  <c r="J518"/>
  <c r="I518"/>
  <c r="G518"/>
  <c r="F518"/>
  <c r="E518"/>
  <c r="J517"/>
  <c r="I517"/>
  <c r="G517"/>
  <c r="F517"/>
  <c r="E517"/>
  <c r="J516"/>
  <c r="I516"/>
  <c r="G516"/>
  <c r="F516"/>
  <c r="E516"/>
  <c r="J515"/>
  <c r="I515"/>
  <c r="G515"/>
  <c r="F515"/>
  <c r="E515"/>
  <c r="J514"/>
  <c r="I514"/>
  <c r="G514"/>
  <c r="F514"/>
  <c r="E514"/>
  <c r="J513"/>
  <c r="I513"/>
  <c r="G513"/>
  <c r="F513"/>
  <c r="E513"/>
  <c r="J512"/>
  <c r="I512"/>
  <c r="G512"/>
  <c r="F512"/>
  <c r="E512"/>
  <c r="J511"/>
  <c r="I511"/>
  <c r="G511"/>
  <c r="F511"/>
  <c r="E511"/>
  <c r="J510"/>
  <c r="I510"/>
  <c r="G510"/>
  <c r="F510"/>
  <c r="E510"/>
  <c r="J509"/>
  <c r="I509"/>
  <c r="G509"/>
  <c r="F509"/>
  <c r="E509"/>
  <c r="J508"/>
  <c r="I508"/>
  <c r="G508"/>
  <c r="F508"/>
  <c r="E508"/>
  <c r="J507"/>
  <c r="I507"/>
  <c r="G507"/>
  <c r="F507"/>
  <c r="E507"/>
  <c r="J506"/>
  <c r="I506"/>
  <c r="G506"/>
  <c r="F506"/>
  <c r="E506"/>
  <c r="J505"/>
  <c r="I505"/>
  <c r="G505"/>
  <c r="F505"/>
  <c r="E505"/>
  <c r="J504"/>
  <c r="I504"/>
  <c r="G504"/>
  <c r="F504"/>
  <c r="E504"/>
  <c r="J503"/>
  <c r="I503"/>
  <c r="G503"/>
  <c r="F503"/>
  <c r="E503"/>
  <c r="J502"/>
  <c r="I502"/>
  <c r="G502"/>
  <c r="F502"/>
  <c r="E502"/>
  <c r="J501"/>
  <c r="I501"/>
  <c r="G501"/>
  <c r="F501"/>
  <c r="E501"/>
  <c r="J500"/>
  <c r="I500"/>
  <c r="G500"/>
  <c r="F500"/>
  <c r="E500"/>
  <c r="J499"/>
  <c r="I499"/>
  <c r="G499"/>
  <c r="F499"/>
  <c r="E499"/>
  <c r="J498"/>
  <c r="I498"/>
  <c r="G498"/>
  <c r="F498"/>
  <c r="E498"/>
  <c r="J497"/>
  <c r="I497"/>
  <c r="G497"/>
  <c r="F497"/>
  <c r="E497"/>
  <c r="J496"/>
  <c r="I496"/>
  <c r="G496"/>
  <c r="F496"/>
  <c r="E496"/>
  <c r="J495"/>
  <c r="I495"/>
  <c r="G495"/>
  <c r="F495"/>
  <c r="E495"/>
  <c r="J494"/>
  <c r="I494"/>
  <c r="G494"/>
  <c r="F494"/>
  <c r="E494"/>
  <c r="J493"/>
  <c r="I493"/>
  <c r="G493"/>
  <c r="F493"/>
  <c r="E493"/>
  <c r="J492"/>
  <c r="I492"/>
  <c r="G492"/>
  <c r="F492"/>
  <c r="E492"/>
  <c r="J491"/>
  <c r="I491"/>
  <c r="G491"/>
  <c r="F491"/>
  <c r="E491"/>
  <c r="J490"/>
  <c r="I490"/>
  <c r="G490"/>
  <c r="F490"/>
  <c r="E490"/>
  <c r="J489"/>
  <c r="I489"/>
  <c r="G489"/>
  <c r="F489"/>
  <c r="E489"/>
  <c r="J488"/>
  <c r="I488"/>
  <c r="G488"/>
  <c r="F488"/>
  <c r="E488"/>
  <c r="J487"/>
  <c r="I487"/>
  <c r="G487"/>
  <c r="F487"/>
  <c r="E487"/>
  <c r="J486"/>
  <c r="I486"/>
  <c r="G486"/>
  <c r="F486"/>
  <c r="E486"/>
  <c r="J485"/>
  <c r="I485"/>
  <c r="G485"/>
  <c r="F485"/>
  <c r="E485"/>
  <c r="J484"/>
  <c r="I484"/>
  <c r="G484"/>
  <c r="F484"/>
  <c r="E484"/>
  <c r="J483"/>
  <c r="I483"/>
  <c r="G483"/>
  <c r="F483"/>
  <c r="E483"/>
  <c r="J482"/>
  <c r="I482"/>
  <c r="G482"/>
  <c r="F482"/>
  <c r="E482"/>
  <c r="J481"/>
  <c r="I481"/>
  <c r="G481"/>
  <c r="F481"/>
  <c r="E481"/>
  <c r="J480"/>
  <c r="I480"/>
  <c r="G480"/>
  <c r="F480"/>
  <c r="E480"/>
  <c r="J479"/>
  <c r="I479"/>
  <c r="G479"/>
  <c r="F479"/>
  <c r="E479"/>
  <c r="J478"/>
  <c r="I478"/>
  <c r="G478"/>
  <c r="F478"/>
  <c r="E478"/>
  <c r="J477"/>
  <c r="I477"/>
  <c r="G477"/>
  <c r="F477"/>
  <c r="E477"/>
  <c r="J476"/>
  <c r="I476"/>
  <c r="G476"/>
  <c r="F476"/>
  <c r="E476"/>
  <c r="J475"/>
  <c r="I475"/>
  <c r="G475"/>
  <c r="F475"/>
  <c r="E475"/>
  <c r="J474"/>
  <c r="I474"/>
  <c r="G474"/>
  <c r="F474"/>
  <c r="E474"/>
  <c r="J473"/>
  <c r="I473"/>
  <c r="G473"/>
  <c r="F473"/>
  <c r="E473"/>
  <c r="J472"/>
  <c r="I472"/>
  <c r="G472"/>
  <c r="F472"/>
  <c r="E472"/>
  <c r="J471"/>
  <c r="I471"/>
  <c r="G471"/>
  <c r="F471"/>
  <c r="E471"/>
  <c r="J470"/>
  <c r="I470"/>
  <c r="G470"/>
  <c r="F470"/>
  <c r="E470"/>
  <c r="J469"/>
  <c r="I469"/>
  <c r="G469"/>
  <c r="F469"/>
  <c r="E469"/>
  <c r="J468"/>
  <c r="I468"/>
  <c r="G468"/>
  <c r="F468"/>
  <c r="E468"/>
  <c r="J467"/>
  <c r="I467"/>
  <c r="G467"/>
  <c r="F467"/>
  <c r="E467"/>
  <c r="J466"/>
  <c r="I466"/>
  <c r="G466"/>
  <c r="F466"/>
  <c r="E466"/>
  <c r="J465"/>
  <c r="I465"/>
  <c r="G465"/>
  <c r="F465"/>
  <c r="E465"/>
  <c r="J464"/>
  <c r="I464"/>
  <c r="G464"/>
  <c r="F464"/>
  <c r="E464"/>
  <c r="J463"/>
  <c r="I463"/>
  <c r="G463"/>
  <c r="F463"/>
  <c r="E463"/>
  <c r="J462"/>
  <c r="I462"/>
  <c r="G462"/>
  <c r="F462"/>
  <c r="E462"/>
  <c r="J461"/>
  <c r="I461"/>
  <c r="G461"/>
  <c r="F461"/>
  <c r="E461"/>
  <c r="J460"/>
  <c r="I460"/>
  <c r="G460"/>
  <c r="F460"/>
  <c r="E460"/>
  <c r="J459"/>
  <c r="I459"/>
  <c r="G459"/>
  <c r="F459"/>
  <c r="E459"/>
  <c r="J458"/>
  <c r="I458"/>
  <c r="G458"/>
  <c r="F458"/>
  <c r="E458"/>
  <c r="J457"/>
  <c r="I457"/>
  <c r="G457"/>
  <c r="F457"/>
  <c r="E457"/>
  <c r="J456"/>
  <c r="I456"/>
  <c r="G456"/>
  <c r="F456"/>
  <c r="E456"/>
  <c r="J455"/>
  <c r="I455"/>
  <c r="G455"/>
  <c r="F455"/>
  <c r="E455"/>
  <c r="J454"/>
  <c r="I454"/>
  <c r="G454"/>
  <c r="F454"/>
  <c r="E454"/>
  <c r="J453"/>
  <c r="I453"/>
  <c r="G453"/>
  <c r="F453"/>
  <c r="E453"/>
  <c r="J452"/>
  <c r="I452"/>
  <c r="G452"/>
  <c r="F452"/>
  <c r="E452"/>
  <c r="J451"/>
  <c r="I451"/>
  <c r="G451"/>
  <c r="F451"/>
  <c r="E451"/>
  <c r="J450"/>
  <c r="I450"/>
  <c r="G450"/>
  <c r="F450"/>
  <c r="E450"/>
  <c r="J449"/>
  <c r="I449"/>
  <c r="G449"/>
  <c r="F449"/>
  <c r="E449"/>
  <c r="J448"/>
  <c r="I448"/>
  <c r="G448"/>
  <c r="F448"/>
  <c r="E448"/>
  <c r="J447"/>
  <c r="I447"/>
  <c r="G447"/>
  <c r="F447"/>
  <c r="E447"/>
  <c r="J446"/>
  <c r="I446"/>
  <c r="G446"/>
  <c r="F446"/>
  <c r="E446"/>
  <c r="J445"/>
  <c r="I445"/>
  <c r="G445"/>
  <c r="F445"/>
  <c r="E445"/>
  <c r="J444"/>
  <c r="I444"/>
  <c r="G444"/>
  <c r="F444"/>
  <c r="E444"/>
  <c r="J443"/>
  <c r="I443"/>
  <c r="G443"/>
  <c r="F443"/>
  <c r="E443"/>
  <c r="J442"/>
  <c r="I442"/>
  <c r="G442"/>
  <c r="F442"/>
  <c r="E442"/>
  <c r="J441"/>
  <c r="I441"/>
  <c r="G441"/>
  <c r="F441"/>
  <c r="E441"/>
  <c r="J440"/>
  <c r="I440"/>
  <c r="G440"/>
  <c r="F440"/>
  <c r="E440"/>
  <c r="J439"/>
  <c r="I439"/>
  <c r="G439"/>
  <c r="F439"/>
  <c r="E439"/>
  <c r="J438"/>
  <c r="I438"/>
  <c r="G438"/>
  <c r="F438"/>
  <c r="E438"/>
  <c r="J437"/>
  <c r="I437"/>
  <c r="G437"/>
  <c r="F437"/>
  <c r="E437"/>
  <c r="J436"/>
  <c r="I436"/>
  <c r="G436"/>
  <c r="F436"/>
  <c r="E436"/>
  <c r="J435"/>
  <c r="I435"/>
  <c r="G435"/>
  <c r="F435"/>
  <c r="E435"/>
  <c r="J434"/>
  <c r="I434"/>
  <c r="G434"/>
  <c r="F434"/>
  <c r="E434"/>
  <c r="J433"/>
  <c r="I433"/>
  <c r="G433"/>
  <c r="F433"/>
  <c r="E433"/>
  <c r="J432"/>
  <c r="I432"/>
  <c r="G432"/>
  <c r="F432"/>
  <c r="E432"/>
  <c r="J431"/>
  <c r="I431"/>
  <c r="G431"/>
  <c r="F431"/>
  <c r="E431"/>
  <c r="J430"/>
  <c r="I430"/>
  <c r="G430"/>
  <c r="F430"/>
  <c r="E430"/>
  <c r="J429"/>
  <c r="I429"/>
  <c r="G429"/>
  <c r="F429"/>
  <c r="E429"/>
  <c r="J428"/>
  <c r="I428"/>
  <c r="G428"/>
  <c r="F428"/>
  <c r="E428"/>
  <c r="J427"/>
  <c r="I427"/>
  <c r="G427"/>
  <c r="F427"/>
  <c r="E427"/>
  <c r="J426"/>
  <c r="I426"/>
  <c r="G426"/>
  <c r="F426"/>
  <c r="E426"/>
  <c r="J425"/>
  <c r="I425"/>
  <c r="G425"/>
  <c r="F425"/>
  <c r="E425"/>
  <c r="J424"/>
  <c r="I424"/>
  <c r="G424"/>
  <c r="F424"/>
  <c r="E424"/>
  <c r="J423"/>
  <c r="I423"/>
  <c r="G423"/>
  <c r="F423"/>
  <c r="E423"/>
  <c r="J422"/>
  <c r="I422"/>
  <c r="G422"/>
  <c r="F422"/>
  <c r="E422"/>
  <c r="J421"/>
  <c r="I421"/>
  <c r="G421"/>
  <c r="F421"/>
  <c r="E421"/>
  <c r="J420"/>
  <c r="I420"/>
  <c r="G420"/>
  <c r="F420"/>
  <c r="E420"/>
  <c r="J419"/>
  <c r="I419"/>
  <c r="G419"/>
  <c r="F419"/>
  <c r="E419"/>
  <c r="J418"/>
  <c r="I418"/>
  <c r="G418"/>
  <c r="F418"/>
  <c r="E418"/>
  <c r="J417"/>
  <c r="I417"/>
  <c r="G417"/>
  <c r="F417"/>
  <c r="E417"/>
  <c r="J416"/>
  <c r="I416"/>
  <c r="G416"/>
  <c r="F416"/>
  <c r="E416"/>
  <c r="J415"/>
  <c r="I415"/>
  <c r="G415"/>
  <c r="F415"/>
  <c r="E415"/>
  <c r="J414"/>
  <c r="I414"/>
  <c r="G414"/>
  <c r="F414"/>
  <c r="E414"/>
  <c r="J413"/>
  <c r="I413"/>
  <c r="G413"/>
  <c r="F413"/>
  <c r="E413"/>
  <c r="J412"/>
  <c r="I412"/>
  <c r="G412"/>
  <c r="F412"/>
  <c r="E412"/>
  <c r="J411"/>
  <c r="I411"/>
  <c r="G411"/>
  <c r="F411"/>
  <c r="E411"/>
  <c r="J410"/>
  <c r="I410"/>
  <c r="G410"/>
  <c r="F410"/>
  <c r="E410"/>
  <c r="J409"/>
  <c r="I409"/>
  <c r="G409"/>
  <c r="F409"/>
  <c r="E409"/>
  <c r="J408"/>
  <c r="I408"/>
  <c r="G408"/>
  <c r="F408"/>
  <c r="E408"/>
  <c r="J407"/>
  <c r="I407"/>
  <c r="G407"/>
  <c r="F407"/>
  <c r="E407"/>
  <c r="J406"/>
  <c r="I406"/>
  <c r="G406"/>
  <c r="F406"/>
  <c r="E406"/>
  <c r="J405"/>
  <c r="I405"/>
  <c r="G405"/>
  <c r="F405"/>
  <c r="E405"/>
  <c r="J404"/>
  <c r="I404"/>
  <c r="G404"/>
  <c r="F404"/>
  <c r="E404"/>
  <c r="J403"/>
  <c r="I403"/>
  <c r="G403"/>
  <c r="F403"/>
  <c r="E403"/>
  <c r="J402"/>
  <c r="I402"/>
  <c r="G402"/>
  <c r="F402"/>
  <c r="E402"/>
  <c r="J401"/>
  <c r="I401"/>
  <c r="G401"/>
  <c r="F401"/>
  <c r="E401"/>
  <c r="J400"/>
  <c r="I400"/>
  <c r="G400"/>
  <c r="F400"/>
  <c r="E400"/>
  <c r="J399"/>
  <c r="I399"/>
  <c r="G399"/>
  <c r="F399"/>
  <c r="E399"/>
  <c r="J398"/>
  <c r="I398"/>
  <c r="G398"/>
  <c r="F398"/>
  <c r="E398"/>
  <c r="J397"/>
  <c r="I397"/>
  <c r="G397"/>
  <c r="F397"/>
  <c r="E397"/>
  <c r="J396"/>
  <c r="I396"/>
  <c r="G396"/>
  <c r="F396"/>
  <c r="E396"/>
  <c r="J395"/>
  <c r="I395"/>
  <c r="G395"/>
  <c r="F395"/>
  <c r="E395"/>
  <c r="J394"/>
  <c r="I394"/>
  <c r="G394"/>
  <c r="F394"/>
  <c r="E394"/>
  <c r="J393"/>
  <c r="I393"/>
  <c r="G393"/>
  <c r="F393"/>
  <c r="E393"/>
  <c r="J392"/>
  <c r="I392"/>
  <c r="G392"/>
  <c r="F392"/>
  <c r="E392"/>
  <c r="J391"/>
  <c r="I391"/>
  <c r="G391"/>
  <c r="F391"/>
  <c r="E391"/>
  <c r="J390"/>
  <c r="I390"/>
  <c r="G390"/>
  <c r="F390"/>
  <c r="E390"/>
  <c r="J389"/>
  <c r="I389"/>
  <c r="G389"/>
  <c r="F389"/>
  <c r="E389"/>
  <c r="J388"/>
  <c r="I388"/>
  <c r="G388"/>
  <c r="F388"/>
  <c r="E388"/>
  <c r="J387"/>
  <c r="I387"/>
  <c r="G387"/>
  <c r="F387"/>
  <c r="E387"/>
  <c r="J386"/>
  <c r="I386"/>
  <c r="G386"/>
  <c r="F386"/>
  <c r="E386"/>
  <c r="J385"/>
  <c r="I385"/>
  <c r="G385"/>
  <c r="F385"/>
  <c r="E385"/>
  <c r="J384"/>
  <c r="I384"/>
  <c r="G384"/>
  <c r="F384"/>
  <c r="E384"/>
  <c r="J383"/>
  <c r="I383"/>
  <c r="G383"/>
  <c r="F383"/>
  <c r="E383"/>
  <c r="J382"/>
  <c r="I382"/>
  <c r="G382"/>
  <c r="F382"/>
  <c r="E382"/>
  <c r="J381"/>
  <c r="I381"/>
  <c r="G381"/>
  <c r="F381"/>
  <c r="E381"/>
  <c r="J380"/>
  <c r="I380"/>
  <c r="G380"/>
  <c r="F380"/>
  <c r="E380"/>
  <c r="J379"/>
  <c r="I379"/>
  <c r="G379"/>
  <c r="F379"/>
  <c r="E379"/>
  <c r="J378"/>
  <c r="I378"/>
  <c r="G378"/>
  <c r="F378"/>
  <c r="E378"/>
  <c r="J377"/>
  <c r="I377"/>
  <c r="G377"/>
  <c r="F377"/>
  <c r="E377"/>
  <c r="J376"/>
  <c r="I376"/>
  <c r="G376"/>
  <c r="F376"/>
  <c r="E376"/>
  <c r="J375"/>
  <c r="I375"/>
  <c r="G375"/>
  <c r="F375"/>
  <c r="E375"/>
  <c r="J374"/>
  <c r="I374"/>
  <c r="G374"/>
  <c r="F374"/>
  <c r="E374"/>
  <c r="J373"/>
  <c r="I373"/>
  <c r="G373"/>
  <c r="F373"/>
  <c r="E373"/>
  <c r="J372"/>
  <c r="I372"/>
  <c r="G372"/>
  <c r="F372"/>
  <c r="E372"/>
  <c r="J371"/>
  <c r="I371"/>
  <c r="G371"/>
  <c r="F371"/>
  <c r="E371"/>
  <c r="J370"/>
  <c r="I370"/>
  <c r="G370"/>
  <c r="F370"/>
  <c r="E370"/>
  <c r="J369"/>
  <c r="I369"/>
  <c r="G369"/>
  <c r="F369"/>
  <c r="E369"/>
  <c r="J368"/>
  <c r="I368"/>
  <c r="G368"/>
  <c r="F368"/>
  <c r="E368"/>
  <c r="J367"/>
  <c r="I367"/>
  <c r="G367"/>
  <c r="F367"/>
  <c r="E367"/>
  <c r="J366"/>
  <c r="I366"/>
  <c r="G366"/>
  <c r="F366"/>
  <c r="E366"/>
  <c r="J365"/>
  <c r="I365"/>
  <c r="G365"/>
  <c r="F365"/>
  <c r="E365"/>
  <c r="J364"/>
  <c r="I364"/>
  <c r="G364"/>
  <c r="F364"/>
  <c r="E364"/>
  <c r="J363"/>
  <c r="I363"/>
  <c r="G363"/>
  <c r="F363"/>
  <c r="E363"/>
  <c r="J362"/>
  <c r="I362"/>
  <c r="G362"/>
  <c r="F362"/>
  <c r="E362"/>
  <c r="J361"/>
  <c r="I361"/>
  <c r="G361"/>
  <c r="F361"/>
  <c r="E361"/>
  <c r="J360"/>
  <c r="I360"/>
  <c r="G360"/>
  <c r="F360"/>
  <c r="E360"/>
  <c r="J359"/>
  <c r="I359"/>
  <c r="G359"/>
  <c r="F359"/>
  <c r="E359"/>
  <c r="J358"/>
  <c r="I358"/>
  <c r="G358"/>
  <c r="F358"/>
  <c r="E358"/>
  <c r="J357"/>
  <c r="I357"/>
  <c r="G357"/>
  <c r="F357"/>
  <c r="E357"/>
  <c r="J356"/>
  <c r="I356"/>
  <c r="G356"/>
  <c r="F356"/>
  <c r="E356"/>
  <c r="J355"/>
  <c r="I355"/>
  <c r="G355"/>
  <c r="F355"/>
  <c r="E355"/>
  <c r="J354"/>
  <c r="I354"/>
  <c r="G354"/>
  <c r="F354"/>
  <c r="E354"/>
  <c r="J353"/>
  <c r="I353"/>
  <c r="G353"/>
  <c r="F353"/>
  <c r="E353"/>
  <c r="J352"/>
  <c r="I352"/>
  <c r="G352"/>
  <c r="F352"/>
  <c r="E352"/>
  <c r="J351"/>
  <c r="I351"/>
  <c r="G351"/>
  <c r="F351"/>
  <c r="E351"/>
  <c r="J350"/>
  <c r="I350"/>
  <c r="G350"/>
  <c r="F350"/>
  <c r="E350"/>
  <c r="J349"/>
  <c r="I349"/>
  <c r="G349"/>
  <c r="F349"/>
  <c r="E349"/>
  <c r="J348"/>
  <c r="I348"/>
  <c r="G348"/>
  <c r="F348"/>
  <c r="E348"/>
  <c r="J347"/>
  <c r="I347"/>
  <c r="G347"/>
  <c r="F347"/>
  <c r="E347"/>
  <c r="J346"/>
  <c r="I346"/>
  <c r="G346"/>
  <c r="F346"/>
  <c r="E346"/>
  <c r="J345"/>
  <c r="I345"/>
  <c r="G345"/>
  <c r="F345"/>
  <c r="E345"/>
  <c r="J344"/>
  <c r="I344"/>
  <c r="G344"/>
  <c r="F344"/>
  <c r="E344"/>
  <c r="J343"/>
  <c r="I343"/>
  <c r="G343"/>
  <c r="F343"/>
  <c r="E343"/>
  <c r="J342"/>
  <c r="I342"/>
  <c r="G342"/>
  <c r="F342"/>
  <c r="E342"/>
  <c r="J341"/>
  <c r="I341"/>
  <c r="G341"/>
  <c r="F341"/>
  <c r="E341"/>
  <c r="J340"/>
  <c r="I340"/>
  <c r="G340"/>
  <c r="F340"/>
  <c r="E340"/>
  <c r="J339"/>
  <c r="I339"/>
  <c r="G339"/>
  <c r="F339"/>
  <c r="E339"/>
  <c r="J338"/>
  <c r="I338"/>
  <c r="G338"/>
  <c r="F338"/>
  <c r="E338"/>
  <c r="J337"/>
  <c r="I337"/>
  <c r="G337"/>
  <c r="F337"/>
  <c r="E337"/>
  <c r="J336"/>
  <c r="I336"/>
  <c r="G336"/>
  <c r="F336"/>
  <c r="E336"/>
  <c r="J335"/>
  <c r="I335"/>
  <c r="G335"/>
  <c r="F335"/>
  <c r="E335"/>
  <c r="J334"/>
  <c r="I334"/>
  <c r="G334"/>
  <c r="F334"/>
  <c r="E334"/>
  <c r="J333"/>
  <c r="I333"/>
  <c r="G333"/>
  <c r="F333"/>
  <c r="E333"/>
  <c r="J332"/>
  <c r="I332"/>
  <c r="G332"/>
  <c r="F332"/>
  <c r="E332"/>
  <c r="J331"/>
  <c r="I331"/>
  <c r="G331"/>
  <c r="F331"/>
  <c r="E331"/>
  <c r="J330"/>
  <c r="I330"/>
  <c r="G330"/>
  <c r="F330"/>
  <c r="E330"/>
  <c r="J329"/>
  <c r="I329"/>
  <c r="G329"/>
  <c r="F329"/>
  <c r="E329"/>
  <c r="J328"/>
  <c r="I328"/>
  <c r="G328"/>
  <c r="F328"/>
  <c r="E328"/>
  <c r="J327"/>
  <c r="I327"/>
  <c r="G327"/>
  <c r="F327"/>
  <c r="E327"/>
  <c r="J326"/>
  <c r="I326"/>
  <c r="G326"/>
  <c r="F326"/>
  <c r="E326"/>
  <c r="J325"/>
  <c r="I325"/>
  <c r="G325"/>
  <c r="F325"/>
  <c r="E325"/>
  <c r="J324"/>
  <c r="I324"/>
  <c r="G324"/>
  <c r="F324"/>
  <c r="E324"/>
  <c r="J323"/>
  <c r="I323"/>
  <c r="G323"/>
  <c r="F323"/>
  <c r="E323"/>
  <c r="J322"/>
  <c r="I322"/>
  <c r="G322"/>
  <c r="F322"/>
  <c r="E322"/>
  <c r="J321"/>
  <c r="I321"/>
  <c r="G321"/>
  <c r="F321"/>
  <c r="E321"/>
  <c r="J320"/>
  <c r="I320"/>
  <c r="G320"/>
  <c r="F320"/>
  <c r="E320"/>
  <c r="J319"/>
  <c r="I319"/>
  <c r="G319"/>
  <c r="F319"/>
  <c r="E319"/>
  <c r="J318"/>
  <c r="I318"/>
  <c r="G318"/>
  <c r="F318"/>
  <c r="E318"/>
  <c r="J317"/>
  <c r="I317"/>
  <c r="G317"/>
  <c r="F317"/>
  <c r="E317"/>
  <c r="J316"/>
  <c r="I316"/>
  <c r="G316"/>
  <c r="F316"/>
  <c r="E316"/>
  <c r="J315"/>
  <c r="I315"/>
  <c r="G315"/>
  <c r="F315"/>
  <c r="E315"/>
  <c r="J314"/>
  <c r="I314"/>
  <c r="G314"/>
  <c r="F314"/>
  <c r="E314"/>
  <c r="J313"/>
  <c r="I313"/>
  <c r="G313"/>
  <c r="F313"/>
  <c r="E313"/>
  <c r="J312"/>
  <c r="I312"/>
  <c r="G312"/>
  <c r="F312"/>
  <c r="E312"/>
  <c r="J311"/>
  <c r="I311"/>
  <c r="G311"/>
  <c r="F311"/>
  <c r="E311"/>
  <c r="J310"/>
  <c r="I310"/>
  <c r="G310"/>
  <c r="F310"/>
  <c r="E310"/>
  <c r="J309"/>
  <c r="I309"/>
  <c r="G309"/>
  <c r="F309"/>
  <c r="E309"/>
  <c r="J308"/>
  <c r="I308"/>
  <c r="G308"/>
  <c r="F308"/>
  <c r="E308"/>
  <c r="J307"/>
  <c r="I307"/>
  <c r="G307"/>
  <c r="F307"/>
  <c r="E307"/>
  <c r="J306"/>
  <c r="I306"/>
  <c r="G306"/>
  <c r="F306"/>
  <c r="E306"/>
  <c r="J305"/>
  <c r="I305"/>
  <c r="G305"/>
  <c r="F305"/>
  <c r="E305"/>
  <c r="J304"/>
  <c r="I304"/>
  <c r="G304"/>
  <c r="F304"/>
  <c r="E304"/>
  <c r="J303"/>
  <c r="I303"/>
  <c r="G303"/>
  <c r="F303"/>
  <c r="E303"/>
  <c r="J302"/>
  <c r="I302"/>
  <c r="G302"/>
  <c r="F302"/>
  <c r="E302"/>
  <c r="J301"/>
  <c r="I301"/>
  <c r="G301"/>
  <c r="F301"/>
  <c r="E301"/>
  <c r="J300"/>
  <c r="I300"/>
  <c r="G300"/>
  <c r="F300"/>
  <c r="E300"/>
  <c r="J299"/>
  <c r="I299"/>
  <c r="G299"/>
  <c r="F299"/>
  <c r="E299"/>
  <c r="J298"/>
  <c r="I298"/>
  <c r="G298"/>
  <c r="F298"/>
  <c r="E298"/>
  <c r="J297"/>
  <c r="I297"/>
  <c r="G297"/>
  <c r="F297"/>
  <c r="E297"/>
  <c r="J296"/>
  <c r="I296"/>
  <c r="G296"/>
  <c r="F296"/>
  <c r="E296"/>
  <c r="J295"/>
  <c r="I295"/>
  <c r="G295"/>
  <c r="F295"/>
  <c r="E295"/>
  <c r="J294"/>
  <c r="I294"/>
  <c r="G294"/>
  <c r="F294"/>
  <c r="E294"/>
  <c r="J293"/>
  <c r="I293"/>
  <c r="G293"/>
  <c r="F293"/>
  <c r="E293"/>
  <c r="J292"/>
  <c r="I292"/>
  <c r="G292"/>
  <c r="F292"/>
  <c r="E292"/>
  <c r="J291"/>
  <c r="I291"/>
  <c r="G291"/>
  <c r="F291"/>
  <c r="E291"/>
  <c r="J290"/>
  <c r="I290"/>
  <c r="G290"/>
  <c r="F290"/>
  <c r="E290"/>
  <c r="J289"/>
  <c r="I289"/>
  <c r="G289"/>
  <c r="F289"/>
  <c r="E289"/>
  <c r="J288"/>
  <c r="I288"/>
  <c r="G288"/>
  <c r="F288"/>
  <c r="E288"/>
  <c r="J287"/>
  <c r="I287"/>
  <c r="G287"/>
  <c r="F287"/>
  <c r="E287"/>
  <c r="J286"/>
  <c r="I286"/>
  <c r="G286"/>
  <c r="F286"/>
  <c r="E286"/>
  <c r="J285"/>
  <c r="I285"/>
  <c r="G285"/>
  <c r="F285"/>
  <c r="E285"/>
  <c r="J284"/>
  <c r="I284"/>
  <c r="G284"/>
  <c r="F284"/>
  <c r="E284"/>
  <c r="J283"/>
  <c r="I283"/>
  <c r="G283"/>
  <c r="F283"/>
  <c r="E283"/>
  <c r="J282"/>
  <c r="I282"/>
  <c r="G282"/>
  <c r="F282"/>
  <c r="E282"/>
  <c r="J281"/>
  <c r="I281"/>
  <c r="G281"/>
  <c r="F281"/>
  <c r="E281"/>
  <c r="J280"/>
  <c r="I280"/>
  <c r="G280"/>
  <c r="F280"/>
  <c r="E280"/>
  <c r="J279"/>
  <c r="I279"/>
  <c r="G279"/>
  <c r="F279"/>
  <c r="E279"/>
  <c r="J278"/>
  <c r="I278"/>
  <c r="G278"/>
  <c r="F278"/>
  <c r="E278"/>
  <c r="J277"/>
  <c r="I277"/>
  <c r="G277"/>
  <c r="F277"/>
  <c r="E277"/>
  <c r="J276"/>
  <c r="I276"/>
  <c r="G276"/>
  <c r="F276"/>
  <c r="E276"/>
  <c r="J275"/>
  <c r="I275"/>
  <c r="G275"/>
  <c r="F275"/>
  <c r="E275"/>
  <c r="J274"/>
  <c r="I274"/>
  <c r="G274"/>
  <c r="F274"/>
  <c r="E274"/>
  <c r="J273"/>
  <c r="I273"/>
  <c r="G273"/>
  <c r="F273"/>
  <c r="E273"/>
  <c r="J272"/>
  <c r="I272"/>
  <c r="G272"/>
  <c r="F272"/>
  <c r="E272"/>
  <c r="J271"/>
  <c r="I271"/>
  <c r="G271"/>
  <c r="F271"/>
  <c r="E271"/>
  <c r="J270"/>
  <c r="I270"/>
  <c r="G270"/>
  <c r="F270"/>
  <c r="E270"/>
  <c r="J269"/>
  <c r="I269"/>
  <c r="G269"/>
  <c r="F269"/>
  <c r="E269"/>
  <c r="J268"/>
  <c r="I268"/>
  <c r="G268"/>
  <c r="F268"/>
  <c r="E268"/>
  <c r="J267"/>
  <c r="I267"/>
  <c r="G267"/>
  <c r="F267"/>
  <c r="E267"/>
  <c r="J266"/>
  <c r="I266"/>
  <c r="G266"/>
  <c r="F266"/>
  <c r="E266"/>
  <c r="J265"/>
  <c r="I265"/>
  <c r="G265"/>
  <c r="F265"/>
  <c r="E265"/>
  <c r="J264"/>
  <c r="I264"/>
  <c r="G264"/>
  <c r="F264"/>
  <c r="E264"/>
  <c r="J263"/>
  <c r="I263"/>
  <c r="G263"/>
  <c r="F263"/>
  <c r="E263"/>
  <c r="J262"/>
  <c r="I262"/>
  <c r="G262"/>
  <c r="F262"/>
  <c r="E262"/>
  <c r="J261"/>
  <c r="I261"/>
  <c r="G261"/>
  <c r="F261"/>
  <c r="E261"/>
  <c r="J260"/>
  <c r="I260"/>
  <c r="G260"/>
  <c r="F260"/>
  <c r="E260"/>
  <c r="J259"/>
  <c r="I259"/>
  <c r="G259"/>
  <c r="F259"/>
  <c r="E259"/>
  <c r="J258"/>
  <c r="I258"/>
  <c r="G258"/>
  <c r="F258"/>
  <c r="E258"/>
  <c r="J257"/>
  <c r="I257"/>
  <c r="G257"/>
  <c r="F257"/>
  <c r="E257"/>
  <c r="J256"/>
  <c r="I256"/>
  <c r="G256"/>
  <c r="F256"/>
  <c r="E256"/>
  <c r="J255"/>
  <c r="I255"/>
  <c r="G255"/>
  <c r="F255"/>
  <c r="E255"/>
  <c r="J254"/>
  <c r="I254"/>
  <c r="G254"/>
  <c r="F254"/>
  <c r="E254"/>
  <c r="J253"/>
  <c r="I253"/>
  <c r="G253"/>
  <c r="F253"/>
  <c r="E253"/>
  <c r="J252"/>
  <c r="I252"/>
  <c r="G252"/>
  <c r="F252"/>
  <c r="E252"/>
  <c r="J251"/>
  <c r="I251"/>
  <c r="G251"/>
  <c r="F251"/>
  <c r="E251"/>
  <c r="J250"/>
  <c r="I250"/>
  <c r="G250"/>
  <c r="F250"/>
  <c r="E250"/>
  <c r="J249"/>
  <c r="I249"/>
  <c r="G249"/>
  <c r="F249"/>
  <c r="E249"/>
  <c r="J248"/>
  <c r="I248"/>
  <c r="G248"/>
  <c r="F248"/>
  <c r="E248"/>
  <c r="J247"/>
  <c r="I247"/>
  <c r="G247"/>
  <c r="F247"/>
  <c r="E247"/>
  <c r="J246"/>
  <c r="I246"/>
  <c r="G246"/>
  <c r="F246"/>
  <c r="E246"/>
  <c r="J245"/>
  <c r="I245"/>
  <c r="G245"/>
  <c r="F245"/>
  <c r="E245"/>
  <c r="J244"/>
  <c r="I244"/>
  <c r="G244"/>
  <c r="F244"/>
  <c r="E244"/>
  <c r="J243"/>
  <c r="I243"/>
  <c r="G243"/>
  <c r="F243"/>
  <c r="E243"/>
  <c r="J242"/>
  <c r="I242"/>
  <c r="G242"/>
  <c r="F242"/>
  <c r="E242"/>
  <c r="J241"/>
  <c r="I241"/>
  <c r="G241"/>
  <c r="F241"/>
  <c r="E241"/>
  <c r="J240"/>
  <c r="I240"/>
  <c r="G240"/>
  <c r="F240"/>
  <c r="E240"/>
  <c r="J239"/>
  <c r="I239"/>
  <c r="G239"/>
  <c r="F239"/>
  <c r="E239"/>
  <c r="J238"/>
  <c r="I238"/>
  <c r="G238"/>
  <c r="F238"/>
  <c r="E238"/>
  <c r="J237"/>
  <c r="I237"/>
  <c r="G237"/>
  <c r="F237"/>
  <c r="E237"/>
  <c r="J236"/>
  <c r="I236"/>
  <c r="G236"/>
  <c r="F236"/>
  <c r="E236"/>
  <c r="J235"/>
  <c r="I235"/>
  <c r="G235"/>
  <c r="F235"/>
  <c r="E235"/>
  <c r="J234"/>
  <c r="I234"/>
  <c r="G234"/>
  <c r="F234"/>
  <c r="E234"/>
  <c r="J233"/>
  <c r="I233"/>
  <c r="G233"/>
  <c r="F233"/>
  <c r="E233"/>
  <c r="J232"/>
  <c r="I232"/>
  <c r="G232"/>
  <c r="F232"/>
  <c r="E232"/>
  <c r="J231"/>
  <c r="I231"/>
  <c r="G231"/>
  <c r="F231"/>
  <c r="E231"/>
  <c r="J230"/>
  <c r="I230"/>
  <c r="G230"/>
  <c r="F230"/>
  <c r="E230"/>
  <c r="J229"/>
  <c r="I229"/>
  <c r="G229"/>
  <c r="F229"/>
  <c r="E229"/>
  <c r="J228"/>
  <c r="I228"/>
  <c r="G228"/>
  <c r="F228"/>
  <c r="E228"/>
  <c r="J227"/>
  <c r="I227"/>
  <c r="G227"/>
  <c r="F227"/>
  <c r="E227"/>
  <c r="J226"/>
  <c r="I226"/>
  <c r="G226"/>
  <c r="F226"/>
  <c r="E226"/>
  <c r="J225"/>
  <c r="I225"/>
  <c r="G225"/>
  <c r="F225"/>
  <c r="E225"/>
  <c r="J224"/>
  <c r="I224"/>
  <c r="G224"/>
  <c r="F224"/>
  <c r="E224"/>
  <c r="J223"/>
  <c r="I223"/>
  <c r="G223"/>
  <c r="F223"/>
  <c r="E223"/>
  <c r="J222"/>
  <c r="I222"/>
  <c r="G222"/>
  <c r="F222"/>
  <c r="E222"/>
  <c r="J221"/>
  <c r="I221"/>
  <c r="G221"/>
  <c r="F221"/>
  <c r="E221"/>
  <c r="J220"/>
  <c r="I220"/>
  <c r="G220"/>
  <c r="F220"/>
  <c r="E220"/>
  <c r="J219"/>
  <c r="I219"/>
  <c r="G219"/>
  <c r="F219"/>
  <c r="E219"/>
  <c r="J218"/>
  <c r="I218"/>
  <c r="G218"/>
  <c r="F218"/>
  <c r="E218"/>
  <c r="J217"/>
  <c r="I217"/>
  <c r="G217"/>
  <c r="F217"/>
  <c r="E217"/>
  <c r="J216"/>
  <c r="I216"/>
  <c r="G216"/>
  <c r="F216"/>
  <c r="E216"/>
  <c r="J215"/>
  <c r="I215"/>
  <c r="G215"/>
  <c r="F215"/>
  <c r="E215"/>
  <c r="J214"/>
  <c r="I214"/>
  <c r="G214"/>
  <c r="F214"/>
  <c r="E214"/>
  <c r="J213"/>
  <c r="I213"/>
  <c r="G213"/>
  <c r="F213"/>
  <c r="E213"/>
  <c r="J212"/>
  <c r="I212"/>
  <c r="G212"/>
  <c r="F212"/>
  <c r="E212"/>
  <c r="J211"/>
  <c r="I211"/>
  <c r="G211"/>
  <c r="F211"/>
  <c r="E211"/>
  <c r="J210"/>
  <c r="I210"/>
  <c r="G210"/>
  <c r="F210"/>
  <c r="E210"/>
  <c r="J209"/>
  <c r="I209"/>
  <c r="G209"/>
  <c r="F209"/>
  <c r="E209"/>
  <c r="J208"/>
  <c r="I208"/>
  <c r="G208"/>
  <c r="F208"/>
  <c r="E208"/>
  <c r="J207"/>
  <c r="I207"/>
  <c r="G207"/>
  <c r="F207"/>
  <c r="E207"/>
  <c r="J206"/>
  <c r="I206"/>
  <c r="G206"/>
  <c r="F206"/>
  <c r="E206"/>
  <c r="J205"/>
  <c r="I205"/>
  <c r="G205"/>
  <c r="F205"/>
  <c r="E205"/>
  <c r="J204"/>
  <c r="I204"/>
  <c r="G204"/>
  <c r="F204"/>
  <c r="E204"/>
  <c r="J203"/>
  <c r="I203"/>
  <c r="G203"/>
  <c r="F203"/>
  <c r="E203"/>
  <c r="J202"/>
  <c r="I202"/>
  <c r="G202"/>
  <c r="F202"/>
  <c r="E202"/>
  <c r="J201"/>
  <c r="I201"/>
  <c r="G201"/>
  <c r="F201"/>
  <c r="E201"/>
  <c r="J200"/>
  <c r="I200"/>
  <c r="G200"/>
  <c r="F200"/>
  <c r="E200"/>
  <c r="J199"/>
  <c r="I199"/>
  <c r="G199"/>
  <c r="F199"/>
  <c r="E199"/>
  <c r="J198"/>
  <c r="I198"/>
  <c r="G198"/>
  <c r="F198"/>
  <c r="E198"/>
  <c r="J197"/>
  <c r="I197"/>
  <c r="G197"/>
  <c r="F197"/>
  <c r="E197"/>
  <c r="J196"/>
  <c r="I196"/>
  <c r="G196"/>
  <c r="F196"/>
  <c r="E196"/>
  <c r="J195"/>
  <c r="I195"/>
  <c r="G195"/>
  <c r="F195"/>
  <c r="E195"/>
  <c r="J194"/>
  <c r="I194"/>
  <c r="G194"/>
  <c r="F194"/>
  <c r="E194"/>
  <c r="J193"/>
  <c r="I193"/>
  <c r="G193"/>
  <c r="F193"/>
  <c r="E193"/>
  <c r="J192"/>
  <c r="I192"/>
  <c r="G192"/>
  <c r="F192"/>
  <c r="E192"/>
  <c r="J191"/>
  <c r="I191"/>
  <c r="G191"/>
  <c r="F191"/>
  <c r="E191"/>
  <c r="J190"/>
  <c r="I190"/>
  <c r="G190"/>
  <c r="F190"/>
  <c r="E190"/>
  <c r="J189"/>
  <c r="I189"/>
  <c r="G189"/>
  <c r="F189"/>
  <c r="E189"/>
  <c r="J188"/>
  <c r="I188"/>
  <c r="G188"/>
  <c r="F188"/>
  <c r="E188"/>
  <c r="J187"/>
  <c r="I187"/>
  <c r="G187"/>
  <c r="F187"/>
  <c r="E187"/>
  <c r="J186"/>
  <c r="I186"/>
  <c r="G186"/>
  <c r="F186"/>
  <c r="E186"/>
  <c r="J185"/>
  <c r="I185"/>
  <c r="G185"/>
  <c r="F185"/>
  <c r="E185"/>
  <c r="J184"/>
  <c r="I184"/>
  <c r="G184"/>
  <c r="F184"/>
  <c r="E184"/>
  <c r="J183"/>
  <c r="I183"/>
  <c r="G183"/>
  <c r="F183"/>
  <c r="E183"/>
  <c r="J182"/>
  <c r="I182"/>
  <c r="G182"/>
  <c r="F182"/>
  <c r="E182"/>
  <c r="J181"/>
  <c r="I181"/>
  <c r="G181"/>
  <c r="F181"/>
  <c r="E181"/>
  <c r="J180"/>
  <c r="I180"/>
  <c r="G180"/>
  <c r="F180"/>
  <c r="E180"/>
  <c r="J179"/>
  <c r="I179"/>
  <c r="G179"/>
  <c r="F179"/>
  <c r="E179"/>
  <c r="J178"/>
  <c r="I178"/>
  <c r="G178"/>
  <c r="F178"/>
  <c r="E178"/>
  <c r="J177"/>
  <c r="I177"/>
  <c r="G177"/>
  <c r="F177"/>
  <c r="E177"/>
  <c r="J176"/>
  <c r="I176"/>
  <c r="G176"/>
  <c r="F176"/>
  <c r="E176"/>
  <c r="J175"/>
  <c r="I175"/>
  <c r="G175"/>
  <c r="F175"/>
  <c r="E175"/>
  <c r="J174"/>
  <c r="I174"/>
  <c r="G174"/>
  <c r="F174"/>
  <c r="E174"/>
  <c r="J173"/>
  <c r="I173"/>
  <c r="G173"/>
  <c r="F173"/>
  <c r="E173"/>
  <c r="J172"/>
  <c r="I172"/>
  <c r="G172"/>
  <c r="F172"/>
  <c r="E172"/>
  <c r="J171"/>
  <c r="I171"/>
  <c r="G171"/>
  <c r="F171"/>
  <c r="E171"/>
  <c r="J170"/>
  <c r="I170"/>
  <c r="G170"/>
  <c r="F170"/>
  <c r="E170"/>
  <c r="J169"/>
  <c r="I169"/>
  <c r="G169"/>
  <c r="F169"/>
  <c r="E169"/>
  <c r="J168"/>
  <c r="I168"/>
  <c r="G168"/>
  <c r="F168"/>
  <c r="E168"/>
  <c r="J167"/>
  <c r="I167"/>
  <c r="G167"/>
  <c r="F167"/>
  <c r="E167"/>
  <c r="J166"/>
  <c r="I166"/>
  <c r="G166"/>
  <c r="F166"/>
  <c r="E166"/>
  <c r="J165"/>
  <c r="I165"/>
  <c r="F165"/>
  <c r="E165"/>
  <c r="J164"/>
  <c r="I164"/>
  <c r="G164"/>
  <c r="F164"/>
  <c r="E164"/>
  <c r="J163"/>
  <c r="F163"/>
  <c r="E163"/>
  <c r="J162"/>
  <c r="F162"/>
  <c r="E162"/>
  <c r="J161"/>
  <c r="I161"/>
  <c r="F161"/>
  <c r="E161"/>
  <c r="J160"/>
  <c r="I160"/>
  <c r="F160"/>
  <c r="E160"/>
  <c r="J159"/>
  <c r="I159"/>
  <c r="F159"/>
  <c r="E159"/>
  <c r="J158"/>
  <c r="I158"/>
  <c r="F158"/>
  <c r="E158"/>
  <c r="J157"/>
  <c r="I157"/>
  <c r="G157"/>
  <c r="F157"/>
  <c r="E157"/>
  <c r="J156"/>
  <c r="F156"/>
  <c r="E156"/>
  <c r="G156" s="1"/>
  <c r="J155"/>
  <c r="I155"/>
  <c r="G155"/>
  <c r="F155"/>
  <c r="E155"/>
  <c r="J154"/>
  <c r="I154"/>
  <c r="G154"/>
  <c r="F154"/>
  <c r="E154"/>
  <c r="J153"/>
  <c r="I153"/>
  <c r="G153"/>
  <c r="F153"/>
  <c r="E153"/>
  <c r="J152"/>
  <c r="I152"/>
  <c r="G152"/>
  <c r="F152"/>
  <c r="E152"/>
  <c r="J151"/>
  <c r="I151"/>
  <c r="G151"/>
  <c r="F151"/>
  <c r="E151"/>
  <c r="J150"/>
  <c r="I150"/>
  <c r="G150"/>
  <c r="F150"/>
  <c r="E150"/>
  <c r="J149"/>
  <c r="I149"/>
  <c r="G149"/>
  <c r="F149"/>
  <c r="E149"/>
  <c r="J148"/>
  <c r="I148"/>
  <c r="G148"/>
  <c r="F148"/>
  <c r="E148"/>
  <c r="J147"/>
  <c r="I147"/>
  <c r="G147"/>
  <c r="F147"/>
  <c r="E147"/>
  <c r="J146"/>
  <c r="I146"/>
  <c r="G146"/>
  <c r="F146"/>
  <c r="E146"/>
  <c r="J145"/>
  <c r="I145"/>
  <c r="G145"/>
  <c r="F145"/>
  <c r="E145"/>
  <c r="J144"/>
  <c r="I144"/>
  <c r="G144"/>
  <c r="F144"/>
  <c r="E144"/>
  <c r="J143"/>
  <c r="I143"/>
  <c r="G143"/>
  <c r="F143"/>
  <c r="E143"/>
  <c r="J142"/>
  <c r="I142"/>
  <c r="G142"/>
  <c r="F142"/>
  <c r="E142"/>
  <c r="J141"/>
  <c r="I141"/>
  <c r="G141"/>
  <c r="F141"/>
  <c r="E141"/>
  <c r="J140"/>
  <c r="I140"/>
  <c r="G140"/>
  <c r="F140"/>
  <c r="E140"/>
  <c r="J139"/>
  <c r="I139"/>
  <c r="G139"/>
  <c r="F139"/>
  <c r="E139"/>
  <c r="J138"/>
  <c r="I138"/>
  <c r="G138"/>
  <c r="F138"/>
  <c r="E138"/>
  <c r="J137"/>
  <c r="I137"/>
  <c r="G137"/>
  <c r="F137"/>
  <c r="E137"/>
  <c r="J136"/>
  <c r="I136"/>
  <c r="G136"/>
  <c r="F136"/>
  <c r="E136"/>
  <c r="J135"/>
  <c r="I135"/>
  <c r="G135"/>
  <c r="F135"/>
  <c r="E135"/>
  <c r="J134"/>
  <c r="I134"/>
  <c r="G134"/>
  <c r="F134"/>
  <c r="E134"/>
  <c r="J133"/>
  <c r="I133"/>
  <c r="G133"/>
  <c r="F133"/>
  <c r="E133"/>
  <c r="J132"/>
  <c r="I132"/>
  <c r="G132"/>
  <c r="F132"/>
  <c r="E132"/>
  <c r="J131"/>
  <c r="I131"/>
  <c r="G131"/>
  <c r="F131"/>
  <c r="E131"/>
  <c r="J130"/>
  <c r="I130"/>
  <c r="G130"/>
  <c r="F130"/>
  <c r="E130"/>
  <c r="J129"/>
  <c r="I129"/>
  <c r="G129"/>
  <c r="F129"/>
  <c r="E129"/>
  <c r="J128"/>
  <c r="I128"/>
  <c r="G128"/>
  <c r="F128"/>
  <c r="E128"/>
  <c r="J127"/>
  <c r="I127"/>
  <c r="G127"/>
  <c r="F127"/>
  <c r="E127"/>
  <c r="J126"/>
  <c r="I126"/>
  <c r="G126"/>
  <c r="F126"/>
  <c r="E126"/>
  <c r="J125"/>
  <c r="I125"/>
  <c r="G125"/>
  <c r="F125"/>
  <c r="E125"/>
  <c r="J124"/>
  <c r="I124"/>
  <c r="G124"/>
  <c r="F124"/>
  <c r="E124"/>
  <c r="J123"/>
  <c r="I123"/>
  <c r="G123"/>
  <c r="F123"/>
  <c r="E123"/>
  <c r="J122"/>
  <c r="I122"/>
  <c r="G122"/>
  <c r="F122"/>
  <c r="E122"/>
  <c r="J121"/>
  <c r="I121"/>
  <c r="G121"/>
  <c r="F121"/>
  <c r="E121"/>
  <c r="J120"/>
  <c r="I120"/>
  <c r="G120"/>
  <c r="F120"/>
  <c r="E120"/>
  <c r="J119"/>
  <c r="I119"/>
  <c r="G119"/>
  <c r="F119"/>
  <c r="E119"/>
  <c r="J118"/>
  <c r="I118"/>
  <c r="G118"/>
  <c r="F118"/>
  <c r="E118"/>
  <c r="J117"/>
  <c r="I117"/>
  <c r="G117"/>
  <c r="F117"/>
  <c r="E117"/>
  <c r="J116"/>
  <c r="I116"/>
  <c r="G116"/>
  <c r="F116"/>
  <c r="E116"/>
  <c r="J115"/>
  <c r="I115"/>
  <c r="G115"/>
  <c r="F115"/>
  <c r="E115"/>
  <c r="J114"/>
  <c r="I114"/>
  <c r="G114"/>
  <c r="F114"/>
  <c r="E114"/>
  <c r="J113"/>
  <c r="I113"/>
  <c r="G113"/>
  <c r="F113"/>
  <c r="E113"/>
  <c r="J112"/>
  <c r="I112"/>
  <c r="G112"/>
  <c r="F112"/>
  <c r="E112"/>
  <c r="J111"/>
  <c r="I111"/>
  <c r="G111"/>
  <c r="F111"/>
  <c r="E111"/>
  <c r="J110"/>
  <c r="I110"/>
  <c r="G110"/>
  <c r="F110"/>
  <c r="E110"/>
  <c r="J109"/>
  <c r="I109"/>
  <c r="G109"/>
  <c r="F109"/>
  <c r="E109"/>
  <c r="J108"/>
  <c r="I108"/>
  <c r="G108"/>
  <c r="F108"/>
  <c r="E108"/>
  <c r="J107"/>
  <c r="I107"/>
  <c r="G107"/>
  <c r="F107"/>
  <c r="E107"/>
  <c r="J106"/>
  <c r="I106"/>
  <c r="G106"/>
  <c r="F106"/>
  <c r="E106"/>
  <c r="J105"/>
  <c r="I105"/>
  <c r="G105"/>
  <c r="F105"/>
  <c r="E105"/>
  <c r="J104"/>
  <c r="I104"/>
  <c r="G104"/>
  <c r="F104"/>
  <c r="E104"/>
  <c r="J103"/>
  <c r="I103"/>
  <c r="G103"/>
  <c r="F103"/>
  <c r="E103"/>
  <c r="J102"/>
  <c r="I102"/>
  <c r="G102"/>
  <c r="F102"/>
  <c r="E102"/>
  <c r="J101"/>
  <c r="I101"/>
  <c r="G101"/>
  <c r="F101"/>
  <c r="E101"/>
  <c r="J100"/>
  <c r="I100"/>
  <c r="G100"/>
  <c r="F100"/>
  <c r="E100"/>
  <c r="J99"/>
  <c r="I99"/>
  <c r="G99"/>
  <c r="F99"/>
  <c r="E99"/>
  <c r="J98"/>
  <c r="I98"/>
  <c r="G98"/>
  <c r="F98"/>
  <c r="E98"/>
  <c r="J97"/>
  <c r="I97"/>
  <c r="G97"/>
  <c r="F97"/>
  <c r="E97"/>
  <c r="J96"/>
  <c r="I96"/>
  <c r="G96"/>
  <c r="F96"/>
  <c r="E96"/>
  <c r="J95"/>
  <c r="I95"/>
  <c r="G95"/>
  <c r="F95"/>
  <c r="E95"/>
  <c r="J94"/>
  <c r="I94"/>
  <c r="G94"/>
  <c r="F94"/>
  <c r="E94"/>
  <c r="J93"/>
  <c r="I93"/>
  <c r="G93"/>
  <c r="F93"/>
  <c r="E93"/>
  <c r="J92"/>
  <c r="I92"/>
  <c r="G92"/>
  <c r="F92"/>
  <c r="E92"/>
  <c r="J91"/>
  <c r="I91"/>
  <c r="G91"/>
  <c r="F91"/>
  <c r="E91"/>
  <c r="J90"/>
  <c r="I90"/>
  <c r="G90"/>
  <c r="F90"/>
  <c r="E90"/>
  <c r="J89"/>
  <c r="I89"/>
  <c r="G89"/>
  <c r="F89"/>
  <c r="E89"/>
  <c r="J88"/>
  <c r="I88"/>
  <c r="G88"/>
  <c r="F88"/>
  <c r="E88"/>
  <c r="J87"/>
  <c r="I87"/>
  <c r="G87"/>
  <c r="F87"/>
  <c r="E87"/>
  <c r="J86"/>
  <c r="I86"/>
  <c r="G86"/>
  <c r="F86"/>
  <c r="E86"/>
  <c r="J85"/>
  <c r="I85"/>
  <c r="G85"/>
  <c r="F85"/>
  <c r="E85"/>
  <c r="J84"/>
  <c r="I84"/>
  <c r="G84"/>
  <c r="F84"/>
  <c r="E84"/>
  <c r="J83"/>
  <c r="I83"/>
  <c r="G83"/>
  <c r="F83"/>
  <c r="E83"/>
  <c r="J82"/>
  <c r="I82"/>
  <c r="G82"/>
  <c r="F82"/>
  <c r="E82"/>
  <c r="J81"/>
  <c r="I81"/>
  <c r="G81"/>
  <c r="F81"/>
  <c r="E81"/>
  <c r="J80"/>
  <c r="I80"/>
  <c r="G80"/>
  <c r="F80"/>
  <c r="E80"/>
  <c r="J79"/>
  <c r="I79"/>
  <c r="G79"/>
  <c r="F79"/>
  <c r="E79"/>
  <c r="J78"/>
  <c r="I78"/>
  <c r="G78"/>
  <c r="F78"/>
  <c r="E78"/>
  <c r="J77"/>
  <c r="I77"/>
  <c r="G77"/>
  <c r="F77"/>
  <c r="E77"/>
  <c r="J76"/>
  <c r="I76"/>
  <c r="G76"/>
  <c r="F76"/>
  <c r="E76"/>
  <c r="J75"/>
  <c r="I75"/>
  <c r="G75"/>
  <c r="F75"/>
  <c r="E75"/>
  <c r="J74"/>
  <c r="I74"/>
  <c r="G74"/>
  <c r="F74"/>
  <c r="E74"/>
  <c r="J73"/>
  <c r="I73"/>
  <c r="G73"/>
  <c r="F73"/>
  <c r="E73"/>
  <c r="J72"/>
  <c r="I72"/>
  <c r="G72"/>
  <c r="F72"/>
  <c r="E72"/>
  <c r="J71"/>
  <c r="I71"/>
  <c r="G71"/>
  <c r="F71"/>
  <c r="E71"/>
  <c r="J70"/>
  <c r="I70"/>
  <c r="G70"/>
  <c r="F70"/>
  <c r="E70"/>
  <c r="J69"/>
  <c r="I69"/>
  <c r="G69"/>
  <c r="F69"/>
  <c r="E69"/>
  <c r="J68"/>
  <c r="I68"/>
  <c r="G68"/>
  <c r="F68"/>
  <c r="E68"/>
  <c r="J67"/>
  <c r="I67"/>
  <c r="G67"/>
  <c r="F67"/>
  <c r="E67"/>
  <c r="J66"/>
  <c r="I66"/>
  <c r="G66"/>
  <c r="F66"/>
  <c r="E66"/>
  <c r="J65"/>
  <c r="I65"/>
  <c r="G65"/>
  <c r="F65"/>
  <c r="E65"/>
  <c r="J64"/>
  <c r="I64"/>
  <c r="G64"/>
  <c r="F64"/>
  <c r="E64"/>
  <c r="J63"/>
  <c r="I63"/>
  <c r="G63"/>
  <c r="F63"/>
  <c r="E63"/>
  <c r="J62"/>
  <c r="I62"/>
  <c r="G62"/>
  <c r="F62"/>
  <c r="E62"/>
  <c r="J61"/>
  <c r="I61"/>
  <c r="G61"/>
  <c r="F61"/>
  <c r="E61"/>
  <c r="J60"/>
  <c r="I60"/>
  <c r="G60"/>
  <c r="F60"/>
  <c r="E60"/>
  <c r="J59"/>
  <c r="I59"/>
  <c r="G59"/>
  <c r="F59"/>
  <c r="E59"/>
  <c r="J58"/>
  <c r="I58"/>
  <c r="G58"/>
  <c r="F58"/>
  <c r="E58"/>
  <c r="J57"/>
  <c r="I57"/>
  <c r="G57"/>
  <c r="F57"/>
  <c r="E57"/>
  <c r="J56"/>
  <c r="I56"/>
  <c r="G56"/>
  <c r="F56"/>
  <c r="E56"/>
  <c r="J55"/>
  <c r="I55"/>
  <c r="G55"/>
  <c r="F55"/>
  <c r="E55"/>
  <c r="J54"/>
  <c r="I54"/>
  <c r="G54"/>
  <c r="F54"/>
  <c r="E54"/>
  <c r="J53"/>
  <c r="I53"/>
  <c r="G53"/>
  <c r="F53"/>
  <c r="E53"/>
  <c r="J52"/>
  <c r="I52"/>
  <c r="G52"/>
  <c r="F52"/>
  <c r="E52"/>
  <c r="J51"/>
  <c r="I51"/>
  <c r="G51"/>
  <c r="F51"/>
  <c r="E51"/>
  <c r="J50"/>
  <c r="I50"/>
  <c r="G50"/>
  <c r="F50"/>
  <c r="E50"/>
  <c r="J49"/>
  <c r="I49"/>
  <c r="G49"/>
  <c r="F49"/>
  <c r="E49"/>
  <c r="J48"/>
  <c r="I48"/>
  <c r="G48"/>
  <c r="F48"/>
  <c r="E48"/>
  <c r="J47"/>
  <c r="I47"/>
  <c r="G47"/>
  <c r="F47"/>
  <c r="E47"/>
  <c r="J46"/>
  <c r="I46"/>
  <c r="G46"/>
  <c r="F46"/>
  <c r="E46"/>
  <c r="J45"/>
  <c r="I45"/>
  <c r="G45"/>
  <c r="F45"/>
  <c r="E45"/>
  <c r="J44"/>
  <c r="I44"/>
  <c r="G44"/>
  <c r="F44"/>
  <c r="E44"/>
  <c r="J43"/>
  <c r="I43"/>
  <c r="G43"/>
  <c r="F43"/>
  <c r="E43"/>
  <c r="J42"/>
  <c r="I42"/>
  <c r="G42"/>
  <c r="F42"/>
  <c r="E42"/>
  <c r="J41"/>
  <c r="I41"/>
  <c r="G41"/>
  <c r="F41"/>
  <c r="E41"/>
  <c r="J40"/>
  <c r="I40"/>
  <c r="G40"/>
  <c r="F40"/>
  <c r="E40"/>
  <c r="J39"/>
  <c r="I39"/>
  <c r="G39"/>
  <c r="F39"/>
  <c r="E39"/>
  <c r="J38"/>
  <c r="I38"/>
  <c r="G38"/>
  <c r="F38"/>
  <c r="E38"/>
  <c r="J37"/>
  <c r="I37"/>
  <c r="G37"/>
  <c r="F37"/>
  <c r="E37"/>
  <c r="J36"/>
  <c r="I36"/>
  <c r="G36"/>
  <c r="F36"/>
  <c r="E36"/>
  <c r="J35"/>
  <c r="I35"/>
  <c r="G35"/>
  <c r="F35"/>
  <c r="E35"/>
  <c r="J34"/>
  <c r="I34"/>
  <c r="F34"/>
  <c r="E34"/>
  <c r="G34" s="1"/>
  <c r="J33"/>
  <c r="I33"/>
  <c r="F33"/>
  <c r="E33"/>
  <c r="G33" s="1"/>
  <c r="J32"/>
  <c r="I32"/>
  <c r="G32"/>
  <c r="F32"/>
  <c r="E32"/>
  <c r="J31"/>
  <c r="F31"/>
  <c r="E31"/>
  <c r="G31" s="1"/>
  <c r="J30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I156"/>
  <c r="I163"/>
  <c r="I162"/>
  <c r="I31"/>
  <c r="I30"/>
  <c r="G163" l="1"/>
  <c r="G165"/>
  <c r="G158"/>
  <c r="G159"/>
  <c r="G160"/>
  <c r="G161"/>
  <c r="G162"/>
  <c r="J29"/>
  <c r="J28"/>
  <c r="I29"/>
  <c r="I28"/>
  <c r="J27" l="1"/>
  <c r="I27"/>
  <c r="J26" l="1"/>
  <c r="I26"/>
  <c r="J25" l="1"/>
  <c r="J24"/>
  <c r="I25"/>
  <c r="I24"/>
  <c r="J23" l="1"/>
  <c r="I23"/>
  <c r="J22" l="1"/>
  <c r="I22"/>
  <c r="J21" l="1"/>
  <c r="J20"/>
  <c r="I21"/>
  <c r="I20"/>
  <c r="J19" l="1"/>
  <c r="I19"/>
  <c r="J18" l="1"/>
  <c r="I18"/>
  <c r="J17" l="1"/>
  <c r="J16"/>
  <c r="I17"/>
  <c r="I16"/>
  <c r="J15" l="1"/>
  <c r="F15"/>
  <c r="E15"/>
  <c r="I15"/>
  <c r="J14" l="1"/>
  <c r="F14"/>
  <c r="E14"/>
  <c r="I14"/>
  <c r="J13" l="1"/>
  <c r="F13"/>
  <c r="E13"/>
  <c r="J12"/>
  <c r="F12"/>
  <c r="E12"/>
  <c r="I12"/>
  <c r="I13"/>
  <c r="J11" l="1"/>
  <c r="F11"/>
  <c r="E11"/>
  <c r="I11"/>
  <c r="J10" l="1"/>
  <c r="F10"/>
  <c r="E10"/>
  <c r="J9"/>
  <c r="F9"/>
  <c r="E9"/>
  <c r="I10"/>
  <c r="I9"/>
  <c r="J8" l="1"/>
  <c r="J7"/>
  <c r="I7"/>
  <c r="J6" l="1"/>
  <c r="I6"/>
  <c r="J5" l="1"/>
  <c r="J4" l="1"/>
  <c r="J3"/>
  <c r="I4"/>
  <c r="B3" l="1"/>
  <c r="B4" s="1"/>
  <c r="J2"/>
  <c r="F2"/>
  <c r="E2"/>
  <c r="C3" l="1"/>
  <c r="F3"/>
  <c r="E4"/>
  <c r="B5"/>
  <c r="F4"/>
  <c r="C4"/>
  <c r="E3"/>
  <c r="G3" s="1"/>
  <c r="C2"/>
  <c r="AE22" i="49"/>
  <c r="AD22"/>
  <c r="AC22"/>
  <c r="AB22"/>
  <c r="AA22"/>
  <c r="Z22"/>
  <c r="H22"/>
  <c r="G22"/>
  <c r="F22"/>
  <c r="G4" i="3" l="1"/>
  <c r="B6"/>
  <c r="F5"/>
  <c r="C5"/>
  <c r="E5"/>
  <c r="G5" s="1"/>
  <c r="AE21" i="49"/>
  <c r="AD21"/>
  <c r="AC21"/>
  <c r="AB21"/>
  <c r="AA21"/>
  <c r="Z21"/>
  <c r="H21"/>
  <c r="G21"/>
  <c r="F21"/>
  <c r="AE20"/>
  <c r="AD20"/>
  <c r="AC20"/>
  <c r="AB20"/>
  <c r="AA20"/>
  <c r="Z20"/>
  <c r="H20"/>
  <c r="G20"/>
  <c r="F20"/>
  <c r="AE19"/>
  <c r="AD19"/>
  <c r="AC19"/>
  <c r="AB19"/>
  <c r="AA19"/>
  <c r="Z19"/>
  <c r="H19"/>
  <c r="G19"/>
  <c r="F19"/>
  <c r="AE18"/>
  <c r="AD18"/>
  <c r="AC18"/>
  <c r="AB18"/>
  <c r="AA18"/>
  <c r="Z18"/>
  <c r="H18"/>
  <c r="G18"/>
  <c r="F18"/>
  <c r="AE17"/>
  <c r="AD17"/>
  <c r="AC17"/>
  <c r="AB17"/>
  <c r="AA17"/>
  <c r="Z17"/>
  <c r="H17"/>
  <c r="G17"/>
  <c r="F17"/>
  <c r="AE16"/>
  <c r="AD16"/>
  <c r="AC16"/>
  <c r="AB16"/>
  <c r="AA16"/>
  <c r="Z16"/>
  <c r="H16"/>
  <c r="G16"/>
  <c r="F16"/>
  <c r="AE15"/>
  <c r="AD15"/>
  <c r="AC15"/>
  <c r="AB15"/>
  <c r="AA15"/>
  <c r="Z15"/>
  <c r="H15"/>
  <c r="G15"/>
  <c r="F15"/>
  <c r="AE14"/>
  <c r="AD14"/>
  <c r="AC14"/>
  <c r="AB14"/>
  <c r="AA14"/>
  <c r="Z14"/>
  <c r="H14"/>
  <c r="G14"/>
  <c r="F14"/>
  <c r="AE13"/>
  <c r="AD13"/>
  <c r="AC13"/>
  <c r="AB13"/>
  <c r="AA13"/>
  <c r="Z13"/>
  <c r="H13"/>
  <c r="G13"/>
  <c r="F13"/>
  <c r="AE12"/>
  <c r="AD12"/>
  <c r="AC12"/>
  <c r="AB12"/>
  <c r="AA12"/>
  <c r="Z12"/>
  <c r="H12"/>
  <c r="G12"/>
  <c r="F12"/>
  <c r="AE11"/>
  <c r="AD11"/>
  <c r="AC11"/>
  <c r="AB11"/>
  <c r="AA11"/>
  <c r="Z11"/>
  <c r="H11"/>
  <c r="G11"/>
  <c r="F11"/>
  <c r="AE10"/>
  <c r="AD10"/>
  <c r="AC10"/>
  <c r="AB10"/>
  <c r="AA10"/>
  <c r="Z10"/>
  <c r="H10"/>
  <c r="G10"/>
  <c r="F10"/>
  <c r="AE9"/>
  <c r="AD9"/>
  <c r="AC9"/>
  <c r="AB9"/>
  <c r="AA9"/>
  <c r="Z9"/>
  <c r="H9"/>
  <c r="G9"/>
  <c r="G27" i="3" l="1"/>
  <c r="G30"/>
  <c r="G24"/>
  <c r="G26"/>
  <c r="G29"/>
  <c r="G28"/>
  <c r="G13"/>
  <c r="G17"/>
  <c r="E6"/>
  <c r="F6"/>
  <c r="G6"/>
  <c r="B7"/>
  <c r="C6"/>
  <c r="F9" i="49"/>
  <c r="AE8"/>
  <c r="AD8"/>
  <c r="AC8"/>
  <c r="AB8"/>
  <c r="AA8"/>
  <c r="Z8"/>
  <c r="H8"/>
  <c r="G8"/>
  <c r="F8"/>
  <c r="AE7"/>
  <c r="AD7"/>
  <c r="AC7"/>
  <c r="AB7"/>
  <c r="AA7"/>
  <c r="Z7"/>
  <c r="H7"/>
  <c r="G7"/>
  <c r="F7"/>
  <c r="AE6"/>
  <c r="AD6"/>
  <c r="AC6"/>
  <c r="AB6"/>
  <c r="AA6"/>
  <c r="Z6"/>
  <c r="H6"/>
  <c r="G6"/>
  <c r="F6"/>
  <c r="AE5"/>
  <c r="AD5"/>
  <c r="AC5"/>
  <c r="AB5"/>
  <c r="AA5"/>
  <c r="Z5"/>
  <c r="H5"/>
  <c r="G5"/>
  <c r="F5"/>
  <c r="AE4"/>
  <c r="AD4"/>
  <c r="AC4"/>
  <c r="AB4"/>
  <c r="AA4"/>
  <c r="Z4"/>
  <c r="H4"/>
  <c r="G4"/>
  <c r="F4"/>
  <c r="AE3"/>
  <c r="AD3"/>
  <c r="AC3"/>
  <c r="AB3"/>
  <c r="AA3"/>
  <c r="Z3"/>
  <c r="E7" i="3" l="1"/>
  <c r="G7" s="1"/>
  <c r="F7"/>
  <c r="B8"/>
  <c r="C7"/>
  <c r="H3" i="49"/>
  <c r="G3"/>
  <c r="F3"/>
  <c r="G14" i="3" l="1"/>
  <c r="G11"/>
  <c r="F8"/>
  <c r="G19" s="1"/>
  <c r="E8"/>
  <c r="G8" s="1"/>
  <c r="B9"/>
  <c r="C8"/>
  <c r="Q169" i="4"/>
  <c r="Q168"/>
  <c r="Q167" s="1"/>
  <c r="Q166"/>
  <c r="Q165"/>
  <c r="Q164"/>
  <c r="Q163"/>
  <c r="Q162"/>
  <c r="O162"/>
  <c r="Q161"/>
  <c r="O161"/>
  <c r="G25" i="3" l="1"/>
  <c r="G16"/>
  <c r="G18"/>
  <c r="G20"/>
  <c r="G22"/>
  <c r="G23"/>
  <c r="G21"/>
  <c r="G9"/>
  <c r="G15"/>
  <c r="G12"/>
  <c r="G10"/>
  <c r="B10"/>
  <c r="C9"/>
  <c r="Q160" i="4"/>
  <c r="O160"/>
  <c r="B11" i="3" l="1"/>
  <c r="C10"/>
  <c r="Q159" i="4"/>
  <c r="O159"/>
  <c r="Q158"/>
  <c r="O158"/>
  <c r="Q157"/>
  <c r="O157"/>
  <c r="N157"/>
  <c r="B12" i="3" l="1"/>
  <c r="C11"/>
  <c r="Q156" i="4"/>
  <c r="Q155"/>
  <c r="Q154" s="1"/>
  <c r="Q153"/>
  <c r="Q152"/>
  <c r="Q151"/>
  <c r="B13" i="3" l="1"/>
  <c r="C12"/>
  <c r="Q150" i="4"/>
  <c r="Q149"/>
  <c r="O149"/>
  <c r="Q148"/>
  <c r="O148"/>
  <c r="B14" i="3" l="1"/>
  <c r="C13"/>
  <c r="Q147" i="4"/>
  <c r="O147"/>
  <c r="Q146"/>
  <c r="O146"/>
  <c r="Q145"/>
  <c r="O145"/>
  <c r="Q144"/>
  <c r="O144"/>
  <c r="N144"/>
  <c r="Q143"/>
  <c r="Q142"/>
  <c r="Q141"/>
  <c r="Q140"/>
  <c r="Q139"/>
  <c r="Q138"/>
  <c r="B15" i="3" l="1"/>
  <c r="C14"/>
  <c r="Q137" i="4"/>
  <c r="Q136"/>
  <c r="B16" i="3" l="1"/>
  <c r="C15"/>
  <c r="O136" i="4"/>
  <c r="Q135"/>
  <c r="O135"/>
  <c r="Q134"/>
  <c r="O134"/>
  <c r="Q133"/>
  <c r="O133"/>
  <c r="Q132"/>
  <c r="O132"/>
  <c r="Q131"/>
  <c r="O131"/>
  <c r="N131"/>
  <c r="Q130"/>
  <c r="Q129"/>
  <c r="Q128"/>
  <c r="Q127"/>
  <c r="Q126"/>
  <c r="Q125"/>
  <c r="B17" i="3" l="1"/>
  <c r="C16"/>
  <c r="Q124" i="4"/>
  <c r="Q123"/>
  <c r="O123"/>
  <c r="Q122"/>
  <c r="O122"/>
  <c r="Q121"/>
  <c r="O121"/>
  <c r="Q120"/>
  <c r="O120"/>
  <c r="Q119"/>
  <c r="O119"/>
  <c r="Q118"/>
  <c r="O118"/>
  <c r="N118"/>
  <c r="Q117"/>
  <c r="Q116"/>
  <c r="Q115"/>
  <c r="Q114"/>
  <c r="Q113"/>
  <c r="Q112"/>
  <c r="B18" i="3" l="1"/>
  <c r="C17"/>
  <c r="Q111" i="4"/>
  <c r="Q110"/>
  <c r="O110"/>
  <c r="Q109"/>
  <c r="O109"/>
  <c r="Q108"/>
  <c r="O108"/>
  <c r="Q107"/>
  <c r="O107"/>
  <c r="Q106"/>
  <c r="O106"/>
  <c r="Q105"/>
  <c r="O105"/>
  <c r="N105"/>
  <c r="Q104"/>
  <c r="Q103"/>
  <c r="Q102"/>
  <c r="Q101"/>
  <c r="Q100"/>
  <c r="Q99"/>
  <c r="B19" i="3" l="1"/>
  <c r="C18"/>
  <c r="Q98" i="4"/>
  <c r="Q97"/>
  <c r="O97"/>
  <c r="Q96"/>
  <c r="O96"/>
  <c r="Q95"/>
  <c r="O95"/>
  <c r="Q94"/>
  <c r="O94"/>
  <c r="Q93"/>
  <c r="O93"/>
  <c r="Q92"/>
  <c r="O92"/>
  <c r="N92"/>
  <c r="Q91"/>
  <c r="Q90"/>
  <c r="B20" i="3" l="1"/>
  <c r="C19"/>
  <c r="Q89" i="4"/>
  <c r="Q88"/>
  <c r="Q87"/>
  <c r="Q86"/>
  <c r="B21" i="3" l="1"/>
  <c r="C20"/>
  <c r="Q85" i="4"/>
  <c r="Q84"/>
  <c r="O84"/>
  <c r="Q83"/>
  <c r="O83"/>
  <c r="Q82"/>
  <c r="O82"/>
  <c r="Q81"/>
  <c r="O81"/>
  <c r="Q80"/>
  <c r="O80"/>
  <c r="Q79"/>
  <c r="O79"/>
  <c r="N79"/>
  <c r="Q78"/>
  <c r="Q77"/>
  <c r="Q76"/>
  <c r="Q75"/>
  <c r="Q74"/>
  <c r="Q73"/>
  <c r="Q72"/>
  <c r="Q71"/>
  <c r="O71"/>
  <c r="Q70"/>
  <c r="O70"/>
  <c r="Q69"/>
  <c r="O69"/>
  <c r="Q68"/>
  <c r="O68"/>
  <c r="Q67"/>
  <c r="O67"/>
  <c r="Q66"/>
  <c r="O66"/>
  <c r="N66"/>
  <c r="Q65"/>
  <c r="Q64"/>
  <c r="Q63"/>
  <c r="Q62"/>
  <c r="Q61"/>
  <c r="Q60"/>
  <c r="C21" i="3" l="1"/>
  <c r="B22"/>
  <c r="Q59" i="4"/>
  <c r="Q58"/>
  <c r="O58"/>
  <c r="Q57"/>
  <c r="O57"/>
  <c r="Q56"/>
  <c r="O56"/>
  <c r="Q55"/>
  <c r="O55"/>
  <c r="Q54"/>
  <c r="O54"/>
  <c r="Q53"/>
  <c r="O53"/>
  <c r="N53"/>
  <c r="Q52"/>
  <c r="Q51"/>
  <c r="C22" i="3" l="1"/>
  <c r="B23"/>
  <c r="Q50" i="4"/>
  <c r="Q49"/>
  <c r="Q48"/>
  <c r="Q47"/>
  <c r="B24" i="3" l="1"/>
  <c r="C23"/>
  <c r="Q46" i="4"/>
  <c r="Q45"/>
  <c r="O45"/>
  <c r="Q44"/>
  <c r="O44"/>
  <c r="Q43"/>
  <c r="O43"/>
  <c r="Q42"/>
  <c r="O42"/>
  <c r="Q41"/>
  <c r="O41"/>
  <c r="Q40"/>
  <c r="O40"/>
  <c r="N40"/>
  <c r="Q39"/>
  <c r="Q38"/>
  <c r="Q37"/>
  <c r="Q36"/>
  <c r="Q35"/>
  <c r="Q34"/>
  <c r="Q33"/>
  <c r="Q32"/>
  <c r="O32"/>
  <c r="Q31"/>
  <c r="O31"/>
  <c r="Q30"/>
  <c r="O30"/>
  <c r="Q29"/>
  <c r="O29"/>
  <c r="Q28"/>
  <c r="O28"/>
  <c r="Q27"/>
  <c r="O27"/>
  <c r="N27"/>
  <c r="Q26" s="1"/>
  <c r="Q25"/>
  <c r="Q24"/>
  <c r="B25" i="3" l="1"/>
  <c r="C24"/>
  <c r="Q23" i="4"/>
  <c r="Q22"/>
  <c r="Q21"/>
  <c r="Q20" s="1"/>
  <c r="C25" i="3" l="1"/>
  <c r="B26"/>
  <c r="Q19" i="4"/>
  <c r="O19"/>
  <c r="Q18"/>
  <c r="O18"/>
  <c r="Q17"/>
  <c r="O17"/>
  <c r="Q16"/>
  <c r="O16"/>
  <c r="Q15"/>
  <c r="O15"/>
  <c r="Q14"/>
  <c r="O14"/>
  <c r="N14"/>
  <c r="Q13"/>
  <c r="Q12"/>
  <c r="Q11"/>
  <c r="Q10"/>
  <c r="Q9"/>
  <c r="Q8"/>
  <c r="Q7"/>
  <c r="Q6"/>
  <c r="O6"/>
  <c r="Q5"/>
  <c r="O5"/>
  <c r="Q4"/>
  <c r="O4"/>
  <c r="Q3"/>
  <c r="O3"/>
  <c r="Q2"/>
  <c r="O2"/>
  <c r="Q1"/>
  <c r="O1"/>
  <c r="C26" i="3" l="1"/>
  <c r="B27"/>
  <c r="C41" i="47"/>
  <c r="C40"/>
  <c r="C39"/>
  <c r="C38"/>
  <c r="C37"/>
  <c r="C36"/>
  <c r="C35"/>
  <c r="C34"/>
  <c r="C33"/>
  <c r="C32"/>
  <c r="C31"/>
  <c r="S27"/>
  <c r="O27"/>
  <c r="K27"/>
  <c r="G27"/>
  <c r="C27"/>
  <c r="S26"/>
  <c r="O26"/>
  <c r="K26"/>
  <c r="G26"/>
  <c r="C26"/>
  <c r="S25"/>
  <c r="O25"/>
  <c r="K25"/>
  <c r="G25"/>
  <c r="C25"/>
  <c r="S24"/>
  <c r="O24"/>
  <c r="K24"/>
  <c r="G24"/>
  <c r="C24"/>
  <c r="S23"/>
  <c r="O23"/>
  <c r="K23"/>
  <c r="G23"/>
  <c r="C23"/>
  <c r="S22"/>
  <c r="O22"/>
  <c r="K22"/>
  <c r="G22"/>
  <c r="C22"/>
  <c r="S21"/>
  <c r="O21"/>
  <c r="K21"/>
  <c r="G21"/>
  <c r="C21"/>
  <c r="S20"/>
  <c r="O20"/>
  <c r="K20"/>
  <c r="G20"/>
  <c r="C20"/>
  <c r="S19"/>
  <c r="O19"/>
  <c r="K19"/>
  <c r="G19"/>
  <c r="C19"/>
  <c r="S18"/>
  <c r="O18"/>
  <c r="K18"/>
  <c r="G18"/>
  <c r="C18"/>
  <c r="S17"/>
  <c r="O17"/>
  <c r="K17"/>
  <c r="G17"/>
  <c r="C17"/>
  <c r="S13"/>
  <c r="O13"/>
  <c r="K13"/>
  <c r="G13"/>
  <c r="S12"/>
  <c r="O12"/>
  <c r="K12"/>
  <c r="G12"/>
  <c r="S11"/>
  <c r="O11"/>
  <c r="K11"/>
  <c r="G11"/>
  <c r="S10"/>
  <c r="O10"/>
  <c r="K10"/>
  <c r="G10"/>
  <c r="S9"/>
  <c r="O9"/>
  <c r="K9"/>
  <c r="G9"/>
  <c r="S8"/>
  <c r="O8"/>
  <c r="K8"/>
  <c r="G8"/>
  <c r="S7"/>
  <c r="O7"/>
  <c r="K7"/>
  <c r="G7"/>
  <c r="S6"/>
  <c r="O6"/>
  <c r="K6"/>
  <c r="G6"/>
  <c r="S5"/>
  <c r="O5"/>
  <c r="K5"/>
  <c r="G5"/>
  <c r="S4"/>
  <c r="O4"/>
  <c r="K4"/>
  <c r="G4"/>
  <c r="B28" i="3" l="1"/>
  <c r="C27"/>
  <c r="S3" i="47"/>
  <c r="O3"/>
  <c r="K3"/>
  <c r="B29" i="3" l="1"/>
  <c r="B30" s="1"/>
  <c r="C28"/>
  <c r="B31" l="1"/>
  <c r="C30"/>
  <c r="C29"/>
  <c r="I3"/>
  <c r="I5"/>
  <c r="I8"/>
  <c r="I2"/>
  <c r="C31" l="1"/>
  <c r="B32"/>
  <c r="C32" l="1"/>
  <c r="B33"/>
  <c r="C33" l="1"/>
  <c r="B34"/>
  <c r="C34" l="1"/>
  <c r="B35"/>
  <c r="C35" l="1"/>
  <c r="B36"/>
  <c r="C36" l="1"/>
  <c r="B37"/>
  <c r="C37" l="1"/>
  <c r="B38"/>
  <c r="C38" l="1"/>
  <c r="B39"/>
  <c r="C39" l="1"/>
  <c r="B40"/>
  <c r="C40" l="1"/>
  <c r="B41"/>
  <c r="C41" l="1"/>
  <c r="B42"/>
  <c r="C42" l="1"/>
  <c r="B43"/>
  <c r="C43" l="1"/>
  <c r="B44"/>
  <c r="B45" l="1"/>
  <c r="C44"/>
  <c r="B46" l="1"/>
  <c r="C45"/>
  <c r="C46" l="1"/>
  <c r="B47"/>
  <c r="C47" l="1"/>
  <c r="B48"/>
  <c r="C48" l="1"/>
  <c r="B49"/>
  <c r="C49" l="1"/>
  <c r="B50"/>
  <c r="C50" l="1"/>
  <c r="B51"/>
  <c r="C51" l="1"/>
  <c r="B52"/>
  <c r="C52" l="1"/>
  <c r="B53"/>
  <c r="C53" l="1"/>
  <c r="B54"/>
  <c r="C54" l="1"/>
  <c r="B55"/>
  <c r="C55" l="1"/>
  <c r="B56"/>
  <c r="C56" l="1"/>
  <c r="B57"/>
  <c r="C57" l="1"/>
  <c r="B58"/>
  <c r="B59" l="1"/>
  <c r="C58"/>
  <c r="C59" l="1"/>
  <c r="B60"/>
  <c r="C60" l="1"/>
  <c r="B61"/>
  <c r="C61" l="1"/>
  <c r="B62"/>
  <c r="C62" l="1"/>
  <c r="B63"/>
  <c r="C63" l="1"/>
  <c r="B64"/>
  <c r="C64" l="1"/>
  <c r="B65"/>
  <c r="C65" l="1"/>
  <c r="B66"/>
  <c r="C66" l="1"/>
  <c r="B67"/>
  <c r="C67" l="1"/>
  <c r="B68"/>
  <c r="C68" l="1"/>
  <c r="B69"/>
  <c r="C69" l="1"/>
  <c r="B70"/>
  <c r="C70" l="1"/>
  <c r="B71"/>
  <c r="C71" l="1"/>
  <c r="B72"/>
  <c r="B73" l="1"/>
  <c r="C72"/>
  <c r="B74" l="1"/>
  <c r="C73"/>
  <c r="C74" l="1"/>
  <c r="B75"/>
  <c r="C75" l="1"/>
  <c r="B76"/>
  <c r="C76" l="1"/>
  <c r="B77"/>
  <c r="C77" l="1"/>
  <c r="B78"/>
  <c r="C78" l="1"/>
  <c r="B79"/>
  <c r="C79" l="1"/>
  <c r="B80"/>
  <c r="C80" l="1"/>
  <c r="B81"/>
  <c r="C81" l="1"/>
  <c r="B82"/>
  <c r="C82" l="1"/>
  <c r="B83"/>
  <c r="C83" l="1"/>
  <c r="B84"/>
  <c r="C84" l="1"/>
  <c r="B85"/>
  <c r="C85" l="1"/>
  <c r="B86"/>
  <c r="B87" l="1"/>
  <c r="C86"/>
  <c r="B88" l="1"/>
  <c r="C87"/>
  <c r="C88" l="1"/>
  <c r="B89"/>
  <c r="C89" l="1"/>
  <c r="B90"/>
  <c r="C90" l="1"/>
  <c r="B91"/>
  <c r="C91" l="1"/>
  <c r="B92"/>
  <c r="C92" l="1"/>
  <c r="B93"/>
  <c r="C93" l="1"/>
  <c r="B94"/>
  <c r="C94" l="1"/>
  <c r="B95"/>
  <c r="C95" l="1"/>
  <c r="B96"/>
  <c r="C96" l="1"/>
  <c r="B97"/>
  <c r="C97" l="1"/>
  <c r="B98"/>
  <c r="C98" l="1"/>
  <c r="B99"/>
  <c r="C99" l="1"/>
  <c r="B100"/>
  <c r="C100" l="1"/>
  <c r="B101"/>
  <c r="C101" l="1"/>
  <c r="B102"/>
  <c r="C102" l="1"/>
  <c r="B103"/>
  <c r="C103" l="1"/>
  <c r="B104"/>
  <c r="C104" l="1"/>
  <c r="B105"/>
  <c r="C105" l="1"/>
  <c r="B106"/>
  <c r="C106" l="1"/>
  <c r="B107"/>
  <c r="C107" l="1"/>
  <c r="B108"/>
  <c r="C108" l="1"/>
  <c r="B109"/>
  <c r="C109" l="1"/>
  <c r="B110"/>
  <c r="C110" l="1"/>
  <c r="B111"/>
  <c r="C111" l="1"/>
  <c r="B112"/>
  <c r="C112" l="1"/>
  <c r="B113"/>
  <c r="C113" l="1"/>
  <c r="B114"/>
  <c r="C114" l="1"/>
  <c r="B115"/>
  <c r="C115" l="1"/>
  <c r="B116"/>
  <c r="C116" l="1"/>
  <c r="B117"/>
  <c r="C117" l="1"/>
  <c r="B118"/>
  <c r="C118" l="1"/>
  <c r="B119"/>
  <c r="C119" l="1"/>
  <c r="B120"/>
  <c r="C120" l="1"/>
  <c r="B121"/>
  <c r="C121" l="1"/>
  <c r="B122"/>
  <c r="C122" l="1"/>
  <c r="B123"/>
  <c r="C123" l="1"/>
  <c r="B124"/>
  <c r="C124" l="1"/>
  <c r="B125"/>
  <c r="C125" l="1"/>
  <c r="B126"/>
  <c r="C126" l="1"/>
  <c r="B127"/>
  <c r="C127" l="1"/>
  <c r="B128"/>
  <c r="C128" l="1"/>
  <c r="B129"/>
  <c r="C129" l="1"/>
  <c r="B130"/>
  <c r="C130" l="1"/>
  <c r="B131"/>
  <c r="C131" l="1"/>
  <c r="B132"/>
  <c r="C132" l="1"/>
  <c r="B133"/>
  <c r="C133" l="1"/>
  <c r="B134"/>
  <c r="C134" l="1"/>
  <c r="B135"/>
  <c r="C135" l="1"/>
  <c r="B136"/>
  <c r="C136" l="1"/>
  <c r="B137"/>
  <c r="C137" l="1"/>
  <c r="B138"/>
  <c r="C138" l="1"/>
  <c r="B139"/>
  <c r="C139" l="1"/>
  <c r="B140"/>
  <c r="C140" l="1"/>
  <c r="B141"/>
  <c r="C141" l="1"/>
  <c r="B142"/>
  <c r="C142" l="1"/>
  <c r="B143"/>
  <c r="C143" l="1"/>
  <c r="B144"/>
  <c r="C144" l="1"/>
  <c r="B145"/>
  <c r="B146" l="1"/>
  <c r="C145"/>
  <c r="C146" l="1"/>
  <c r="B147"/>
  <c r="C147" l="1"/>
  <c r="B148"/>
  <c r="C148" l="1"/>
  <c r="B149"/>
  <c r="C149" l="1"/>
  <c r="B150"/>
  <c r="C150" l="1"/>
  <c r="B151"/>
  <c r="C151" l="1"/>
  <c r="B152"/>
  <c r="C152" l="1"/>
  <c r="B153"/>
  <c r="C153" l="1"/>
  <c r="B154"/>
  <c r="C154" l="1"/>
  <c r="B155"/>
  <c r="C155" l="1"/>
  <c r="B156"/>
  <c r="B157" l="1"/>
  <c r="C156"/>
  <c r="B158" l="1"/>
  <c r="C157"/>
  <c r="C158" l="1"/>
  <c r="B159"/>
  <c r="C159" l="1"/>
  <c r="B160"/>
  <c r="C160" l="1"/>
  <c r="B161"/>
  <c r="C161" l="1"/>
  <c r="B162"/>
  <c r="C162" l="1"/>
  <c r="B163"/>
  <c r="C163" l="1"/>
  <c r="B164"/>
  <c r="C164" l="1"/>
  <c r="B165"/>
  <c r="C165" l="1"/>
  <c r="B166"/>
  <c r="C166" l="1"/>
  <c r="B167"/>
  <c r="C167" l="1"/>
  <c r="B168"/>
  <c r="C168" l="1"/>
  <c r="B169"/>
  <c r="C169" l="1"/>
  <c r="B170"/>
  <c r="C170" l="1"/>
  <c r="B171"/>
  <c r="C171" l="1"/>
  <c r="B172"/>
  <c r="C172" l="1"/>
  <c r="B173"/>
  <c r="C173" l="1"/>
  <c r="B174"/>
  <c r="C174" l="1"/>
  <c r="B175"/>
  <c r="C175" l="1"/>
  <c r="B176"/>
  <c r="C176" l="1"/>
  <c r="B177"/>
  <c r="C177" l="1"/>
  <c r="B178"/>
  <c r="C178" l="1"/>
  <c r="B179"/>
  <c r="C179" l="1"/>
  <c r="B180"/>
  <c r="C180" l="1"/>
  <c r="B181"/>
  <c r="C181" l="1"/>
  <c r="B182"/>
  <c r="C182" l="1"/>
  <c r="B183"/>
  <c r="C183" l="1"/>
  <c r="B184"/>
  <c r="C184" l="1"/>
  <c r="B185"/>
  <c r="C185" l="1"/>
  <c r="B186"/>
  <c r="C186" l="1"/>
  <c r="B187"/>
  <c r="C187" l="1"/>
  <c r="B188"/>
  <c r="C188" l="1"/>
  <c r="B189"/>
  <c r="C189" l="1"/>
  <c r="B190"/>
  <c r="C190" l="1"/>
  <c r="B191"/>
  <c r="C191" l="1"/>
  <c r="B192"/>
  <c r="C192" l="1"/>
  <c r="B193"/>
  <c r="C193" l="1"/>
  <c r="B194"/>
  <c r="C194" l="1"/>
  <c r="B195"/>
  <c r="C195" l="1"/>
  <c r="B196"/>
  <c r="C196" l="1"/>
  <c r="B197"/>
  <c r="C197" l="1"/>
  <c r="B198"/>
  <c r="C198" l="1"/>
  <c r="B199"/>
  <c r="C199" l="1"/>
  <c r="B200"/>
  <c r="C200" l="1"/>
  <c r="B201"/>
  <c r="C201" l="1"/>
  <c r="B202"/>
  <c r="C202" l="1"/>
  <c r="B203"/>
  <c r="C203" l="1"/>
  <c r="B204"/>
  <c r="C204" l="1"/>
  <c r="B205"/>
  <c r="C205" l="1"/>
  <c r="B206"/>
  <c r="C206" l="1"/>
  <c r="B207"/>
  <c r="C207" l="1"/>
  <c r="B208"/>
  <c r="C208" l="1"/>
  <c r="B209"/>
  <c r="C209" l="1"/>
  <c r="B210"/>
  <c r="C210" l="1"/>
  <c r="B211"/>
  <c r="C211" l="1"/>
  <c r="B212"/>
  <c r="C212" l="1"/>
  <c r="B213"/>
  <c r="C213" l="1"/>
  <c r="B214"/>
  <c r="B215" l="1"/>
  <c r="C214"/>
  <c r="C215" l="1"/>
  <c r="B216"/>
  <c r="C216" l="1"/>
  <c r="B217"/>
  <c r="C217" l="1"/>
  <c r="B218"/>
  <c r="C218" l="1"/>
  <c r="B219"/>
  <c r="C219" l="1"/>
  <c r="B220"/>
  <c r="C220" l="1"/>
  <c r="B221"/>
  <c r="C221" l="1"/>
  <c r="B222"/>
  <c r="C222" l="1"/>
  <c r="B223"/>
  <c r="C223" l="1"/>
  <c r="B224"/>
  <c r="C224" l="1"/>
  <c r="B225"/>
  <c r="C225" l="1"/>
  <c r="B226"/>
  <c r="C226" l="1"/>
  <c r="B227"/>
  <c r="C227" l="1"/>
  <c r="B228"/>
  <c r="C228" l="1"/>
  <c r="B229"/>
  <c r="C229" l="1"/>
  <c r="B230"/>
  <c r="C230" l="1"/>
  <c r="B231"/>
  <c r="C231" l="1"/>
  <c r="B232"/>
  <c r="B233" l="1"/>
  <c r="C232"/>
  <c r="C233" l="1"/>
  <c r="B234"/>
  <c r="C234" l="1"/>
  <c r="B235"/>
  <c r="C235" l="1"/>
  <c r="B236"/>
  <c r="C236" l="1"/>
  <c r="B237"/>
  <c r="C237" l="1"/>
  <c r="B238"/>
  <c r="C238" l="1"/>
  <c r="B239"/>
  <c r="C239" l="1"/>
  <c r="B240"/>
  <c r="C240" l="1"/>
  <c r="B241"/>
  <c r="C241" l="1"/>
  <c r="B242"/>
  <c r="C242" l="1"/>
  <c r="B243"/>
  <c r="B244" l="1"/>
  <c r="C243"/>
  <c r="C244" l="1"/>
  <c r="B245"/>
  <c r="C245" l="1"/>
  <c r="B246"/>
  <c r="C246" l="1"/>
  <c r="B247"/>
  <c r="C247" l="1"/>
  <c r="B248"/>
  <c r="C248" l="1"/>
  <c r="B249"/>
  <c r="C249" l="1"/>
  <c r="B250"/>
  <c r="C250" l="1"/>
  <c r="B251"/>
  <c r="C251" l="1"/>
  <c r="B252"/>
  <c r="C252" l="1"/>
  <c r="B253"/>
  <c r="C253" l="1"/>
  <c r="B254"/>
  <c r="C254" l="1"/>
  <c r="B255"/>
  <c r="C255" l="1"/>
  <c r="B256"/>
  <c r="C256" l="1"/>
  <c r="B257"/>
  <c r="C257" l="1"/>
  <c r="B258"/>
  <c r="C258" l="1"/>
  <c r="B259"/>
  <c r="C259" l="1"/>
  <c r="B260"/>
  <c r="C260" l="1"/>
  <c r="B261"/>
  <c r="C261" l="1"/>
  <c r="B262"/>
  <c r="C262" l="1"/>
  <c r="B263"/>
  <c r="C263" l="1"/>
  <c r="B264"/>
  <c r="C264" l="1"/>
  <c r="B265"/>
  <c r="C265" l="1"/>
  <c r="B266"/>
  <c r="C266" l="1"/>
  <c r="B267"/>
  <c r="C267" l="1"/>
  <c r="B268"/>
  <c r="C268" l="1"/>
  <c r="B269"/>
  <c r="C269" l="1"/>
  <c r="B270"/>
  <c r="C270" l="1"/>
  <c r="B271"/>
  <c r="C271" l="1"/>
  <c r="B272"/>
  <c r="C272" l="1"/>
  <c r="B273"/>
  <c r="C273" l="1"/>
  <c r="B274"/>
  <c r="C274" l="1"/>
  <c r="B275"/>
  <c r="C275" l="1"/>
  <c r="B276"/>
  <c r="C276" l="1"/>
  <c r="B277"/>
  <c r="C277" l="1"/>
  <c r="B278"/>
  <c r="C278" l="1"/>
  <c r="B279"/>
  <c r="C279" l="1"/>
  <c r="B280"/>
  <c r="C280" l="1"/>
  <c r="B281"/>
  <c r="B282" l="1"/>
  <c r="C281"/>
  <c r="C282" l="1"/>
  <c r="B283"/>
  <c r="C283" l="1"/>
  <c r="B284"/>
  <c r="C284" l="1"/>
  <c r="B285"/>
  <c r="C285" l="1"/>
  <c r="B286"/>
  <c r="C286" l="1"/>
  <c r="B287"/>
  <c r="C287" l="1"/>
  <c r="B288"/>
  <c r="C288" l="1"/>
  <c r="B289"/>
  <c r="C289" l="1"/>
  <c r="B290"/>
  <c r="C290" l="1"/>
  <c r="B291"/>
  <c r="C291" l="1"/>
  <c r="B292"/>
  <c r="C292" l="1"/>
  <c r="B293"/>
  <c r="C293" l="1"/>
  <c r="B294"/>
  <c r="C294" l="1"/>
  <c r="B295"/>
  <c r="B296" l="1"/>
  <c r="C295"/>
  <c r="B297" l="1"/>
  <c r="C296"/>
  <c r="C297" l="1"/>
  <c r="B298"/>
  <c r="C298" l="1"/>
  <c r="B299"/>
  <c r="C299" l="1"/>
  <c r="B300"/>
  <c r="C300" l="1"/>
  <c r="B301"/>
  <c r="C301" l="1"/>
  <c r="B302"/>
  <c r="C302" l="1"/>
  <c r="B303"/>
  <c r="C303" l="1"/>
  <c r="B304"/>
  <c r="C304" l="1"/>
  <c r="B305"/>
  <c r="C305" l="1"/>
  <c r="B306"/>
  <c r="C306" l="1"/>
  <c r="B307"/>
  <c r="C307" l="1"/>
  <c r="B308"/>
  <c r="C308" l="1"/>
  <c r="B309"/>
  <c r="C309" l="1"/>
  <c r="B310"/>
  <c r="C310" l="1"/>
  <c r="B311"/>
  <c r="C311" l="1"/>
  <c r="B312"/>
  <c r="C312" l="1"/>
  <c r="B313"/>
  <c r="C313" l="1"/>
  <c r="B314"/>
  <c r="C314" l="1"/>
  <c r="B315"/>
  <c r="C315" l="1"/>
  <c r="B316"/>
  <c r="C316" l="1"/>
  <c r="B317"/>
  <c r="C317" l="1"/>
  <c r="B318"/>
  <c r="C318" l="1"/>
  <c r="B319"/>
  <c r="C319" l="1"/>
  <c r="B320"/>
  <c r="C320" l="1"/>
  <c r="B321"/>
  <c r="C321" l="1"/>
  <c r="B322"/>
  <c r="C322" l="1"/>
  <c r="B323"/>
  <c r="C323" l="1"/>
  <c r="B324"/>
  <c r="C324" l="1"/>
  <c r="B325"/>
  <c r="C325" l="1"/>
  <c r="B326"/>
  <c r="C326" l="1"/>
  <c r="B327"/>
  <c r="C327" l="1"/>
  <c r="B328"/>
  <c r="C328" l="1"/>
  <c r="B329"/>
  <c r="C329" l="1"/>
  <c r="B330"/>
  <c r="C330" l="1"/>
  <c r="B331"/>
  <c r="C331" l="1"/>
  <c r="B332"/>
  <c r="C332" l="1"/>
  <c r="B333"/>
  <c r="C333" l="1"/>
  <c r="B334"/>
  <c r="C334" l="1"/>
  <c r="B335"/>
  <c r="C335" l="1"/>
  <c r="B336"/>
  <c r="C336" l="1"/>
  <c r="B337"/>
  <c r="C337" l="1"/>
  <c r="B338"/>
  <c r="C338" l="1"/>
  <c r="B339"/>
  <c r="C339" l="1"/>
  <c r="B340"/>
  <c r="C340" l="1"/>
  <c r="B341"/>
  <c r="C341" l="1"/>
  <c r="B342"/>
  <c r="C342" l="1"/>
  <c r="B343"/>
  <c r="C343" l="1"/>
  <c r="B344"/>
  <c r="C344" l="1"/>
  <c r="B345"/>
  <c r="C345" l="1"/>
  <c r="B346"/>
  <c r="C346" l="1"/>
  <c r="B347"/>
  <c r="C347" l="1"/>
  <c r="B348"/>
  <c r="C348" l="1"/>
  <c r="B349"/>
  <c r="C349" l="1"/>
  <c r="B350"/>
  <c r="C350" l="1"/>
  <c r="B351"/>
  <c r="C351" l="1"/>
  <c r="B352"/>
  <c r="C352" l="1"/>
  <c r="B353"/>
  <c r="C353" l="1"/>
  <c r="B354"/>
  <c r="B355" l="1"/>
  <c r="C354"/>
  <c r="C355" l="1"/>
  <c r="B356"/>
  <c r="C356" l="1"/>
  <c r="B357"/>
  <c r="C357" l="1"/>
  <c r="B358"/>
  <c r="C358" l="1"/>
  <c r="B359"/>
  <c r="C359" l="1"/>
  <c r="B360"/>
  <c r="C360" l="1"/>
  <c r="B361"/>
  <c r="C361" l="1"/>
  <c r="B362"/>
  <c r="C362" l="1"/>
  <c r="B363"/>
  <c r="C363" l="1"/>
  <c r="B364"/>
  <c r="C364" l="1"/>
  <c r="B365"/>
  <c r="C365" l="1"/>
  <c r="B366"/>
  <c r="C366" l="1"/>
  <c r="B367"/>
  <c r="C367" l="1"/>
  <c r="B368"/>
  <c r="C368" l="1"/>
  <c r="B369"/>
  <c r="C369" l="1"/>
  <c r="B370"/>
  <c r="C370" l="1"/>
  <c r="B371"/>
  <c r="C371" l="1"/>
  <c r="B372"/>
  <c r="B373" l="1"/>
  <c r="C372"/>
  <c r="C373" l="1"/>
  <c r="B374"/>
  <c r="C374" l="1"/>
  <c r="B375"/>
  <c r="C375" l="1"/>
  <c r="B376"/>
  <c r="C376" l="1"/>
  <c r="B377"/>
  <c r="C377" l="1"/>
  <c r="B378"/>
  <c r="C378" l="1"/>
  <c r="B379"/>
  <c r="C379" l="1"/>
  <c r="B380"/>
  <c r="C380" l="1"/>
  <c r="B381"/>
  <c r="C381" l="1"/>
  <c r="B382"/>
  <c r="C382" l="1"/>
  <c r="B383"/>
  <c r="B384" l="1"/>
  <c r="C383"/>
  <c r="C384" l="1"/>
  <c r="B385"/>
  <c r="C385" l="1"/>
  <c r="B386"/>
  <c r="C386" l="1"/>
  <c r="B387"/>
  <c r="C387" l="1"/>
  <c r="B388"/>
  <c r="C388" l="1"/>
  <c r="B389"/>
  <c r="C389" l="1"/>
  <c r="B390"/>
  <c r="C390" l="1"/>
  <c r="B391"/>
  <c r="C391" l="1"/>
  <c r="B392"/>
  <c r="C392" l="1"/>
  <c r="B393"/>
  <c r="C393" l="1"/>
  <c r="B394"/>
  <c r="C394" l="1"/>
  <c r="B395"/>
  <c r="C395" l="1"/>
  <c r="B396"/>
  <c r="C396" l="1"/>
  <c r="B397"/>
  <c r="C397" l="1"/>
  <c r="B398"/>
  <c r="C398" l="1"/>
  <c r="B399"/>
  <c r="C399" l="1"/>
  <c r="B400"/>
  <c r="C400" l="1"/>
  <c r="B401"/>
  <c r="C401" l="1"/>
  <c r="B402"/>
  <c r="C402" l="1"/>
  <c r="B403"/>
  <c r="C403" l="1"/>
  <c r="B404"/>
  <c r="C404" l="1"/>
  <c r="B405"/>
  <c r="C405" l="1"/>
  <c r="B406"/>
  <c r="C406" l="1"/>
  <c r="B407"/>
  <c r="C407" l="1"/>
  <c r="B408"/>
  <c r="C408" l="1"/>
  <c r="B409"/>
  <c r="C409" l="1"/>
  <c r="B410"/>
  <c r="C410" l="1"/>
  <c r="B411"/>
  <c r="C411" l="1"/>
  <c r="B412"/>
  <c r="C412" l="1"/>
  <c r="B413"/>
  <c r="C413" l="1"/>
  <c r="B414"/>
  <c r="C414" l="1"/>
  <c r="B415"/>
  <c r="C415" l="1"/>
  <c r="B416"/>
  <c r="C416" l="1"/>
  <c r="B417"/>
  <c r="C417" l="1"/>
  <c r="B418"/>
  <c r="C418" l="1"/>
  <c r="B419"/>
  <c r="C419" l="1"/>
  <c r="B420"/>
  <c r="C420" l="1"/>
  <c r="B421"/>
  <c r="B422" l="1"/>
  <c r="C421"/>
  <c r="C422" l="1"/>
  <c r="B423"/>
  <c r="C423" l="1"/>
  <c r="B424"/>
  <c r="C424" l="1"/>
  <c r="B425"/>
  <c r="C425" l="1"/>
  <c r="B426"/>
  <c r="C426" l="1"/>
  <c r="B427"/>
  <c r="C427" l="1"/>
  <c r="B428"/>
  <c r="C428" l="1"/>
  <c r="B429"/>
  <c r="C429" l="1"/>
  <c r="B430"/>
  <c r="C430" l="1"/>
  <c r="B431"/>
  <c r="C431" l="1"/>
  <c r="B432"/>
  <c r="C432" l="1"/>
  <c r="B433"/>
  <c r="C433" l="1"/>
  <c r="B434"/>
  <c r="C434" l="1"/>
  <c r="B435"/>
  <c r="C435" l="1"/>
  <c r="B436"/>
  <c r="B437" l="1"/>
  <c r="C436"/>
  <c r="B438" l="1"/>
  <c r="C437"/>
  <c r="B439" l="1"/>
  <c r="C438"/>
  <c r="C439" l="1"/>
  <c r="B440"/>
  <c r="C440" l="1"/>
  <c r="B441"/>
  <c r="C441" l="1"/>
  <c r="B442"/>
  <c r="C442" l="1"/>
  <c r="B443"/>
  <c r="C443" l="1"/>
  <c r="B444"/>
  <c r="C444" l="1"/>
  <c r="B445"/>
  <c r="C445" l="1"/>
  <c r="B446"/>
  <c r="C446" l="1"/>
  <c r="B447"/>
  <c r="C447" l="1"/>
  <c r="B448"/>
  <c r="C448" l="1"/>
  <c r="B449"/>
  <c r="C449" l="1"/>
  <c r="B450"/>
  <c r="C450" l="1"/>
  <c r="B451"/>
  <c r="C451" l="1"/>
  <c r="B452"/>
  <c r="C452" l="1"/>
  <c r="B453"/>
  <c r="C453" l="1"/>
  <c r="B454"/>
  <c r="C454" l="1"/>
  <c r="B455"/>
  <c r="C455" l="1"/>
  <c r="B456"/>
  <c r="C456" l="1"/>
  <c r="B457"/>
  <c r="C457" l="1"/>
  <c r="B458"/>
  <c r="C458" l="1"/>
  <c r="B459"/>
  <c r="C459" l="1"/>
  <c r="B460"/>
  <c r="C460" l="1"/>
  <c r="B461"/>
  <c r="C461" l="1"/>
  <c r="B462"/>
  <c r="C462" l="1"/>
  <c r="B463"/>
  <c r="C463" l="1"/>
  <c r="B464"/>
  <c r="C464" l="1"/>
  <c r="B465"/>
  <c r="C465" l="1"/>
  <c r="B466"/>
  <c r="C466" l="1"/>
  <c r="B467"/>
  <c r="C467" l="1"/>
  <c r="B468"/>
  <c r="C468" l="1"/>
  <c r="B469"/>
  <c r="C469" l="1"/>
  <c r="B470"/>
  <c r="C470" l="1"/>
  <c r="B471"/>
  <c r="C471" l="1"/>
  <c r="B472"/>
  <c r="C472" l="1"/>
  <c r="B473"/>
  <c r="C473" l="1"/>
  <c r="B474"/>
  <c r="C474" l="1"/>
  <c r="B475"/>
  <c r="C475" l="1"/>
  <c r="B476"/>
  <c r="C476" l="1"/>
  <c r="B477"/>
  <c r="C477" l="1"/>
  <c r="B478"/>
  <c r="C478" l="1"/>
  <c r="B479"/>
  <c r="C479" l="1"/>
  <c r="B480"/>
  <c r="C480" l="1"/>
  <c r="B481"/>
  <c r="C481" l="1"/>
  <c r="B482"/>
  <c r="C482" l="1"/>
  <c r="B483"/>
  <c r="C483" l="1"/>
  <c r="B484"/>
  <c r="C484" l="1"/>
  <c r="B485"/>
  <c r="C485" l="1"/>
  <c r="B486"/>
  <c r="C486" l="1"/>
  <c r="B487"/>
  <c r="C487" l="1"/>
  <c r="B488"/>
  <c r="C488" l="1"/>
  <c r="B489"/>
  <c r="C489" l="1"/>
  <c r="B490"/>
  <c r="C490" l="1"/>
  <c r="B491"/>
  <c r="C491" l="1"/>
  <c r="B492"/>
  <c r="C492" l="1"/>
  <c r="B493"/>
  <c r="C493" l="1"/>
  <c r="B494"/>
  <c r="C494" l="1"/>
  <c r="B495"/>
  <c r="B496" l="1"/>
  <c r="C495"/>
  <c r="C496" l="1"/>
  <c r="B497"/>
  <c r="C497" l="1"/>
  <c r="B498"/>
  <c r="C498" l="1"/>
  <c r="B499"/>
  <c r="C499" l="1"/>
  <c r="B500"/>
  <c r="C500" l="1"/>
  <c r="B501"/>
  <c r="C501" l="1"/>
  <c r="B502"/>
  <c r="C502" l="1"/>
  <c r="B503"/>
  <c r="C503" l="1"/>
  <c r="B504"/>
  <c r="C504" l="1"/>
  <c r="B505"/>
  <c r="C505" l="1"/>
  <c r="B506"/>
  <c r="C506" l="1"/>
  <c r="B507"/>
  <c r="C507" l="1"/>
  <c r="B508"/>
  <c r="C508" l="1"/>
  <c r="B509"/>
  <c r="C509" l="1"/>
  <c r="B510"/>
  <c r="C510" l="1"/>
  <c r="B511"/>
  <c r="C511" l="1"/>
  <c r="B512"/>
  <c r="C512" l="1"/>
  <c r="B513"/>
  <c r="B514" l="1"/>
  <c r="C513"/>
  <c r="C514" l="1"/>
  <c r="B515"/>
  <c r="C515" l="1"/>
  <c r="B516"/>
  <c r="C516" l="1"/>
  <c r="B517"/>
  <c r="C517" l="1"/>
  <c r="B518"/>
  <c r="C518" l="1"/>
  <c r="B519"/>
  <c r="C519" l="1"/>
  <c r="B520"/>
  <c r="C520" l="1"/>
  <c r="B521"/>
  <c r="C521" l="1"/>
  <c r="B522"/>
  <c r="C522" l="1"/>
  <c r="B523"/>
  <c r="C523" l="1"/>
  <c r="B524"/>
  <c r="B525" l="1"/>
  <c r="C524"/>
  <c r="C525" l="1"/>
  <c r="B526"/>
  <c r="C526" l="1"/>
  <c r="B527"/>
  <c r="C527" l="1"/>
  <c r="B528"/>
  <c r="C528" l="1"/>
  <c r="B529"/>
  <c r="C529" l="1"/>
  <c r="B530"/>
  <c r="C530" l="1"/>
  <c r="B531"/>
  <c r="C531" l="1"/>
  <c r="B532"/>
  <c r="C532" l="1"/>
  <c r="B533"/>
  <c r="C533" l="1"/>
  <c r="B534"/>
  <c r="C534" l="1"/>
  <c r="B535"/>
  <c r="C535" l="1"/>
  <c r="B536"/>
  <c r="C536" l="1"/>
  <c r="B537"/>
  <c r="C537" l="1"/>
  <c r="B538"/>
  <c r="C538" l="1"/>
  <c r="B539"/>
  <c r="C539" l="1"/>
  <c r="B540"/>
  <c r="C540" l="1"/>
  <c r="B541"/>
  <c r="C541" l="1"/>
  <c r="B542"/>
  <c r="C542" l="1"/>
  <c r="B543"/>
  <c r="C543" l="1"/>
  <c r="B544"/>
  <c r="C544" l="1"/>
  <c r="B545"/>
  <c r="C545" l="1"/>
  <c r="B546"/>
  <c r="C546" l="1"/>
  <c r="B547"/>
  <c r="C547" l="1"/>
  <c r="B548"/>
  <c r="C548" l="1"/>
  <c r="B549"/>
  <c r="C549" l="1"/>
  <c r="B550"/>
  <c r="C550" l="1"/>
  <c r="B551"/>
  <c r="C551" l="1"/>
  <c r="B552"/>
  <c r="C552" l="1"/>
  <c r="B553"/>
  <c r="C553" l="1"/>
  <c r="B554"/>
  <c r="C554" l="1"/>
  <c r="B555"/>
  <c r="C555" l="1"/>
  <c r="B556"/>
  <c r="C556" l="1"/>
  <c r="B557"/>
  <c r="C557" l="1"/>
  <c r="B558"/>
  <c r="C558" l="1"/>
  <c r="B559"/>
  <c r="C559" l="1"/>
  <c r="B560"/>
  <c r="C560" l="1"/>
  <c r="B561"/>
  <c r="C561" l="1"/>
  <c r="B562"/>
  <c r="B563" l="1"/>
  <c r="C562"/>
  <c r="C563" l="1"/>
  <c r="B564"/>
  <c r="C564" l="1"/>
  <c r="B565"/>
  <c r="C565" l="1"/>
  <c r="B566"/>
  <c r="C566" l="1"/>
  <c r="B567"/>
  <c r="C567" l="1"/>
  <c r="B568"/>
  <c r="C568" l="1"/>
  <c r="B569"/>
  <c r="C569" l="1"/>
  <c r="B570"/>
  <c r="C570" l="1"/>
  <c r="B571"/>
  <c r="C571" l="1"/>
  <c r="B572"/>
  <c r="C572" l="1"/>
  <c r="B573"/>
  <c r="C573" l="1"/>
  <c r="B574"/>
  <c r="C574" l="1"/>
  <c r="B575"/>
  <c r="C575" l="1"/>
  <c r="B576"/>
  <c r="B577" l="1"/>
  <c r="C576"/>
  <c r="C577" l="1"/>
  <c r="B578"/>
  <c r="C578" l="1"/>
  <c r="B579"/>
  <c r="C579" l="1"/>
  <c r="B580"/>
  <c r="C580" l="1"/>
  <c r="B581"/>
  <c r="C581" l="1"/>
  <c r="B582"/>
  <c r="C582" l="1"/>
  <c r="B583"/>
  <c r="C583" l="1"/>
  <c r="B584"/>
  <c r="C584" l="1"/>
  <c r="B585"/>
  <c r="C585" l="1"/>
  <c r="B586"/>
  <c r="C586" l="1"/>
  <c r="B587"/>
  <c r="C587" l="1"/>
  <c r="B588"/>
  <c r="C588" l="1"/>
  <c r="B589"/>
  <c r="C589" l="1"/>
  <c r="B590"/>
  <c r="C590" l="1"/>
  <c r="B591"/>
  <c r="C591" l="1"/>
  <c r="B592"/>
  <c r="C592" l="1"/>
  <c r="B593"/>
  <c r="C593" l="1"/>
  <c r="B594"/>
  <c r="C594" l="1"/>
  <c r="B595"/>
  <c r="C595" l="1"/>
  <c r="B596"/>
  <c r="C596" l="1"/>
  <c r="B597"/>
  <c r="C597" l="1"/>
  <c r="B598"/>
  <c r="C598" l="1"/>
  <c r="B599"/>
  <c r="C599" l="1"/>
  <c r="B600"/>
  <c r="C600" l="1"/>
  <c r="B601"/>
  <c r="C601" l="1"/>
  <c r="B602"/>
  <c r="C602" l="1"/>
  <c r="B603"/>
  <c r="C603" l="1"/>
  <c r="B604"/>
  <c r="C604" l="1"/>
  <c r="B605"/>
  <c r="C605" l="1"/>
  <c r="B606"/>
  <c r="C606" l="1"/>
  <c r="B607"/>
  <c r="C607" l="1"/>
  <c r="B608"/>
  <c r="C608" l="1"/>
  <c r="B609"/>
  <c r="C609" l="1"/>
  <c r="B610"/>
  <c r="C610" l="1"/>
  <c r="B611"/>
  <c r="C611" l="1"/>
  <c r="B612"/>
  <c r="C612" l="1"/>
  <c r="B613"/>
  <c r="C613" l="1"/>
  <c r="B614"/>
  <c r="C614" l="1"/>
  <c r="B615"/>
  <c r="C615" l="1"/>
  <c r="B616"/>
  <c r="C616" l="1"/>
  <c r="B617"/>
  <c r="C617" l="1"/>
  <c r="B618"/>
  <c r="C618" l="1"/>
  <c r="B619"/>
  <c r="C619" l="1"/>
  <c r="B620"/>
  <c r="C620" l="1"/>
  <c r="B621"/>
  <c r="C621" l="1"/>
  <c r="B622"/>
  <c r="C622" l="1"/>
  <c r="B623"/>
  <c r="C623" l="1"/>
  <c r="B624"/>
  <c r="C624" l="1"/>
  <c r="B625"/>
  <c r="C625" l="1"/>
  <c r="B626"/>
  <c r="C626" l="1"/>
  <c r="B627"/>
  <c r="C627" l="1"/>
  <c r="B628"/>
  <c r="C628" l="1"/>
  <c r="B629"/>
  <c r="C629" l="1"/>
  <c r="B630"/>
  <c r="C630" l="1"/>
  <c r="B631"/>
  <c r="C631" l="1"/>
  <c r="B632"/>
  <c r="C632" l="1"/>
  <c r="B633"/>
  <c r="C633" l="1"/>
  <c r="B634"/>
  <c r="B635" l="1"/>
  <c r="C634"/>
  <c r="C635" l="1"/>
  <c r="B636"/>
  <c r="C636" l="1"/>
  <c r="B637"/>
  <c r="C637" l="1"/>
  <c r="B638"/>
  <c r="C638" l="1"/>
  <c r="B639"/>
  <c r="C639" l="1"/>
  <c r="B640"/>
  <c r="C640" l="1"/>
  <c r="B641"/>
  <c r="C641" l="1"/>
  <c r="B642"/>
  <c r="C642" l="1"/>
  <c r="B643"/>
  <c r="C643" l="1"/>
  <c r="B644"/>
  <c r="C644" l="1"/>
  <c r="B645"/>
  <c r="C645" l="1"/>
  <c r="B646"/>
  <c r="C646" l="1"/>
  <c r="B647"/>
  <c r="C647" l="1"/>
  <c r="B648"/>
  <c r="C648" l="1"/>
  <c r="B649"/>
  <c r="C649" l="1"/>
  <c r="B650"/>
  <c r="C650" l="1"/>
  <c r="B651"/>
  <c r="C651" l="1"/>
  <c r="B652"/>
  <c r="B653" l="1"/>
  <c r="C652"/>
  <c r="C653" l="1"/>
  <c r="B654"/>
  <c r="C654" l="1"/>
  <c r="B655"/>
  <c r="C655" l="1"/>
  <c r="B656"/>
  <c r="C656" l="1"/>
  <c r="B657"/>
  <c r="C657" l="1"/>
  <c r="B658"/>
  <c r="C658" l="1"/>
  <c r="B659"/>
  <c r="C659" l="1"/>
  <c r="B660"/>
  <c r="C660" l="1"/>
  <c r="B661"/>
  <c r="C661" l="1"/>
  <c r="B662"/>
  <c r="C662" l="1"/>
  <c r="B663"/>
  <c r="B664" l="1"/>
  <c r="C663"/>
  <c r="C664" l="1"/>
  <c r="B665"/>
  <c r="C665" l="1"/>
  <c r="B666"/>
  <c r="C666" l="1"/>
  <c r="B667"/>
  <c r="C667" l="1"/>
  <c r="B668"/>
  <c r="C668" l="1"/>
  <c r="B669"/>
  <c r="C669" l="1"/>
  <c r="B670"/>
  <c r="C670" l="1"/>
  <c r="B671"/>
  <c r="C671" l="1"/>
  <c r="B672"/>
  <c r="C672" l="1"/>
  <c r="B673"/>
  <c r="C673" l="1"/>
  <c r="B674"/>
  <c r="C674" l="1"/>
  <c r="B675"/>
  <c r="C675" l="1"/>
  <c r="B676"/>
  <c r="C676" l="1"/>
  <c r="B677"/>
  <c r="C677" l="1"/>
  <c r="B678"/>
  <c r="C678" l="1"/>
  <c r="B679"/>
  <c r="C679" l="1"/>
  <c r="B680"/>
  <c r="C680" l="1"/>
  <c r="B681"/>
  <c r="C681" l="1"/>
  <c r="B682"/>
  <c r="C682" l="1"/>
  <c r="B683"/>
  <c r="C683" l="1"/>
  <c r="B684"/>
  <c r="C684" l="1"/>
  <c r="B685"/>
  <c r="C685" l="1"/>
  <c r="B686"/>
  <c r="C686" l="1"/>
  <c r="B687"/>
  <c r="C687" l="1"/>
  <c r="B688"/>
  <c r="C688" l="1"/>
  <c r="B689"/>
  <c r="C689" l="1"/>
  <c r="B690"/>
  <c r="C690" l="1"/>
  <c r="B691"/>
  <c r="C691" l="1"/>
  <c r="B692"/>
  <c r="C692" l="1"/>
  <c r="B693"/>
  <c r="C693" l="1"/>
  <c r="B694"/>
  <c r="C694" l="1"/>
  <c r="B695"/>
  <c r="C695" l="1"/>
  <c r="B696"/>
  <c r="C696" l="1"/>
  <c r="B697"/>
  <c r="C697" l="1"/>
  <c r="B698"/>
  <c r="C698" l="1"/>
  <c r="B699"/>
  <c r="C699" l="1"/>
  <c r="B700"/>
  <c r="C700" l="1"/>
  <c r="B701"/>
  <c r="B702" l="1"/>
  <c r="C701"/>
  <c r="C702" l="1"/>
  <c r="B703"/>
  <c r="C703" l="1"/>
  <c r="B704"/>
  <c r="C704" l="1"/>
  <c r="B705"/>
  <c r="C705" l="1"/>
  <c r="B706"/>
  <c r="C706" l="1"/>
  <c r="B707"/>
  <c r="C707" l="1"/>
  <c r="B708"/>
  <c r="C708" l="1"/>
  <c r="B709"/>
  <c r="C709" l="1"/>
  <c r="B710"/>
  <c r="C710" l="1"/>
  <c r="B711"/>
  <c r="C711" l="1"/>
  <c r="B712"/>
  <c r="C712" l="1"/>
  <c r="B713"/>
  <c r="C713" l="1"/>
  <c r="B714"/>
  <c r="C714" l="1"/>
  <c r="B715"/>
  <c r="C715" l="1"/>
  <c r="B716"/>
  <c r="B717" l="1"/>
  <c r="C716"/>
  <c r="B718" l="1"/>
  <c r="C717"/>
  <c r="C718" l="1"/>
  <c r="B719"/>
  <c r="C719" l="1"/>
  <c r="B720"/>
  <c r="C720" l="1"/>
  <c r="B721"/>
  <c r="C721" l="1"/>
  <c r="B722"/>
  <c r="C722" l="1"/>
  <c r="B723"/>
  <c r="C723" l="1"/>
  <c r="B724"/>
  <c r="C724" l="1"/>
  <c r="B725"/>
  <c r="C725" l="1"/>
  <c r="B726"/>
  <c r="C726" l="1"/>
  <c r="B727"/>
  <c r="C727" l="1"/>
  <c r="B728"/>
  <c r="C728" l="1"/>
  <c r="B729"/>
  <c r="C729" l="1"/>
  <c r="B730"/>
  <c r="C730" l="1"/>
  <c r="B731"/>
  <c r="C731" l="1"/>
  <c r="B732"/>
  <c r="C732" l="1"/>
  <c r="B733"/>
  <c r="C733" l="1"/>
  <c r="B734"/>
  <c r="C734" l="1"/>
  <c r="B735"/>
  <c r="C735" l="1"/>
  <c r="B736"/>
  <c r="C736" l="1"/>
  <c r="B737"/>
  <c r="C737" l="1"/>
  <c r="B738"/>
  <c r="C738" l="1"/>
  <c r="B739"/>
  <c r="C739" l="1"/>
  <c r="B740"/>
  <c r="C740" l="1"/>
  <c r="B741"/>
  <c r="C741" l="1"/>
  <c r="B742"/>
  <c r="C742" l="1"/>
  <c r="B743"/>
  <c r="C743" l="1"/>
  <c r="B744"/>
  <c r="C744" l="1"/>
  <c r="B745"/>
  <c r="C745" l="1"/>
  <c r="B746"/>
  <c r="C746" l="1"/>
  <c r="B747"/>
  <c r="C747" l="1"/>
  <c r="B748"/>
  <c r="C748" l="1"/>
  <c r="B749"/>
  <c r="C749" l="1"/>
  <c r="B750"/>
  <c r="C750" l="1"/>
  <c r="B751"/>
  <c r="C751" l="1"/>
  <c r="B752"/>
  <c r="C752" l="1"/>
  <c r="B753"/>
  <c r="C753" l="1"/>
  <c r="B754"/>
  <c r="C754" l="1"/>
  <c r="B755"/>
  <c r="C755" l="1"/>
  <c r="B756"/>
  <c r="C756" l="1"/>
  <c r="B757"/>
  <c r="C757" l="1"/>
  <c r="B758"/>
  <c r="C758" l="1"/>
  <c r="B759"/>
  <c r="C759" l="1"/>
  <c r="B760"/>
  <c r="C760" l="1"/>
  <c r="B761"/>
  <c r="C761" l="1"/>
  <c r="B762"/>
  <c r="C762" l="1"/>
  <c r="B763"/>
  <c r="C763" l="1"/>
  <c r="B764"/>
  <c r="C764" l="1"/>
  <c r="B765"/>
  <c r="C765" l="1"/>
  <c r="B766"/>
  <c r="C766" l="1"/>
  <c r="B767"/>
  <c r="C767" l="1"/>
  <c r="B768"/>
  <c r="C768" l="1"/>
  <c r="B769"/>
  <c r="C769" l="1"/>
  <c r="B770"/>
  <c r="C770" l="1"/>
  <c r="B771"/>
  <c r="C771" l="1"/>
  <c r="B772"/>
  <c r="C772" l="1"/>
  <c r="B773"/>
  <c r="C773" l="1"/>
  <c r="B774"/>
  <c r="B775" l="1"/>
  <c r="C774"/>
  <c r="C775" l="1"/>
  <c r="B776"/>
  <c r="C776" l="1"/>
  <c r="B777"/>
  <c r="C777" l="1"/>
  <c r="B778"/>
  <c r="C778" l="1"/>
  <c r="B779"/>
  <c r="C779" l="1"/>
  <c r="B780"/>
  <c r="C780" l="1"/>
  <c r="B781"/>
  <c r="C781" l="1"/>
  <c r="B782"/>
  <c r="C782" l="1"/>
  <c r="B783"/>
  <c r="C783" l="1"/>
  <c r="B784"/>
  <c r="C784" l="1"/>
  <c r="B785"/>
  <c r="C785" l="1"/>
  <c r="B786"/>
  <c r="C786" l="1"/>
  <c r="B787"/>
  <c r="C787" l="1"/>
  <c r="B788"/>
  <c r="C788" l="1"/>
  <c r="B789"/>
  <c r="C789" l="1"/>
  <c r="B790"/>
  <c r="C790" l="1"/>
  <c r="B791"/>
  <c r="C791" l="1"/>
  <c r="B792"/>
  <c r="B793" l="1"/>
  <c r="C792"/>
  <c r="C793" l="1"/>
  <c r="B794"/>
  <c r="C794" l="1"/>
  <c r="B795"/>
  <c r="C795" l="1"/>
  <c r="B796"/>
  <c r="C796" l="1"/>
  <c r="B797"/>
  <c r="C797" l="1"/>
  <c r="B798"/>
  <c r="C798" l="1"/>
  <c r="B799"/>
  <c r="C799" l="1"/>
  <c r="B800"/>
  <c r="C800" l="1"/>
  <c r="B801"/>
  <c r="C801" l="1"/>
  <c r="B802"/>
  <c r="C802" l="1"/>
  <c r="B803"/>
  <c r="B804" l="1"/>
  <c r="C803"/>
  <c r="C804" l="1"/>
  <c r="B805"/>
  <c r="C805" l="1"/>
  <c r="B806"/>
  <c r="C806" l="1"/>
  <c r="B807"/>
  <c r="C807" l="1"/>
  <c r="B808"/>
  <c r="C808" l="1"/>
  <c r="B809"/>
  <c r="C809" l="1"/>
  <c r="B810"/>
  <c r="C810" l="1"/>
  <c r="B811"/>
  <c r="C811" l="1"/>
  <c r="B812"/>
  <c r="C812" l="1"/>
  <c r="B813"/>
  <c r="C813" l="1"/>
  <c r="B814"/>
  <c r="C814" l="1"/>
  <c r="B815"/>
  <c r="C815" l="1"/>
  <c r="B816"/>
  <c r="C816" l="1"/>
  <c r="B817"/>
  <c r="C817" l="1"/>
  <c r="B818"/>
  <c r="C818" l="1"/>
  <c r="B819"/>
  <c r="C819" l="1"/>
  <c r="B820"/>
  <c r="C820" l="1"/>
  <c r="B821"/>
  <c r="C821" l="1"/>
  <c r="B822"/>
  <c r="C822" l="1"/>
  <c r="B823"/>
  <c r="C823" l="1"/>
  <c r="B824"/>
  <c r="C824" l="1"/>
  <c r="B825"/>
  <c r="C825" l="1"/>
  <c r="B826"/>
  <c r="C826" l="1"/>
  <c r="B827"/>
  <c r="C827" l="1"/>
  <c r="B828"/>
  <c r="C828" l="1"/>
  <c r="B829"/>
  <c r="C829" l="1"/>
  <c r="B830"/>
  <c r="C830" l="1"/>
  <c r="B831"/>
  <c r="C831" l="1"/>
  <c r="B832"/>
  <c r="C832" l="1"/>
  <c r="B833"/>
  <c r="C833" l="1"/>
  <c r="B834"/>
  <c r="C834" l="1"/>
  <c r="B835"/>
  <c r="C835" l="1"/>
  <c r="B836"/>
  <c r="C836" l="1"/>
  <c r="B837"/>
  <c r="C837" l="1"/>
  <c r="B838"/>
  <c r="C838" l="1"/>
  <c r="B839"/>
  <c r="C839" l="1"/>
  <c r="B840"/>
  <c r="C840" l="1"/>
  <c r="B841"/>
  <c r="B842" l="1"/>
  <c r="C841"/>
  <c r="C842" l="1"/>
  <c r="B843"/>
  <c r="C843" l="1"/>
  <c r="B844"/>
  <c r="C844" l="1"/>
  <c r="B845"/>
  <c r="C845" l="1"/>
  <c r="B846"/>
  <c r="C846" l="1"/>
  <c r="B847"/>
  <c r="C847" l="1"/>
  <c r="B848"/>
  <c r="C848" l="1"/>
  <c r="B849"/>
  <c r="C849" l="1"/>
  <c r="B850"/>
  <c r="C850" l="1"/>
  <c r="B851"/>
  <c r="C851" l="1"/>
  <c r="B852"/>
  <c r="C852" l="1"/>
  <c r="B853"/>
  <c r="C853" l="1"/>
  <c r="B854"/>
  <c r="C854" l="1"/>
  <c r="B855"/>
  <c r="C855" l="1"/>
  <c r="B856"/>
  <c r="B857" l="1"/>
  <c r="C856"/>
  <c r="B858" l="1"/>
  <c r="C857"/>
  <c r="C858" l="1"/>
  <c r="B859"/>
  <c r="C859" l="1"/>
  <c r="B860"/>
  <c r="C860" l="1"/>
  <c r="B861"/>
  <c r="C861" l="1"/>
  <c r="B862"/>
  <c r="C862" l="1"/>
  <c r="B863"/>
  <c r="C863" l="1"/>
  <c r="B864"/>
  <c r="C864" l="1"/>
  <c r="B865"/>
  <c r="C865" l="1"/>
  <c r="B866"/>
  <c r="C866" l="1"/>
  <c r="B867"/>
  <c r="C867" l="1"/>
  <c r="B868"/>
  <c r="C868" l="1"/>
  <c r="B869"/>
  <c r="C869" l="1"/>
  <c r="B870"/>
  <c r="C870" l="1"/>
  <c r="B871"/>
  <c r="C871" l="1"/>
  <c r="B872"/>
  <c r="C872" l="1"/>
  <c r="B873"/>
  <c r="C873" l="1"/>
  <c r="B874"/>
  <c r="C874" l="1"/>
  <c r="B875"/>
  <c r="C875" l="1"/>
  <c r="B876"/>
  <c r="C876" l="1"/>
  <c r="B877"/>
  <c r="C877" l="1"/>
  <c r="B878"/>
  <c r="C878" l="1"/>
  <c r="B879"/>
  <c r="C879" l="1"/>
  <c r="B880"/>
  <c r="C880" l="1"/>
  <c r="B881"/>
  <c r="C881" l="1"/>
  <c r="B882"/>
  <c r="C882" l="1"/>
  <c r="B883"/>
  <c r="C883" l="1"/>
  <c r="B884"/>
  <c r="C884" l="1"/>
  <c r="B885"/>
  <c r="C885" l="1"/>
  <c r="B886"/>
  <c r="C886" l="1"/>
  <c r="B887"/>
  <c r="C887" l="1"/>
  <c r="B888"/>
  <c r="C888" l="1"/>
  <c r="B889"/>
  <c r="C889" l="1"/>
  <c r="B890"/>
  <c r="C890" l="1"/>
  <c r="B891"/>
  <c r="C891" l="1"/>
  <c r="B892"/>
  <c r="C892" l="1"/>
  <c r="B893"/>
  <c r="C893" l="1"/>
  <c r="B894"/>
  <c r="C894" l="1"/>
  <c r="B895"/>
  <c r="C895" l="1"/>
  <c r="B896"/>
  <c r="C896" l="1"/>
  <c r="B897"/>
  <c r="C897" l="1"/>
  <c r="B898"/>
  <c r="C898" l="1"/>
  <c r="B899"/>
  <c r="C899" l="1"/>
  <c r="B900"/>
  <c r="C900" l="1"/>
  <c r="B901"/>
  <c r="C901" l="1"/>
  <c r="B902"/>
  <c r="C902" l="1"/>
  <c r="B903"/>
  <c r="C903" l="1"/>
  <c r="B904"/>
  <c r="C904" l="1"/>
  <c r="B905"/>
  <c r="C905" l="1"/>
  <c r="B906"/>
  <c r="C906" l="1"/>
  <c r="B907"/>
  <c r="C907" l="1"/>
  <c r="B908"/>
  <c r="C908" l="1"/>
  <c r="B909"/>
  <c r="C909" l="1"/>
  <c r="B910"/>
  <c r="C910" l="1"/>
  <c r="B911"/>
  <c r="C911" l="1"/>
  <c r="B912"/>
  <c r="C912" l="1"/>
  <c r="B913"/>
  <c r="C913" l="1"/>
  <c r="B914"/>
  <c r="C914" l="1"/>
  <c r="B915"/>
  <c r="B916" l="1"/>
  <c r="C915"/>
  <c r="C916" l="1"/>
  <c r="B917"/>
  <c r="C917" l="1"/>
  <c r="B918"/>
  <c r="C918" l="1"/>
  <c r="B919"/>
  <c r="C919" l="1"/>
  <c r="B920"/>
  <c r="C920" l="1"/>
  <c r="B921"/>
  <c r="C921" l="1"/>
  <c r="B922"/>
  <c r="C922" l="1"/>
  <c r="B923"/>
  <c r="C923" l="1"/>
  <c r="B924"/>
  <c r="C924" l="1"/>
  <c r="B925"/>
  <c r="C925" l="1"/>
  <c r="B926"/>
  <c r="C926" l="1"/>
  <c r="B927"/>
  <c r="C927" l="1"/>
  <c r="B928"/>
  <c r="C928" l="1"/>
  <c r="B929"/>
  <c r="C929" l="1"/>
  <c r="B930"/>
  <c r="C930" l="1"/>
  <c r="B931"/>
  <c r="C931" l="1"/>
  <c r="B932"/>
  <c r="C932" l="1"/>
  <c r="B933"/>
  <c r="B934" l="1"/>
  <c r="C933"/>
  <c r="C934" l="1"/>
  <c r="B935"/>
  <c r="C935" l="1"/>
  <c r="B936"/>
  <c r="C936" l="1"/>
  <c r="B937"/>
  <c r="C937" l="1"/>
  <c r="B938"/>
  <c r="C938" l="1"/>
  <c r="B939"/>
  <c r="C939" l="1"/>
  <c r="B940"/>
  <c r="C940" l="1"/>
  <c r="B941"/>
  <c r="C941" l="1"/>
  <c r="B942"/>
  <c r="C942" l="1"/>
  <c r="B943"/>
  <c r="C943" l="1"/>
  <c r="B944"/>
  <c r="B945" l="1"/>
  <c r="C944"/>
  <c r="C945" l="1"/>
  <c r="B946"/>
  <c r="C946" l="1"/>
  <c r="B947"/>
  <c r="C947" l="1"/>
  <c r="B948"/>
  <c r="C948" l="1"/>
  <c r="B949"/>
  <c r="C949" l="1"/>
  <c r="B950"/>
  <c r="C950" l="1"/>
  <c r="B951"/>
  <c r="C951" l="1"/>
  <c r="B952"/>
  <c r="C952" l="1"/>
  <c r="B953"/>
  <c r="C953" l="1"/>
  <c r="B954"/>
  <c r="C954" l="1"/>
  <c r="B955"/>
  <c r="C955" l="1"/>
  <c r="B956"/>
  <c r="C956" l="1"/>
  <c r="B957"/>
  <c r="C957" l="1"/>
  <c r="B958"/>
  <c r="C958" l="1"/>
  <c r="B959"/>
  <c r="C959" l="1"/>
  <c r="B960"/>
  <c r="C960" l="1"/>
  <c r="B961"/>
  <c r="C961" l="1"/>
  <c r="B962"/>
  <c r="C962" l="1"/>
  <c r="B963"/>
  <c r="C963" l="1"/>
  <c r="B964"/>
  <c r="C964" l="1"/>
  <c r="B965"/>
  <c r="C965" l="1"/>
  <c r="B966"/>
  <c r="C966" l="1"/>
  <c r="B967"/>
  <c r="C967" l="1"/>
  <c r="B968"/>
  <c r="C968" l="1"/>
  <c r="B969"/>
  <c r="C969" l="1"/>
  <c r="B970"/>
  <c r="C970" l="1"/>
  <c r="B971"/>
  <c r="C971" l="1"/>
  <c r="B972"/>
  <c r="C972" l="1"/>
  <c r="B973"/>
  <c r="C973" l="1"/>
  <c r="B974"/>
  <c r="C974" l="1"/>
  <c r="B975"/>
  <c r="C975" l="1"/>
  <c r="B976"/>
  <c r="C976" l="1"/>
  <c r="B977"/>
  <c r="C977" l="1"/>
  <c r="B978"/>
  <c r="C978" l="1"/>
  <c r="B979"/>
  <c r="C979" l="1"/>
  <c r="B980"/>
  <c r="C980" l="1"/>
  <c r="B981"/>
  <c r="C981" l="1"/>
  <c r="B982"/>
  <c r="B983" l="1"/>
  <c r="C982"/>
  <c r="C983" l="1"/>
  <c r="B984"/>
  <c r="C984" l="1"/>
  <c r="B985"/>
  <c r="C985" l="1"/>
  <c r="B986"/>
  <c r="C986" l="1"/>
  <c r="B987"/>
  <c r="C987" l="1"/>
  <c r="B988"/>
  <c r="C988" l="1"/>
  <c r="B989"/>
  <c r="C989" l="1"/>
  <c r="B990"/>
  <c r="C990" l="1"/>
  <c r="B991"/>
  <c r="C991" l="1"/>
  <c r="B992"/>
  <c r="C992" l="1"/>
  <c r="B993"/>
  <c r="C993" l="1"/>
  <c r="B994"/>
  <c r="C994" l="1"/>
  <c r="B995"/>
  <c r="C995" l="1"/>
  <c r="B996"/>
  <c r="B997" l="1"/>
  <c r="C996"/>
  <c r="B998" l="1"/>
  <c r="C997"/>
  <c r="C998" l="1"/>
  <c r="B999"/>
  <c r="C999" l="1"/>
  <c r="B1000"/>
  <c r="C1000" l="1"/>
  <c r="B1001"/>
  <c r="C1001" l="1"/>
  <c r="B1002"/>
  <c r="C1002" l="1"/>
  <c r="B1003"/>
  <c r="C1003" l="1"/>
  <c r="B1004"/>
  <c r="C1004" l="1"/>
  <c r="B1005"/>
  <c r="C1005" l="1"/>
  <c r="B1006"/>
  <c r="C1006" l="1"/>
  <c r="B1007"/>
  <c r="C1007" l="1"/>
  <c r="B1008"/>
  <c r="C1008" l="1"/>
  <c r="B1009"/>
  <c r="C1009" l="1"/>
  <c r="B1010"/>
  <c r="C1010" l="1"/>
  <c r="B1011"/>
  <c r="C1011" l="1"/>
  <c r="B1012"/>
  <c r="C1012" l="1"/>
  <c r="B1013"/>
  <c r="C1013" l="1"/>
  <c r="B1014"/>
  <c r="C1014" l="1"/>
  <c r="B1015"/>
  <c r="C1015" l="1"/>
  <c r="B1016"/>
  <c r="C1016" l="1"/>
  <c r="B1017"/>
  <c r="C1017" l="1"/>
  <c r="B1018"/>
  <c r="C1018" l="1"/>
  <c r="B1019"/>
  <c r="C1019" l="1"/>
  <c r="B1020"/>
  <c r="C1020" l="1"/>
  <c r="B1021"/>
  <c r="C1021" l="1"/>
  <c r="B1022"/>
  <c r="C1022" l="1"/>
  <c r="B1023"/>
  <c r="C1023" l="1"/>
  <c r="B1024"/>
  <c r="C1024" l="1"/>
  <c r="B1025"/>
  <c r="C1025" l="1"/>
  <c r="B1026"/>
  <c r="C1026" l="1"/>
  <c r="B1027"/>
  <c r="C1027" l="1"/>
  <c r="B1028"/>
  <c r="C1028" l="1"/>
  <c r="B1029"/>
  <c r="C1029" l="1"/>
  <c r="B1030"/>
  <c r="C1030" l="1"/>
  <c r="B1031"/>
  <c r="C1031" l="1"/>
  <c r="B1032"/>
  <c r="C1032" l="1"/>
  <c r="B1033"/>
  <c r="C1033" l="1"/>
  <c r="B1034"/>
  <c r="C1034" l="1"/>
  <c r="B1035"/>
  <c r="C1035" l="1"/>
  <c r="B1036"/>
  <c r="C1036" l="1"/>
  <c r="B1037"/>
  <c r="C1037" l="1"/>
  <c r="B1038"/>
  <c r="C1038" l="1"/>
  <c r="B1039"/>
  <c r="C1039" l="1"/>
  <c r="B1040"/>
  <c r="C1040" l="1"/>
  <c r="B1041"/>
  <c r="C1041" l="1"/>
  <c r="B1042"/>
  <c r="C1042" l="1"/>
  <c r="B1043"/>
  <c r="C1043" l="1"/>
  <c r="B1044"/>
  <c r="C1044" l="1"/>
  <c r="B1045"/>
  <c r="C1045" l="1"/>
  <c r="B1046"/>
  <c r="C1046" l="1"/>
  <c r="B1047"/>
  <c r="C1047" l="1"/>
  <c r="B1048"/>
  <c r="C1048" l="1"/>
  <c r="B1049"/>
  <c r="C1049" l="1"/>
  <c r="B1050"/>
  <c r="C1050" l="1"/>
  <c r="B1051"/>
  <c r="C1051" l="1"/>
  <c r="B1052"/>
  <c r="C1052" l="1"/>
  <c r="B1053"/>
  <c r="C1053" l="1"/>
  <c r="B1054"/>
  <c r="B1055" l="1"/>
  <c r="C1054"/>
  <c r="C1055" l="1"/>
  <c r="B1056"/>
  <c r="C1056" l="1"/>
  <c r="B1057"/>
  <c r="C1057" l="1"/>
  <c r="B1058"/>
  <c r="C1058" l="1"/>
  <c r="B1059"/>
  <c r="C1059" l="1"/>
  <c r="B1060"/>
  <c r="C1060" l="1"/>
  <c r="B1061"/>
  <c r="C1061" l="1"/>
  <c r="B1062"/>
  <c r="C1062" l="1"/>
  <c r="B1063"/>
  <c r="C1063" l="1"/>
  <c r="B1064"/>
  <c r="C1064" l="1"/>
  <c r="B1065"/>
  <c r="C1065" l="1"/>
  <c r="B1066"/>
  <c r="C1066" l="1"/>
  <c r="B1067"/>
  <c r="C1067" l="1"/>
  <c r="B1068"/>
  <c r="C1068" l="1"/>
  <c r="B1069"/>
  <c r="C1069" l="1"/>
  <c r="B1070"/>
  <c r="C1070" l="1"/>
  <c r="B1071"/>
  <c r="C1071" l="1"/>
  <c r="B1072"/>
  <c r="B1073" l="1"/>
  <c r="C1072"/>
  <c r="C1073" l="1"/>
  <c r="B1074"/>
  <c r="C1074" l="1"/>
  <c r="B1075"/>
  <c r="C1075" l="1"/>
  <c r="B1076"/>
  <c r="C1076" l="1"/>
  <c r="B1077"/>
  <c r="C1077" l="1"/>
  <c r="B1078"/>
  <c r="C1078" l="1"/>
  <c r="B1079"/>
  <c r="C1079" l="1"/>
  <c r="B1080"/>
  <c r="C1080" l="1"/>
  <c r="B1081"/>
  <c r="C1081" l="1"/>
  <c r="B1082"/>
  <c r="C1082" l="1"/>
  <c r="B1083"/>
  <c r="B1084" l="1"/>
  <c r="C1083"/>
  <c r="C1084" l="1"/>
  <c r="B1085"/>
  <c r="C1085" l="1"/>
  <c r="B1086"/>
  <c r="C1086" l="1"/>
  <c r="B1087"/>
  <c r="C1087" l="1"/>
  <c r="B1088"/>
  <c r="C1088" l="1"/>
  <c r="B1089"/>
  <c r="C1089" l="1"/>
  <c r="B1090"/>
  <c r="C1090" l="1"/>
  <c r="B1091"/>
  <c r="C1091" l="1"/>
  <c r="B1092"/>
  <c r="C1092" l="1"/>
  <c r="B1093"/>
  <c r="C1093" l="1"/>
  <c r="B1094"/>
  <c r="C1094" l="1"/>
  <c r="B1095"/>
  <c r="C1095" l="1"/>
  <c r="B1096"/>
  <c r="C1096" l="1"/>
  <c r="B1097"/>
  <c r="C1097" l="1"/>
  <c r="B1098"/>
  <c r="C1098" l="1"/>
  <c r="B1099"/>
  <c r="C1099" l="1"/>
  <c r="B1100"/>
  <c r="C1100" l="1"/>
  <c r="B1101"/>
  <c r="C1101" l="1"/>
  <c r="B1102"/>
  <c r="C1102" l="1"/>
  <c r="B1103"/>
  <c r="C1103" l="1"/>
  <c r="B1104"/>
  <c r="C1104" l="1"/>
  <c r="B1105"/>
  <c r="C1105" l="1"/>
  <c r="B1106"/>
  <c r="C1106" l="1"/>
  <c r="B1107"/>
  <c r="C1107" l="1"/>
  <c r="B1108"/>
  <c r="C1108" l="1"/>
  <c r="B1109"/>
  <c r="C1109" l="1"/>
  <c r="B1110"/>
  <c r="C1110" l="1"/>
  <c r="B1111"/>
  <c r="C1111" l="1"/>
  <c r="B1112"/>
  <c r="C1112" l="1"/>
  <c r="B1113"/>
  <c r="C1113" l="1"/>
  <c r="B1114"/>
  <c r="C1114" l="1"/>
  <c r="B1115"/>
  <c r="C1115" l="1"/>
  <c r="B1116"/>
  <c r="C1116" l="1"/>
  <c r="B1117"/>
  <c r="C1117" l="1"/>
  <c r="B1118"/>
  <c r="C1118" l="1"/>
  <c r="B1119"/>
  <c r="C1119" l="1"/>
  <c r="B1120"/>
  <c r="C1120" l="1"/>
  <c r="B1121"/>
  <c r="B1122" l="1"/>
  <c r="C1121"/>
  <c r="C1122" l="1"/>
  <c r="B1123"/>
  <c r="C1123" l="1"/>
  <c r="B1124"/>
  <c r="C1124" l="1"/>
  <c r="B1125"/>
  <c r="C1125" l="1"/>
  <c r="B1126"/>
  <c r="C1126" l="1"/>
  <c r="B1127"/>
  <c r="C1127" l="1"/>
  <c r="B1128"/>
  <c r="C1128" l="1"/>
  <c r="B1129"/>
  <c r="C1129" l="1"/>
  <c r="B1130"/>
  <c r="C1130" l="1"/>
  <c r="B1131"/>
  <c r="C1131" l="1"/>
  <c r="B1132"/>
  <c r="C1132" l="1"/>
  <c r="B1133"/>
  <c r="C1133" l="1"/>
  <c r="B1134"/>
  <c r="C1134" l="1"/>
  <c r="B1135"/>
  <c r="C1135" l="1"/>
  <c r="B1136"/>
  <c r="B1137" l="1"/>
  <c r="C1136"/>
  <c r="B1138" l="1"/>
  <c r="C1137"/>
  <c r="C1138" l="1"/>
  <c r="B1139"/>
  <c r="C1139" l="1"/>
  <c r="B1140"/>
  <c r="C1140" l="1"/>
  <c r="B1141"/>
  <c r="C1141" l="1"/>
  <c r="B1142"/>
  <c r="C1142" l="1"/>
  <c r="B1143"/>
  <c r="C1143" l="1"/>
  <c r="B1144"/>
  <c r="C1144" l="1"/>
  <c r="B1145"/>
  <c r="C1145" l="1"/>
  <c r="B1146"/>
  <c r="C1146" l="1"/>
  <c r="B1147"/>
  <c r="C1147" l="1"/>
  <c r="B1148"/>
  <c r="C1148" l="1"/>
  <c r="B1149"/>
  <c r="C1149" l="1"/>
  <c r="B1150"/>
  <c r="C1150" l="1"/>
  <c r="B1151"/>
  <c r="C1151" l="1"/>
  <c r="B1152"/>
  <c r="C1152" l="1"/>
  <c r="B1153"/>
  <c r="C1153" l="1"/>
  <c r="B1154"/>
  <c r="C1154" l="1"/>
  <c r="B1155"/>
  <c r="C1155" l="1"/>
  <c r="B1156"/>
  <c r="C1156" l="1"/>
  <c r="B1157"/>
  <c r="C1157" l="1"/>
  <c r="B1158"/>
  <c r="C1158" l="1"/>
  <c r="B1159"/>
  <c r="C1159" l="1"/>
  <c r="B1160"/>
  <c r="C1160" l="1"/>
  <c r="B1161"/>
  <c r="C1161" l="1"/>
  <c r="B1162"/>
  <c r="C1162" l="1"/>
  <c r="B1163"/>
  <c r="C1163" l="1"/>
  <c r="B1164"/>
  <c r="B1165" l="1"/>
  <c r="C1164"/>
  <c r="C1165" l="1"/>
  <c r="B1166"/>
  <c r="C1166" l="1"/>
  <c r="B1167"/>
  <c r="C1167" l="1"/>
  <c r="B1168"/>
  <c r="C1168" l="1"/>
  <c r="B1169"/>
  <c r="C1169" l="1"/>
  <c r="B1170"/>
  <c r="C1170" l="1"/>
  <c r="B1171"/>
  <c r="C1171" l="1"/>
  <c r="B1172"/>
  <c r="C1172" l="1"/>
  <c r="B1173"/>
  <c r="C1173" l="1"/>
  <c r="B1174"/>
  <c r="C1174" l="1"/>
  <c r="B1175"/>
  <c r="C1175" l="1"/>
  <c r="B1176"/>
  <c r="C1176" l="1"/>
  <c r="B1177"/>
  <c r="C1177" l="1"/>
  <c r="B1178"/>
  <c r="C1178" l="1"/>
  <c r="B1179"/>
  <c r="C1179" l="1"/>
  <c r="B1180"/>
  <c r="C1180" l="1"/>
  <c r="B1181"/>
  <c r="C1181" l="1"/>
  <c r="B1182"/>
  <c r="C1182" l="1"/>
  <c r="B1183"/>
  <c r="C1183" l="1"/>
  <c r="B1184"/>
  <c r="C1184" l="1"/>
  <c r="B1185"/>
  <c r="C1185" l="1"/>
  <c r="B1186"/>
  <c r="C1186" l="1"/>
  <c r="B1187"/>
  <c r="C1187" l="1"/>
  <c r="B1188"/>
  <c r="C1188" l="1"/>
  <c r="B1189"/>
  <c r="C1189" l="1"/>
  <c r="B1190"/>
  <c r="C1190" l="1"/>
  <c r="B1191"/>
  <c r="C1191" l="1"/>
  <c r="B1192"/>
  <c r="C1192" l="1"/>
  <c r="B1193"/>
  <c r="C1193" l="1"/>
  <c r="B1194"/>
  <c r="C1194" l="1"/>
  <c r="B1195"/>
  <c r="B1196" l="1"/>
  <c r="C1195"/>
  <c r="C1196" l="1"/>
  <c r="B1197"/>
  <c r="C1197" l="1"/>
  <c r="B1198"/>
  <c r="C1198" l="1"/>
  <c r="B1199"/>
  <c r="C1199" l="1"/>
  <c r="B1200"/>
  <c r="C1200" l="1"/>
  <c r="B1201"/>
  <c r="C1201" l="1"/>
  <c r="B1202"/>
  <c r="C1202" l="1"/>
  <c r="B1203"/>
  <c r="C1203" l="1"/>
  <c r="B1204"/>
  <c r="C1204" l="1"/>
  <c r="B1205"/>
  <c r="C1205" l="1"/>
  <c r="B1206"/>
  <c r="C1206" l="1"/>
  <c r="B1207"/>
  <c r="C1207" l="1"/>
  <c r="B1208"/>
  <c r="C1208" l="1"/>
  <c r="B1209"/>
  <c r="C1209" l="1"/>
  <c r="B1210"/>
  <c r="C1210" l="1"/>
  <c r="B1211"/>
  <c r="C1211" l="1"/>
  <c r="B1212"/>
  <c r="C1212" l="1"/>
  <c r="B1213"/>
  <c r="B1214" l="1"/>
  <c r="C1213"/>
  <c r="C1214" l="1"/>
  <c r="B1215"/>
  <c r="C1215" l="1"/>
  <c r="B1216"/>
  <c r="C1216" l="1"/>
  <c r="B1217"/>
  <c r="C1217" l="1"/>
  <c r="B1218"/>
  <c r="C1218" l="1"/>
  <c r="B1219"/>
  <c r="C1219" l="1"/>
  <c r="B1220"/>
  <c r="C1220" l="1"/>
  <c r="B1221"/>
  <c r="C1221" l="1"/>
  <c r="B1222"/>
  <c r="C1222" l="1"/>
  <c r="B1223"/>
  <c r="C1223" l="1"/>
  <c r="B1224"/>
  <c r="B1225" l="1"/>
  <c r="C1224"/>
  <c r="C1225" l="1"/>
  <c r="B1226"/>
  <c r="C1226" l="1"/>
  <c r="B1227"/>
  <c r="C1227" l="1"/>
  <c r="B1228"/>
  <c r="C1228" l="1"/>
  <c r="B1229"/>
  <c r="C1229" l="1"/>
  <c r="B1230"/>
  <c r="C1230" l="1"/>
  <c r="B1231"/>
  <c r="C1231" l="1"/>
  <c r="B1232"/>
  <c r="C1232" l="1"/>
  <c r="B1233"/>
  <c r="C1233" l="1"/>
  <c r="B1234"/>
  <c r="C1234" l="1"/>
  <c r="B1235"/>
  <c r="C1235" l="1"/>
  <c r="B1236"/>
  <c r="C1236" l="1"/>
  <c r="B1237"/>
  <c r="C1237" l="1"/>
  <c r="B1238"/>
  <c r="C1238" l="1"/>
  <c r="B1239"/>
  <c r="C1239" l="1"/>
  <c r="B1240"/>
  <c r="C1240" l="1"/>
  <c r="B1241"/>
  <c r="C1241" l="1"/>
  <c r="B1242"/>
  <c r="C1242" l="1"/>
  <c r="B1243"/>
  <c r="C1243" l="1"/>
  <c r="B1244"/>
  <c r="C1244" l="1"/>
  <c r="B1245"/>
  <c r="C1245" l="1"/>
  <c r="B1246"/>
  <c r="C1246" l="1"/>
  <c r="B1247"/>
  <c r="C1247" l="1"/>
  <c r="B1248"/>
  <c r="C1248" l="1"/>
  <c r="B1249"/>
  <c r="C1249" l="1"/>
  <c r="B1250"/>
  <c r="C1250" l="1"/>
  <c r="B1251"/>
  <c r="C1251" l="1"/>
  <c r="B1252"/>
  <c r="C1252" l="1"/>
  <c r="B1253"/>
  <c r="C1253" l="1"/>
  <c r="B1254"/>
  <c r="C1254" l="1"/>
  <c r="B1255"/>
  <c r="C1255" l="1"/>
  <c r="B1256"/>
  <c r="C1256" l="1"/>
  <c r="B1257"/>
  <c r="C1257" l="1"/>
  <c r="B1258"/>
  <c r="C1258" l="1"/>
  <c r="B1259"/>
  <c r="C1259" l="1"/>
  <c r="B1260"/>
  <c r="C1260" l="1"/>
  <c r="B1261"/>
  <c r="C1261" l="1"/>
  <c r="B1262"/>
  <c r="B1263" l="1"/>
  <c r="C1262"/>
  <c r="C1263" l="1"/>
  <c r="B1264"/>
  <c r="C1264" l="1"/>
  <c r="B1265"/>
  <c r="C1265" l="1"/>
  <c r="B1266"/>
  <c r="C1266" l="1"/>
  <c r="B1267"/>
  <c r="C1267" l="1"/>
  <c r="B1268"/>
  <c r="C1268" l="1"/>
  <c r="B1269"/>
  <c r="C1269" l="1"/>
  <c r="B1270"/>
  <c r="C1270" l="1"/>
  <c r="B1271"/>
  <c r="C1271" l="1"/>
  <c r="B1272"/>
  <c r="C1272" l="1"/>
  <c r="B1273"/>
  <c r="C1273" l="1"/>
  <c r="B1274"/>
  <c r="C1274" l="1"/>
  <c r="B1275"/>
  <c r="C1275" l="1"/>
  <c r="B1276"/>
  <c r="B1277" l="1"/>
  <c r="C1276"/>
  <c r="B1278" l="1"/>
  <c r="C1277"/>
  <c r="C1278" l="1"/>
  <c r="B1279"/>
  <c r="C1279" l="1"/>
  <c r="B1280"/>
  <c r="C1280" l="1"/>
  <c r="B1281"/>
  <c r="C1281" l="1"/>
  <c r="B1282"/>
  <c r="C1282" l="1"/>
  <c r="B1283"/>
  <c r="C1283" l="1"/>
  <c r="B1284"/>
  <c r="C1284" l="1"/>
  <c r="B1285"/>
  <c r="C1285" l="1"/>
  <c r="B1286"/>
  <c r="C1286" l="1"/>
  <c r="B1287"/>
  <c r="C1287" l="1"/>
  <c r="B1288"/>
  <c r="C1288" l="1"/>
  <c r="B1289"/>
  <c r="C1289" l="1"/>
  <c r="B1290"/>
  <c r="C1290" l="1"/>
  <c r="B1291"/>
  <c r="C1291" l="1"/>
  <c r="B1292"/>
  <c r="C1292" l="1"/>
  <c r="B1293"/>
  <c r="C1293" l="1"/>
  <c r="B1294"/>
  <c r="C1294" l="1"/>
  <c r="B1295"/>
  <c r="C1295" l="1"/>
  <c r="B1296"/>
  <c r="C1296" l="1"/>
  <c r="B1297"/>
  <c r="C1297" l="1"/>
  <c r="B1298"/>
  <c r="C1298" l="1"/>
  <c r="B1299"/>
  <c r="C1299" l="1"/>
  <c r="B1300"/>
  <c r="C1300" l="1"/>
  <c r="B1301"/>
  <c r="C1301" l="1"/>
  <c r="B1302"/>
  <c r="C1302" l="1"/>
  <c r="B1303"/>
  <c r="C1303" l="1"/>
  <c r="B1304"/>
  <c r="C1304" l="1"/>
  <c r="B1305"/>
  <c r="C1305" l="1"/>
  <c r="B1306"/>
  <c r="C1306" l="1"/>
  <c r="B1307"/>
  <c r="C1307" l="1"/>
  <c r="B1308"/>
  <c r="C1308" l="1"/>
  <c r="B1309"/>
  <c r="C1309" l="1"/>
  <c r="B1310"/>
  <c r="C1310" l="1"/>
  <c r="B1311"/>
  <c r="C1311" l="1"/>
  <c r="B1312"/>
  <c r="C1312" l="1"/>
  <c r="B1313"/>
  <c r="C1313" l="1"/>
  <c r="B1314"/>
  <c r="C1314" l="1"/>
  <c r="B1315"/>
  <c r="C1315" l="1"/>
  <c r="B1316"/>
  <c r="C1316" l="1"/>
  <c r="B1317"/>
  <c r="C1317" l="1"/>
  <c r="B1318"/>
  <c r="C1318" l="1"/>
  <c r="B1319"/>
  <c r="C1319" l="1"/>
  <c r="B1320"/>
  <c r="C1320" l="1"/>
  <c r="B1321"/>
  <c r="C1321" l="1"/>
  <c r="B1322"/>
  <c r="C1322" l="1"/>
  <c r="B1323"/>
  <c r="C1323" l="1"/>
  <c r="B1324"/>
  <c r="C1324" l="1"/>
  <c r="B1325"/>
  <c r="C1325" l="1"/>
  <c r="B1326"/>
  <c r="C1326" l="1"/>
  <c r="B1327"/>
  <c r="C1327" l="1"/>
  <c r="B1328"/>
  <c r="C1328" l="1"/>
  <c r="B1329"/>
  <c r="C1329" l="1"/>
  <c r="B1330"/>
  <c r="C1330" l="1"/>
  <c r="B1331"/>
  <c r="C1331" l="1"/>
  <c r="B1332"/>
  <c r="C1332" l="1"/>
  <c r="B1333"/>
  <c r="C1333" l="1"/>
  <c r="B1334"/>
  <c r="B1335" l="1"/>
  <c r="C1334"/>
  <c r="C1335" l="1"/>
  <c r="B1336"/>
  <c r="C1336" l="1"/>
  <c r="B1337"/>
  <c r="C1337" l="1"/>
  <c r="B1338"/>
  <c r="C1338" l="1"/>
  <c r="B1339"/>
  <c r="C1339" l="1"/>
  <c r="B1340"/>
  <c r="C1340" l="1"/>
  <c r="B1341"/>
  <c r="C1341" l="1"/>
  <c r="B1342"/>
  <c r="C1342" l="1"/>
  <c r="B1343"/>
  <c r="C1343" l="1"/>
  <c r="B1344"/>
  <c r="C1344" l="1"/>
  <c r="B1345"/>
  <c r="C1345" l="1"/>
  <c r="B1346"/>
  <c r="C1346" l="1"/>
  <c r="B1347"/>
  <c r="C1347" l="1"/>
  <c r="B1348"/>
  <c r="C1348" l="1"/>
  <c r="B1349"/>
  <c r="C1349" l="1"/>
  <c r="B1350"/>
  <c r="C1350" l="1"/>
  <c r="B1351"/>
  <c r="C1351" l="1"/>
  <c r="B1352"/>
  <c r="B1353" l="1"/>
  <c r="C1352"/>
  <c r="C1353" l="1"/>
  <c r="B1354"/>
  <c r="C1354" l="1"/>
  <c r="B1355"/>
  <c r="C1355" l="1"/>
  <c r="B1356"/>
  <c r="C1356" l="1"/>
  <c r="B1357"/>
  <c r="C1357" l="1"/>
  <c r="B1358"/>
  <c r="C1358" l="1"/>
  <c r="B1359"/>
  <c r="C1359" l="1"/>
  <c r="B1360"/>
  <c r="C1360" l="1"/>
  <c r="B1361"/>
  <c r="C1361" l="1"/>
  <c r="B1362"/>
  <c r="C1362" l="1"/>
  <c r="B1363"/>
  <c r="B1364" l="1"/>
  <c r="C1363"/>
  <c r="C1364" l="1"/>
  <c r="B1365"/>
  <c r="C1365" l="1"/>
  <c r="B1366"/>
  <c r="C1366" l="1"/>
  <c r="B1367"/>
  <c r="C1367" l="1"/>
  <c r="B1368"/>
  <c r="C1368" l="1"/>
  <c r="B1369"/>
  <c r="C1369" l="1"/>
  <c r="B1370"/>
  <c r="C1370" l="1"/>
  <c r="B1371"/>
  <c r="C1371" l="1"/>
  <c r="B1372"/>
  <c r="C1372" l="1"/>
  <c r="B1373"/>
  <c r="C1373" l="1"/>
  <c r="B1374"/>
  <c r="C1374" l="1"/>
  <c r="B1375"/>
  <c r="C1375" l="1"/>
  <c r="B1376"/>
  <c r="C1376" l="1"/>
  <c r="B1377"/>
  <c r="C1377" l="1"/>
  <c r="B1378"/>
  <c r="C1378" l="1"/>
  <c r="B1379"/>
  <c r="C1379" l="1"/>
  <c r="B1380"/>
  <c r="C1380" l="1"/>
  <c r="B1381"/>
  <c r="C1381" l="1"/>
  <c r="B1382"/>
  <c r="C1382" l="1"/>
  <c r="B1383"/>
  <c r="C1383" l="1"/>
  <c r="B1384"/>
  <c r="C1384" l="1"/>
  <c r="B1385"/>
  <c r="C1385" l="1"/>
  <c r="B1386"/>
  <c r="C1386" l="1"/>
  <c r="B1387"/>
  <c r="C1387" l="1"/>
  <c r="B1388"/>
  <c r="C1388" l="1"/>
  <c r="B1389"/>
  <c r="C1389" l="1"/>
  <c r="B1390"/>
  <c r="C1390" l="1"/>
  <c r="B1391"/>
  <c r="C1391" l="1"/>
  <c r="B1392"/>
  <c r="C1392" l="1"/>
  <c r="B1393"/>
  <c r="C1393" l="1"/>
  <c r="B1394"/>
  <c r="C1394" l="1"/>
  <c r="B1395"/>
  <c r="C1395" l="1"/>
  <c r="B1396"/>
  <c r="C1396" l="1"/>
  <c r="B1397"/>
  <c r="C1397" l="1"/>
  <c r="B1398"/>
  <c r="C1398" l="1"/>
  <c r="B1399"/>
  <c r="C1399" l="1"/>
  <c r="B1400"/>
  <c r="C1400" l="1"/>
  <c r="B1401"/>
  <c r="B1402" l="1"/>
  <c r="C1401"/>
  <c r="C1402" l="1"/>
  <c r="B1403"/>
  <c r="C1403" l="1"/>
  <c r="B1404"/>
  <c r="C1404" l="1"/>
  <c r="B1405"/>
  <c r="C1405" l="1"/>
  <c r="B1406"/>
  <c r="C1406" l="1"/>
  <c r="B1407"/>
  <c r="C1407" l="1"/>
  <c r="B1408"/>
  <c r="C1408" l="1"/>
  <c r="B1409"/>
  <c r="C1409" l="1"/>
  <c r="B1410"/>
  <c r="C1410" l="1"/>
  <c r="B1411"/>
  <c r="C1411" l="1"/>
  <c r="B1412"/>
  <c r="C1412" l="1"/>
  <c r="B1413"/>
  <c r="C1413" l="1"/>
  <c r="B1414"/>
  <c r="C1414" l="1"/>
  <c r="B1415"/>
  <c r="C1415" l="1"/>
  <c r="B1416"/>
  <c r="B1417" l="1"/>
  <c r="C1416"/>
  <c r="C1417" l="1"/>
  <c r="B1418"/>
  <c r="C1418" l="1"/>
  <c r="B1419"/>
  <c r="C1419" l="1"/>
  <c r="B1420"/>
  <c r="C1420" l="1"/>
  <c r="B1421"/>
  <c r="C1421" l="1"/>
  <c r="B1422"/>
  <c r="C1422" l="1"/>
  <c r="B1423"/>
  <c r="C1423" l="1"/>
  <c r="B1424"/>
  <c r="C1424" l="1"/>
  <c r="B1425"/>
  <c r="C1425" l="1"/>
  <c r="B1426"/>
  <c r="C1426" l="1"/>
  <c r="B1427"/>
  <c r="C1427" l="1"/>
  <c r="B1428"/>
  <c r="C1428" l="1"/>
  <c r="B1429"/>
  <c r="C1429" l="1"/>
  <c r="B1430"/>
  <c r="C1430" l="1"/>
  <c r="B1431"/>
  <c r="C1431" l="1"/>
  <c r="B1432"/>
  <c r="C1432" l="1"/>
  <c r="B1433"/>
  <c r="C1433" l="1"/>
  <c r="B1434"/>
  <c r="C1434" l="1"/>
  <c r="B1435"/>
  <c r="C1435" l="1"/>
  <c r="B1436"/>
  <c r="C1436" l="1"/>
  <c r="B1437"/>
  <c r="C1437" l="1"/>
  <c r="B1438"/>
  <c r="C1438" l="1"/>
  <c r="B1439"/>
  <c r="C1439" l="1"/>
  <c r="B1440"/>
  <c r="C1440" l="1"/>
  <c r="B1441"/>
  <c r="C1441" l="1"/>
  <c r="B1442"/>
  <c r="C1442" l="1"/>
  <c r="B1443"/>
  <c r="C1443" l="1"/>
  <c r="B1444"/>
  <c r="C1444" l="1"/>
  <c r="B1445"/>
  <c r="C1445" l="1"/>
  <c r="B1446"/>
  <c r="C1446" l="1"/>
  <c r="B1447"/>
  <c r="C1447" l="1"/>
  <c r="B1448"/>
  <c r="C1448" l="1"/>
  <c r="B1449"/>
  <c r="C1449" l="1"/>
  <c r="B1450"/>
  <c r="C1450" l="1"/>
  <c r="B1451"/>
  <c r="C1451" l="1"/>
  <c r="B1452"/>
  <c r="C1452" l="1"/>
  <c r="B1453"/>
  <c r="C1453" l="1"/>
  <c r="B1454"/>
  <c r="C1454" l="1"/>
  <c r="B1455"/>
  <c r="C1455" l="1"/>
  <c r="B1456"/>
  <c r="C1456" l="1"/>
  <c r="B1457"/>
  <c r="C1457" l="1"/>
  <c r="B1458"/>
  <c r="C1458" l="1"/>
  <c r="B1459"/>
  <c r="C1459" l="1"/>
  <c r="B1460"/>
  <c r="C1460" l="1"/>
  <c r="B1461"/>
  <c r="C1461" l="1"/>
  <c r="B1462"/>
  <c r="C1462" l="1"/>
  <c r="B1463"/>
  <c r="C1463" l="1"/>
  <c r="B1464"/>
  <c r="C1464" l="1"/>
  <c r="B1465"/>
  <c r="C1465" l="1"/>
  <c r="B1466"/>
  <c r="C1466" l="1"/>
  <c r="B1467"/>
  <c r="C1467" l="1"/>
  <c r="B1468"/>
  <c r="C1468" l="1"/>
  <c r="B1469"/>
  <c r="C1469" l="1"/>
  <c r="B1470"/>
  <c r="C1470" l="1"/>
  <c r="B1471"/>
  <c r="C1471" l="1"/>
  <c r="B1472"/>
  <c r="C1472" l="1"/>
  <c r="B1473"/>
  <c r="C1473" l="1"/>
  <c r="B1474"/>
  <c r="B1475" l="1"/>
  <c r="C1474"/>
  <c r="C1475" l="1"/>
  <c r="B1476"/>
  <c r="C1476" l="1"/>
  <c r="B1477"/>
  <c r="C1477" l="1"/>
  <c r="B1478"/>
  <c r="C1478" l="1"/>
  <c r="B1479"/>
  <c r="C1479" l="1"/>
  <c r="B1480"/>
  <c r="C1480" l="1"/>
  <c r="B1481"/>
  <c r="C1481" l="1"/>
  <c r="B1482"/>
  <c r="C1482" l="1"/>
  <c r="B1483"/>
  <c r="C1483" l="1"/>
  <c r="B1484"/>
  <c r="C1484" l="1"/>
  <c r="B1485"/>
  <c r="C1485" l="1"/>
  <c r="B1486"/>
  <c r="C1486" l="1"/>
  <c r="B1487"/>
  <c r="C1487" l="1"/>
  <c r="B1488"/>
  <c r="C1488" l="1"/>
  <c r="B1489"/>
  <c r="C1489" l="1"/>
  <c r="B1490"/>
  <c r="C1490" l="1"/>
  <c r="B1491"/>
  <c r="C1491" l="1"/>
  <c r="B1492"/>
  <c r="B1493" l="1"/>
  <c r="C1492"/>
  <c r="C1493" l="1"/>
  <c r="B1494"/>
  <c r="C1494" l="1"/>
  <c r="B1495"/>
  <c r="C1495" l="1"/>
  <c r="B1496"/>
  <c r="C1496" l="1"/>
  <c r="B1497"/>
  <c r="C1497" l="1"/>
  <c r="B1498"/>
  <c r="C1498" l="1"/>
  <c r="B1499"/>
  <c r="C1499" l="1"/>
  <c r="B1500"/>
  <c r="C1500" l="1"/>
  <c r="B1501"/>
  <c r="C1501" l="1"/>
  <c r="B1502"/>
  <c r="C1502" l="1"/>
  <c r="B1503"/>
  <c r="B1504" l="1"/>
  <c r="C1503"/>
  <c r="C1504" l="1"/>
  <c r="B1505"/>
  <c r="C1505" l="1"/>
  <c r="B1506"/>
  <c r="C1506" l="1"/>
  <c r="B1507"/>
  <c r="C1507" l="1"/>
  <c r="B1508"/>
  <c r="C1508" l="1"/>
  <c r="B1509"/>
  <c r="C1509" l="1"/>
  <c r="B1510"/>
  <c r="C1510" l="1"/>
  <c r="B1511"/>
  <c r="C1511" l="1"/>
  <c r="B1512"/>
  <c r="C1512" l="1"/>
  <c r="B1513"/>
  <c r="C1513" l="1"/>
  <c r="B1514"/>
  <c r="C1514" l="1"/>
  <c r="B1515"/>
  <c r="C1515" l="1"/>
  <c r="B1516"/>
  <c r="C1516" l="1"/>
  <c r="B1517"/>
  <c r="C1517" l="1"/>
  <c r="B1518"/>
  <c r="C1518" l="1"/>
  <c r="B1519"/>
  <c r="C1519" l="1"/>
  <c r="B1520"/>
  <c r="C1520" l="1"/>
  <c r="B1521"/>
  <c r="C1521" l="1"/>
  <c r="B1522"/>
  <c r="C1522" l="1"/>
  <c r="B1523"/>
  <c r="C1523" l="1"/>
  <c r="B1524"/>
  <c r="C1524" l="1"/>
  <c r="B1525"/>
  <c r="C1525" l="1"/>
  <c r="B1526"/>
  <c r="C1526" l="1"/>
  <c r="B1527"/>
  <c r="C1527" l="1"/>
  <c r="B1528"/>
  <c r="C1528" l="1"/>
  <c r="B1529"/>
  <c r="C1529" l="1"/>
  <c r="B1530"/>
  <c r="C1530" l="1"/>
  <c r="B1531"/>
  <c r="C1531" l="1"/>
  <c r="B1532"/>
  <c r="C1532" l="1"/>
  <c r="B1533"/>
  <c r="C1533" l="1"/>
  <c r="B1534"/>
  <c r="C1534" l="1"/>
  <c r="B1535"/>
  <c r="C1535" l="1"/>
  <c r="B1536"/>
  <c r="C1536" l="1"/>
  <c r="B1537"/>
  <c r="C1537" l="1"/>
  <c r="B1538"/>
  <c r="C1538" l="1"/>
  <c r="B1539"/>
  <c r="C1539" l="1"/>
  <c r="B1540"/>
  <c r="C1540" l="1"/>
  <c r="B1541"/>
  <c r="B1542" l="1"/>
  <c r="C1541"/>
  <c r="C1542" l="1"/>
  <c r="B1543"/>
  <c r="C1543" l="1"/>
  <c r="B1544"/>
  <c r="C1544" l="1"/>
  <c r="B1545"/>
  <c r="C1545" l="1"/>
  <c r="B1546"/>
  <c r="C1546" l="1"/>
  <c r="B1547"/>
  <c r="C1547" l="1"/>
  <c r="B1548"/>
  <c r="C1548" l="1"/>
  <c r="B1549"/>
  <c r="C1549" l="1"/>
  <c r="B1550"/>
  <c r="C1550" l="1"/>
  <c r="B1551"/>
  <c r="C1551" l="1"/>
  <c r="B1552"/>
  <c r="C1552" l="1"/>
  <c r="B1553"/>
  <c r="C1553" l="1"/>
  <c r="B1554"/>
  <c r="C1554" l="1"/>
  <c r="B1555"/>
  <c r="C1555" l="1"/>
  <c r="B1556"/>
  <c r="B1557" l="1"/>
  <c r="C1556"/>
  <c r="B1558" l="1"/>
  <c r="C1557"/>
  <c r="B1559" l="1"/>
  <c r="C1558"/>
  <c r="C1559" l="1"/>
  <c r="B1560"/>
  <c r="C1560" l="1"/>
  <c r="B1561"/>
  <c r="C1561" l="1"/>
  <c r="B1562"/>
  <c r="C1562" l="1"/>
  <c r="B1563"/>
  <c r="C1563" l="1"/>
  <c r="B1564"/>
  <c r="C1564" l="1"/>
  <c r="B1565"/>
  <c r="C1565" l="1"/>
  <c r="B1566"/>
  <c r="C1566" l="1"/>
  <c r="B1567"/>
  <c r="C1567" l="1"/>
  <c r="B1568"/>
  <c r="C1568" l="1"/>
  <c r="B1569"/>
  <c r="C1569" l="1"/>
  <c r="B1570"/>
  <c r="C1570" l="1"/>
  <c r="B1571"/>
  <c r="C1571" l="1"/>
  <c r="B1572"/>
  <c r="C1572" l="1"/>
  <c r="B1573"/>
  <c r="C1573" l="1"/>
  <c r="B1574"/>
  <c r="C1574" l="1"/>
  <c r="B1575"/>
  <c r="C1575" l="1"/>
  <c r="B1576"/>
  <c r="C1576" l="1"/>
  <c r="B1577"/>
  <c r="C1577" l="1"/>
  <c r="B1578"/>
  <c r="C1578" l="1"/>
  <c r="B1579"/>
  <c r="C1579" l="1"/>
  <c r="B1580"/>
  <c r="C1580" l="1"/>
  <c r="B1581"/>
  <c r="C1581" l="1"/>
  <c r="B1582"/>
  <c r="C1582" l="1"/>
  <c r="B1583"/>
  <c r="C1583" l="1"/>
  <c r="B1584"/>
  <c r="C1584" l="1"/>
  <c r="B1585"/>
  <c r="C1585" l="1"/>
  <c r="B1586"/>
  <c r="C1586" l="1"/>
  <c r="B1587"/>
  <c r="C1587" l="1"/>
  <c r="B1588"/>
  <c r="C1588" l="1"/>
  <c r="B1589"/>
  <c r="C1589" l="1"/>
  <c r="B1590"/>
  <c r="C1590" l="1"/>
  <c r="B1591"/>
  <c r="C1591" l="1"/>
  <c r="B1592"/>
  <c r="C1592" l="1"/>
  <c r="B1593"/>
  <c r="C1593" l="1"/>
  <c r="B1594"/>
  <c r="C1594" l="1"/>
  <c r="B1595"/>
  <c r="C1595" l="1"/>
  <c r="B1596"/>
  <c r="C1596" l="1"/>
  <c r="B1597"/>
  <c r="C1597" l="1"/>
  <c r="B1598"/>
  <c r="C1598" l="1"/>
  <c r="B1599"/>
  <c r="C1599" l="1"/>
  <c r="B1600"/>
  <c r="C1600" l="1"/>
  <c r="B1601"/>
  <c r="C1601" l="1"/>
  <c r="B1602"/>
  <c r="C1602" l="1"/>
  <c r="B1603"/>
  <c r="C1603" l="1"/>
  <c r="B1604"/>
  <c r="C1604" l="1"/>
  <c r="B1605"/>
  <c r="C1605" l="1"/>
  <c r="B1606"/>
  <c r="C1606" l="1"/>
  <c r="B1607"/>
  <c r="C1607" l="1"/>
  <c r="B1608"/>
  <c r="C1608" l="1"/>
  <c r="B1609"/>
  <c r="C1609" l="1"/>
  <c r="B1610"/>
  <c r="C1610" l="1"/>
  <c r="B1611"/>
  <c r="C1611" l="1"/>
  <c r="B1612"/>
  <c r="C1612" l="1"/>
  <c r="B1613"/>
  <c r="C1613" l="1"/>
  <c r="B1614"/>
  <c r="C1614" l="1"/>
  <c r="B1615"/>
  <c r="B1616" l="1"/>
  <c r="C1615"/>
  <c r="C1616" l="1"/>
  <c r="B1617"/>
  <c r="C1617" l="1"/>
  <c r="B1618"/>
  <c r="C1618" l="1"/>
  <c r="B1619"/>
  <c r="C1619" l="1"/>
  <c r="B1620"/>
  <c r="C1620" l="1"/>
  <c r="B1621"/>
  <c r="C1621" l="1"/>
  <c r="B1622"/>
  <c r="C1622" l="1"/>
  <c r="B1623"/>
  <c r="C1623" l="1"/>
  <c r="B1624"/>
  <c r="C1624" l="1"/>
  <c r="B1625"/>
  <c r="C1625" l="1"/>
  <c r="B1626"/>
  <c r="C1626" l="1"/>
  <c r="B1627"/>
  <c r="C1627" l="1"/>
  <c r="B1628"/>
  <c r="C1628" l="1"/>
  <c r="B1629"/>
  <c r="C1629" l="1"/>
  <c r="B1630"/>
  <c r="C1630" l="1"/>
  <c r="B1631"/>
  <c r="C1631" l="1"/>
  <c r="B1632"/>
  <c r="C1632" l="1"/>
  <c r="B1633"/>
  <c r="B1634" l="1"/>
  <c r="C1633"/>
  <c r="C1634" l="1"/>
  <c r="B1635"/>
  <c r="C1635" l="1"/>
  <c r="B1636"/>
  <c r="C1636" l="1"/>
  <c r="B1637"/>
  <c r="C1637" l="1"/>
  <c r="B1638"/>
  <c r="C1638" l="1"/>
  <c r="B1639"/>
  <c r="C1639" l="1"/>
  <c r="B1640"/>
  <c r="C1640" l="1"/>
  <c r="B1641"/>
  <c r="C1641" l="1"/>
  <c r="B1642"/>
  <c r="C1642" l="1"/>
  <c r="B1643"/>
  <c r="C1643" l="1"/>
  <c r="B1644"/>
  <c r="B1645" l="1"/>
  <c r="C1644"/>
  <c r="C1645" l="1"/>
  <c r="B1646"/>
  <c r="C1646" l="1"/>
  <c r="B1647"/>
  <c r="C1647" l="1"/>
  <c r="B1648"/>
  <c r="C1648" l="1"/>
  <c r="B1649"/>
  <c r="C1649" l="1"/>
  <c r="B1650"/>
  <c r="C1650" l="1"/>
  <c r="B1651"/>
  <c r="C1651" l="1"/>
  <c r="B1652"/>
  <c r="C1652" l="1"/>
  <c r="B1653"/>
  <c r="C1653" l="1"/>
  <c r="B1654"/>
  <c r="C1654" l="1"/>
  <c r="B1655"/>
  <c r="C1655" l="1"/>
  <c r="B1656"/>
  <c r="C1656" l="1"/>
  <c r="B1657"/>
  <c r="C1657" l="1"/>
  <c r="B1658"/>
  <c r="C1658" l="1"/>
  <c r="B1659"/>
  <c r="C1659" l="1"/>
  <c r="B1660"/>
  <c r="C1660" l="1"/>
  <c r="B1661"/>
  <c r="C1661" l="1"/>
  <c r="B1662"/>
  <c r="C1662" l="1"/>
  <c r="B1663"/>
  <c r="C1663" l="1"/>
  <c r="B1664"/>
  <c r="C1664" l="1"/>
  <c r="B1665"/>
  <c r="C1665" l="1"/>
  <c r="B1666"/>
  <c r="C1666" l="1"/>
  <c r="B1667"/>
  <c r="C1667" l="1"/>
  <c r="B1668"/>
  <c r="C1668" l="1"/>
  <c r="B1669"/>
  <c r="C1669" l="1"/>
  <c r="B1670"/>
  <c r="C1670" l="1"/>
  <c r="B1671"/>
  <c r="C1671" l="1"/>
  <c r="B1672"/>
  <c r="C1672" l="1"/>
  <c r="B1673"/>
  <c r="C1673" l="1"/>
  <c r="B1674"/>
  <c r="C1674" l="1"/>
  <c r="B1675"/>
  <c r="C1675" l="1"/>
  <c r="B1676"/>
  <c r="C1676" l="1"/>
  <c r="B1677"/>
  <c r="C1677" l="1"/>
  <c r="B1678"/>
  <c r="C1678" l="1"/>
  <c r="B1679"/>
  <c r="C1679" l="1"/>
  <c r="B1680"/>
  <c r="C1680" l="1"/>
  <c r="B1681"/>
  <c r="C1681" l="1"/>
  <c r="B1682"/>
  <c r="B1683" l="1"/>
  <c r="C1682"/>
  <c r="C1683" l="1"/>
  <c r="B1684"/>
  <c r="C1684" l="1"/>
  <c r="B1685"/>
  <c r="C1685" l="1"/>
  <c r="B1686"/>
  <c r="C1686" l="1"/>
  <c r="B1687"/>
  <c r="C1687" l="1"/>
  <c r="B1688"/>
  <c r="C1688" l="1"/>
  <c r="B1689"/>
  <c r="C1689" l="1"/>
  <c r="B1690"/>
  <c r="C1690" l="1"/>
  <c r="B1691"/>
  <c r="C1691" l="1"/>
  <c r="B1692"/>
  <c r="C1692" l="1"/>
  <c r="B1693"/>
  <c r="C1693" l="1"/>
  <c r="B1694"/>
  <c r="C1694" l="1"/>
  <c r="B1695"/>
  <c r="C1695" l="1"/>
  <c r="B1696"/>
  <c r="B1697" l="1"/>
  <c r="C1696"/>
  <c r="B1698" l="1"/>
  <c r="C1697"/>
  <c r="C1698" l="1"/>
  <c r="B1699"/>
  <c r="C1699" l="1"/>
  <c r="B1700"/>
  <c r="C1700" l="1"/>
  <c r="B1701"/>
  <c r="C1701" l="1"/>
  <c r="B1702"/>
  <c r="C1702" l="1"/>
  <c r="B1703"/>
  <c r="C1703" l="1"/>
  <c r="B1704"/>
  <c r="C1704" l="1"/>
  <c r="B1705"/>
  <c r="C1705" l="1"/>
  <c r="B1706"/>
  <c r="C1706" l="1"/>
  <c r="B1707"/>
  <c r="C1707" l="1"/>
  <c r="B1708"/>
  <c r="C1708" l="1"/>
  <c r="B1709"/>
  <c r="C1709" l="1"/>
  <c r="B1710"/>
  <c r="C1710" l="1"/>
  <c r="B1711"/>
  <c r="C1711" l="1"/>
  <c r="B1712"/>
  <c r="C1712" l="1"/>
  <c r="B1713"/>
  <c r="C1713" l="1"/>
  <c r="B1714"/>
  <c r="C1714" l="1"/>
  <c r="B1715"/>
  <c r="C1715" l="1"/>
  <c r="B1716"/>
  <c r="C1716" l="1"/>
  <c r="B1717"/>
  <c r="C1717" l="1"/>
  <c r="B1718"/>
  <c r="C1718" l="1"/>
  <c r="B1719"/>
  <c r="C1719" l="1"/>
  <c r="B1720"/>
  <c r="C1720" l="1"/>
  <c r="B1721"/>
  <c r="C1721" l="1"/>
  <c r="B1722"/>
  <c r="C1722" l="1"/>
  <c r="B1723"/>
  <c r="C1723" l="1"/>
  <c r="B1724"/>
  <c r="C1724" l="1"/>
  <c r="B1725"/>
  <c r="C1725" l="1"/>
  <c r="B1726"/>
  <c r="C1726" l="1"/>
  <c r="B1727"/>
  <c r="C1727" l="1"/>
  <c r="B1728"/>
  <c r="C1728" l="1"/>
  <c r="B1729"/>
  <c r="C1729" l="1"/>
  <c r="B1730"/>
  <c r="C1730" l="1"/>
  <c r="B1731"/>
  <c r="C1731" l="1"/>
  <c r="B1732"/>
  <c r="C1732" l="1"/>
  <c r="B1733"/>
  <c r="C1733" l="1"/>
  <c r="B1734"/>
  <c r="C1734" l="1"/>
  <c r="B1735"/>
  <c r="C1735" l="1"/>
  <c r="B1736"/>
  <c r="C1736" l="1"/>
  <c r="B1737"/>
  <c r="C1737" l="1"/>
  <c r="B1738"/>
  <c r="C1738" l="1"/>
  <c r="B1739"/>
  <c r="C1739" l="1"/>
  <c r="B1740"/>
  <c r="C1740" l="1"/>
  <c r="B1741"/>
  <c r="C1741" l="1"/>
  <c r="B1742"/>
  <c r="C1742" l="1"/>
  <c r="B1743"/>
  <c r="C1743" l="1"/>
  <c r="B1744"/>
  <c r="C1744" l="1"/>
  <c r="B1745"/>
  <c r="C1745" l="1"/>
  <c r="B1746"/>
  <c r="C1746" l="1"/>
  <c r="B1747"/>
  <c r="C1747" l="1"/>
  <c r="B1748"/>
  <c r="C1748" l="1"/>
  <c r="B1749"/>
  <c r="C1749" l="1"/>
  <c r="B1750"/>
  <c r="C1750" l="1"/>
  <c r="B1751"/>
  <c r="C1751" l="1"/>
  <c r="B1752"/>
  <c r="C1752" l="1"/>
  <c r="B1753"/>
  <c r="C1753" l="1"/>
  <c r="B1754"/>
  <c r="C1754" l="1"/>
  <c r="B1755"/>
  <c r="B1756" l="1"/>
  <c r="C1755"/>
  <c r="C1756" l="1"/>
  <c r="B1757"/>
  <c r="C1757" l="1"/>
  <c r="B1758"/>
  <c r="C1758" l="1"/>
  <c r="B1759"/>
  <c r="C1759" l="1"/>
  <c r="B1760"/>
  <c r="C1760" l="1"/>
  <c r="B1761"/>
  <c r="C1761" l="1"/>
  <c r="B1762"/>
  <c r="C1762" l="1"/>
  <c r="B1763"/>
  <c r="C1763" l="1"/>
  <c r="B1764"/>
  <c r="C1764" l="1"/>
  <c r="B1765"/>
  <c r="C1765" l="1"/>
  <c r="B1766"/>
  <c r="C1766" l="1"/>
  <c r="B1767"/>
  <c r="C1767" l="1"/>
  <c r="B1768"/>
  <c r="C1768" l="1"/>
  <c r="B1769"/>
  <c r="C1769" l="1"/>
  <c r="B1770"/>
  <c r="C1770" l="1"/>
  <c r="B1771"/>
  <c r="C1771" l="1"/>
  <c r="B1772"/>
  <c r="C1772" l="1"/>
  <c r="B1773"/>
  <c r="B1774" l="1"/>
  <c r="C1773"/>
  <c r="C1774" l="1"/>
  <c r="B1775"/>
  <c r="C1775" l="1"/>
  <c r="B1776"/>
  <c r="C1776" l="1"/>
  <c r="B1777"/>
  <c r="C1777" l="1"/>
  <c r="B1778"/>
  <c r="C1778" l="1"/>
  <c r="B1779"/>
  <c r="C1779" l="1"/>
  <c r="B1780"/>
  <c r="C1780" l="1"/>
  <c r="B1781"/>
  <c r="C1781" l="1"/>
  <c r="B1782"/>
  <c r="C1782" l="1"/>
  <c r="B1783"/>
  <c r="C1783" l="1"/>
  <c r="B1784"/>
  <c r="B1785" l="1"/>
  <c r="C1784"/>
  <c r="C1785" l="1"/>
  <c r="B1786"/>
  <c r="C1786" l="1"/>
  <c r="B1787"/>
  <c r="C1787" l="1"/>
  <c r="B1788"/>
  <c r="C1788" l="1"/>
  <c r="B1789"/>
  <c r="C1789" l="1"/>
  <c r="B1790"/>
  <c r="C1790" l="1"/>
  <c r="B1791"/>
  <c r="C1791" l="1"/>
  <c r="B1792"/>
  <c r="C1792" l="1"/>
  <c r="B1793"/>
  <c r="C1793" l="1"/>
  <c r="B1794"/>
  <c r="C1794" l="1"/>
  <c r="B1795"/>
  <c r="C1795" l="1"/>
  <c r="B1796"/>
  <c r="C1796" l="1"/>
  <c r="B1797"/>
  <c r="C1797" l="1"/>
  <c r="B1798"/>
  <c r="C1798" l="1"/>
  <c r="B1799"/>
  <c r="C1799" l="1"/>
  <c r="B1800"/>
  <c r="C1800" l="1"/>
  <c r="B1801"/>
  <c r="C1801" l="1"/>
  <c r="B1802"/>
  <c r="C1802" l="1"/>
  <c r="B1803"/>
  <c r="C1803" l="1"/>
  <c r="B1804"/>
  <c r="C1804" l="1"/>
  <c r="B1805"/>
  <c r="C1805" l="1"/>
  <c r="B1806"/>
  <c r="C1806" l="1"/>
  <c r="B1807"/>
  <c r="C1807" l="1"/>
  <c r="B1808"/>
  <c r="C1808" l="1"/>
  <c r="B1809"/>
  <c r="C1809" l="1"/>
  <c r="B1810"/>
  <c r="C1810" l="1"/>
  <c r="B1811"/>
  <c r="C1811" l="1"/>
  <c r="B1812"/>
  <c r="C1812" l="1"/>
  <c r="B1813"/>
  <c r="C1813" l="1"/>
  <c r="B1814"/>
  <c r="C1814" l="1"/>
  <c r="B1815"/>
  <c r="C1815" l="1"/>
  <c r="B1816"/>
  <c r="C1816" l="1"/>
  <c r="B1817"/>
  <c r="C1817" l="1"/>
  <c r="B1818"/>
  <c r="C1818" l="1"/>
  <c r="B1819"/>
  <c r="C1819" l="1"/>
  <c r="B1820"/>
  <c r="C1820" l="1"/>
  <c r="B1821"/>
  <c r="C1821" l="1"/>
  <c r="B1822"/>
  <c r="B1823" l="1"/>
  <c r="C1822"/>
  <c r="C1823" l="1"/>
  <c r="B1824"/>
  <c r="C1824" l="1"/>
  <c r="B1825"/>
  <c r="C1825" l="1"/>
  <c r="B1826"/>
  <c r="C1826" l="1"/>
  <c r="B1827"/>
  <c r="C1827" l="1"/>
  <c r="B1828"/>
  <c r="C1828" l="1"/>
  <c r="B1829"/>
  <c r="C1829" l="1"/>
  <c r="B1830"/>
  <c r="C1830" l="1"/>
  <c r="B1831"/>
  <c r="C1831" l="1"/>
  <c r="B1832"/>
  <c r="C1832" l="1"/>
  <c r="B1833"/>
  <c r="C1833" l="1"/>
  <c r="B1834"/>
  <c r="C1834" l="1"/>
  <c r="B1835"/>
  <c r="C1835" l="1"/>
  <c r="B1836"/>
  <c r="B1837" l="1"/>
  <c r="C1836"/>
  <c r="B1838" l="1"/>
  <c r="C1837"/>
  <c r="B1839" l="1"/>
  <c r="C1838"/>
  <c r="C1839" l="1"/>
  <c r="B1840"/>
  <c r="C1840" l="1"/>
  <c r="B1841"/>
  <c r="C1841" l="1"/>
  <c r="B1842"/>
  <c r="C1842" l="1"/>
  <c r="B1843"/>
  <c r="C1843" l="1"/>
  <c r="B1844"/>
  <c r="C1844" l="1"/>
  <c r="B1845"/>
  <c r="C1845" l="1"/>
  <c r="B1846"/>
  <c r="C1846" l="1"/>
  <c r="B1847"/>
  <c r="C1847" l="1"/>
  <c r="B1848"/>
  <c r="C1848" l="1"/>
  <c r="B1849"/>
  <c r="C1849" l="1"/>
  <c r="B1850"/>
  <c r="C1850" l="1"/>
  <c r="B1851"/>
  <c r="C1851" l="1"/>
  <c r="B1852"/>
  <c r="C1852" l="1"/>
  <c r="B1853"/>
  <c r="C1853" l="1"/>
  <c r="B1854"/>
  <c r="C1854" l="1"/>
  <c r="B1855"/>
  <c r="C1855" l="1"/>
  <c r="B1856"/>
  <c r="C1856" l="1"/>
  <c r="B1857"/>
  <c r="C1857" l="1"/>
  <c r="B1858"/>
  <c r="C1858" l="1"/>
  <c r="B1859"/>
  <c r="C1859" l="1"/>
  <c r="B1860"/>
  <c r="C1860" l="1"/>
  <c r="B1861"/>
  <c r="C1861" l="1"/>
  <c r="B1862"/>
  <c r="C1862" l="1"/>
  <c r="B1863"/>
  <c r="C1863" l="1"/>
  <c r="B1864"/>
  <c r="C1864" l="1"/>
  <c r="B1865"/>
  <c r="C1865" l="1"/>
  <c r="B1866"/>
  <c r="C1866" l="1"/>
  <c r="B1867"/>
  <c r="C1867" l="1"/>
  <c r="B1868"/>
  <c r="C1868" l="1"/>
  <c r="B1869"/>
  <c r="C1869" l="1"/>
  <c r="B1870"/>
  <c r="C1870" l="1"/>
  <c r="B1871"/>
  <c r="C1871" l="1"/>
  <c r="B1872"/>
  <c r="C1872" l="1"/>
  <c r="B1873"/>
  <c r="C1873" l="1"/>
  <c r="B1874"/>
  <c r="C1874" l="1"/>
  <c r="B1875"/>
  <c r="C1875" l="1"/>
  <c r="B1876"/>
  <c r="C1876" l="1"/>
  <c r="B1877"/>
  <c r="C1877" l="1"/>
  <c r="B1878"/>
  <c r="C1878" l="1"/>
  <c r="B1879"/>
  <c r="C1879" l="1"/>
  <c r="B1880"/>
  <c r="C1880" l="1"/>
  <c r="B1881"/>
  <c r="C1881" l="1"/>
  <c r="B1882"/>
  <c r="C1882" l="1"/>
  <c r="B1883"/>
  <c r="C1883" l="1"/>
  <c r="B1884"/>
  <c r="C1884" l="1"/>
  <c r="B1885"/>
  <c r="C1885" l="1"/>
  <c r="B1886"/>
  <c r="C1886" l="1"/>
  <c r="B1887"/>
  <c r="C1887" l="1"/>
  <c r="B1888"/>
  <c r="C1888" l="1"/>
  <c r="B1889"/>
  <c r="C1889" l="1"/>
  <c r="B1890"/>
  <c r="C1890" l="1"/>
  <c r="B1891"/>
  <c r="C1891" l="1"/>
  <c r="B1892"/>
  <c r="C1892" l="1"/>
  <c r="B1893"/>
  <c r="C1893" l="1"/>
  <c r="B1894"/>
  <c r="C1894" l="1"/>
  <c r="B1895"/>
  <c r="B1896" l="1"/>
  <c r="C1895"/>
  <c r="C1896" l="1"/>
  <c r="B1897"/>
  <c r="C1897" l="1"/>
  <c r="B1898"/>
  <c r="C1898" l="1"/>
  <c r="B1899"/>
  <c r="C1899" l="1"/>
  <c r="B1900"/>
  <c r="C1900" l="1"/>
  <c r="B1901"/>
  <c r="C1901" l="1"/>
  <c r="B1902"/>
  <c r="C1902" l="1"/>
  <c r="B1903"/>
  <c r="C1903" l="1"/>
  <c r="B1904"/>
  <c r="C1904" l="1"/>
  <c r="B1905"/>
  <c r="C1905" l="1"/>
  <c r="B1906"/>
  <c r="C1906" l="1"/>
  <c r="B1907"/>
  <c r="C1907" l="1"/>
  <c r="B1908"/>
  <c r="C1908" l="1"/>
  <c r="B1909"/>
  <c r="C1909" l="1"/>
  <c r="B1910"/>
  <c r="C1910" l="1"/>
  <c r="B1911"/>
  <c r="C1911" l="1"/>
  <c r="B1912"/>
  <c r="C1912" l="1"/>
  <c r="B1913"/>
  <c r="B1914" l="1"/>
  <c r="C1913"/>
  <c r="C1914" l="1"/>
  <c r="B1915"/>
  <c r="C1915" l="1"/>
  <c r="B1916"/>
  <c r="C1916" l="1"/>
  <c r="B1917"/>
  <c r="C1917" l="1"/>
  <c r="B1918"/>
  <c r="C1918" l="1"/>
  <c r="B1919"/>
  <c r="C1919" l="1"/>
  <c r="B1920"/>
  <c r="C1920" l="1"/>
  <c r="B1921"/>
  <c r="C1921" l="1"/>
  <c r="B1922"/>
  <c r="C1922" l="1"/>
  <c r="B1923"/>
  <c r="C1923" l="1"/>
  <c r="B1924"/>
  <c r="B1925" l="1"/>
  <c r="C1924"/>
  <c r="C1925" l="1"/>
  <c r="B1926"/>
  <c r="C1926" l="1"/>
  <c r="B1927"/>
  <c r="C1927" l="1"/>
  <c r="B1928"/>
  <c r="C1928" l="1"/>
  <c r="B1929"/>
  <c r="C1929" l="1"/>
  <c r="B1930"/>
  <c r="C1930" l="1"/>
  <c r="B1931"/>
  <c r="C1931" l="1"/>
  <c r="B1932"/>
  <c r="C1932" l="1"/>
  <c r="B1933"/>
  <c r="C1933" l="1"/>
  <c r="B1934"/>
  <c r="C1934" l="1"/>
  <c r="B1935"/>
  <c r="C1935" l="1"/>
  <c r="B1936"/>
  <c r="C1936" l="1"/>
  <c r="B1937"/>
  <c r="C1937" l="1"/>
  <c r="B1938"/>
  <c r="C1938" l="1"/>
  <c r="B1939"/>
  <c r="C1939" l="1"/>
  <c r="B1940"/>
  <c r="C1940" l="1"/>
  <c r="B1941"/>
  <c r="C1941" l="1"/>
  <c r="B1942"/>
  <c r="C1942" l="1"/>
  <c r="B1943"/>
  <c r="C1943" l="1"/>
  <c r="B1944"/>
  <c r="C1944" l="1"/>
  <c r="B1945"/>
  <c r="C1945" l="1"/>
  <c r="B1946"/>
  <c r="C1946" l="1"/>
  <c r="B1947"/>
  <c r="C1947" l="1"/>
  <c r="B1948"/>
  <c r="C1948" l="1"/>
  <c r="B1949"/>
  <c r="C1949" l="1"/>
  <c r="B1950"/>
  <c r="C1950" l="1"/>
  <c r="B1951"/>
  <c r="C1951" l="1"/>
  <c r="B1952"/>
  <c r="C1952" l="1"/>
  <c r="B1953"/>
  <c r="C1953" l="1"/>
  <c r="B1954"/>
  <c r="C1954" l="1"/>
  <c r="B1955"/>
  <c r="C1955" l="1"/>
  <c r="B1956"/>
  <c r="C1956" l="1"/>
  <c r="B1957"/>
  <c r="C1957" l="1"/>
  <c r="B1958"/>
  <c r="C1958" l="1"/>
  <c r="B1959"/>
  <c r="C1959" l="1"/>
  <c r="B1960"/>
  <c r="C1960" l="1"/>
  <c r="B1961"/>
  <c r="C1961" l="1"/>
  <c r="B1962"/>
  <c r="B1963" l="1"/>
  <c r="C1962"/>
  <c r="C1963" l="1"/>
  <c r="B1964"/>
  <c r="C1964" l="1"/>
  <c r="B1965"/>
  <c r="C1965" l="1"/>
  <c r="B1966"/>
  <c r="C1966" l="1"/>
  <c r="B1967"/>
  <c r="C1967" l="1"/>
  <c r="B1968"/>
  <c r="C1968" l="1"/>
  <c r="B1969"/>
  <c r="C1969" l="1"/>
  <c r="B1970"/>
  <c r="C1970" l="1"/>
  <c r="B1971"/>
  <c r="C1971" l="1"/>
  <c r="B1972"/>
  <c r="C1972" l="1"/>
  <c r="B1973"/>
  <c r="C1973" l="1"/>
  <c r="B1974"/>
  <c r="C1974" l="1"/>
  <c r="B1975"/>
  <c r="C1975" l="1"/>
  <c r="B1976"/>
  <c r="B1977" l="1"/>
  <c r="C1976"/>
  <c r="C1977" l="1"/>
  <c r="B1978"/>
  <c r="C1978" l="1"/>
  <c r="B1979"/>
  <c r="C1979" l="1"/>
  <c r="B1980"/>
  <c r="C1980" l="1"/>
  <c r="B1981"/>
  <c r="C1981" l="1"/>
  <c r="B1982"/>
  <c r="C1982" l="1"/>
  <c r="B1983"/>
  <c r="C1983" l="1"/>
  <c r="B1984"/>
  <c r="C1984" l="1"/>
  <c r="B1985"/>
  <c r="C1985" l="1"/>
  <c r="B1986"/>
  <c r="C1986" l="1"/>
  <c r="B1987"/>
  <c r="C1987" l="1"/>
  <c r="B1988"/>
  <c r="C1988" l="1"/>
  <c r="B1989"/>
  <c r="C1989" l="1"/>
  <c r="B1990"/>
  <c r="C1990" l="1"/>
  <c r="B1991"/>
  <c r="C1991" l="1"/>
  <c r="B1992"/>
  <c r="C1992" l="1"/>
  <c r="B1993"/>
  <c r="C1993" l="1"/>
  <c r="B1994"/>
  <c r="C1994" l="1"/>
  <c r="B1995"/>
  <c r="C1995" l="1"/>
  <c r="B1996"/>
  <c r="C1996" l="1"/>
  <c r="B1997"/>
  <c r="C1997" l="1"/>
  <c r="B1998"/>
  <c r="C1998" l="1"/>
  <c r="B1999"/>
  <c r="C1999" l="1"/>
  <c r="B2000"/>
  <c r="C2000" l="1"/>
  <c r="B2001"/>
  <c r="C2001" l="1"/>
  <c r="B2002"/>
  <c r="C2002" l="1"/>
  <c r="B2003"/>
  <c r="C2003" l="1"/>
  <c r="B2004"/>
  <c r="C2004" l="1"/>
  <c r="B2005"/>
  <c r="C2005" l="1"/>
  <c r="B2006"/>
  <c r="C2006" l="1"/>
  <c r="B2007"/>
  <c r="C2007" l="1"/>
  <c r="B2008"/>
  <c r="C2008" l="1"/>
  <c r="B2009"/>
  <c r="C2009" l="1"/>
  <c r="B2010"/>
  <c r="C2010" l="1"/>
  <c r="B2011"/>
  <c r="C2011" l="1"/>
  <c r="B2012"/>
  <c r="C2012" l="1"/>
  <c r="B2013"/>
  <c r="C2013" l="1"/>
  <c r="B2014"/>
  <c r="C2014" l="1"/>
  <c r="B2015"/>
  <c r="C2015" l="1"/>
  <c r="B2016"/>
  <c r="C2016" l="1"/>
  <c r="B2017"/>
  <c r="C2017" l="1"/>
  <c r="B2018"/>
  <c r="C2018" l="1"/>
  <c r="B2019"/>
  <c r="C2019" l="1"/>
  <c r="B2020"/>
  <c r="C2020" l="1"/>
  <c r="B2021"/>
  <c r="C2021" l="1"/>
  <c r="B2022"/>
  <c r="C2022" l="1"/>
  <c r="B2023"/>
  <c r="C2023" l="1"/>
  <c r="B2024"/>
  <c r="C2024" l="1"/>
  <c r="B2025"/>
  <c r="C2025" l="1"/>
  <c r="B2026"/>
  <c r="C2026" l="1"/>
  <c r="B2027"/>
  <c r="C2027" l="1"/>
  <c r="B2028"/>
  <c r="C2028" l="1"/>
  <c r="B2029"/>
  <c r="C2029" l="1"/>
  <c r="B2030"/>
  <c r="C2030" l="1"/>
  <c r="B2031"/>
  <c r="C2031" l="1"/>
  <c r="B2032"/>
  <c r="C2032" l="1"/>
  <c r="B2033"/>
  <c r="C2033" l="1"/>
  <c r="B2034"/>
  <c r="B2035" l="1"/>
  <c r="C2034"/>
  <c r="C2035" l="1"/>
  <c r="B2036"/>
  <c r="C2036" l="1"/>
  <c r="B2037"/>
  <c r="C2037" l="1"/>
  <c r="B2038"/>
  <c r="C2038" l="1"/>
  <c r="B2039"/>
  <c r="C2039" l="1"/>
  <c r="B2040"/>
  <c r="C2040" l="1"/>
  <c r="B2041"/>
  <c r="C2041" l="1"/>
  <c r="B2042"/>
  <c r="C2042" l="1"/>
  <c r="B2043"/>
  <c r="C2043" l="1"/>
  <c r="B2044"/>
  <c r="C2044" l="1"/>
  <c r="B2045"/>
  <c r="C2045" l="1"/>
  <c r="B2046"/>
  <c r="C2046" l="1"/>
  <c r="B2047"/>
  <c r="C2047" l="1"/>
  <c r="B2048"/>
  <c r="C2048" l="1"/>
  <c r="B2049"/>
  <c r="C2049" l="1"/>
  <c r="B2050"/>
  <c r="C2050" l="1"/>
  <c r="B2051"/>
  <c r="C2051" l="1"/>
  <c r="B2052"/>
  <c r="B2053" l="1"/>
  <c r="C2052"/>
  <c r="C2053" l="1"/>
  <c r="B2054"/>
  <c r="C2054" l="1"/>
  <c r="B2055"/>
  <c r="C2055" l="1"/>
  <c r="B2056"/>
  <c r="C2056" l="1"/>
  <c r="B2057"/>
  <c r="C2057" l="1"/>
  <c r="B2058"/>
  <c r="C2058" l="1"/>
  <c r="B2059"/>
  <c r="C2059" l="1"/>
  <c r="B2060"/>
  <c r="C2060" l="1"/>
  <c r="B2061"/>
  <c r="C2061" l="1"/>
  <c r="B2062"/>
  <c r="C2062" l="1"/>
  <c r="B2063"/>
  <c r="B2064" l="1"/>
  <c r="C2063"/>
  <c r="C2064" l="1"/>
  <c r="B2065"/>
  <c r="C2065" l="1"/>
  <c r="B2066"/>
  <c r="C2066" l="1"/>
  <c r="B2067"/>
  <c r="C2067" l="1"/>
  <c r="B2068"/>
  <c r="C2068" l="1"/>
  <c r="B2069"/>
  <c r="C2069" l="1"/>
  <c r="B2070"/>
  <c r="C2070" l="1"/>
  <c r="B2071"/>
  <c r="C2071" l="1"/>
  <c r="B2072"/>
  <c r="C2072" l="1"/>
  <c r="B2073"/>
  <c r="C2073" l="1"/>
  <c r="B2074"/>
  <c r="C2074" l="1"/>
  <c r="B2075"/>
  <c r="C2075" l="1"/>
  <c r="B2076"/>
  <c r="C2076" l="1"/>
  <c r="B2077"/>
  <c r="C2077" l="1"/>
  <c r="B2078"/>
  <c r="C2078" l="1"/>
  <c r="B2079"/>
  <c r="C2079" l="1"/>
  <c r="B2080"/>
  <c r="C2080" l="1"/>
  <c r="B2081"/>
  <c r="C2081" l="1"/>
  <c r="B2082"/>
  <c r="C2082" l="1"/>
  <c r="B2083"/>
  <c r="C2083" l="1"/>
  <c r="B2084"/>
  <c r="C2084" l="1"/>
  <c r="B2085"/>
  <c r="C2085" l="1"/>
  <c r="B2086"/>
  <c r="C2086" l="1"/>
  <c r="B2087"/>
  <c r="C2087" l="1"/>
  <c r="B2088"/>
  <c r="C2088" l="1"/>
  <c r="B2089"/>
  <c r="C2089" l="1"/>
  <c r="B2090"/>
  <c r="C2090" l="1"/>
  <c r="B2091"/>
  <c r="C2091" l="1"/>
  <c r="B2092"/>
  <c r="C2092" l="1"/>
  <c r="B2093"/>
  <c r="C2093" l="1"/>
  <c r="B2094"/>
  <c r="C2094" l="1"/>
  <c r="B2095"/>
  <c r="C2095" l="1"/>
  <c r="B2096"/>
  <c r="C2096" l="1"/>
  <c r="B2097"/>
  <c r="C2097" l="1"/>
  <c r="B2098"/>
  <c r="C2098" l="1"/>
  <c r="B2099"/>
  <c r="C2099" l="1"/>
  <c r="B2100"/>
  <c r="C2100" l="1"/>
  <c r="B2101"/>
  <c r="B2102" l="1"/>
  <c r="C2101"/>
  <c r="C2102" l="1"/>
  <c r="B2103"/>
  <c r="C2103" l="1"/>
  <c r="B2104"/>
  <c r="C2104" l="1"/>
  <c r="B2105"/>
  <c r="C2105" l="1"/>
  <c r="B2106"/>
  <c r="C2106" l="1"/>
  <c r="B2107"/>
  <c r="C2107" l="1"/>
  <c r="B2108"/>
  <c r="C2108" l="1"/>
  <c r="B2109"/>
  <c r="C2109" l="1"/>
  <c r="B2110"/>
  <c r="C2110" l="1"/>
  <c r="B2111"/>
  <c r="C2111" l="1"/>
  <c r="B2112"/>
  <c r="C2112" l="1"/>
  <c r="B2113"/>
  <c r="C2113" l="1"/>
  <c r="B2114"/>
  <c r="C2114" l="1"/>
  <c r="B2115"/>
  <c r="C2115" l="1"/>
  <c r="B2116"/>
  <c r="B2117" l="1"/>
  <c r="C2116"/>
  <c r="B2118" l="1"/>
  <c r="C2117"/>
  <c r="B2119" l="1"/>
  <c r="C2118"/>
  <c r="C2119" l="1"/>
  <c r="B2120"/>
  <c r="C2120" l="1"/>
  <c r="B2121"/>
  <c r="C2121" l="1"/>
  <c r="B2122"/>
  <c r="C2122" l="1"/>
  <c r="B2123"/>
  <c r="C2123" l="1"/>
  <c r="B2124"/>
  <c r="C2124" l="1"/>
  <c r="B2125"/>
  <c r="C2125" l="1"/>
  <c r="B2126"/>
  <c r="C2126" l="1"/>
  <c r="B2127"/>
  <c r="C2127" l="1"/>
  <c r="B2128"/>
  <c r="C2128" l="1"/>
  <c r="B2129"/>
  <c r="C2129" l="1"/>
  <c r="B2130"/>
  <c r="C2130" l="1"/>
  <c r="B2131"/>
  <c r="C2131" l="1"/>
  <c r="B2132"/>
  <c r="C2132" l="1"/>
  <c r="B2133"/>
  <c r="C2133" l="1"/>
  <c r="B2134"/>
  <c r="C2134" l="1"/>
  <c r="B2135"/>
  <c r="C2135" l="1"/>
  <c r="B2136"/>
  <c r="C2136" l="1"/>
  <c r="B2137"/>
  <c r="C2137" l="1"/>
  <c r="B2138"/>
  <c r="C2138" l="1"/>
  <c r="B2139"/>
  <c r="C2139" l="1"/>
  <c r="B2140"/>
  <c r="C2140" l="1"/>
  <c r="B2141"/>
  <c r="C2141" l="1"/>
  <c r="B2142"/>
  <c r="C2142" l="1"/>
  <c r="B2143"/>
  <c r="C2143" l="1"/>
  <c r="B2144"/>
  <c r="C2144" l="1"/>
  <c r="B2145"/>
  <c r="C2145" l="1"/>
  <c r="B2146"/>
  <c r="C2146" l="1"/>
  <c r="B2147"/>
  <c r="C2147" l="1"/>
  <c r="B2148"/>
  <c r="C2148" l="1"/>
  <c r="B2149"/>
  <c r="C2149" l="1"/>
  <c r="B2150"/>
  <c r="C2150" l="1"/>
  <c r="B2151"/>
  <c r="C2151" l="1"/>
  <c r="B2152"/>
  <c r="C2152" l="1"/>
  <c r="B2153"/>
  <c r="C2153" l="1"/>
  <c r="B2154"/>
  <c r="C2154" l="1"/>
  <c r="B2155"/>
  <c r="C2155" l="1"/>
  <c r="B2156"/>
  <c r="C2156" l="1"/>
  <c r="B2157"/>
  <c r="C2157" l="1"/>
  <c r="B2158"/>
  <c r="C2158" l="1"/>
  <c r="B2159"/>
  <c r="C2159" l="1"/>
  <c r="B2160"/>
  <c r="C2160" l="1"/>
  <c r="B2161"/>
  <c r="C2161" l="1"/>
  <c r="B2162"/>
  <c r="C2162" l="1"/>
  <c r="B2163"/>
  <c r="C2163" l="1"/>
  <c r="B2164"/>
  <c r="C2164" l="1"/>
  <c r="B2165"/>
  <c r="C2165" l="1"/>
  <c r="B2166"/>
  <c r="C2166" l="1"/>
  <c r="B2167"/>
  <c r="C2167" l="1"/>
  <c r="B2168"/>
  <c r="C2168" l="1"/>
  <c r="B2169"/>
  <c r="C2169" l="1"/>
  <c r="B2170"/>
  <c r="C2170" l="1"/>
  <c r="B2171"/>
  <c r="C2171" l="1"/>
  <c r="B2172"/>
  <c r="C2172" l="1"/>
  <c r="B2173"/>
  <c r="C2173" l="1"/>
  <c r="B2174"/>
  <c r="C2174" l="1"/>
  <c r="B2175"/>
  <c r="B2176" l="1"/>
  <c r="C2175"/>
  <c r="C2176" l="1"/>
  <c r="B2177"/>
  <c r="C2177" l="1"/>
  <c r="B2178"/>
  <c r="C2178" l="1"/>
  <c r="B2179"/>
  <c r="C2179" l="1"/>
  <c r="B2180"/>
  <c r="C2180" l="1"/>
  <c r="B2181"/>
  <c r="C2181" l="1"/>
  <c r="B2182"/>
  <c r="C2182" l="1"/>
  <c r="B2183"/>
  <c r="C2183" l="1"/>
  <c r="B2184"/>
  <c r="C2184" l="1"/>
  <c r="B2185"/>
  <c r="C2185" l="1"/>
  <c r="B2186"/>
  <c r="C2186" l="1"/>
  <c r="B2187"/>
  <c r="C2187" l="1"/>
  <c r="B2188"/>
  <c r="C2188" l="1"/>
  <c r="B2189"/>
  <c r="C2189" l="1"/>
  <c r="B2190"/>
  <c r="C2190" l="1"/>
  <c r="B2191"/>
  <c r="C2191" l="1"/>
  <c r="B2192"/>
  <c r="C2192" l="1"/>
  <c r="B2193"/>
  <c r="B2194" l="1"/>
  <c r="C2193"/>
  <c r="C2194" l="1"/>
  <c r="B2195"/>
  <c r="C2195" l="1"/>
  <c r="B2196"/>
  <c r="C2196" l="1"/>
  <c r="B2197"/>
  <c r="C2197" l="1"/>
  <c r="B2198"/>
  <c r="C2198" l="1"/>
  <c r="B2199"/>
  <c r="C2199" l="1"/>
  <c r="B2200"/>
  <c r="C2200" l="1"/>
  <c r="B2201"/>
  <c r="C2201" l="1"/>
  <c r="B2202"/>
  <c r="C2202" l="1"/>
  <c r="B2203"/>
  <c r="C2203" l="1"/>
  <c r="B2204"/>
  <c r="B2205" l="1"/>
  <c r="C2204"/>
  <c r="C2205" l="1"/>
  <c r="B2206"/>
  <c r="C2206" l="1"/>
  <c r="B2207"/>
  <c r="C2207" l="1"/>
  <c r="B2208"/>
  <c r="C2208" l="1"/>
  <c r="B2209"/>
  <c r="C2209" l="1"/>
  <c r="B2210"/>
  <c r="C2210" l="1"/>
  <c r="B2211"/>
  <c r="C2211" l="1"/>
  <c r="B2212"/>
  <c r="C2212" l="1"/>
  <c r="B2213"/>
  <c r="C2213" l="1"/>
  <c r="B2214"/>
  <c r="C2214" l="1"/>
  <c r="B2215"/>
  <c r="C2215" l="1"/>
  <c r="B2216"/>
  <c r="C2216" l="1"/>
  <c r="B2217"/>
  <c r="C2217" l="1"/>
  <c r="B2218"/>
  <c r="C2218" l="1"/>
  <c r="B2219"/>
  <c r="C2219" l="1"/>
  <c r="B2220"/>
  <c r="C2220" l="1"/>
  <c r="B2221"/>
  <c r="C2221" l="1"/>
  <c r="B2222"/>
  <c r="C2222" l="1"/>
  <c r="B2223"/>
  <c r="C2223" l="1"/>
  <c r="B2224"/>
  <c r="C2224" l="1"/>
  <c r="B2225"/>
  <c r="C2225" l="1"/>
  <c r="B2226"/>
  <c r="C2226" l="1"/>
  <c r="B2227"/>
  <c r="C2227" l="1"/>
  <c r="B2228"/>
  <c r="C2228" l="1"/>
  <c r="B2229"/>
  <c r="C2229" l="1"/>
  <c r="B2230"/>
  <c r="C2230" l="1"/>
  <c r="B2231"/>
  <c r="C2231" l="1"/>
  <c r="B2232"/>
  <c r="C2232" l="1"/>
  <c r="B2233"/>
  <c r="C2233" l="1"/>
  <c r="B2234"/>
  <c r="C2234" l="1"/>
  <c r="B2235"/>
  <c r="C2235" l="1"/>
  <c r="B2236"/>
  <c r="C2236" l="1"/>
  <c r="B2237"/>
  <c r="C2237" l="1"/>
  <c r="B2238"/>
  <c r="C2238" l="1"/>
  <c r="B2239"/>
  <c r="C2239" l="1"/>
  <c r="B2240"/>
  <c r="C2240" l="1"/>
  <c r="B2241"/>
  <c r="C2241" l="1"/>
  <c r="B2242"/>
  <c r="B2243" l="1"/>
  <c r="C2242"/>
  <c r="C2243" l="1"/>
  <c r="B2244"/>
  <c r="C2244" l="1"/>
  <c r="B2245"/>
  <c r="C2245" l="1"/>
  <c r="B2246"/>
  <c r="C2246" l="1"/>
  <c r="B2247"/>
  <c r="C2247" l="1"/>
  <c r="B2248"/>
  <c r="C2248" l="1"/>
  <c r="B2249"/>
  <c r="C2249" l="1"/>
  <c r="B2250"/>
  <c r="C2250" l="1"/>
  <c r="B2251"/>
  <c r="C2251" l="1"/>
  <c r="B2252"/>
  <c r="C2252" l="1"/>
  <c r="B2253"/>
  <c r="C2253" l="1"/>
  <c r="B2254"/>
  <c r="C2254" l="1"/>
  <c r="B2255"/>
  <c r="C2255" l="1"/>
  <c r="B2256"/>
  <c r="B2257" l="1"/>
  <c r="C2256"/>
  <c r="C2257" l="1"/>
  <c r="B2258"/>
  <c r="C2258" l="1"/>
  <c r="B2259"/>
  <c r="C2259" l="1"/>
  <c r="B2260"/>
  <c r="C2260" l="1"/>
  <c r="B2261"/>
  <c r="C2261" l="1"/>
  <c r="B2262"/>
  <c r="C2262" l="1"/>
  <c r="B2263"/>
  <c r="C2263" l="1"/>
  <c r="B2264"/>
  <c r="C2264" l="1"/>
  <c r="B2265"/>
  <c r="C2265" l="1"/>
  <c r="B2266"/>
  <c r="C2266" l="1"/>
  <c r="B2267"/>
  <c r="C2267" l="1"/>
  <c r="B2268"/>
  <c r="C2268" l="1"/>
  <c r="B2269"/>
  <c r="C2269" l="1"/>
  <c r="B2270"/>
  <c r="C2270" l="1"/>
  <c r="B2271"/>
  <c r="C2271" l="1"/>
  <c r="B2272"/>
  <c r="C2272" l="1"/>
  <c r="B2273"/>
  <c r="C2273" l="1"/>
  <c r="B2274"/>
  <c r="C2274" l="1"/>
  <c r="B2275"/>
  <c r="C2275" l="1"/>
  <c r="B2276"/>
  <c r="C2276" l="1"/>
  <c r="B2277"/>
  <c r="C2277" l="1"/>
  <c r="B2278"/>
  <c r="C2278" l="1"/>
  <c r="B2279"/>
  <c r="C2279" l="1"/>
  <c r="B2280"/>
  <c r="C2280" l="1"/>
  <c r="B2281"/>
  <c r="C2281" l="1"/>
  <c r="B2282"/>
  <c r="C2282" l="1"/>
  <c r="B2283"/>
  <c r="C2283" l="1"/>
  <c r="B2284"/>
  <c r="C2284" l="1"/>
  <c r="B2285"/>
  <c r="C2285" l="1"/>
  <c r="B2286"/>
  <c r="C2286" l="1"/>
  <c r="B2287"/>
  <c r="C2287" l="1"/>
  <c r="B2288"/>
  <c r="C2288" l="1"/>
  <c r="B2289"/>
  <c r="C2289" l="1"/>
  <c r="B2290"/>
  <c r="C2290" l="1"/>
  <c r="B2291"/>
  <c r="C2291" l="1"/>
  <c r="B2292"/>
  <c r="C2292" l="1"/>
  <c r="B2293"/>
  <c r="C2293" l="1"/>
  <c r="B2294"/>
  <c r="C2294" l="1"/>
  <c r="B2295"/>
  <c r="C2295" l="1"/>
  <c r="B2296"/>
  <c r="C2296" l="1"/>
  <c r="B2297"/>
  <c r="C2297" l="1"/>
  <c r="B2298"/>
  <c r="C2298" l="1"/>
  <c r="B2299"/>
  <c r="C2299" l="1"/>
  <c r="B2300"/>
  <c r="C2300" l="1"/>
  <c r="B2301"/>
  <c r="C2301" l="1"/>
  <c r="B2302"/>
  <c r="C2302" l="1"/>
  <c r="B2303"/>
  <c r="C2303" l="1"/>
  <c r="B2304"/>
  <c r="C2304" l="1"/>
  <c r="B2305"/>
  <c r="C2305" l="1"/>
  <c r="B2306"/>
  <c r="C2306" l="1"/>
  <c r="B2307"/>
  <c r="C2307" l="1"/>
  <c r="B2308"/>
  <c r="C2308" l="1"/>
  <c r="B2309"/>
  <c r="C2309" l="1"/>
  <c r="B2310"/>
  <c r="C2310" l="1"/>
  <c r="B2311"/>
  <c r="C2311" l="1"/>
  <c r="B2312"/>
  <c r="C2312" l="1"/>
  <c r="B2313"/>
  <c r="C2313" l="1"/>
  <c r="B2314"/>
  <c r="B2315" l="1"/>
  <c r="C2314"/>
  <c r="C2315" l="1"/>
  <c r="B2316"/>
  <c r="C2316" l="1"/>
  <c r="B2317"/>
  <c r="C2317" l="1"/>
  <c r="B2318"/>
  <c r="C2318" l="1"/>
  <c r="B2319"/>
  <c r="C2319" l="1"/>
  <c r="B2320"/>
  <c r="C2320" l="1"/>
  <c r="B2321"/>
  <c r="C2321" l="1"/>
  <c r="B2322"/>
  <c r="C2322" l="1"/>
  <c r="B2323"/>
  <c r="C2323" l="1"/>
  <c r="B2324"/>
  <c r="C2324" l="1"/>
  <c r="B2325"/>
  <c r="C2325" l="1"/>
  <c r="B2326"/>
  <c r="C2326" l="1"/>
  <c r="B2327"/>
  <c r="C2327" l="1"/>
  <c r="B2328"/>
  <c r="C2328" l="1"/>
  <c r="B2329"/>
  <c r="C2329" l="1"/>
  <c r="B2330"/>
  <c r="C2330" l="1"/>
  <c r="B2331"/>
  <c r="C2331" l="1"/>
  <c r="B2332"/>
  <c r="B2333" l="1"/>
  <c r="C2332"/>
  <c r="C2333" l="1"/>
  <c r="B2334"/>
  <c r="C2334" l="1"/>
  <c r="B2335"/>
  <c r="C2335" l="1"/>
  <c r="B2336"/>
  <c r="C2336" l="1"/>
  <c r="B2337"/>
  <c r="C2337" l="1"/>
  <c r="B2338"/>
  <c r="C2338" l="1"/>
  <c r="B2339"/>
  <c r="C2339" l="1"/>
  <c r="B2340"/>
  <c r="C2340" l="1"/>
  <c r="B2341"/>
  <c r="C2341" l="1"/>
  <c r="B2342"/>
  <c r="C2342" l="1"/>
  <c r="B2343"/>
  <c r="B2344" l="1"/>
  <c r="C2343"/>
  <c r="C2344" l="1"/>
  <c r="B2345"/>
  <c r="C2345" l="1"/>
  <c r="B2346"/>
  <c r="C2346" l="1"/>
  <c r="B2347"/>
  <c r="C2347" l="1"/>
  <c r="B2348"/>
  <c r="C2348" l="1"/>
  <c r="B2349"/>
  <c r="C2349" l="1"/>
  <c r="B2350"/>
  <c r="C2350" l="1"/>
  <c r="B2351"/>
  <c r="C2351" l="1"/>
  <c r="B2352"/>
  <c r="C2352" l="1"/>
  <c r="B2353"/>
  <c r="C2353" l="1"/>
  <c r="B2354"/>
  <c r="C2354" l="1"/>
  <c r="B2355"/>
  <c r="C2355" l="1"/>
  <c r="B2356"/>
  <c r="C2356" l="1"/>
  <c r="B2357"/>
  <c r="C2357" l="1"/>
  <c r="B2358"/>
  <c r="C2358" l="1"/>
  <c r="B2359"/>
  <c r="C2359" l="1"/>
  <c r="B2360"/>
  <c r="C2360" l="1"/>
  <c r="B2361"/>
  <c r="C2361" l="1"/>
  <c r="B2362"/>
  <c r="C2362" l="1"/>
  <c r="B2363"/>
  <c r="C2363" l="1"/>
  <c r="B2364"/>
  <c r="C2364" l="1"/>
  <c r="B2365"/>
  <c r="C2365" l="1"/>
  <c r="B2366"/>
  <c r="C2366" l="1"/>
  <c r="B2367"/>
  <c r="C2367" l="1"/>
  <c r="B2368"/>
  <c r="C2368" l="1"/>
  <c r="B2369"/>
  <c r="C2369" l="1"/>
  <c r="B2370"/>
  <c r="C2370" l="1"/>
  <c r="B2371"/>
  <c r="C2371" l="1"/>
  <c r="B2372"/>
  <c r="C2372" l="1"/>
  <c r="B2373"/>
  <c r="C2373" l="1"/>
  <c r="B2374"/>
  <c r="C2374" l="1"/>
  <c r="B2375"/>
  <c r="C2375" l="1"/>
  <c r="B2376"/>
  <c r="C2376" l="1"/>
  <c r="B2377"/>
  <c r="C2377" l="1"/>
  <c r="B2378"/>
  <c r="C2378" l="1"/>
  <c r="B2379"/>
  <c r="C2379" l="1"/>
  <c r="B2380"/>
  <c r="C2380" l="1"/>
  <c r="B2381"/>
  <c r="B2382" l="1"/>
  <c r="C2381"/>
  <c r="C2382" l="1"/>
  <c r="B2383"/>
  <c r="C2383" l="1"/>
  <c r="B2384"/>
  <c r="C2384" l="1"/>
  <c r="B2385"/>
  <c r="C2385" l="1"/>
  <c r="B2386"/>
  <c r="C2386" l="1"/>
  <c r="B2387"/>
  <c r="C2387" l="1"/>
  <c r="B2388"/>
  <c r="C2388" l="1"/>
  <c r="B2389"/>
  <c r="C2389" l="1"/>
  <c r="B2390"/>
  <c r="C2390" l="1"/>
  <c r="B2391"/>
  <c r="C2391" l="1"/>
  <c r="B2392"/>
  <c r="C2392" l="1"/>
  <c r="B2393"/>
  <c r="C2393" l="1"/>
  <c r="B2394"/>
  <c r="C2394" l="1"/>
  <c r="B2395"/>
  <c r="C2395" l="1"/>
  <c r="B2396"/>
  <c r="B2397" l="1"/>
  <c r="C2396"/>
  <c r="B2398" l="1"/>
  <c r="C2397"/>
  <c r="C2398" l="1"/>
  <c r="B2399"/>
  <c r="C2399" l="1"/>
  <c r="B2400"/>
  <c r="C2400" l="1"/>
  <c r="B2401"/>
  <c r="C2401" l="1"/>
  <c r="B2402"/>
  <c r="C2402" l="1"/>
  <c r="B2403"/>
  <c r="C2403" l="1"/>
  <c r="B2404"/>
  <c r="C2404" l="1"/>
  <c r="B2405"/>
  <c r="C2405" l="1"/>
  <c r="B2406"/>
  <c r="C2406" l="1"/>
  <c r="B2407"/>
  <c r="C2407" l="1"/>
  <c r="B2408"/>
  <c r="C2408" l="1"/>
  <c r="B2409"/>
  <c r="C2409" l="1"/>
  <c r="B2410"/>
  <c r="C2410" l="1"/>
  <c r="B2411"/>
  <c r="C2411" l="1"/>
  <c r="B2412"/>
  <c r="C2412" l="1"/>
  <c r="B2413"/>
  <c r="C2413" l="1"/>
  <c r="B2414"/>
  <c r="C2414" l="1"/>
  <c r="B2415"/>
  <c r="C2415" l="1"/>
  <c r="B2416"/>
  <c r="C2416" l="1"/>
  <c r="B2417"/>
  <c r="C2417" l="1"/>
  <c r="B2418"/>
  <c r="C2418" l="1"/>
  <c r="B2419"/>
  <c r="C2419" l="1"/>
  <c r="B2420"/>
  <c r="C2420" l="1"/>
  <c r="B2421"/>
  <c r="C2421" l="1"/>
  <c r="B2422"/>
  <c r="C2422" l="1"/>
  <c r="B2423"/>
  <c r="C2423" l="1"/>
  <c r="B2424"/>
  <c r="C2424" l="1"/>
  <c r="B2425"/>
  <c r="C2425" l="1"/>
  <c r="B2426"/>
  <c r="C2426" l="1"/>
  <c r="B2427"/>
  <c r="C2427" l="1"/>
  <c r="B2428"/>
  <c r="C2428" l="1"/>
  <c r="B2429"/>
  <c r="C2429" l="1"/>
  <c r="B2430"/>
  <c r="C2430" l="1"/>
  <c r="B2431"/>
  <c r="C2431" l="1"/>
  <c r="B2432"/>
  <c r="C2432" l="1"/>
  <c r="B2433"/>
  <c r="C2433" l="1"/>
  <c r="B2434"/>
  <c r="C2434" l="1"/>
  <c r="B2435"/>
  <c r="C2435" l="1"/>
  <c r="B2436"/>
  <c r="C2436" l="1"/>
  <c r="B2437"/>
  <c r="C2437" l="1"/>
  <c r="B2438"/>
  <c r="C2438" l="1"/>
  <c r="B2439"/>
  <c r="C2439" l="1"/>
  <c r="B2440"/>
  <c r="C2440" l="1"/>
  <c r="B2441"/>
  <c r="C2441" l="1"/>
  <c r="B2442"/>
  <c r="C2442" l="1"/>
  <c r="B2443"/>
  <c r="C2443" l="1"/>
  <c r="B2444"/>
  <c r="C2444" l="1"/>
  <c r="B2445"/>
  <c r="C2445" l="1"/>
  <c r="B2446"/>
  <c r="C2446" l="1"/>
  <c r="B2447"/>
  <c r="C2447" l="1"/>
  <c r="B2448"/>
  <c r="C2448" l="1"/>
  <c r="B2449"/>
  <c r="C2449" l="1"/>
  <c r="B2450"/>
  <c r="C2450" l="1"/>
  <c r="B2451"/>
  <c r="C2451" l="1"/>
  <c r="B2452"/>
  <c r="C2452" l="1"/>
  <c r="B2453"/>
  <c r="C2453" l="1"/>
  <c r="B2454"/>
  <c r="B2455" l="1"/>
  <c r="C2454"/>
  <c r="C2455" l="1"/>
  <c r="B2456"/>
  <c r="C2456" l="1"/>
  <c r="B2457"/>
  <c r="C2457" l="1"/>
  <c r="B2458"/>
  <c r="C2458" l="1"/>
  <c r="B2459"/>
  <c r="C2459" l="1"/>
  <c r="B2460"/>
  <c r="C2460" l="1"/>
  <c r="B2461"/>
  <c r="C2461" l="1"/>
  <c r="B2462"/>
  <c r="C2462" l="1"/>
  <c r="B2463"/>
  <c r="C2463" l="1"/>
  <c r="B2464"/>
  <c r="C2464" l="1"/>
  <c r="B2465"/>
  <c r="C2465" l="1"/>
  <c r="B2466"/>
  <c r="C2466" l="1"/>
  <c r="B2467"/>
  <c r="C2467" l="1"/>
  <c r="B2468"/>
  <c r="C2468" l="1"/>
  <c r="B2469"/>
  <c r="C2469" l="1"/>
  <c r="B2470"/>
  <c r="C2470" l="1"/>
  <c r="B2471"/>
  <c r="C2471" l="1"/>
  <c r="B2472"/>
  <c r="B2473" l="1"/>
  <c r="C2472"/>
  <c r="C2473" l="1"/>
  <c r="B2474"/>
  <c r="C2474" l="1"/>
  <c r="B2475"/>
  <c r="C2475" l="1"/>
  <c r="B2476"/>
  <c r="C2476" l="1"/>
  <c r="B2477"/>
  <c r="C2477" l="1"/>
  <c r="B2478"/>
  <c r="C2478" l="1"/>
  <c r="B2479"/>
  <c r="C2479" l="1"/>
  <c r="B2480"/>
  <c r="C2480" l="1"/>
  <c r="B2481"/>
  <c r="C2481" l="1"/>
  <c r="B2482"/>
  <c r="C2482" l="1"/>
  <c r="B2483"/>
  <c r="B2484" l="1"/>
  <c r="C2483"/>
  <c r="C2484" l="1"/>
  <c r="B2485"/>
  <c r="C2485" l="1"/>
  <c r="B2486"/>
  <c r="C2486" l="1"/>
  <c r="B2487"/>
  <c r="C2487" l="1"/>
  <c r="B2488"/>
  <c r="C2488" l="1"/>
  <c r="B2489"/>
  <c r="C2489" l="1"/>
  <c r="B2490"/>
  <c r="C2490" l="1"/>
  <c r="B2491"/>
  <c r="C2491" l="1"/>
  <c r="B2492"/>
  <c r="C2492" l="1"/>
  <c r="B2493"/>
  <c r="C2493" l="1"/>
  <c r="B2494"/>
  <c r="C2494" l="1"/>
  <c r="B2495"/>
  <c r="C2495" l="1"/>
  <c r="B2496"/>
  <c r="C2496" l="1"/>
  <c r="B2497"/>
  <c r="C2497" l="1"/>
  <c r="B2498"/>
  <c r="C2498" l="1"/>
  <c r="B2499"/>
  <c r="C2499" l="1"/>
  <c r="B2500"/>
  <c r="C2500" l="1"/>
  <c r="B2501"/>
  <c r="C2501" l="1"/>
  <c r="B2502"/>
  <c r="C2502" l="1"/>
  <c r="B2503"/>
  <c r="C2503" l="1"/>
  <c r="B2504"/>
  <c r="C2504" l="1"/>
  <c r="B2505"/>
  <c r="C2505" l="1"/>
  <c r="B2506"/>
  <c r="C2506" l="1"/>
  <c r="B2507"/>
  <c r="C2507" l="1"/>
  <c r="B2508"/>
  <c r="C2508" l="1"/>
  <c r="B2509"/>
  <c r="C2509" l="1"/>
  <c r="B2510"/>
  <c r="C2510" l="1"/>
  <c r="B2511"/>
  <c r="C2511" l="1"/>
  <c r="B2512"/>
  <c r="C2512" l="1"/>
  <c r="B2513"/>
  <c r="C2513" l="1"/>
  <c r="B2514"/>
  <c r="C2514" l="1"/>
  <c r="B2515"/>
  <c r="C2515" l="1"/>
  <c r="B2516"/>
  <c r="C2516" l="1"/>
  <c r="B2517"/>
  <c r="C2517" l="1"/>
  <c r="B2518"/>
  <c r="C2518" l="1"/>
  <c r="B2519"/>
  <c r="C2519" l="1"/>
  <c r="B2520"/>
  <c r="C2520" l="1"/>
  <c r="B2521"/>
  <c r="B2522" l="1"/>
  <c r="C2521"/>
  <c r="C2522" l="1"/>
  <c r="B2523"/>
  <c r="C2523" l="1"/>
  <c r="B2524"/>
  <c r="C2524" l="1"/>
  <c r="B2525"/>
  <c r="C2525" l="1"/>
  <c r="B2526"/>
  <c r="C2526" l="1"/>
  <c r="B2527"/>
  <c r="C2527" l="1"/>
  <c r="B2528"/>
  <c r="C2528" l="1"/>
  <c r="B2529"/>
  <c r="C2529" l="1"/>
  <c r="B2530"/>
  <c r="C2530" l="1"/>
  <c r="B2531"/>
  <c r="C2531" l="1"/>
  <c r="B2532"/>
  <c r="C2532" l="1"/>
  <c r="B2533"/>
  <c r="C2533" l="1"/>
  <c r="B2534"/>
  <c r="C2534" l="1"/>
  <c r="B2535"/>
  <c r="C2535" l="1"/>
  <c r="B2536"/>
  <c r="B2537" l="1"/>
  <c r="C2536"/>
  <c r="C2537" l="1"/>
  <c r="B2538"/>
  <c r="C2538" l="1"/>
  <c r="B2539"/>
  <c r="C2539" l="1"/>
  <c r="B2540"/>
  <c r="C2540" l="1"/>
  <c r="B2541"/>
  <c r="C2541" l="1"/>
  <c r="B2542"/>
  <c r="C2542" l="1"/>
  <c r="B2543"/>
  <c r="C2543" l="1"/>
  <c r="B2544"/>
  <c r="C2544" l="1"/>
  <c r="B2545"/>
  <c r="C2545" l="1"/>
  <c r="B2546"/>
  <c r="C2546" l="1"/>
  <c r="B2547"/>
  <c r="C2547" l="1"/>
  <c r="B2548"/>
  <c r="C2548" l="1"/>
  <c r="B2549"/>
  <c r="C2549" l="1"/>
  <c r="B2550"/>
  <c r="C2550" l="1"/>
  <c r="B2551"/>
  <c r="C2551" l="1"/>
  <c r="B2552"/>
  <c r="C2552" l="1"/>
  <c r="B2553"/>
  <c r="C2553" l="1"/>
  <c r="B2554"/>
  <c r="C2554" l="1"/>
  <c r="B2555"/>
  <c r="C2555" l="1"/>
  <c r="B2556"/>
  <c r="C2556" l="1"/>
  <c r="B2557"/>
  <c r="C2557" l="1"/>
  <c r="B2558"/>
  <c r="C2558" l="1"/>
  <c r="B2559"/>
  <c r="C2559" l="1"/>
  <c r="B2560"/>
  <c r="C2560" l="1"/>
  <c r="B2561"/>
  <c r="C2561" l="1"/>
  <c r="B2562"/>
  <c r="C2562" l="1"/>
  <c r="B2563"/>
  <c r="C2563" l="1"/>
  <c r="B2564"/>
  <c r="C2564" l="1"/>
  <c r="B2565"/>
  <c r="C2565" l="1"/>
  <c r="B2566"/>
  <c r="C2566" l="1"/>
  <c r="B2567"/>
  <c r="C2567" l="1"/>
  <c r="B2568"/>
  <c r="C2568" l="1"/>
  <c r="B2569"/>
  <c r="C2569" l="1"/>
  <c r="B2570"/>
  <c r="C2570" l="1"/>
  <c r="B2571"/>
  <c r="C2571" l="1"/>
  <c r="B2572"/>
  <c r="C2572" l="1"/>
  <c r="B2573"/>
  <c r="C2573" l="1"/>
  <c r="B2574"/>
  <c r="C2574" l="1"/>
  <c r="B2575"/>
  <c r="C2575" l="1"/>
  <c r="B2576"/>
  <c r="C2576" l="1"/>
  <c r="B2577"/>
  <c r="C2577" l="1"/>
  <c r="B2578"/>
  <c r="C2578" l="1"/>
  <c r="B2579"/>
  <c r="C2579" l="1"/>
  <c r="B2580"/>
  <c r="C2580" l="1"/>
  <c r="B2581"/>
  <c r="C2581" l="1"/>
  <c r="B2582"/>
  <c r="C2582" l="1"/>
  <c r="B2583"/>
  <c r="C2583" l="1"/>
  <c r="B2584"/>
  <c r="C2584" l="1"/>
  <c r="B2585"/>
  <c r="C2585" l="1"/>
  <c r="B2586"/>
  <c r="C2586" l="1"/>
  <c r="B2587"/>
  <c r="C2587" l="1"/>
  <c r="B2588"/>
  <c r="C2588" l="1"/>
  <c r="B2589"/>
  <c r="C2589" l="1"/>
  <c r="B2590"/>
  <c r="C2590" l="1"/>
  <c r="B2591"/>
  <c r="C2591" l="1"/>
  <c r="B2592"/>
  <c r="C2592" l="1"/>
  <c r="B2593"/>
  <c r="C2593" l="1"/>
  <c r="B2594"/>
  <c r="B2595" l="1"/>
  <c r="C2594"/>
  <c r="C2595" l="1"/>
  <c r="B2596"/>
  <c r="C2596" l="1"/>
  <c r="B2597"/>
  <c r="C2597" l="1"/>
  <c r="B2598"/>
  <c r="C2598" l="1"/>
  <c r="B2599"/>
  <c r="C2599" l="1"/>
  <c r="B2600"/>
  <c r="C2600" l="1"/>
  <c r="B2601"/>
  <c r="C2601" l="1"/>
  <c r="B2602"/>
  <c r="C2602" l="1"/>
  <c r="B2603"/>
  <c r="C2603" l="1"/>
  <c r="B2604"/>
  <c r="C2604" l="1"/>
  <c r="B2605"/>
  <c r="C2605" l="1"/>
  <c r="B2606"/>
  <c r="C2606" l="1"/>
  <c r="B2607"/>
  <c r="C2607" l="1"/>
  <c r="B2608"/>
  <c r="C2608" l="1"/>
  <c r="B2609"/>
  <c r="C2609" l="1"/>
  <c r="B2610"/>
  <c r="C2610" l="1"/>
  <c r="B2611"/>
  <c r="C2611" l="1"/>
  <c r="B2612"/>
  <c r="B2613" l="1"/>
  <c r="C2612"/>
  <c r="C2613" l="1"/>
  <c r="B2614"/>
  <c r="C2614" l="1"/>
  <c r="B2615"/>
  <c r="C2615" l="1"/>
  <c r="B2616"/>
  <c r="C2616" l="1"/>
  <c r="B2617"/>
  <c r="C2617" l="1"/>
  <c r="B2618"/>
  <c r="C2618" l="1"/>
  <c r="B2619"/>
  <c r="C2619" l="1"/>
  <c r="B2620"/>
  <c r="C2620" l="1"/>
  <c r="B2621"/>
  <c r="C2621" l="1"/>
  <c r="B2622"/>
  <c r="C2622" l="1"/>
  <c r="B2623"/>
  <c r="B2624" l="1"/>
  <c r="C2623"/>
  <c r="C2624" l="1"/>
  <c r="B2625"/>
  <c r="C2625" l="1"/>
  <c r="B2626"/>
  <c r="C2626" l="1"/>
  <c r="B2627"/>
  <c r="C2627" l="1"/>
  <c r="B2628"/>
  <c r="C2628" l="1"/>
  <c r="B2629"/>
  <c r="C2629" l="1"/>
  <c r="B2630"/>
  <c r="C2630" l="1"/>
  <c r="B2631"/>
  <c r="C2631" l="1"/>
  <c r="B2632"/>
  <c r="C2632" l="1"/>
  <c r="B2633"/>
  <c r="C2633" l="1"/>
  <c r="B2634"/>
  <c r="C2634" l="1"/>
  <c r="B2635"/>
  <c r="C2635" l="1"/>
  <c r="B2636"/>
  <c r="C2636" l="1"/>
  <c r="B2637"/>
  <c r="C2637" l="1"/>
  <c r="B2638"/>
  <c r="C2638" l="1"/>
  <c r="B2639"/>
  <c r="C2639" l="1"/>
  <c r="B2640"/>
  <c r="C2640" l="1"/>
  <c r="B2641"/>
  <c r="C2641" l="1"/>
  <c r="B2642"/>
  <c r="C2642" l="1"/>
  <c r="B2643"/>
  <c r="C2643" l="1"/>
  <c r="B2644"/>
  <c r="C2644" l="1"/>
  <c r="B2645"/>
  <c r="C2645" l="1"/>
  <c r="B2646"/>
  <c r="C2646" l="1"/>
  <c r="B2647"/>
  <c r="C2647" l="1"/>
  <c r="B2648"/>
  <c r="C2648" l="1"/>
  <c r="B2649"/>
  <c r="C2649" l="1"/>
  <c r="B2650"/>
  <c r="C2650" l="1"/>
  <c r="B2651"/>
  <c r="C2651" l="1"/>
  <c r="B2652"/>
  <c r="C2652" l="1"/>
  <c r="B2653"/>
  <c r="C2653" l="1"/>
  <c r="B2654"/>
  <c r="C2654" l="1"/>
  <c r="B2655"/>
  <c r="C2655" l="1"/>
  <c r="B2656"/>
  <c r="C2656" l="1"/>
  <c r="B2657"/>
  <c r="C2657" l="1"/>
  <c r="B2658"/>
  <c r="C2658" l="1"/>
  <c r="B2659"/>
  <c r="C2659" l="1"/>
  <c r="B2660"/>
  <c r="C2660" l="1"/>
  <c r="B2661"/>
  <c r="B2662" l="1"/>
  <c r="C2661"/>
  <c r="C2662" l="1"/>
  <c r="B2663"/>
  <c r="C2663" l="1"/>
  <c r="B2664"/>
  <c r="C2664" l="1"/>
  <c r="B2665"/>
  <c r="C2665" l="1"/>
  <c r="B2666"/>
  <c r="C2666" l="1"/>
  <c r="B2667"/>
  <c r="C2667" l="1"/>
  <c r="B2668"/>
  <c r="C2668" l="1"/>
  <c r="B2669"/>
  <c r="C2669" l="1"/>
  <c r="B2670"/>
  <c r="C2670" l="1"/>
  <c r="B2671"/>
  <c r="C2671" l="1"/>
  <c r="B2672"/>
  <c r="C2672" l="1"/>
  <c r="B2673"/>
  <c r="C2673" l="1"/>
  <c r="B2674"/>
  <c r="C2674" l="1"/>
  <c r="B2675"/>
  <c r="C2675" l="1"/>
  <c r="B2676"/>
  <c r="B2677" l="1"/>
  <c r="C2676"/>
  <c r="B2678" l="1"/>
  <c r="C2677"/>
  <c r="C2678" l="1"/>
  <c r="B2679"/>
  <c r="C2679" l="1"/>
  <c r="B2680"/>
  <c r="C2680" l="1"/>
  <c r="B2681"/>
  <c r="C2681" l="1"/>
  <c r="B2682"/>
  <c r="C2682" l="1"/>
  <c r="B2683"/>
  <c r="C2683" l="1"/>
  <c r="B2684"/>
  <c r="C2684" l="1"/>
  <c r="B2685"/>
  <c r="C2685" l="1"/>
  <c r="B2686"/>
  <c r="C2686" l="1"/>
  <c r="B2687"/>
  <c r="C2687" l="1"/>
  <c r="B2688"/>
  <c r="C2688" l="1"/>
  <c r="B2689"/>
  <c r="C2689" l="1"/>
  <c r="B2690"/>
  <c r="C2690" l="1"/>
  <c r="B2691"/>
  <c r="C2691" l="1"/>
  <c r="B2692"/>
  <c r="C2692" l="1"/>
  <c r="B2693"/>
  <c r="C2693" l="1"/>
  <c r="B2694"/>
  <c r="C2694" l="1"/>
  <c r="B2695"/>
  <c r="C2695" l="1"/>
  <c r="B2696"/>
  <c r="C2696" l="1"/>
  <c r="B2697"/>
  <c r="C2697" l="1"/>
  <c r="B2698"/>
  <c r="C2698" l="1"/>
  <c r="B2699"/>
  <c r="C2699" l="1"/>
  <c r="B2700"/>
  <c r="C2700" l="1"/>
  <c r="B2701"/>
  <c r="C2701" l="1"/>
  <c r="B2702"/>
  <c r="C2702" l="1"/>
  <c r="B2703"/>
  <c r="C2703" l="1"/>
  <c r="B2704"/>
  <c r="C2704" l="1"/>
  <c r="B2705"/>
  <c r="C2705" l="1"/>
  <c r="B2706"/>
  <c r="C2706" l="1"/>
  <c r="B2707"/>
  <c r="C2707" l="1"/>
  <c r="B2708"/>
  <c r="C2708" l="1"/>
  <c r="B2709"/>
  <c r="C2709" l="1"/>
  <c r="B2710"/>
  <c r="C2710" l="1"/>
  <c r="B2711"/>
  <c r="C2711" l="1"/>
  <c r="B2712"/>
  <c r="C2712" l="1"/>
  <c r="B2713"/>
  <c r="C2713" l="1"/>
  <c r="B2714"/>
  <c r="C2714" l="1"/>
  <c r="B2715"/>
  <c r="C2715" l="1"/>
  <c r="B2716"/>
  <c r="C2716" l="1"/>
  <c r="B2717"/>
  <c r="C2717" l="1"/>
  <c r="B2718"/>
  <c r="C2718" l="1"/>
  <c r="B2719"/>
  <c r="C2719" l="1"/>
  <c r="B2720"/>
  <c r="C2720" l="1"/>
  <c r="B2721"/>
  <c r="C2721" l="1"/>
  <c r="B2722"/>
  <c r="C2722" l="1"/>
  <c r="B2723"/>
  <c r="C2723" l="1"/>
  <c r="B2724"/>
  <c r="C2724" l="1"/>
  <c r="B2725"/>
  <c r="C2725" l="1"/>
  <c r="B2726"/>
  <c r="C2726" l="1"/>
  <c r="B2727"/>
  <c r="C2727" l="1"/>
  <c r="B2728"/>
  <c r="C2728" l="1"/>
  <c r="B2729"/>
  <c r="C2729" l="1"/>
  <c r="B2730"/>
  <c r="C2730" l="1"/>
  <c r="B2731"/>
  <c r="C2731" l="1"/>
  <c r="B2732"/>
  <c r="C2732" l="1"/>
  <c r="B2733"/>
  <c r="C2733" l="1"/>
  <c r="B2734"/>
  <c r="B2735" l="1"/>
  <c r="C2734"/>
  <c r="C2735" l="1"/>
  <c r="B2736"/>
  <c r="C2736" l="1"/>
  <c r="B2737"/>
  <c r="C2737" l="1"/>
  <c r="B2738"/>
  <c r="C2738" l="1"/>
  <c r="B2739"/>
  <c r="C2739" l="1"/>
  <c r="B2740"/>
  <c r="C2740" l="1"/>
  <c r="B2741"/>
  <c r="C2741" l="1"/>
  <c r="B2742"/>
  <c r="C2742" l="1"/>
  <c r="B2743"/>
  <c r="C2743" l="1"/>
  <c r="B2744"/>
  <c r="C2744" l="1"/>
  <c r="B2745"/>
  <c r="C2745" l="1"/>
  <c r="B2746"/>
  <c r="C2746" l="1"/>
  <c r="B2747"/>
  <c r="C2747" l="1"/>
  <c r="B2748"/>
  <c r="C2748" l="1"/>
  <c r="B2749"/>
  <c r="C2749" l="1"/>
  <c r="B2750"/>
  <c r="C2750" l="1"/>
  <c r="B2751"/>
  <c r="C2751" l="1"/>
  <c r="B2752"/>
  <c r="B2753" l="1"/>
  <c r="C2752"/>
  <c r="C2753" l="1"/>
  <c r="B2754"/>
  <c r="C2754" l="1"/>
  <c r="B2755"/>
  <c r="C2755" l="1"/>
  <c r="B2756"/>
  <c r="C2756" l="1"/>
  <c r="B2757"/>
  <c r="C2757" l="1"/>
  <c r="B2758"/>
  <c r="C2758" l="1"/>
  <c r="B2759"/>
  <c r="C2759" l="1"/>
  <c r="B2760"/>
  <c r="C2760" l="1"/>
  <c r="B2761"/>
  <c r="C2761" l="1"/>
  <c r="B2762"/>
  <c r="C2762" l="1"/>
  <c r="B2763"/>
  <c r="B2764" l="1"/>
  <c r="C2763"/>
  <c r="C2764" l="1"/>
  <c r="B2765"/>
  <c r="C2765" l="1"/>
  <c r="B2766"/>
  <c r="C2766" l="1"/>
  <c r="B2767"/>
  <c r="C2767" l="1"/>
  <c r="B2768"/>
  <c r="C2768" l="1"/>
  <c r="B2769"/>
  <c r="C2769" l="1"/>
  <c r="B2770"/>
  <c r="C2770" l="1"/>
  <c r="B2771"/>
  <c r="C2771" l="1"/>
  <c r="B2772"/>
  <c r="C2772" l="1"/>
  <c r="B2773"/>
  <c r="C2773" l="1"/>
  <c r="B2774"/>
  <c r="C2774" l="1"/>
  <c r="B2775"/>
  <c r="C2775" l="1"/>
  <c r="B2776"/>
  <c r="C2776" l="1"/>
  <c r="B2777"/>
  <c r="C2777" l="1"/>
  <c r="B2778"/>
  <c r="C2778" l="1"/>
  <c r="B2779"/>
  <c r="C2779" l="1"/>
  <c r="B2780"/>
  <c r="C2780" l="1"/>
  <c r="B2781"/>
  <c r="C2781" l="1"/>
  <c r="B2782"/>
  <c r="C2782" l="1"/>
  <c r="B2783"/>
  <c r="C2783" l="1"/>
  <c r="B2784"/>
  <c r="C2784" l="1"/>
  <c r="B2785"/>
  <c r="C2785" l="1"/>
  <c r="B2786"/>
  <c r="C2786" l="1"/>
  <c r="B2787"/>
  <c r="C2787" l="1"/>
  <c r="B2788"/>
  <c r="C2788" l="1"/>
  <c r="B2789"/>
  <c r="C2789" l="1"/>
  <c r="B2790"/>
  <c r="C2790" l="1"/>
  <c r="B2791"/>
  <c r="C2791" l="1"/>
  <c r="B2792"/>
  <c r="C2792" l="1"/>
  <c r="B2793"/>
  <c r="C2793" l="1"/>
  <c r="B2794"/>
  <c r="C2794" l="1"/>
  <c r="B2795"/>
  <c r="C2795" l="1"/>
  <c r="B2796"/>
  <c r="C2796" l="1"/>
  <c r="B2797"/>
  <c r="C2797" l="1"/>
  <c r="B2798"/>
  <c r="C2798" l="1"/>
  <c r="B2799"/>
  <c r="C2799" l="1"/>
  <c r="B2800"/>
  <c r="C2800" l="1"/>
  <c r="B2801"/>
  <c r="B2802" l="1"/>
  <c r="C2801"/>
  <c r="C2802" l="1"/>
  <c r="B2803"/>
  <c r="C2803" l="1"/>
  <c r="B2804"/>
  <c r="C2804" l="1"/>
  <c r="B2805"/>
  <c r="C2805" l="1"/>
  <c r="B2806"/>
  <c r="C2806" l="1"/>
  <c r="B2807"/>
  <c r="C2807" l="1"/>
  <c r="B2808"/>
  <c r="C2808" l="1"/>
  <c r="B2809"/>
  <c r="C2809" l="1"/>
  <c r="B2810"/>
  <c r="C2810" l="1"/>
  <c r="B2811"/>
  <c r="C2811" l="1"/>
  <c r="B2812"/>
  <c r="C2812" l="1"/>
  <c r="B2813"/>
  <c r="C2813" l="1"/>
  <c r="B2814"/>
  <c r="C2814" l="1"/>
  <c r="B2815"/>
  <c r="C2815" l="1"/>
  <c r="B2816"/>
  <c r="B2817" l="1"/>
  <c r="C2816"/>
  <c r="C2817" l="1"/>
  <c r="B2818"/>
  <c r="C2818" l="1"/>
  <c r="B2819"/>
  <c r="C2819" l="1"/>
  <c r="B2820"/>
  <c r="C2820" l="1"/>
  <c r="B2821"/>
  <c r="C2821" l="1"/>
  <c r="B2822"/>
  <c r="C2822" l="1"/>
  <c r="B2823"/>
  <c r="C2823" l="1"/>
  <c r="B2824"/>
  <c r="C2824" l="1"/>
  <c r="B2825"/>
  <c r="C2825" l="1"/>
  <c r="B2826"/>
  <c r="C2826" l="1"/>
  <c r="B2827"/>
  <c r="C2827" l="1"/>
  <c r="B2828"/>
  <c r="C2828" l="1"/>
  <c r="B2829"/>
  <c r="C2829" l="1"/>
  <c r="B2830"/>
  <c r="C2830" l="1"/>
  <c r="B2831"/>
  <c r="C2831" l="1"/>
  <c r="B2832"/>
  <c r="C2832" l="1"/>
  <c r="B2833"/>
  <c r="C2833" l="1"/>
  <c r="B2834"/>
  <c r="C2834" l="1"/>
  <c r="B2835"/>
  <c r="C2835" l="1"/>
  <c r="B2836"/>
  <c r="C2836" l="1"/>
  <c r="B2837"/>
  <c r="C2837" l="1"/>
  <c r="B2838"/>
  <c r="C2838" l="1"/>
  <c r="B2839"/>
  <c r="C2839" l="1"/>
  <c r="B2840"/>
  <c r="C2840" l="1"/>
  <c r="B2841"/>
  <c r="C2841" l="1"/>
  <c r="B2842"/>
  <c r="C2842" l="1"/>
  <c r="B2843"/>
  <c r="C2843" l="1"/>
  <c r="B2844"/>
  <c r="C2844" l="1"/>
  <c r="B2845"/>
  <c r="C2845" l="1"/>
  <c r="B2846"/>
  <c r="C2846" l="1"/>
  <c r="B2847"/>
  <c r="C2847" l="1"/>
  <c r="B2848"/>
  <c r="C2848" l="1"/>
  <c r="B2849"/>
  <c r="C2849" l="1"/>
  <c r="B2850"/>
  <c r="C2850" l="1"/>
  <c r="B2851"/>
  <c r="C2851" l="1"/>
  <c r="B2852"/>
  <c r="C2852" l="1"/>
  <c r="B2853"/>
  <c r="C2853" l="1"/>
  <c r="B2854"/>
  <c r="C2854" l="1"/>
  <c r="B2855"/>
  <c r="C2855" l="1"/>
  <c r="B2856"/>
  <c r="C2856" l="1"/>
  <c r="B2857"/>
  <c r="C2857" l="1"/>
  <c r="B2858"/>
  <c r="C2858" l="1"/>
  <c r="B2859"/>
  <c r="C2859" l="1"/>
  <c r="B2860"/>
  <c r="C2860" l="1"/>
  <c r="B2861"/>
  <c r="C2861" l="1"/>
  <c r="B2862"/>
  <c r="C2862" l="1"/>
  <c r="B2863"/>
  <c r="C2863" l="1"/>
  <c r="B2864"/>
  <c r="C2864" l="1"/>
  <c r="B2865"/>
  <c r="C2865" l="1"/>
  <c r="B2866"/>
  <c r="C2866" l="1"/>
  <c r="B2867"/>
  <c r="C2867" l="1"/>
  <c r="B2868"/>
  <c r="C2868" l="1"/>
  <c r="B2869"/>
  <c r="C2869" l="1"/>
  <c r="B2870"/>
  <c r="C2870" l="1"/>
  <c r="B2871"/>
  <c r="C2871" l="1"/>
  <c r="B2872"/>
  <c r="C2872" l="1"/>
  <c r="B2873"/>
  <c r="C2873" l="1"/>
  <c r="B2874"/>
  <c r="B2875" l="1"/>
  <c r="C2874"/>
  <c r="C2875" l="1"/>
  <c r="B2876"/>
  <c r="C2876" l="1"/>
  <c r="B2877"/>
  <c r="C2877" l="1"/>
  <c r="B2878"/>
  <c r="C2878" l="1"/>
  <c r="B2879"/>
  <c r="C2879" l="1"/>
  <c r="B2880"/>
  <c r="C2880" l="1"/>
  <c r="B2881"/>
  <c r="C2881" l="1"/>
  <c r="B2882"/>
  <c r="C2882" l="1"/>
  <c r="B2883"/>
  <c r="C2883" l="1"/>
  <c r="B2884"/>
  <c r="C2884" l="1"/>
  <c r="B2885"/>
  <c r="C2885" l="1"/>
  <c r="B2886"/>
  <c r="C2886" l="1"/>
  <c r="B2887"/>
  <c r="C2887" l="1"/>
  <c r="B2888"/>
  <c r="C2888" l="1"/>
  <c r="B2889"/>
  <c r="C2889" l="1"/>
  <c r="B2890"/>
  <c r="C2890" l="1"/>
  <c r="B2891"/>
  <c r="C2891" l="1"/>
  <c r="B2892"/>
  <c r="B2893" l="1"/>
  <c r="C2892"/>
  <c r="C2893" l="1"/>
  <c r="B2894"/>
  <c r="C2894" l="1"/>
  <c r="B2895"/>
  <c r="C2895" l="1"/>
  <c r="B2896"/>
  <c r="C2896" l="1"/>
  <c r="B2897"/>
  <c r="C2897" l="1"/>
  <c r="B2898"/>
  <c r="C2898" l="1"/>
  <c r="B2899"/>
  <c r="C2899" l="1"/>
  <c r="B2900"/>
  <c r="C2900" l="1"/>
  <c r="B2901"/>
  <c r="C2901" l="1"/>
  <c r="B2902"/>
  <c r="C2902" l="1"/>
  <c r="B2903"/>
  <c r="B2904" l="1"/>
  <c r="C2903"/>
  <c r="C2904" l="1"/>
  <c r="B2905"/>
  <c r="C2905" l="1"/>
  <c r="B2906"/>
  <c r="C2906" l="1"/>
  <c r="B2907"/>
  <c r="C2907" l="1"/>
  <c r="B2908"/>
  <c r="C2908" l="1"/>
  <c r="B2909"/>
  <c r="C2909" l="1"/>
  <c r="B2910"/>
  <c r="C2910" l="1"/>
  <c r="B2911"/>
  <c r="C2911" l="1"/>
  <c r="B2912"/>
  <c r="C2912" l="1"/>
  <c r="B2913"/>
  <c r="C2913" l="1"/>
  <c r="B2914"/>
  <c r="C2914" l="1"/>
  <c r="B2915"/>
  <c r="C2915" l="1"/>
  <c r="B2916"/>
  <c r="C2916" l="1"/>
  <c r="B2917"/>
  <c r="C2917" l="1"/>
  <c r="B2918"/>
  <c r="C2918" l="1"/>
  <c r="B2919"/>
  <c r="C2919" l="1"/>
  <c r="B2920"/>
  <c r="C2920" l="1"/>
  <c r="B2921"/>
  <c r="C2921" l="1"/>
  <c r="B2922"/>
  <c r="C2922" l="1"/>
  <c r="B2923"/>
  <c r="C2923" l="1"/>
  <c r="B2924"/>
  <c r="C2924" l="1"/>
  <c r="B2925"/>
  <c r="C2925" l="1"/>
  <c r="B2926"/>
  <c r="C2926" l="1"/>
  <c r="B2927"/>
  <c r="C2927" l="1"/>
  <c r="B2928"/>
  <c r="C2928" l="1"/>
  <c r="B2929"/>
  <c r="C2929" l="1"/>
  <c r="B2930"/>
  <c r="C2930" l="1"/>
  <c r="B2931"/>
  <c r="C2931" l="1"/>
  <c r="B2932"/>
  <c r="C2932" l="1"/>
  <c r="B2933"/>
  <c r="C2933" l="1"/>
  <c r="B2934"/>
  <c r="C2934" l="1"/>
  <c r="B2935"/>
  <c r="C2935" l="1"/>
  <c r="B2936"/>
  <c r="C2936" l="1"/>
  <c r="B2937"/>
  <c r="C2937" l="1"/>
  <c r="B2938"/>
  <c r="C2938" l="1"/>
  <c r="B2939"/>
  <c r="C2939" l="1"/>
  <c r="B2940"/>
  <c r="C2940" l="1"/>
  <c r="B2941"/>
  <c r="B2942" l="1"/>
  <c r="C2941"/>
  <c r="C2942" l="1"/>
  <c r="B2943"/>
  <c r="C2943" l="1"/>
  <c r="B2944"/>
  <c r="C2944" l="1"/>
  <c r="B2945"/>
  <c r="C2945" l="1"/>
  <c r="B2946"/>
  <c r="C2946" l="1"/>
  <c r="B2947"/>
  <c r="C2947" l="1"/>
  <c r="B2948"/>
  <c r="C2948" l="1"/>
  <c r="B2949"/>
  <c r="C2949" l="1"/>
  <c r="B2950"/>
  <c r="C2950" l="1"/>
  <c r="B2951"/>
  <c r="C2951" l="1"/>
  <c r="B2952"/>
  <c r="C2952" l="1"/>
  <c r="B2953"/>
  <c r="C2953" l="1"/>
  <c r="B2954"/>
  <c r="C2954" l="1"/>
  <c r="B2955"/>
  <c r="C2955" l="1"/>
  <c r="B2956"/>
  <c r="B2957" l="1"/>
  <c r="C2956"/>
  <c r="B2958" l="1"/>
  <c r="C2957"/>
  <c r="B2959" l="1"/>
  <c r="C2958"/>
  <c r="C2959" l="1"/>
  <c r="B2960"/>
  <c r="C2960" l="1"/>
  <c r="B2961"/>
  <c r="C2961" l="1"/>
  <c r="B2962"/>
  <c r="C2962" l="1"/>
  <c r="B2963"/>
  <c r="C2963" l="1"/>
  <c r="B2964"/>
  <c r="C2964" l="1"/>
  <c r="B2965"/>
  <c r="C2965" l="1"/>
  <c r="B2966"/>
  <c r="C2966" l="1"/>
  <c r="B2967"/>
  <c r="C2967" l="1"/>
  <c r="B2968"/>
  <c r="C2968" l="1"/>
  <c r="B2969"/>
  <c r="C2969" l="1"/>
  <c r="B2970"/>
  <c r="C2970" l="1"/>
  <c r="B2971"/>
  <c r="C2971" l="1"/>
  <c r="B2972"/>
  <c r="C2972" l="1"/>
  <c r="B2973"/>
  <c r="C2973" l="1"/>
  <c r="B2974"/>
  <c r="C2974" l="1"/>
  <c r="B2975"/>
  <c r="C2975" l="1"/>
  <c r="B2976"/>
  <c r="C2976" l="1"/>
  <c r="B2977"/>
  <c r="C2977" l="1"/>
  <c r="B2978"/>
  <c r="C2978" l="1"/>
  <c r="B2979"/>
  <c r="C2979" l="1"/>
  <c r="B2980"/>
  <c r="C2980" l="1"/>
  <c r="B2981"/>
  <c r="C2981" l="1"/>
  <c r="B2982"/>
  <c r="C2982" l="1"/>
  <c r="B2983"/>
  <c r="C2983" l="1"/>
  <c r="B2984"/>
  <c r="C2984" l="1"/>
  <c r="B2985"/>
  <c r="C2985" l="1"/>
  <c r="B2986"/>
  <c r="C2986" l="1"/>
  <c r="B2987"/>
  <c r="C2987" l="1"/>
  <c r="B2988"/>
  <c r="C2988" l="1"/>
  <c r="B2989"/>
  <c r="C2989" l="1"/>
  <c r="B2990"/>
  <c r="C2990" l="1"/>
  <c r="B2991"/>
  <c r="C2991" l="1"/>
  <c r="B2992"/>
  <c r="C2992" l="1"/>
  <c r="B2993"/>
  <c r="C2993" l="1"/>
  <c r="B2994"/>
  <c r="C2994" l="1"/>
  <c r="B2995"/>
  <c r="C2995" l="1"/>
  <c r="B2996"/>
  <c r="C2996" l="1"/>
  <c r="B2997"/>
  <c r="C2997" l="1"/>
  <c r="B2998"/>
  <c r="C2998" l="1"/>
  <c r="B2999"/>
  <c r="C2999" l="1"/>
  <c r="B3000"/>
  <c r="C3000" l="1"/>
  <c r="B3001"/>
  <c r="C3001" l="1"/>
  <c r="B3002"/>
  <c r="C3002" l="1"/>
  <c r="B3003"/>
  <c r="C3003" l="1"/>
  <c r="B3004"/>
  <c r="C3004" l="1"/>
  <c r="B3005"/>
  <c r="C3005" l="1"/>
  <c r="B3006"/>
  <c r="C3006" l="1"/>
  <c r="B3007"/>
  <c r="C3007" l="1"/>
  <c r="B3008"/>
  <c r="C3008" l="1"/>
  <c r="B3009"/>
  <c r="C3009" l="1"/>
  <c r="B3010"/>
  <c r="C3010" l="1"/>
  <c r="B3011"/>
  <c r="C3011" l="1"/>
  <c r="B3012"/>
  <c r="C3012" l="1"/>
  <c r="B3013"/>
  <c r="C3013" l="1"/>
  <c r="B3014"/>
  <c r="C3014" l="1"/>
  <c r="B3015"/>
  <c r="B3016" l="1"/>
  <c r="C3015"/>
  <c r="C3016" l="1"/>
  <c r="B3017"/>
  <c r="C3017" l="1"/>
  <c r="B3018"/>
  <c r="C3018" l="1"/>
  <c r="B3019"/>
  <c r="C3019" l="1"/>
  <c r="B3020"/>
  <c r="C3020" l="1"/>
  <c r="B3021"/>
  <c r="C3021" l="1"/>
  <c r="B3022"/>
  <c r="C3022" l="1"/>
  <c r="B3023"/>
  <c r="C3023" l="1"/>
  <c r="B3024"/>
  <c r="C3024" l="1"/>
  <c r="B3025"/>
  <c r="C3025" l="1"/>
  <c r="B3026"/>
  <c r="C3026" l="1"/>
  <c r="B3027"/>
  <c r="C3027" l="1"/>
  <c r="B3028"/>
  <c r="C3028" l="1"/>
  <c r="B3029"/>
  <c r="C3029" l="1"/>
  <c r="B3030"/>
  <c r="C3030" l="1"/>
  <c r="B3031"/>
  <c r="C3031" l="1"/>
  <c r="B3032"/>
  <c r="C3032" l="1"/>
  <c r="B3033"/>
  <c r="B3034" l="1"/>
  <c r="C3033"/>
  <c r="C3034" l="1"/>
  <c r="B3035"/>
  <c r="C3035" l="1"/>
  <c r="B3036"/>
  <c r="C3036" l="1"/>
  <c r="B3037"/>
  <c r="C3037" l="1"/>
  <c r="B3038"/>
  <c r="C3038" l="1"/>
  <c r="B3039"/>
  <c r="C3039" l="1"/>
  <c r="B3040"/>
  <c r="C3040" l="1"/>
  <c r="B3041"/>
  <c r="C3041" l="1"/>
  <c r="B3042"/>
  <c r="C3042" l="1"/>
  <c r="B3043"/>
  <c r="C3043" l="1"/>
  <c r="B3044"/>
  <c r="B3045" l="1"/>
  <c r="C3044"/>
  <c r="C3045" l="1"/>
  <c r="B3046"/>
  <c r="C3046" l="1"/>
  <c r="B3047"/>
  <c r="C3047" l="1"/>
  <c r="B3048"/>
  <c r="C3048" l="1"/>
  <c r="B3049"/>
  <c r="C3049" l="1"/>
  <c r="B3050"/>
  <c r="C3050" l="1"/>
  <c r="B3051"/>
  <c r="C3051" l="1"/>
  <c r="B3052"/>
  <c r="C3052" l="1"/>
  <c r="B3053"/>
  <c r="C3053" l="1"/>
  <c r="B3054"/>
  <c r="C3054" l="1"/>
  <c r="B3055"/>
  <c r="C3055" l="1"/>
  <c r="B3056"/>
  <c r="C3056" l="1"/>
  <c r="B3057"/>
  <c r="C3057" l="1"/>
  <c r="B3058"/>
  <c r="C3058" l="1"/>
  <c r="B3059"/>
  <c r="C3059" l="1"/>
  <c r="B3060"/>
  <c r="C3060" l="1"/>
  <c r="B3061"/>
  <c r="C3061" l="1"/>
  <c r="B3062"/>
  <c r="C3062" l="1"/>
  <c r="B3063"/>
  <c r="C3063" l="1"/>
  <c r="B3064"/>
  <c r="C3064" l="1"/>
  <c r="B3065"/>
  <c r="C3065" l="1"/>
  <c r="B3066"/>
  <c r="C3066" l="1"/>
  <c r="B3067"/>
  <c r="C3067" l="1"/>
  <c r="B3068"/>
  <c r="C3068" l="1"/>
  <c r="B3069"/>
  <c r="C3069" l="1"/>
  <c r="B3070"/>
  <c r="C3070" l="1"/>
  <c r="B3071"/>
  <c r="C3071" l="1"/>
  <c r="B3072"/>
  <c r="C3072" l="1"/>
  <c r="B3073"/>
  <c r="C3073" l="1"/>
  <c r="B3074"/>
  <c r="C3074" l="1"/>
  <c r="B3075"/>
  <c r="C3075" l="1"/>
  <c r="B3076"/>
  <c r="C3076" l="1"/>
  <c r="B3077"/>
  <c r="C3077" l="1"/>
  <c r="B3078"/>
  <c r="C3078" l="1"/>
  <c r="B3079"/>
  <c r="C3079" l="1"/>
  <c r="B3080"/>
  <c r="C3080" l="1"/>
  <c r="B3081"/>
  <c r="C3081" l="1"/>
  <c r="B3082"/>
  <c r="B3083" l="1"/>
  <c r="C3082"/>
  <c r="C3083" l="1"/>
  <c r="B3084"/>
  <c r="C3084" l="1"/>
  <c r="B3085"/>
  <c r="C3085" l="1"/>
  <c r="B3086"/>
  <c r="C3086" l="1"/>
  <c r="B3087"/>
  <c r="C3087" l="1"/>
  <c r="B3088"/>
  <c r="C3088" l="1"/>
  <c r="B3089"/>
  <c r="C3089" l="1"/>
  <c r="B3090"/>
  <c r="C3090" l="1"/>
  <c r="B3091"/>
  <c r="C3091" l="1"/>
  <c r="B3092"/>
  <c r="C3092" l="1"/>
  <c r="B3093"/>
  <c r="C3093" l="1"/>
  <c r="B3094"/>
  <c r="C3094" l="1"/>
  <c r="B3095"/>
  <c r="C3095" l="1"/>
  <c r="B3096"/>
  <c r="B3097" l="1"/>
  <c r="C3096"/>
  <c r="C3097" l="1"/>
  <c r="B3098"/>
  <c r="C3098" l="1"/>
  <c r="B3099"/>
  <c r="C3099" l="1"/>
  <c r="B3100"/>
  <c r="C3100" l="1"/>
  <c r="B3101"/>
  <c r="C3101" l="1"/>
  <c r="B3102"/>
  <c r="C3102" l="1"/>
  <c r="B3103"/>
  <c r="C3103" l="1"/>
  <c r="B3104"/>
  <c r="C3104" l="1"/>
  <c r="B3105"/>
  <c r="C3105" l="1"/>
  <c r="B3106"/>
  <c r="C3106" l="1"/>
  <c r="B3107"/>
  <c r="C3107" l="1"/>
  <c r="B3108"/>
  <c r="C3108" l="1"/>
  <c r="B3109"/>
  <c r="C3109" l="1"/>
  <c r="B3110"/>
  <c r="C3110" l="1"/>
  <c r="B3111"/>
  <c r="C3111" l="1"/>
  <c r="B3112"/>
  <c r="C3112" l="1"/>
  <c r="B3113"/>
  <c r="C3113" l="1"/>
  <c r="B3114"/>
  <c r="C3114" l="1"/>
  <c r="B3115"/>
  <c r="C3115" l="1"/>
  <c r="B3116"/>
  <c r="C3116" l="1"/>
  <c r="B3117"/>
  <c r="C3117" l="1"/>
  <c r="B3118"/>
  <c r="C3118" l="1"/>
  <c r="B3119"/>
  <c r="C3119" l="1"/>
  <c r="B3120"/>
  <c r="C3120" l="1"/>
  <c r="B3121"/>
  <c r="C3121" l="1"/>
  <c r="B3122"/>
  <c r="C3122" l="1"/>
  <c r="B3123"/>
  <c r="C3123" l="1"/>
  <c r="B3124"/>
  <c r="C3124" l="1"/>
  <c r="B3125"/>
  <c r="C3125" l="1"/>
  <c r="B3126"/>
  <c r="C3126" l="1"/>
  <c r="B3127"/>
  <c r="C3127" l="1"/>
  <c r="B3128"/>
  <c r="C3128" l="1"/>
  <c r="B3129"/>
  <c r="C3129" l="1"/>
  <c r="B3130"/>
  <c r="C3130" l="1"/>
  <c r="B3131"/>
  <c r="C3131" l="1"/>
  <c r="B3132"/>
  <c r="C3132" l="1"/>
  <c r="B3133"/>
  <c r="C3133" l="1"/>
  <c r="B3134"/>
  <c r="C3134" l="1"/>
  <c r="B3135"/>
  <c r="C3135" l="1"/>
  <c r="B3136"/>
  <c r="C3136" l="1"/>
  <c r="B3137"/>
  <c r="C3137" l="1"/>
  <c r="B3138"/>
  <c r="C3138" l="1"/>
  <c r="B3139"/>
  <c r="C3139" l="1"/>
  <c r="B3140"/>
  <c r="C3140" l="1"/>
  <c r="B3141"/>
  <c r="C3141" l="1"/>
  <c r="B3142"/>
  <c r="C3142" l="1"/>
  <c r="B3143"/>
  <c r="C3143" l="1"/>
  <c r="B3144"/>
  <c r="C3144" l="1"/>
  <c r="B3145"/>
  <c r="C3145" l="1"/>
  <c r="B3146"/>
  <c r="C3146" l="1"/>
  <c r="B3147"/>
  <c r="C3147" l="1"/>
  <c r="B3148"/>
  <c r="C3148" l="1"/>
  <c r="B3149"/>
  <c r="C3149" l="1"/>
  <c r="B3150"/>
  <c r="C3150" l="1"/>
  <c r="B3151"/>
  <c r="C3151" l="1"/>
  <c r="B3152"/>
  <c r="C3152" l="1"/>
  <c r="B3153"/>
  <c r="C3153" l="1"/>
  <c r="B3154"/>
  <c r="B3155" l="1"/>
  <c r="C3154"/>
  <c r="C3155" l="1"/>
  <c r="B3156"/>
  <c r="C3156" l="1"/>
  <c r="B3157"/>
  <c r="C3157" l="1"/>
  <c r="B3158"/>
  <c r="C3158" l="1"/>
  <c r="B3159"/>
  <c r="C3159" l="1"/>
  <c r="B3160"/>
  <c r="C3160" l="1"/>
  <c r="B3161"/>
  <c r="C3161" l="1"/>
  <c r="B3162"/>
  <c r="C3162" l="1"/>
  <c r="B3163"/>
  <c r="C3163" l="1"/>
  <c r="B3164"/>
  <c r="C3164" l="1"/>
  <c r="B3165"/>
  <c r="C3165" l="1"/>
  <c r="B3166"/>
  <c r="C3166" l="1"/>
  <c r="B3167"/>
  <c r="C3167" l="1"/>
  <c r="B3168"/>
  <c r="C3168" l="1"/>
  <c r="B3169"/>
  <c r="C3169" l="1"/>
  <c r="B3170"/>
  <c r="C3170" l="1"/>
  <c r="B3171"/>
  <c r="C3171" l="1"/>
  <c r="B3172"/>
  <c r="B3173" l="1"/>
  <c r="C3172"/>
  <c r="C3173" l="1"/>
  <c r="B3174"/>
  <c r="C3174" l="1"/>
  <c r="B3175"/>
  <c r="C3175" l="1"/>
  <c r="B3176"/>
  <c r="C3176" l="1"/>
  <c r="B3177"/>
  <c r="C3177" l="1"/>
  <c r="B3178"/>
  <c r="C3178" l="1"/>
  <c r="B3179"/>
  <c r="C3179" l="1"/>
  <c r="B3180"/>
  <c r="C3180" l="1"/>
  <c r="B3181"/>
  <c r="C3181" l="1"/>
  <c r="B3182"/>
  <c r="C3182" l="1"/>
  <c r="B3183"/>
  <c r="B3184" l="1"/>
  <c r="C3183"/>
  <c r="C3184" l="1"/>
  <c r="B3185"/>
  <c r="C3185" l="1"/>
  <c r="B3186"/>
  <c r="C3186" l="1"/>
  <c r="B3187"/>
  <c r="C3187" l="1"/>
  <c r="B3188"/>
  <c r="C3188" l="1"/>
  <c r="B3189"/>
  <c r="C3189" l="1"/>
  <c r="B3190"/>
  <c r="C3190" l="1"/>
  <c r="B3191"/>
  <c r="C3191" l="1"/>
  <c r="B3192"/>
  <c r="C3192" l="1"/>
  <c r="B3193"/>
  <c r="C3193" l="1"/>
  <c r="B3194"/>
  <c r="C3194" l="1"/>
  <c r="B3195"/>
  <c r="C3195" l="1"/>
  <c r="B3196"/>
  <c r="C3196" l="1"/>
  <c r="B3197"/>
  <c r="C3197" l="1"/>
  <c r="B3198"/>
  <c r="C3198" l="1"/>
  <c r="B3199"/>
  <c r="C3199" l="1"/>
  <c r="B3200"/>
  <c r="C3200" l="1"/>
  <c r="B3201"/>
  <c r="C3201" l="1"/>
  <c r="B3202"/>
  <c r="C3202" l="1"/>
  <c r="B3203"/>
  <c r="C3203" l="1"/>
  <c r="B3204"/>
  <c r="C3204" l="1"/>
  <c r="B3205"/>
  <c r="C3205" l="1"/>
  <c r="B3206"/>
  <c r="C3206" l="1"/>
  <c r="B3207"/>
  <c r="C3207" l="1"/>
  <c r="B3208"/>
  <c r="C3208" l="1"/>
  <c r="B3209"/>
  <c r="C3209" l="1"/>
  <c r="B3210"/>
  <c r="C3210" l="1"/>
  <c r="B3211"/>
  <c r="C3211" l="1"/>
  <c r="B3212"/>
  <c r="C3212" l="1"/>
  <c r="B3213"/>
  <c r="C3213" l="1"/>
  <c r="B3214"/>
  <c r="C3214" l="1"/>
  <c r="B3215"/>
  <c r="C3215" l="1"/>
  <c r="B3216"/>
  <c r="C3216" l="1"/>
  <c r="B3217"/>
  <c r="C3217" l="1"/>
  <c r="B3218"/>
  <c r="C3218" l="1"/>
  <c r="B3219"/>
  <c r="C3219" l="1"/>
  <c r="B3220"/>
  <c r="C3220" l="1"/>
  <c r="B3221"/>
  <c r="B3222" l="1"/>
  <c r="C3221"/>
  <c r="C3222" l="1"/>
  <c r="B3223"/>
  <c r="C3223" l="1"/>
  <c r="B3224"/>
  <c r="C3224" l="1"/>
  <c r="B3225"/>
  <c r="C3225" l="1"/>
  <c r="B3226"/>
  <c r="C3226" l="1"/>
  <c r="B3227"/>
  <c r="C3227" l="1"/>
  <c r="B3228"/>
  <c r="C3228" l="1"/>
  <c r="B3229"/>
  <c r="C3229" l="1"/>
  <c r="B3230"/>
  <c r="C3230" l="1"/>
  <c r="B3231"/>
  <c r="C3231" l="1"/>
  <c r="B3232"/>
  <c r="C3232" l="1"/>
  <c r="B3233"/>
  <c r="C3233" l="1"/>
  <c r="B3234"/>
  <c r="C3234" l="1"/>
  <c r="B3235"/>
  <c r="C3235" l="1"/>
  <c r="B3236"/>
  <c r="B3237" l="1"/>
  <c r="C3236"/>
  <c r="B3238" l="1"/>
  <c r="C3237"/>
  <c r="C3238" l="1"/>
  <c r="B3239"/>
  <c r="C3239" l="1"/>
  <c r="B3240"/>
  <c r="C3240" l="1"/>
  <c r="B3241"/>
  <c r="C3241" l="1"/>
  <c r="B3242"/>
  <c r="C3242" l="1"/>
  <c r="B3243"/>
  <c r="C3243" l="1"/>
  <c r="B3244"/>
  <c r="C3244" l="1"/>
  <c r="B3245"/>
  <c r="C3245" l="1"/>
  <c r="B3246"/>
  <c r="C3246" l="1"/>
  <c r="B3247"/>
  <c r="C3247" l="1"/>
  <c r="B3248"/>
  <c r="C3248" l="1"/>
  <c r="B3249"/>
  <c r="C3249" l="1"/>
  <c r="B3250"/>
  <c r="C3250" l="1"/>
  <c r="B3251"/>
  <c r="C3251" l="1"/>
  <c r="B3252"/>
  <c r="C3252" l="1"/>
  <c r="B3253"/>
  <c r="C3253" l="1"/>
  <c r="B3254"/>
  <c r="C3254" l="1"/>
  <c r="B3255"/>
  <c r="C3255" l="1"/>
  <c r="B3256"/>
  <c r="C3256" l="1"/>
  <c r="B3257"/>
  <c r="C3257" l="1"/>
  <c r="B3258"/>
  <c r="C3258" l="1"/>
  <c r="B3259"/>
  <c r="C3259" l="1"/>
  <c r="B3260"/>
  <c r="C3260" l="1"/>
  <c r="B3261"/>
  <c r="C3261" l="1"/>
  <c r="B3262"/>
  <c r="C3262" l="1"/>
  <c r="B3263"/>
  <c r="C3263" l="1"/>
  <c r="B3264"/>
  <c r="C3264" l="1"/>
  <c r="B3265"/>
  <c r="C3265" l="1"/>
  <c r="B3266"/>
  <c r="C3266" l="1"/>
  <c r="B3267"/>
  <c r="C3267" l="1"/>
  <c r="B3268"/>
  <c r="C3268" l="1"/>
  <c r="B3269"/>
  <c r="C3269" l="1"/>
  <c r="B3270"/>
  <c r="C3270" l="1"/>
  <c r="B3271"/>
  <c r="C3271" l="1"/>
  <c r="B3272"/>
  <c r="C3272" l="1"/>
  <c r="B3273"/>
  <c r="C3273" l="1"/>
  <c r="B3274"/>
  <c r="C3274" l="1"/>
  <c r="B3275"/>
  <c r="C3275" l="1"/>
  <c r="B3276"/>
  <c r="C3276" l="1"/>
  <c r="B3277"/>
  <c r="C3277" l="1"/>
  <c r="B3278"/>
  <c r="C3278" l="1"/>
  <c r="B3279"/>
  <c r="C3279" l="1"/>
  <c r="B3280"/>
  <c r="C3280" l="1"/>
  <c r="B3281"/>
  <c r="C3281" l="1"/>
  <c r="B3282"/>
  <c r="C3282" l="1"/>
  <c r="B3283"/>
  <c r="C3283" l="1"/>
  <c r="B3284"/>
  <c r="C3284" l="1"/>
  <c r="B3285"/>
  <c r="C3285" l="1"/>
  <c r="B3286"/>
  <c r="C3286" l="1"/>
  <c r="B3287"/>
  <c r="C3287" l="1"/>
  <c r="B3288"/>
  <c r="C3288" l="1"/>
  <c r="B3289"/>
  <c r="C3289" l="1"/>
  <c r="B3290"/>
  <c r="C3290" l="1"/>
  <c r="B3291"/>
  <c r="C3291" l="1"/>
  <c r="B3292"/>
  <c r="C3292" l="1"/>
  <c r="B3293"/>
  <c r="C3293" l="1"/>
  <c r="B3294"/>
  <c r="B3295" l="1"/>
  <c r="C3294"/>
  <c r="C3295" l="1"/>
  <c r="B3296"/>
  <c r="C3296" l="1"/>
  <c r="B3297"/>
  <c r="C3297" l="1"/>
  <c r="B3298"/>
  <c r="C3298" l="1"/>
  <c r="B3299"/>
  <c r="C3299" l="1"/>
  <c r="B3300"/>
  <c r="C3300" l="1"/>
  <c r="B3301"/>
  <c r="C3301" l="1"/>
  <c r="B3302"/>
  <c r="C3302" l="1"/>
  <c r="B3303"/>
  <c r="C3303" l="1"/>
  <c r="B3304"/>
  <c r="C3304" l="1"/>
  <c r="B3305"/>
  <c r="C3305" l="1"/>
  <c r="B3306"/>
  <c r="C3306" l="1"/>
  <c r="B3307"/>
  <c r="C3307" l="1"/>
  <c r="B3308"/>
  <c r="C3308" l="1"/>
  <c r="B3309"/>
  <c r="C3309" l="1"/>
  <c r="B3310"/>
  <c r="C3310" l="1"/>
  <c r="B3311"/>
  <c r="C3311" l="1"/>
  <c r="B3312"/>
  <c r="B3313" l="1"/>
  <c r="C3312"/>
  <c r="C3313" l="1"/>
  <c r="B3314"/>
  <c r="C3314" l="1"/>
  <c r="B3315"/>
  <c r="C3315" l="1"/>
  <c r="B3316"/>
  <c r="C3316" l="1"/>
  <c r="B3317"/>
  <c r="C3317" l="1"/>
  <c r="B3318"/>
  <c r="C3318" l="1"/>
  <c r="B3319"/>
  <c r="C3319" l="1"/>
  <c r="B3320"/>
  <c r="C3320" l="1"/>
  <c r="B3321"/>
  <c r="C3321" l="1"/>
  <c r="B3322"/>
  <c r="C3322" l="1"/>
  <c r="B3323"/>
  <c r="B3324" l="1"/>
  <c r="C3323"/>
  <c r="C3324" l="1"/>
  <c r="B3325"/>
  <c r="C3325" l="1"/>
  <c r="B3326"/>
  <c r="C3326" l="1"/>
  <c r="B3327"/>
  <c r="C3327" l="1"/>
  <c r="B3328"/>
  <c r="C3328" l="1"/>
  <c r="B3329"/>
  <c r="C3329" l="1"/>
  <c r="B3330"/>
  <c r="C3330" l="1"/>
  <c r="B3331"/>
  <c r="C3331" l="1"/>
  <c r="B3332"/>
  <c r="C3332" l="1"/>
  <c r="B3333"/>
  <c r="C3333" l="1"/>
  <c r="B3334"/>
  <c r="C3334" l="1"/>
  <c r="B3335"/>
  <c r="C3335" l="1"/>
  <c r="B3336"/>
  <c r="C3336" l="1"/>
  <c r="B3337"/>
  <c r="C3337" l="1"/>
  <c r="B3338"/>
  <c r="C3338" l="1"/>
  <c r="B3339"/>
  <c r="C3339" l="1"/>
  <c r="B3340"/>
  <c r="C3340" l="1"/>
  <c r="B3341"/>
  <c r="C3341" l="1"/>
  <c r="B3342"/>
  <c r="C3342" l="1"/>
  <c r="B3343"/>
  <c r="C3343" l="1"/>
  <c r="B3344"/>
  <c r="C3344" l="1"/>
  <c r="B3345"/>
  <c r="C3345" l="1"/>
  <c r="B3346"/>
  <c r="C3346" l="1"/>
  <c r="B3347"/>
  <c r="C3347" l="1"/>
  <c r="B3348"/>
  <c r="C3348" l="1"/>
  <c r="B3349"/>
  <c r="C3349" l="1"/>
  <c r="B3350"/>
  <c r="C3350" l="1"/>
  <c r="B3351"/>
  <c r="C3351" l="1"/>
  <c r="B3352"/>
  <c r="C3352" l="1"/>
  <c r="B3353"/>
  <c r="C3353" l="1"/>
  <c r="B3354"/>
  <c r="C3354" l="1"/>
  <c r="B3355"/>
  <c r="C3355" l="1"/>
  <c r="B3356"/>
  <c r="C3356" l="1"/>
  <c r="B3357"/>
  <c r="C3357" l="1"/>
  <c r="B3358"/>
  <c r="C3358" l="1"/>
  <c r="B3359"/>
  <c r="C3359" l="1"/>
  <c r="B3360"/>
  <c r="C3360" l="1"/>
  <c r="B3361"/>
  <c r="B3362" l="1"/>
  <c r="C3361"/>
  <c r="C3362" l="1"/>
  <c r="B3363"/>
  <c r="C3363" l="1"/>
  <c r="B3364"/>
  <c r="C3364" l="1"/>
  <c r="B3365"/>
  <c r="C3365" l="1"/>
  <c r="B3366"/>
  <c r="C3366" l="1"/>
  <c r="B3367"/>
  <c r="C3367" l="1"/>
  <c r="B3368"/>
  <c r="C3368" l="1"/>
  <c r="B3369"/>
  <c r="C3369" l="1"/>
  <c r="B3370"/>
  <c r="C3370" l="1"/>
  <c r="B3371"/>
  <c r="C3371" l="1"/>
  <c r="B3372"/>
  <c r="C3372" l="1"/>
  <c r="B3373"/>
  <c r="C3373" l="1"/>
  <c r="B3374"/>
  <c r="C3374" l="1"/>
  <c r="B3375"/>
  <c r="C3375" l="1"/>
  <c r="B3376"/>
  <c r="B3377" l="1"/>
  <c r="C3376"/>
  <c r="C3377" l="1"/>
  <c r="B3378"/>
  <c r="C3378" l="1"/>
  <c r="B3379"/>
  <c r="C3379" l="1"/>
  <c r="B3380"/>
  <c r="C3380" l="1"/>
  <c r="B3381"/>
  <c r="C3381" l="1"/>
  <c r="B3382"/>
  <c r="C3382" l="1"/>
  <c r="B3383"/>
  <c r="C3383" l="1"/>
  <c r="B3384"/>
  <c r="C3384" l="1"/>
  <c r="B3385"/>
  <c r="C3385" l="1"/>
  <c r="B3386"/>
  <c r="C3386" l="1"/>
  <c r="B3387"/>
  <c r="C3387" l="1"/>
  <c r="B3388"/>
  <c r="C3388" l="1"/>
  <c r="B3389"/>
  <c r="C3389" l="1"/>
  <c r="B3390"/>
  <c r="C3390" l="1"/>
  <c r="B3391"/>
  <c r="C3391" l="1"/>
  <c r="B3392"/>
  <c r="C3392" l="1"/>
  <c r="B3393"/>
  <c r="C3393" l="1"/>
  <c r="B3394"/>
  <c r="C3394" l="1"/>
  <c r="B3395"/>
  <c r="C3395" l="1"/>
  <c r="B3396"/>
  <c r="C3396" l="1"/>
  <c r="B3397"/>
  <c r="C3397" l="1"/>
  <c r="B3398"/>
  <c r="C3398" l="1"/>
  <c r="B3399"/>
  <c r="C3399" l="1"/>
  <c r="B3400"/>
  <c r="C3400" l="1"/>
  <c r="B3401"/>
  <c r="C3401" l="1"/>
  <c r="B3402"/>
  <c r="C3402" l="1"/>
  <c r="B3403"/>
  <c r="C3403" l="1"/>
  <c r="B3404"/>
  <c r="C3404" l="1"/>
  <c r="B3405"/>
  <c r="C3405" l="1"/>
  <c r="B3406"/>
  <c r="C3406" l="1"/>
  <c r="B3407"/>
  <c r="C3407" l="1"/>
  <c r="B3408"/>
  <c r="C3408" l="1"/>
  <c r="B3409"/>
  <c r="C3409" l="1"/>
  <c r="B3410"/>
  <c r="C3410" l="1"/>
  <c r="B3411"/>
  <c r="C3411" l="1"/>
  <c r="B3412"/>
  <c r="C3412" l="1"/>
  <c r="B3413"/>
  <c r="C3413" l="1"/>
  <c r="B3414"/>
  <c r="C3414" l="1"/>
  <c r="B3415"/>
  <c r="C3415" l="1"/>
  <c r="B3416"/>
  <c r="C3416" l="1"/>
  <c r="B3417"/>
  <c r="C3417" l="1"/>
  <c r="B3418"/>
  <c r="C3418" l="1"/>
  <c r="B3419"/>
  <c r="C3419" l="1"/>
  <c r="B3420"/>
  <c r="C3420" l="1"/>
  <c r="B3421"/>
  <c r="C3421" l="1"/>
  <c r="B3422"/>
  <c r="C3422" l="1"/>
  <c r="B3423"/>
  <c r="C3423" l="1"/>
  <c r="B3424"/>
  <c r="C3424" l="1"/>
  <c r="B3425"/>
  <c r="C3425" l="1"/>
  <c r="B3426"/>
  <c r="C3426" l="1"/>
  <c r="B3427"/>
  <c r="C3427" l="1"/>
  <c r="B3428"/>
  <c r="C3428" l="1"/>
  <c r="B3429"/>
  <c r="C3429" l="1"/>
  <c r="B3430"/>
  <c r="C3430" l="1"/>
  <c r="B3431"/>
  <c r="C3431" l="1"/>
  <c r="B3432"/>
  <c r="C3432" l="1"/>
  <c r="B3433"/>
  <c r="C3433" l="1"/>
  <c r="B3434"/>
  <c r="B3435" l="1"/>
  <c r="C3434"/>
  <c r="C3435" l="1"/>
  <c r="B3436"/>
  <c r="C3436" l="1"/>
  <c r="B3437"/>
  <c r="C3437" l="1"/>
  <c r="B3438"/>
  <c r="C3438" l="1"/>
  <c r="B3439"/>
  <c r="C3439" l="1"/>
  <c r="B3440"/>
  <c r="C3440" l="1"/>
  <c r="B3441"/>
  <c r="C3441" l="1"/>
  <c r="B3442"/>
  <c r="C3442" l="1"/>
  <c r="B3443"/>
  <c r="C3443" l="1"/>
  <c r="B3444"/>
  <c r="C3444" l="1"/>
  <c r="B3445"/>
  <c r="C3445" l="1"/>
  <c r="B3446"/>
  <c r="C3446" l="1"/>
  <c r="B3447"/>
  <c r="C3447" l="1"/>
  <c r="B3448"/>
  <c r="C3448" l="1"/>
  <c r="B3449"/>
  <c r="C3449" l="1"/>
  <c r="B3450"/>
  <c r="C3450" l="1"/>
  <c r="B3451"/>
  <c r="C3451" l="1"/>
  <c r="B3452"/>
  <c r="B3453" l="1"/>
  <c r="C3452"/>
  <c r="C3453" l="1"/>
  <c r="B3454"/>
  <c r="C3454" l="1"/>
  <c r="B3455"/>
  <c r="C3455" l="1"/>
  <c r="B3456"/>
  <c r="C3456" l="1"/>
  <c r="B3457"/>
  <c r="C3457" l="1"/>
  <c r="B3458"/>
  <c r="C3458" l="1"/>
  <c r="B3459"/>
  <c r="C3459" l="1"/>
  <c r="B3460"/>
  <c r="C3460" l="1"/>
  <c r="B3461"/>
  <c r="C3461" l="1"/>
  <c r="B3462"/>
  <c r="C3462" l="1"/>
  <c r="B3463"/>
  <c r="B3464" l="1"/>
  <c r="C3463"/>
  <c r="C3464" l="1"/>
  <c r="B3465"/>
  <c r="C3465" l="1"/>
  <c r="B3466"/>
  <c r="C3466" l="1"/>
  <c r="B3467"/>
  <c r="C3467" l="1"/>
  <c r="B3468"/>
  <c r="C3468" l="1"/>
  <c r="B3469"/>
  <c r="C3469" l="1"/>
  <c r="B3470"/>
  <c r="C3470" l="1"/>
  <c r="B3471"/>
  <c r="C3471" l="1"/>
  <c r="B3472"/>
  <c r="C3472" l="1"/>
  <c r="B3473"/>
  <c r="C3473" l="1"/>
  <c r="B3474"/>
  <c r="C3474" l="1"/>
  <c r="B3475"/>
  <c r="C3475" l="1"/>
  <c r="B3476"/>
  <c r="C3476" l="1"/>
  <c r="B3477"/>
  <c r="C3477" l="1"/>
  <c r="B3478"/>
  <c r="C3478" l="1"/>
  <c r="B3479"/>
  <c r="C3479" l="1"/>
  <c r="B3480"/>
  <c r="C3480" l="1"/>
  <c r="B3481"/>
  <c r="C3481" l="1"/>
  <c r="B3482"/>
  <c r="C3482" l="1"/>
  <c r="B3483"/>
  <c r="C3483" l="1"/>
  <c r="B3484"/>
  <c r="C3484" l="1"/>
  <c r="B3485"/>
  <c r="C3485" l="1"/>
  <c r="B3486"/>
  <c r="C3486" l="1"/>
  <c r="B3487"/>
  <c r="C3487" l="1"/>
  <c r="B3488"/>
  <c r="C3488" l="1"/>
  <c r="B3489"/>
  <c r="C3489" l="1"/>
  <c r="B3490"/>
  <c r="C3490" l="1"/>
  <c r="B3491"/>
  <c r="C3491" l="1"/>
  <c r="B3492"/>
  <c r="C3492" l="1"/>
  <c r="B3493"/>
  <c r="C3493" l="1"/>
  <c r="B3494"/>
  <c r="C3494" l="1"/>
  <c r="B3495"/>
  <c r="C3495" l="1"/>
  <c r="B3496"/>
  <c r="C3496" l="1"/>
  <c r="B3497"/>
  <c r="C3497" l="1"/>
  <c r="B3498"/>
  <c r="C3498" l="1"/>
  <c r="B3499"/>
  <c r="C3499" l="1"/>
  <c r="B3500"/>
  <c r="C3500" l="1"/>
  <c r="B3501"/>
  <c r="B3502" l="1"/>
  <c r="C3501"/>
  <c r="C3502" l="1"/>
  <c r="B3503"/>
  <c r="C3503" l="1"/>
  <c r="B3504"/>
  <c r="C3504" l="1"/>
  <c r="B3505"/>
  <c r="C3505" l="1"/>
  <c r="B3506"/>
  <c r="C3506" l="1"/>
  <c r="B3507"/>
  <c r="C3507" l="1"/>
  <c r="B3508"/>
  <c r="C3508" l="1"/>
  <c r="B3509"/>
  <c r="C3509" l="1"/>
  <c r="B3510"/>
  <c r="C3510" l="1"/>
  <c r="B3511"/>
  <c r="C3511" l="1"/>
  <c r="B3512"/>
  <c r="C3512" l="1"/>
  <c r="B3513"/>
  <c r="C3513" l="1"/>
  <c r="B3514"/>
  <c r="C3514" l="1"/>
  <c r="B3515"/>
  <c r="C3515" l="1"/>
  <c r="B3516"/>
  <c r="B3517" l="1"/>
  <c r="C3516"/>
  <c r="B3518" l="1"/>
  <c r="C3517"/>
  <c r="B3519" l="1"/>
  <c r="C3518"/>
  <c r="C3519" l="1"/>
  <c r="B3520"/>
  <c r="C3520" l="1"/>
  <c r="B3521"/>
  <c r="C3521" l="1"/>
  <c r="B3522"/>
  <c r="C3522" l="1"/>
  <c r="B3523"/>
  <c r="C3523" l="1"/>
  <c r="B3524"/>
  <c r="C3524" l="1"/>
  <c r="B3525"/>
  <c r="C3525" l="1"/>
  <c r="B3526"/>
  <c r="C3526" l="1"/>
  <c r="B3527"/>
  <c r="C3527" l="1"/>
  <c r="B3528"/>
  <c r="C3528" l="1"/>
  <c r="B3529"/>
  <c r="C3529" l="1"/>
  <c r="B3530"/>
  <c r="C3530" l="1"/>
  <c r="B3531"/>
  <c r="C3531" l="1"/>
  <c r="B3532"/>
  <c r="C3532" l="1"/>
  <c r="B3533"/>
  <c r="C3533" l="1"/>
  <c r="B3534"/>
  <c r="C3534" l="1"/>
  <c r="B3535"/>
  <c r="C3535" l="1"/>
  <c r="B3536"/>
  <c r="C3536" l="1"/>
  <c r="B3537"/>
  <c r="C3537" l="1"/>
  <c r="B3538"/>
  <c r="C3538" l="1"/>
  <c r="B3539"/>
  <c r="C3539" l="1"/>
  <c r="B3540"/>
  <c r="C3540" l="1"/>
  <c r="B3541"/>
  <c r="C3541" l="1"/>
  <c r="B3542"/>
  <c r="C3542" l="1"/>
  <c r="B3543"/>
  <c r="C3543" l="1"/>
  <c r="B3544"/>
  <c r="C3544" l="1"/>
  <c r="B3545"/>
  <c r="C3545" l="1"/>
  <c r="B3546"/>
  <c r="C3546" l="1"/>
  <c r="B3547"/>
  <c r="C3547" l="1"/>
  <c r="B3548"/>
  <c r="C3548" l="1"/>
  <c r="B3549"/>
  <c r="C3549" l="1"/>
  <c r="B3550"/>
  <c r="C3550" l="1"/>
  <c r="B3551"/>
  <c r="C3551" l="1"/>
  <c r="B3552"/>
  <c r="C3552" l="1"/>
  <c r="B3553"/>
  <c r="C3553" l="1"/>
  <c r="B3554"/>
  <c r="C3554" l="1"/>
  <c r="B3555"/>
  <c r="C3555" l="1"/>
  <c r="B3556"/>
  <c r="C3556" l="1"/>
  <c r="B3557"/>
  <c r="C3557" l="1"/>
  <c r="B3558"/>
  <c r="C3558" l="1"/>
  <c r="B3559"/>
  <c r="C3559" l="1"/>
  <c r="B3560"/>
  <c r="C3560" l="1"/>
  <c r="B3561"/>
  <c r="C3561" l="1"/>
  <c r="B3562"/>
  <c r="C3562" l="1"/>
  <c r="B3563"/>
  <c r="C3563" l="1"/>
  <c r="B3564"/>
  <c r="C3564" l="1"/>
  <c r="B3565"/>
  <c r="C3565" l="1"/>
  <c r="B3566"/>
  <c r="C3566" l="1"/>
  <c r="B3567"/>
  <c r="C3567" l="1"/>
  <c r="B3568"/>
  <c r="C3568" l="1"/>
  <c r="B3569"/>
  <c r="C3569" l="1"/>
  <c r="B3570"/>
  <c r="C3570" l="1"/>
  <c r="B3571"/>
  <c r="C3571" l="1"/>
  <c r="B3572"/>
  <c r="C3572" l="1"/>
  <c r="B3573"/>
  <c r="C3573" l="1"/>
  <c r="B3574"/>
  <c r="C3574" l="1"/>
  <c r="B3575"/>
  <c r="B3576" l="1"/>
  <c r="C3575"/>
  <c r="C3576" l="1"/>
  <c r="B3577"/>
  <c r="C3577" l="1"/>
  <c r="B3578"/>
  <c r="C3578" l="1"/>
  <c r="B3579"/>
  <c r="C3579" l="1"/>
  <c r="B3580"/>
  <c r="C3580" l="1"/>
  <c r="B3581"/>
  <c r="C3581" l="1"/>
  <c r="B3582"/>
  <c r="C3582" l="1"/>
  <c r="B3583"/>
  <c r="C3583" l="1"/>
  <c r="B3584"/>
  <c r="C3584" l="1"/>
  <c r="B3585"/>
  <c r="C3585" l="1"/>
  <c r="B3586"/>
  <c r="C3586" l="1"/>
  <c r="B3587"/>
  <c r="C3587" l="1"/>
  <c r="B3588"/>
  <c r="C3588" l="1"/>
  <c r="B3589"/>
  <c r="C3589" l="1"/>
  <c r="B3590"/>
  <c r="C3590" l="1"/>
  <c r="B3591"/>
  <c r="C3591" l="1"/>
  <c r="B3592"/>
  <c r="C3592" l="1"/>
  <c r="B3593"/>
  <c r="B3594" l="1"/>
  <c r="C3593"/>
  <c r="C3594" l="1"/>
  <c r="B3595"/>
  <c r="C3595" l="1"/>
  <c r="B3596"/>
  <c r="C3596" l="1"/>
  <c r="B3597"/>
  <c r="C3597" l="1"/>
  <c r="B3598"/>
  <c r="C3598" l="1"/>
  <c r="B3599"/>
  <c r="C3599" l="1"/>
  <c r="B3600"/>
  <c r="C3600" l="1"/>
  <c r="B3601"/>
  <c r="C3601" l="1"/>
  <c r="B3602"/>
  <c r="C3602" l="1"/>
  <c r="B3603"/>
  <c r="C3603" l="1"/>
  <c r="B3604"/>
  <c r="B3605" l="1"/>
  <c r="C3604"/>
  <c r="C3605" l="1"/>
  <c r="B3606"/>
  <c r="C3606" l="1"/>
  <c r="B3607"/>
  <c r="C3607" l="1"/>
  <c r="B3608"/>
  <c r="C3608" l="1"/>
  <c r="B3609"/>
  <c r="C3609" l="1"/>
  <c r="B3610"/>
  <c r="C3610" l="1"/>
  <c r="B3611"/>
  <c r="C3611" l="1"/>
  <c r="B3612"/>
  <c r="C3612" l="1"/>
  <c r="B3613"/>
  <c r="C3613" l="1"/>
  <c r="B3614"/>
  <c r="C3614" l="1"/>
  <c r="B3615"/>
  <c r="C3615" l="1"/>
  <c r="B3616"/>
  <c r="C3616" l="1"/>
  <c r="B3617"/>
  <c r="C3617" l="1"/>
  <c r="B3618"/>
  <c r="C3618" l="1"/>
  <c r="B3619"/>
  <c r="C3619" l="1"/>
  <c r="B3620"/>
  <c r="C3620" l="1"/>
  <c r="B3621"/>
  <c r="C3621" l="1"/>
  <c r="B3622"/>
  <c r="C3622" l="1"/>
  <c r="B3623"/>
  <c r="C3623" l="1"/>
  <c r="B3624"/>
  <c r="C3624" l="1"/>
  <c r="B3625"/>
  <c r="C3625" l="1"/>
  <c r="B3626"/>
  <c r="C3626" l="1"/>
  <c r="B3627"/>
  <c r="C3627" l="1"/>
  <c r="B3628"/>
  <c r="C3628" l="1"/>
  <c r="B3629"/>
  <c r="C3629" l="1"/>
  <c r="B3630"/>
  <c r="C3630" l="1"/>
  <c r="B3631"/>
  <c r="C3631" l="1"/>
  <c r="B3632"/>
  <c r="C3632" l="1"/>
  <c r="B3633"/>
  <c r="C3633" l="1"/>
  <c r="B3634"/>
  <c r="C3634" l="1"/>
  <c r="B3635"/>
  <c r="C3635" l="1"/>
  <c r="B3636"/>
  <c r="C3636" l="1"/>
  <c r="B3637"/>
  <c r="C3637" l="1"/>
  <c r="B3638"/>
  <c r="C3638" l="1"/>
  <c r="B3639"/>
  <c r="C3639" l="1"/>
  <c r="B3640"/>
  <c r="C3640" l="1"/>
  <c r="B3641"/>
  <c r="C3641" l="1"/>
  <c r="B3642"/>
  <c r="B3643" l="1"/>
  <c r="C3642"/>
  <c r="C3643" l="1"/>
  <c r="B3644"/>
  <c r="C3644" l="1"/>
  <c r="B3645"/>
  <c r="C3645" l="1"/>
  <c r="B3646"/>
  <c r="C3646" l="1"/>
  <c r="B3647"/>
  <c r="C3647" l="1"/>
  <c r="B3648"/>
  <c r="C3648" l="1"/>
  <c r="B3649"/>
  <c r="C3649" l="1"/>
  <c r="B3650"/>
  <c r="C3650" l="1"/>
  <c r="B3651"/>
  <c r="C3651" l="1"/>
  <c r="B3652"/>
  <c r="C3652" l="1"/>
  <c r="B3653"/>
  <c r="C3653" l="1"/>
  <c r="B3654"/>
  <c r="C3654" l="1"/>
  <c r="B3655"/>
  <c r="C3655" l="1"/>
  <c r="B3656"/>
  <c r="B3657" l="1"/>
  <c r="C3656"/>
  <c r="C3657" l="1"/>
  <c r="B3658"/>
  <c r="C3658" l="1"/>
  <c r="B3659"/>
  <c r="C3659" l="1"/>
  <c r="B3660"/>
  <c r="C3660" l="1"/>
  <c r="B3661"/>
  <c r="C3661" l="1"/>
  <c r="B3662"/>
  <c r="C3662" l="1"/>
  <c r="B3663"/>
  <c r="C3663" l="1"/>
  <c r="B3664"/>
  <c r="C3664" l="1"/>
  <c r="B3665"/>
  <c r="C3665" l="1"/>
  <c r="B3666"/>
  <c r="C3666" l="1"/>
  <c r="B3667"/>
  <c r="C3667" l="1"/>
  <c r="B3668"/>
  <c r="C3668" l="1"/>
  <c r="B3669"/>
  <c r="C3669" l="1"/>
  <c r="B3670"/>
  <c r="C3670" l="1"/>
  <c r="B3671"/>
  <c r="C3671" l="1"/>
  <c r="B3672"/>
  <c r="C3672" l="1"/>
  <c r="B3673"/>
  <c r="C3673" l="1"/>
  <c r="B3674"/>
  <c r="C3674" l="1"/>
  <c r="B3675"/>
  <c r="C3675" l="1"/>
  <c r="B3676"/>
  <c r="C3676" l="1"/>
  <c r="B3677"/>
  <c r="C3677" l="1"/>
  <c r="B3678"/>
  <c r="C3678" l="1"/>
  <c r="B3679"/>
  <c r="C3679" l="1"/>
  <c r="B3680"/>
  <c r="C3680" l="1"/>
  <c r="B3681"/>
  <c r="C3681" l="1"/>
  <c r="B3682"/>
  <c r="C3682" l="1"/>
  <c r="B3683"/>
  <c r="C3683" l="1"/>
  <c r="B3684"/>
  <c r="C3684" l="1"/>
  <c r="B3685"/>
  <c r="C3685" l="1"/>
  <c r="B3686"/>
  <c r="C3686" l="1"/>
  <c r="B3687"/>
  <c r="C3687" l="1"/>
  <c r="B3688"/>
  <c r="C3688" l="1"/>
  <c r="B3689"/>
  <c r="C3689" l="1"/>
  <c r="B3690"/>
  <c r="C3690" l="1"/>
  <c r="B3691"/>
  <c r="C3691" l="1"/>
  <c r="B3692"/>
  <c r="C3692" l="1"/>
  <c r="B3693"/>
  <c r="C3693" l="1"/>
  <c r="B3694"/>
  <c r="C3694" l="1"/>
  <c r="B3695"/>
  <c r="C3695" l="1"/>
  <c r="B3696"/>
  <c r="C3696" l="1"/>
  <c r="B3697"/>
  <c r="C3697" l="1"/>
  <c r="B3698"/>
  <c r="C3698" l="1"/>
  <c r="B3699"/>
  <c r="C3699" l="1"/>
  <c r="B3700"/>
  <c r="C3700" l="1"/>
  <c r="B3701"/>
  <c r="C3701" l="1"/>
  <c r="B3702"/>
  <c r="C3702" l="1"/>
  <c r="B3703"/>
  <c r="C3703" l="1"/>
  <c r="B3704"/>
  <c r="C3704" l="1"/>
  <c r="B3705"/>
  <c r="C3705" l="1"/>
  <c r="B3706"/>
  <c r="C3706" l="1"/>
  <c r="B3707"/>
  <c r="C3707" l="1"/>
  <c r="B3708"/>
  <c r="C3708" l="1"/>
  <c r="B3709"/>
  <c r="C3709" l="1"/>
  <c r="B3710"/>
  <c r="C3710" l="1"/>
  <c r="B3711"/>
  <c r="C3711" l="1"/>
  <c r="B3712"/>
  <c r="C3712" l="1"/>
  <c r="B3713"/>
  <c r="C3713" l="1"/>
  <c r="B3714"/>
  <c r="B3715" l="1"/>
  <c r="C3714"/>
  <c r="C3715" l="1"/>
  <c r="B3716"/>
  <c r="C3716" l="1"/>
  <c r="B3717"/>
  <c r="C3717" l="1"/>
  <c r="B3718"/>
  <c r="C3718" l="1"/>
  <c r="B3719"/>
  <c r="C3719" l="1"/>
  <c r="B3720"/>
  <c r="C3720" l="1"/>
  <c r="B3721"/>
  <c r="C3721" l="1"/>
  <c r="B3722"/>
  <c r="C3722" l="1"/>
  <c r="B3723"/>
  <c r="C3723" l="1"/>
  <c r="B3724"/>
  <c r="C3724" l="1"/>
  <c r="B3725"/>
  <c r="C3725" l="1"/>
  <c r="B3726"/>
  <c r="C3726" l="1"/>
  <c r="B3727"/>
  <c r="C3727" l="1"/>
  <c r="B3728"/>
  <c r="C3728" l="1"/>
  <c r="B3729"/>
  <c r="C3729" l="1"/>
  <c r="B3730"/>
  <c r="C3730" l="1"/>
  <c r="B3731"/>
  <c r="C3731" l="1"/>
  <c r="B3732"/>
  <c r="B3733" l="1"/>
  <c r="C3732"/>
  <c r="C3733" l="1"/>
  <c r="B3734"/>
  <c r="C3734" l="1"/>
  <c r="B3735"/>
  <c r="C3735" l="1"/>
  <c r="B3736"/>
  <c r="C3736" l="1"/>
  <c r="B3737"/>
  <c r="C3737" l="1"/>
  <c r="B3738"/>
  <c r="C3738" l="1"/>
  <c r="B3739"/>
  <c r="C3739" l="1"/>
  <c r="B3740"/>
  <c r="C3740" l="1"/>
  <c r="B3741"/>
  <c r="C3741" l="1"/>
  <c r="B3742"/>
  <c r="C3742" l="1"/>
  <c r="B3743"/>
  <c r="B3744" l="1"/>
  <c r="C3743"/>
  <c r="C3744" l="1"/>
  <c r="B3745"/>
  <c r="C3745" l="1"/>
  <c r="B3746"/>
  <c r="C3746" l="1"/>
  <c r="B3747"/>
  <c r="C3747" l="1"/>
  <c r="B3748"/>
  <c r="C3748" l="1"/>
  <c r="B3749"/>
  <c r="C3749" l="1"/>
  <c r="B3750"/>
  <c r="C3750" l="1"/>
  <c r="B3751"/>
  <c r="C3751" l="1"/>
  <c r="B3752"/>
  <c r="C3752" l="1"/>
  <c r="B3753"/>
  <c r="C3753" l="1"/>
  <c r="B3754"/>
  <c r="C3754" l="1"/>
  <c r="B3755"/>
  <c r="C3755" l="1"/>
  <c r="B3756"/>
  <c r="C3756" l="1"/>
  <c r="B3757"/>
  <c r="C3757" l="1"/>
  <c r="B3758"/>
  <c r="C3758" l="1"/>
  <c r="B3759"/>
  <c r="C3759" l="1"/>
  <c r="B3760"/>
  <c r="C3760" l="1"/>
  <c r="B3761"/>
  <c r="C3761" l="1"/>
  <c r="B3762"/>
  <c r="C3762" l="1"/>
  <c r="B3763"/>
  <c r="C3763" l="1"/>
  <c r="B3764"/>
  <c r="C3764" l="1"/>
  <c r="B3765"/>
  <c r="C3765" l="1"/>
  <c r="B3766"/>
  <c r="C3766" l="1"/>
  <c r="B3767"/>
  <c r="C3767" l="1"/>
  <c r="B3768"/>
  <c r="C3768" l="1"/>
  <c r="B3769"/>
  <c r="C3769" l="1"/>
  <c r="B3770"/>
  <c r="C3770" l="1"/>
  <c r="B3771"/>
  <c r="C3771" l="1"/>
  <c r="B3772"/>
  <c r="C3772" l="1"/>
  <c r="B3773"/>
  <c r="C3773" l="1"/>
  <c r="B3774"/>
  <c r="C3774" l="1"/>
  <c r="B3775"/>
  <c r="C3775" l="1"/>
  <c r="B3776"/>
  <c r="C3776" l="1"/>
  <c r="B3777"/>
  <c r="C3777" l="1"/>
  <c r="B3778"/>
  <c r="C3778" l="1"/>
  <c r="B3779"/>
  <c r="C3779" l="1"/>
  <c r="B3780"/>
  <c r="C3780" l="1"/>
  <c r="B3781"/>
  <c r="B3782" l="1"/>
  <c r="C3781"/>
  <c r="C3782" l="1"/>
  <c r="B3783"/>
  <c r="C3783" l="1"/>
  <c r="B3784"/>
  <c r="C3784" l="1"/>
  <c r="B3785"/>
  <c r="C3785" l="1"/>
  <c r="B3786"/>
  <c r="C3786" l="1"/>
  <c r="B3787"/>
  <c r="C3787" l="1"/>
  <c r="B3788"/>
  <c r="C3788" l="1"/>
  <c r="B3789"/>
  <c r="C3789" l="1"/>
  <c r="B3790"/>
  <c r="C3790" l="1"/>
  <c r="B3791"/>
  <c r="C3791" l="1"/>
  <c r="B3792"/>
  <c r="C3792" l="1"/>
  <c r="B3793"/>
  <c r="C3793" l="1"/>
  <c r="B3794"/>
  <c r="C3794" l="1"/>
  <c r="B3795"/>
  <c r="C3795" l="1"/>
  <c r="B3796"/>
  <c r="B3797" l="1"/>
  <c r="C3796"/>
  <c r="B3798" l="1"/>
  <c r="C3797"/>
  <c r="B3799" l="1"/>
  <c r="C3798"/>
  <c r="C3799" l="1"/>
  <c r="B3800"/>
  <c r="C3800" l="1"/>
  <c r="B3801"/>
  <c r="C3801" l="1"/>
  <c r="B3802"/>
  <c r="C3802" l="1"/>
  <c r="B3803"/>
  <c r="C3803" l="1"/>
  <c r="B3804"/>
  <c r="C3804" l="1"/>
  <c r="B3805"/>
  <c r="C3805" l="1"/>
  <c r="B3806"/>
  <c r="C3806" l="1"/>
  <c r="B3807"/>
  <c r="C3807" l="1"/>
  <c r="B3808"/>
  <c r="C3808" l="1"/>
  <c r="B3809"/>
  <c r="C3809" l="1"/>
  <c r="B3810"/>
  <c r="C3810" l="1"/>
  <c r="B3811"/>
  <c r="C3811" l="1"/>
  <c r="B3812"/>
  <c r="C3812" l="1"/>
  <c r="B3813"/>
  <c r="C3813" l="1"/>
  <c r="B3814"/>
  <c r="C3814" l="1"/>
  <c r="B3815"/>
  <c r="C3815" l="1"/>
  <c r="B3816"/>
  <c r="C3816" l="1"/>
  <c r="B3817"/>
  <c r="C3817" l="1"/>
  <c r="B3818"/>
  <c r="C3818" l="1"/>
  <c r="B3819"/>
  <c r="C3819" l="1"/>
  <c r="B3820"/>
  <c r="C3820" l="1"/>
  <c r="B3821"/>
  <c r="C3821" l="1"/>
  <c r="B3822"/>
  <c r="C3822" l="1"/>
  <c r="B3823"/>
  <c r="C3823" l="1"/>
  <c r="B3824"/>
  <c r="C3824" l="1"/>
  <c r="B3825"/>
  <c r="C3825" l="1"/>
  <c r="B3826"/>
  <c r="C3826" l="1"/>
  <c r="B3827"/>
  <c r="C3827" l="1"/>
  <c r="B3828"/>
  <c r="C3828" l="1"/>
  <c r="B3829"/>
  <c r="C3829" l="1"/>
  <c r="B3830"/>
  <c r="C3830" l="1"/>
  <c r="B3831"/>
  <c r="C3831" l="1"/>
  <c r="B3832"/>
  <c r="C3832" l="1"/>
  <c r="B3833"/>
  <c r="C3833" l="1"/>
  <c r="B3834"/>
  <c r="C3834" l="1"/>
  <c r="B3835"/>
  <c r="C3835" l="1"/>
  <c r="B3836"/>
  <c r="C3836" l="1"/>
  <c r="B3837"/>
  <c r="C3837" l="1"/>
  <c r="B3838"/>
  <c r="C3838" l="1"/>
  <c r="B3839"/>
  <c r="C3839" l="1"/>
  <c r="B3840"/>
  <c r="C3840" l="1"/>
  <c r="B3841"/>
  <c r="C3841" l="1"/>
  <c r="B3842"/>
  <c r="C3842" l="1"/>
  <c r="B3843"/>
  <c r="C3843" l="1"/>
  <c r="B3844"/>
  <c r="C3844" l="1"/>
  <c r="B3845"/>
  <c r="C3845" l="1"/>
  <c r="B3846"/>
  <c r="C3846" l="1"/>
  <c r="B3847"/>
  <c r="C3847" l="1"/>
  <c r="B3848"/>
  <c r="C3848" l="1"/>
  <c r="B3849"/>
  <c r="C3849" l="1"/>
  <c r="B3850"/>
  <c r="C3850" l="1"/>
  <c r="B3851"/>
  <c r="C3851" l="1"/>
  <c r="B3852"/>
  <c r="C3852" l="1"/>
  <c r="B3853"/>
  <c r="C3853" l="1"/>
  <c r="B3854"/>
  <c r="C3854" l="1"/>
  <c r="B3855"/>
  <c r="B3856" l="1"/>
  <c r="C3855"/>
  <c r="C3856" l="1"/>
  <c r="B3857"/>
  <c r="C3857" l="1"/>
  <c r="B3858"/>
  <c r="C3858" l="1"/>
  <c r="B3859"/>
  <c r="C3859" l="1"/>
  <c r="B3860"/>
  <c r="C3860" l="1"/>
  <c r="B3861"/>
  <c r="C3861" l="1"/>
  <c r="B3862"/>
  <c r="C3862" l="1"/>
  <c r="B3863"/>
  <c r="C3863" l="1"/>
  <c r="B3864"/>
  <c r="C3864" l="1"/>
  <c r="B3865"/>
  <c r="C3865" l="1"/>
  <c r="B3866"/>
  <c r="C3866" l="1"/>
  <c r="B3867"/>
  <c r="C3867" l="1"/>
  <c r="B3868"/>
  <c r="C3868" l="1"/>
  <c r="B3869"/>
  <c r="C3869" l="1"/>
  <c r="B3870"/>
  <c r="C3870" l="1"/>
  <c r="B3871"/>
  <c r="C3871" l="1"/>
  <c r="B3872"/>
  <c r="C3872" l="1"/>
  <c r="B3873"/>
  <c r="B3874" l="1"/>
  <c r="C3873"/>
  <c r="C3874" l="1"/>
  <c r="B3875"/>
  <c r="C3875" l="1"/>
  <c r="B3876"/>
  <c r="C3876" l="1"/>
  <c r="B3877"/>
  <c r="C3877" l="1"/>
  <c r="B3878"/>
  <c r="C3878" l="1"/>
  <c r="B3879"/>
  <c r="C3879" l="1"/>
  <c r="B3880"/>
  <c r="C3880" l="1"/>
  <c r="B3881"/>
  <c r="C3881" l="1"/>
  <c r="B3882"/>
  <c r="C3882" l="1"/>
  <c r="B3883"/>
  <c r="C3883" l="1"/>
  <c r="B3884"/>
  <c r="B3885" l="1"/>
  <c r="C3884"/>
  <c r="C3885" l="1"/>
  <c r="B3886"/>
  <c r="C3886" l="1"/>
  <c r="B3887"/>
  <c r="C3887" l="1"/>
  <c r="B3888"/>
  <c r="C3888" l="1"/>
  <c r="B3889"/>
  <c r="C3889" l="1"/>
  <c r="B3890"/>
  <c r="C3890" l="1"/>
  <c r="B3891"/>
  <c r="C3891" l="1"/>
  <c r="B3892"/>
  <c r="C3892" l="1"/>
  <c r="B3893"/>
  <c r="C3893" l="1"/>
  <c r="B3894"/>
  <c r="C3894" l="1"/>
  <c r="B3895"/>
  <c r="C3895" l="1"/>
  <c r="B3896"/>
  <c r="C3896" l="1"/>
  <c r="B3897"/>
  <c r="C3897" l="1"/>
  <c r="B3898"/>
  <c r="C3898" l="1"/>
  <c r="B3899"/>
  <c r="C3899" l="1"/>
  <c r="B3900"/>
  <c r="C3900" l="1"/>
  <c r="B3901"/>
  <c r="C3901" l="1"/>
  <c r="B3902"/>
  <c r="C3902" l="1"/>
  <c r="B3903"/>
  <c r="C3903" l="1"/>
  <c r="B3904"/>
  <c r="C3904" l="1"/>
  <c r="B3905"/>
  <c r="C3905" l="1"/>
  <c r="B3906"/>
  <c r="C3906" l="1"/>
  <c r="B3907"/>
  <c r="C3907" l="1"/>
  <c r="B3908"/>
  <c r="C3908" l="1"/>
  <c r="B3909"/>
  <c r="C3909" l="1"/>
  <c r="B3910"/>
  <c r="C3910" l="1"/>
  <c r="B3911"/>
  <c r="C3911" l="1"/>
  <c r="B3912"/>
  <c r="C3912" l="1"/>
  <c r="B3913"/>
  <c r="C3913" l="1"/>
  <c r="B3914"/>
  <c r="C3914" l="1"/>
  <c r="B3915"/>
  <c r="C3915" l="1"/>
  <c r="B3916"/>
  <c r="C3916" l="1"/>
  <c r="B3917"/>
  <c r="C3917" l="1"/>
  <c r="B3918"/>
  <c r="C3918" l="1"/>
  <c r="B3919"/>
  <c r="C3919" l="1"/>
  <c r="B3920"/>
  <c r="C3920" l="1"/>
  <c r="B3921"/>
  <c r="C3921" l="1"/>
  <c r="B3922"/>
  <c r="B3923" l="1"/>
  <c r="C3922"/>
  <c r="C3923" l="1"/>
  <c r="B3924"/>
  <c r="C3924" l="1"/>
  <c r="B3925"/>
  <c r="C3925" l="1"/>
  <c r="B3926"/>
  <c r="C3926" l="1"/>
  <c r="B3927"/>
  <c r="C3927" l="1"/>
  <c r="B3928"/>
  <c r="C3928" l="1"/>
  <c r="B3929"/>
  <c r="C3929" l="1"/>
  <c r="B3930"/>
  <c r="C3930" l="1"/>
  <c r="B3931"/>
  <c r="C3931" l="1"/>
  <c r="B3932"/>
  <c r="C3932" l="1"/>
  <c r="B3933"/>
  <c r="C3933" l="1"/>
  <c r="B3934"/>
  <c r="C3934" l="1"/>
  <c r="B3935"/>
  <c r="C3935" l="1"/>
  <c r="B3936"/>
  <c r="B3937" l="1"/>
  <c r="C3936"/>
  <c r="C3937" l="1"/>
  <c r="B3938"/>
  <c r="C3938" l="1"/>
  <c r="B3939"/>
  <c r="C3939" l="1"/>
  <c r="B3940"/>
  <c r="C3940" l="1"/>
  <c r="B3941"/>
  <c r="C3941" l="1"/>
  <c r="B3942"/>
  <c r="C3942" l="1"/>
  <c r="B3943"/>
  <c r="C3943" l="1"/>
  <c r="B3944"/>
  <c r="C3944" l="1"/>
  <c r="B3945"/>
  <c r="C3945" l="1"/>
  <c r="B3946"/>
  <c r="C3946" l="1"/>
  <c r="B3947"/>
  <c r="C3947" l="1"/>
  <c r="B3948"/>
  <c r="C3948" l="1"/>
  <c r="B3949"/>
  <c r="C3949" l="1"/>
  <c r="B3950"/>
  <c r="C3950" l="1"/>
  <c r="B3951"/>
  <c r="C3951" l="1"/>
  <c r="B3952"/>
  <c r="C3952" l="1"/>
  <c r="B3953"/>
  <c r="C3953" l="1"/>
  <c r="B3954"/>
  <c r="C3954" l="1"/>
  <c r="B3955"/>
  <c r="C3955" l="1"/>
  <c r="B3956"/>
  <c r="C3956" l="1"/>
  <c r="B3957"/>
  <c r="C3957" l="1"/>
  <c r="B3958"/>
  <c r="C3958" l="1"/>
  <c r="B3959"/>
  <c r="C3959" l="1"/>
  <c r="B3960"/>
  <c r="C3960" l="1"/>
  <c r="B3961"/>
  <c r="C3961" l="1"/>
  <c r="B3962"/>
  <c r="C3962" l="1"/>
  <c r="B3963"/>
  <c r="C3963" l="1"/>
  <c r="B3964"/>
  <c r="C3964" l="1"/>
  <c r="B3965"/>
  <c r="C3965" l="1"/>
  <c r="B3966"/>
  <c r="C3966" l="1"/>
  <c r="B3967"/>
  <c r="C3967" l="1"/>
  <c r="B3968"/>
  <c r="C3968" l="1"/>
  <c r="B3969"/>
  <c r="C3969" l="1"/>
  <c r="B3970"/>
  <c r="C3970" l="1"/>
  <c r="B3971"/>
  <c r="C3971" l="1"/>
  <c r="B3972"/>
  <c r="C3972" l="1"/>
  <c r="B3973"/>
  <c r="C3973" l="1"/>
  <c r="B3974"/>
  <c r="C3974" l="1"/>
  <c r="B3975"/>
  <c r="C3975" l="1"/>
  <c r="B3976"/>
  <c r="C3976" l="1"/>
  <c r="B3977"/>
  <c r="C3977" l="1"/>
  <c r="B3978"/>
  <c r="C3978" l="1"/>
  <c r="B3979"/>
  <c r="C3979" l="1"/>
  <c r="B3980"/>
  <c r="C3980" l="1"/>
  <c r="B3981"/>
  <c r="C3981" l="1"/>
  <c r="B3982"/>
  <c r="C3982" l="1"/>
  <c r="B3983"/>
  <c r="C3983" l="1"/>
  <c r="B3984"/>
  <c r="C3984" l="1"/>
  <c r="B3985"/>
  <c r="C3985" l="1"/>
  <c r="B3986"/>
  <c r="C3986" l="1"/>
  <c r="B3987"/>
  <c r="C3987" l="1"/>
  <c r="B3988"/>
  <c r="C3988" l="1"/>
  <c r="B3989"/>
  <c r="C3989" l="1"/>
  <c r="B3990"/>
  <c r="C3990" l="1"/>
  <c r="B3991"/>
  <c r="C3991" l="1"/>
  <c r="B3992"/>
  <c r="C3992" l="1"/>
  <c r="B3993"/>
  <c r="C3993" l="1"/>
  <c r="B3994"/>
  <c r="B3995" l="1"/>
  <c r="C3994"/>
  <c r="C3995" l="1"/>
  <c r="B3996"/>
  <c r="C3996" l="1"/>
  <c r="B3997"/>
  <c r="C3997" l="1"/>
  <c r="B3998"/>
  <c r="C3998" l="1"/>
  <c r="B3999"/>
  <c r="C3999" l="1"/>
  <c r="B4000"/>
  <c r="C4000" l="1"/>
  <c r="B4001"/>
  <c r="C4001" l="1"/>
  <c r="B4002"/>
  <c r="C4002" l="1"/>
  <c r="B4003"/>
  <c r="C4003" l="1"/>
  <c r="B4004"/>
  <c r="C4004" l="1"/>
  <c r="B4005"/>
  <c r="C4005" l="1"/>
  <c r="B4006"/>
  <c r="C4006" l="1"/>
  <c r="B4007"/>
  <c r="C4007" l="1"/>
  <c r="B4008"/>
  <c r="C4008" l="1"/>
  <c r="B4009"/>
  <c r="C4009" l="1"/>
  <c r="B4010"/>
  <c r="C4010" l="1"/>
  <c r="B4011"/>
  <c r="C4011" l="1"/>
  <c r="B4012"/>
  <c r="B4013" l="1"/>
  <c r="C4012"/>
  <c r="C4013" l="1"/>
  <c r="B4014"/>
  <c r="C4014" l="1"/>
  <c r="B4015"/>
  <c r="C4015" l="1"/>
  <c r="B4016"/>
  <c r="C4016" l="1"/>
  <c r="B4017"/>
  <c r="C4017" l="1"/>
  <c r="B4018"/>
  <c r="C4018" l="1"/>
  <c r="B4019"/>
  <c r="C4019" l="1"/>
  <c r="B4020"/>
  <c r="C4020" l="1"/>
  <c r="B4021"/>
  <c r="C4021" l="1"/>
  <c r="B4022"/>
  <c r="C4022" l="1"/>
  <c r="B4023"/>
  <c r="B4024" l="1"/>
  <c r="C4023"/>
  <c r="C4024" l="1"/>
  <c r="B4025"/>
  <c r="C4025" l="1"/>
  <c r="B4026"/>
  <c r="C4026" l="1"/>
  <c r="B4027"/>
  <c r="C4027" l="1"/>
  <c r="B4028"/>
  <c r="C4028" l="1"/>
  <c r="B4029"/>
  <c r="C4029" l="1"/>
  <c r="B4030"/>
  <c r="C4030" l="1"/>
  <c r="B4031"/>
  <c r="C4031" l="1"/>
  <c r="B4032"/>
  <c r="C4032" l="1"/>
  <c r="B4033"/>
  <c r="C4033" l="1"/>
  <c r="B4034"/>
  <c r="C4034" l="1"/>
  <c r="B4035"/>
  <c r="C4035" l="1"/>
  <c r="B4036"/>
  <c r="C4036" l="1"/>
  <c r="B4037"/>
  <c r="C4037" l="1"/>
  <c r="B4038"/>
  <c r="C4038" l="1"/>
  <c r="B4039"/>
  <c r="C4039" l="1"/>
  <c r="B4040"/>
  <c r="C4040" l="1"/>
  <c r="B4041"/>
  <c r="C4041" l="1"/>
  <c r="B4042"/>
  <c r="C4042" l="1"/>
  <c r="B4043"/>
  <c r="C4043" l="1"/>
  <c r="B4044"/>
  <c r="C4044" l="1"/>
  <c r="B4045"/>
  <c r="C4045" l="1"/>
  <c r="B4046"/>
  <c r="C4046" l="1"/>
  <c r="B4047"/>
  <c r="C4047" l="1"/>
  <c r="B4048"/>
  <c r="C4048" l="1"/>
  <c r="B4049"/>
  <c r="C4049" l="1"/>
  <c r="B4050"/>
  <c r="C4050" l="1"/>
  <c r="B4051"/>
  <c r="C4051" l="1"/>
  <c r="B4052"/>
  <c r="C4052" l="1"/>
  <c r="B4053"/>
  <c r="C4053" l="1"/>
  <c r="B4054"/>
  <c r="C4054" l="1"/>
  <c r="B4055"/>
  <c r="C4055" l="1"/>
  <c r="B4056"/>
  <c r="C4056" l="1"/>
  <c r="B4057"/>
  <c r="C4057" l="1"/>
  <c r="B4058"/>
  <c r="C4058" l="1"/>
  <c r="B4059"/>
  <c r="C4059" l="1"/>
  <c r="B4060"/>
  <c r="C4060" l="1"/>
  <c r="B4061"/>
  <c r="C4061" s="1"/>
  <c r="V22" i="49" l="1"/>
  <c r="S18"/>
  <c r="W14"/>
  <c r="R19"/>
  <c r="W4"/>
  <c r="U21"/>
  <c r="S17"/>
  <c r="Q18"/>
  <c r="T8"/>
  <c r="X6"/>
  <c r="R13"/>
  <c r="W21"/>
  <c r="P12"/>
  <c r="Q8"/>
  <c r="S22"/>
  <c r="K14"/>
  <c r="O10"/>
  <c r="J15"/>
  <c r="X4"/>
  <c r="X10"/>
  <c r="N9"/>
  <c r="S20"/>
  <c r="V6"/>
  <c r="O22"/>
  <c r="W15"/>
  <c r="M12"/>
  <c r="T9"/>
  <c r="K5"/>
  <c r="P21"/>
  <c r="S15"/>
  <c r="S9"/>
  <c r="V10"/>
  <c r="S5"/>
  <c r="K21"/>
  <c r="R12"/>
  <c r="K16"/>
  <c r="T7"/>
  <c r="S14"/>
  <c r="U12"/>
  <c r="S13"/>
  <c r="S8"/>
  <c r="X22"/>
  <c r="P18"/>
  <c r="L15"/>
  <c r="M13"/>
  <c r="P6"/>
  <c r="Q22"/>
  <c r="L18"/>
  <c r="X16"/>
  <c r="V16"/>
  <c r="M7"/>
  <c r="K10"/>
  <c r="N21"/>
  <c r="K9"/>
  <c r="X8"/>
  <c r="P13"/>
  <c r="V15"/>
  <c r="J13"/>
  <c r="P4"/>
  <c r="J5"/>
  <c r="W11"/>
  <c r="V12"/>
  <c r="L20"/>
  <c r="M4"/>
  <c r="U3"/>
  <c r="M16"/>
  <c r="K17"/>
  <c r="X17"/>
  <c r="R4"/>
  <c r="P9"/>
  <c r="O20"/>
  <c r="M21"/>
  <c r="T4"/>
  <c r="Q17"/>
  <c r="L10"/>
  <c r="U18"/>
  <c r="N12"/>
  <c r="N7"/>
  <c r="X14"/>
  <c r="N13"/>
  <c r="J12"/>
  <c r="R6"/>
  <c r="P3"/>
  <c r="T18"/>
  <c r="P19"/>
  <c r="R9"/>
  <c r="O7"/>
  <c r="W12"/>
  <c r="M20"/>
  <c r="M14"/>
  <c r="R10"/>
  <c r="T3"/>
  <c r="N18"/>
  <c r="J21"/>
  <c r="X9"/>
  <c r="Q5"/>
  <c r="U14"/>
  <c r="M11"/>
  <c r="K12"/>
  <c r="X3"/>
  <c r="P5"/>
  <c r="K19"/>
  <c r="W10"/>
  <c r="O16"/>
  <c r="V5"/>
  <c r="S3"/>
  <c r="N10"/>
  <c r="J17"/>
  <c r="W19"/>
  <c r="V4"/>
  <c r="T10"/>
  <c r="P11"/>
  <c r="Q13"/>
  <c r="X7"/>
  <c r="P17"/>
  <c r="K11"/>
  <c r="R18"/>
  <c r="O4"/>
  <c r="Q6"/>
  <c r="L21"/>
  <c r="R17"/>
  <c r="N14"/>
  <c r="K8"/>
  <c r="M3"/>
  <c r="U20"/>
  <c r="S21"/>
  <c r="X21"/>
  <c r="M8"/>
  <c r="V21"/>
  <c r="T15"/>
  <c r="P20"/>
  <c r="W8"/>
  <c r="N3"/>
  <c r="R15"/>
  <c r="Q19"/>
  <c r="U10"/>
  <c r="L4"/>
  <c r="T22"/>
  <c r="J16"/>
  <c r="Q21"/>
  <c r="Q10"/>
  <c r="M6"/>
  <c r="V13"/>
  <c r="T11"/>
  <c r="P16"/>
  <c r="T6"/>
  <c r="V3"/>
  <c r="T5"/>
  <c r="V11"/>
  <c r="X5"/>
  <c r="V8"/>
  <c r="K7"/>
  <c r="V7"/>
  <c r="L13"/>
  <c r="K20"/>
  <c r="V14"/>
  <c r="S7"/>
  <c r="L3"/>
  <c r="S11"/>
  <c r="Q12"/>
  <c r="X13"/>
  <c r="O5"/>
  <c r="R22"/>
  <c r="Q20"/>
  <c r="U16"/>
  <c r="T13"/>
  <c r="S6"/>
  <c r="L9"/>
  <c r="Q15"/>
  <c r="W20"/>
  <c r="J6"/>
  <c r="J22"/>
  <c r="U13"/>
  <c r="O12"/>
  <c r="N15"/>
  <c r="M5"/>
  <c r="M19"/>
  <c r="O17"/>
  <c r="M18"/>
  <c r="N6"/>
  <c r="J3"/>
  <c r="J9"/>
  <c r="V18"/>
  <c r="W17"/>
  <c r="R5"/>
  <c r="K22"/>
  <c r="M9"/>
  <c r="X20"/>
  <c r="N11"/>
  <c r="U22"/>
  <c r="O11"/>
  <c r="V17"/>
  <c r="S19"/>
  <c r="S4"/>
  <c r="Q14"/>
  <c r="T19"/>
  <c r="U11"/>
  <c r="R7"/>
  <c r="O3"/>
  <c r="Q16"/>
  <c r="V20"/>
  <c r="Q11"/>
  <c r="U6"/>
  <c r="N22"/>
  <c r="J20"/>
  <c r="V9"/>
  <c r="K15"/>
  <c r="W6"/>
  <c r="O14"/>
  <c r="M15"/>
  <c r="V19"/>
  <c r="U7"/>
  <c r="L22"/>
  <c r="L14"/>
  <c r="X12"/>
  <c r="N20"/>
  <c r="K6"/>
  <c r="J14"/>
  <c r="X11"/>
  <c r="T12"/>
  <c r="O8"/>
  <c r="L5"/>
  <c r="U9"/>
  <c r="S10"/>
  <c r="N8"/>
  <c r="N5"/>
  <c r="R20"/>
  <c r="R11"/>
  <c r="L16"/>
  <c r="U8"/>
  <c r="M22"/>
  <c r="O18"/>
  <c r="W16"/>
  <c r="N19"/>
  <c r="L6"/>
  <c r="O19"/>
  <c r="U15"/>
  <c r="S16"/>
  <c r="Q7"/>
  <c r="N4"/>
  <c r="R16"/>
  <c r="N16"/>
  <c r="L12"/>
  <c r="U4"/>
  <c r="M17"/>
  <c r="K13"/>
  <c r="W13"/>
  <c r="W3"/>
  <c r="J7"/>
  <c r="T14"/>
  <c r="P15"/>
  <c r="K18"/>
  <c r="O6"/>
  <c r="W22"/>
  <c r="Q9"/>
  <c r="L19"/>
  <c r="U17"/>
  <c r="K4"/>
  <c r="S12"/>
  <c r="R21"/>
  <c r="O9"/>
  <c r="P7"/>
  <c r="M10"/>
  <c r="X19"/>
  <c r="T20"/>
  <c r="R8"/>
  <c r="J8"/>
  <c r="W18"/>
  <c r="U19"/>
  <c r="O13"/>
  <c r="J4"/>
  <c r="Q3"/>
  <c r="W9"/>
  <c r="J10"/>
  <c r="O15"/>
  <c r="W7"/>
  <c r="J19"/>
  <c r="X15"/>
  <c r="T16"/>
  <c r="U5"/>
  <c r="R3"/>
  <c r="P14"/>
  <c r="L11"/>
  <c r="T21"/>
  <c r="L7"/>
  <c r="L17"/>
  <c r="J11"/>
  <c r="R14"/>
  <c r="P8"/>
  <c r="W5"/>
  <c r="X18"/>
  <c r="N17"/>
  <c r="J18"/>
  <c r="Q4"/>
  <c r="P22"/>
  <c r="P10"/>
  <c r="O21"/>
  <c r="T17"/>
  <c r="K3"/>
  <c r="L8"/>
</calcChain>
</file>

<file path=xl/sharedStrings.xml><?xml version="1.0" encoding="utf-8"?>
<sst xmlns="http://schemas.openxmlformats.org/spreadsheetml/2006/main" count="410" uniqueCount="85">
  <si>
    <t>Période des éléments de paie</t>
  </si>
  <si>
    <t>DATE</t>
  </si>
  <si>
    <t>JOUR</t>
  </si>
  <si>
    <t>Noël</t>
  </si>
  <si>
    <t>Saint-Sylvestre</t>
  </si>
  <si>
    <t>Jour de l'An</t>
  </si>
  <si>
    <t>Vendredi Saint</t>
  </si>
  <si>
    <t>Lundi de Pâques</t>
  </si>
  <si>
    <t>Fête du Travail</t>
  </si>
  <si>
    <t>Victoire 45</t>
  </si>
  <si>
    <t>Jeudi de l'Ascension</t>
  </si>
  <si>
    <t>Lundi de Pentecôte</t>
  </si>
  <si>
    <t>Fête Nationale</t>
  </si>
  <si>
    <t>Assomption</t>
  </si>
  <si>
    <t>Toussaint</t>
  </si>
  <si>
    <t>Armistice</t>
  </si>
  <si>
    <t>Pâques</t>
  </si>
  <si>
    <t>PM DAY</t>
  </si>
  <si>
    <t>PLAGE HORAIRE</t>
  </si>
  <si>
    <t>Poste</t>
  </si>
  <si>
    <t>De</t>
  </si>
  <si>
    <t>A</t>
  </si>
  <si>
    <t>J</t>
  </si>
  <si>
    <t>M</t>
  </si>
  <si>
    <t>S</t>
  </si>
  <si>
    <t>N</t>
  </si>
  <si>
    <t>CP</t>
  </si>
  <si>
    <t>RCR</t>
  </si>
  <si>
    <t>CPA</t>
  </si>
  <si>
    <t>Date de début de cycle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</si>
  <si>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</si>
  <si>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</si>
  <si>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</si>
  <si>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</si>
  <si>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</si>
  <si>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</si>
  <si>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</si>
  <si>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</si>
  <si>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</si>
  <si>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</si>
  <si>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</si>
  <si>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</si>
  <si>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PÉRIODE DE PAIE 2020</t>
  </si>
  <si>
    <t>PÉRIODE DE PAIE 2021</t>
  </si>
  <si>
    <t>PÉRIODE DE PAIE 2022</t>
  </si>
  <si>
    <t>PÉRIODE DE PAIE 2023</t>
  </si>
  <si>
    <t>PÉRIODE DE PAIE 2024</t>
  </si>
  <si>
    <t>PÉRIODE DE PAIE 2025</t>
  </si>
  <si>
    <t>PÉRIODE DE PAIE 2026</t>
  </si>
  <si>
    <t>PÉRIODE DE PAIE 2027</t>
  </si>
  <si>
    <t>PÉRIODE DE PAIE 2028</t>
  </si>
  <si>
    <t>Période estivale</t>
  </si>
  <si>
    <t>Du</t>
  </si>
  <si>
    <t>Au</t>
  </si>
  <si>
    <t>POSTE</t>
  </si>
  <si>
    <t>QUI EST ABSENT</t>
  </si>
  <si>
    <t>MIXING</t>
  </si>
  <si>
    <t>COATER</t>
  </si>
  <si>
    <t>FINITION</t>
  </si>
  <si>
    <t>MEL</t>
  </si>
  <si>
    <t>ECA</t>
  </si>
  <si>
    <t>DLE</t>
  </si>
  <si>
    <t>HRH</t>
  </si>
  <si>
    <t>TME</t>
  </si>
  <si>
    <t>SYI</t>
  </si>
  <si>
    <t>HBA</t>
  </si>
  <si>
    <t>NAN</t>
  </si>
  <si>
    <t>AAS</t>
  </si>
  <si>
    <t>FLI</t>
  </si>
  <si>
    <t>CLA</t>
  </si>
  <si>
    <t>SVE</t>
  </si>
  <si>
    <t>SV</t>
  </si>
  <si>
    <t>Fermeture RIF</t>
  </si>
  <si>
    <t>5h00</t>
  </si>
  <si>
    <t>13h00</t>
  </si>
  <si>
    <t>21h00</t>
  </si>
  <si>
    <t>QUI REMPLACE</t>
  </si>
  <si>
    <t>IMU</t>
  </si>
  <si>
    <t>Date de début de Période Nuits :</t>
  </si>
  <si>
    <t>PÉRIODE DE PAIE 2029</t>
  </si>
  <si>
    <t>Poste non réalisable</t>
  </si>
  <si>
    <t>Possibilité de faire ce poste si la personne vient à 14h08</t>
  </si>
  <si>
    <t>(05h08 à 14h08 = 33h00)</t>
  </si>
  <si>
    <t>Poste non réalisable (D28 doit donc passer en rouge)</t>
  </si>
  <si>
    <t>Possibilité de faire ce poste si la personne vient à 14h08 (D33 doit donc passer en orange)</t>
  </si>
</sst>
</file>

<file path=xl/styles.xml><?xml version="1.0" encoding="utf-8"?>
<styleSheet xmlns="http://schemas.openxmlformats.org/spreadsheetml/2006/main">
  <numFmts count="4">
    <numFmt numFmtId="164" formatCode="[$-40C]dd\-mmm\-yy;@"/>
    <numFmt numFmtId="165" formatCode="[$-40C]d\-mmm\-yy;@"/>
    <numFmt numFmtId="166" formatCode="h:mm;@"/>
    <numFmt numFmtId="167" formatCode="[hh]:mm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0"/>
      <name val="Calibri"/>
      <family val="2"/>
      <scheme val="minor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3300"/>
        <bgColor indexed="64"/>
      </patternFill>
    </fill>
  </fills>
  <borders count="62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rgb="FFFF0000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rgb="FFFF0000"/>
      </bottom>
      <diagonal/>
    </border>
    <border>
      <left style="thick">
        <color rgb="FFFF0000"/>
      </left>
      <right style="medium">
        <color theme="1"/>
      </right>
      <top style="medium">
        <color theme="1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ck">
        <color rgb="FFFF0000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22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22"/>
      </right>
      <top style="thin">
        <color indexed="64"/>
      </top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ck">
        <color rgb="FFFF0000"/>
      </bottom>
      <diagonal/>
    </border>
    <border>
      <left style="medium">
        <color indexed="64"/>
      </left>
      <right style="thin">
        <color indexed="22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thin">
        <color indexed="64"/>
      </top>
      <bottom style="thick">
        <color rgb="FFFF0000"/>
      </bottom>
      <diagonal/>
    </border>
    <border>
      <left/>
      <right/>
      <top style="thick">
        <color rgb="FFFF0000"/>
      </top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5" fillId="0" borderId="0" xfId="0" applyFont="1" applyBorder="1"/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6" fillId="5" borderId="12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164" fontId="2" fillId="4" borderId="24" xfId="0" applyNumberFormat="1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165" fontId="1" fillId="0" borderId="2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4" fontId="0" fillId="5" borderId="4" xfId="0" applyNumberFormat="1" applyFill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165" fontId="1" fillId="0" borderId="18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0" fillId="0" borderId="45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64" fontId="9" fillId="6" borderId="34" xfId="0" applyNumberFormat="1" applyFont="1" applyFill="1" applyBorder="1" applyAlignment="1">
      <alignment horizontal="center" vertical="center"/>
    </xf>
    <xf numFmtId="0" fontId="9" fillId="6" borderId="32" xfId="0" applyFont="1" applyFill="1" applyBorder="1" applyAlignment="1">
      <alignment horizontal="center" vertical="center"/>
    </xf>
    <xf numFmtId="0" fontId="9" fillId="6" borderId="33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16" fontId="0" fillId="5" borderId="4" xfId="0" applyNumberForma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2" fillId="5" borderId="31" xfId="0" applyFont="1" applyFill="1" applyBorder="1" applyAlignment="1">
      <alignment horizontal="center" vertical="center" textRotation="90"/>
    </xf>
    <xf numFmtId="164" fontId="1" fillId="3" borderId="25" xfId="0" applyNumberFormat="1" applyFont="1" applyFill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textRotation="90"/>
    </xf>
    <xf numFmtId="0" fontId="13" fillId="0" borderId="26" xfId="0" applyFont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164" fontId="1" fillId="3" borderId="30" xfId="0" applyNumberFormat="1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3" borderId="28" xfId="0" applyNumberFormat="1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1" fillId="3" borderId="47" xfId="0" applyFont="1" applyFill="1" applyBorder="1" applyAlignment="1">
      <alignment horizontal="center" vertical="center"/>
    </xf>
    <xf numFmtId="0" fontId="1" fillId="3" borderId="48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 wrapText="1"/>
    </xf>
    <xf numFmtId="0" fontId="13" fillId="0" borderId="49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9" fillId="6" borderId="51" xfId="0" applyFont="1" applyFill="1" applyBorder="1" applyAlignment="1">
      <alignment horizontal="center" vertical="center"/>
    </xf>
    <xf numFmtId="0" fontId="13" fillId="0" borderId="52" xfId="0" applyFont="1" applyBorder="1" applyAlignment="1">
      <alignment horizontal="center" vertical="center"/>
    </xf>
    <xf numFmtId="0" fontId="13" fillId="0" borderId="53" xfId="0" applyFont="1" applyBorder="1" applyAlignment="1">
      <alignment horizontal="center" vertical="center"/>
    </xf>
    <xf numFmtId="0" fontId="13" fillId="0" borderId="54" xfId="0" applyFont="1" applyBorder="1" applyAlignment="1">
      <alignment horizontal="center" vertical="center"/>
    </xf>
    <xf numFmtId="0" fontId="13" fillId="0" borderId="55" xfId="0" applyFont="1" applyBorder="1" applyAlignment="1">
      <alignment horizontal="center" vertical="center"/>
    </xf>
    <xf numFmtId="0" fontId="13" fillId="0" borderId="54" xfId="0" applyFont="1" applyFill="1" applyBorder="1" applyAlignment="1">
      <alignment horizontal="center" vertical="center"/>
    </xf>
    <xf numFmtId="0" fontId="13" fillId="0" borderId="55" xfId="0" applyFont="1" applyFill="1" applyBorder="1" applyAlignment="1">
      <alignment horizontal="center" vertical="center"/>
    </xf>
    <xf numFmtId="0" fontId="13" fillId="0" borderId="56" xfId="0" applyFont="1" applyFill="1" applyBorder="1" applyAlignment="1">
      <alignment horizontal="center" vertical="center"/>
    </xf>
    <xf numFmtId="0" fontId="13" fillId="0" borderId="57" xfId="0" applyFont="1" applyFill="1" applyBorder="1" applyAlignment="1">
      <alignment horizontal="center" vertical="center"/>
    </xf>
    <xf numFmtId="0" fontId="13" fillId="0" borderId="58" xfId="0" applyFont="1" applyFill="1" applyBorder="1" applyAlignment="1">
      <alignment horizontal="center" vertical="center"/>
    </xf>
    <xf numFmtId="0" fontId="13" fillId="0" borderId="59" xfId="0" applyFont="1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166" fontId="5" fillId="0" borderId="13" xfId="0" applyNumberFormat="1" applyFont="1" applyBorder="1" applyAlignment="1">
      <alignment horizontal="center"/>
    </xf>
    <xf numFmtId="166" fontId="5" fillId="0" borderId="23" xfId="0" applyNumberFormat="1" applyFont="1" applyBorder="1" applyAlignment="1">
      <alignment horizontal="center"/>
    </xf>
    <xf numFmtId="166" fontId="5" fillId="0" borderId="19" xfId="0" applyNumberFormat="1" applyFont="1" applyBorder="1" applyAlignment="1">
      <alignment horizontal="center"/>
    </xf>
    <xf numFmtId="166" fontId="5" fillId="0" borderId="21" xfId="0" applyNumberFormat="1" applyFont="1" applyBorder="1" applyAlignment="1">
      <alignment horizontal="center"/>
    </xf>
    <xf numFmtId="166" fontId="5" fillId="0" borderId="16" xfId="0" applyNumberFormat="1" applyFont="1" applyBorder="1" applyAlignment="1">
      <alignment horizontal="center"/>
    </xf>
    <xf numFmtId="166" fontId="5" fillId="0" borderId="22" xfId="0" applyNumberFormat="1" applyFont="1" applyBorder="1" applyAlignment="1">
      <alignment horizontal="center"/>
    </xf>
    <xf numFmtId="166" fontId="14" fillId="0" borderId="0" xfId="0" applyNumberFormat="1" applyFont="1" applyFill="1" applyBorder="1" applyAlignment="1">
      <alignment horizontal="center" vertical="center" wrapText="1"/>
    </xf>
    <xf numFmtId="167" fontId="14" fillId="0" borderId="0" xfId="0" applyNumberFormat="1" applyFont="1" applyFill="1" applyBorder="1" applyAlignment="1">
      <alignment horizontal="center" vertical="center" wrapText="1"/>
    </xf>
    <xf numFmtId="166" fontId="15" fillId="0" borderId="0" xfId="0" applyNumberFormat="1" applyFont="1" applyFill="1" applyBorder="1" applyAlignment="1">
      <alignment horizontal="center" vertical="center"/>
    </xf>
    <xf numFmtId="167" fontId="15" fillId="0" borderId="0" xfId="0" applyNumberFormat="1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vertical="center" textRotation="90"/>
    </xf>
    <xf numFmtId="0" fontId="13" fillId="0" borderId="60" xfId="0" applyFon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1" fillId="4" borderId="10" xfId="0" applyNumberFormat="1" applyFont="1" applyFill="1" applyBorder="1" applyAlignment="1">
      <alignment horizontal="center" vertical="center"/>
    </xf>
    <xf numFmtId="164" fontId="1" fillId="4" borderId="11" xfId="0" applyNumberFormat="1" applyFont="1" applyFill="1" applyBorder="1" applyAlignment="1">
      <alignment horizontal="center" vertical="center"/>
    </xf>
    <xf numFmtId="164" fontId="1" fillId="4" borderId="12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1" fillId="4" borderId="24" xfId="0" applyNumberFormat="1" applyFont="1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/>
    </xf>
    <xf numFmtId="164" fontId="1" fillId="4" borderId="9" xfId="0" applyNumberFormat="1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 textRotation="90"/>
    </xf>
    <xf numFmtId="0" fontId="7" fillId="0" borderId="19" xfId="0" applyFont="1" applyBorder="1" applyAlignment="1">
      <alignment horizontal="center" vertical="center" textRotation="90"/>
    </xf>
    <xf numFmtId="0" fontId="7" fillId="0" borderId="16" xfId="0" applyFont="1" applyBorder="1" applyAlignment="1">
      <alignment horizontal="center" vertical="center" textRotation="90"/>
    </xf>
    <xf numFmtId="164" fontId="1" fillId="0" borderId="35" xfId="0" applyNumberFormat="1" applyFont="1" applyBorder="1" applyAlignment="1">
      <alignment horizontal="center" vertical="center" textRotation="90"/>
    </xf>
    <xf numFmtId="164" fontId="1" fillId="0" borderId="36" xfId="0" applyNumberFormat="1" applyFont="1" applyBorder="1" applyAlignment="1">
      <alignment horizontal="center" vertical="center" textRotation="90"/>
    </xf>
    <xf numFmtId="0" fontId="1" fillId="0" borderId="36" xfId="0" applyFont="1" applyBorder="1" applyAlignment="1">
      <alignment horizontal="center" vertical="center" textRotation="90"/>
    </xf>
    <xf numFmtId="0" fontId="1" fillId="0" borderId="37" xfId="0" applyFont="1" applyBorder="1" applyAlignment="1">
      <alignment horizontal="center" vertical="center" textRotation="90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8" fillId="0" borderId="10" xfId="0" applyFont="1" applyBorder="1" applyAlignment="1">
      <alignment horizontal="left" vertical="center"/>
    </xf>
    <xf numFmtId="0" fontId="8" fillId="0" borderId="11" xfId="0" applyFont="1" applyBorder="1" applyAlignment="1">
      <alignment horizontal="left" vertical="center"/>
    </xf>
    <xf numFmtId="0" fontId="12" fillId="5" borderId="31" xfId="0" applyFont="1" applyFill="1" applyBorder="1" applyAlignment="1">
      <alignment horizontal="center" vertical="center" textRotation="90"/>
    </xf>
    <xf numFmtId="0" fontId="12" fillId="5" borderId="1" xfId="0" applyFont="1" applyFill="1" applyBorder="1" applyAlignment="1">
      <alignment horizontal="center" vertical="center" textRotation="90"/>
    </xf>
    <xf numFmtId="0" fontId="12" fillId="5" borderId="2" xfId="0" applyFont="1" applyFill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CC33"/>
      <color rgb="FFCC66FF"/>
      <color rgb="FF33CCFF"/>
      <color rgb="FFFFCCFF"/>
      <color rgb="FFA50021"/>
      <color rgb="FFFF3300"/>
      <color rgb="FF00FF00"/>
      <color rgb="FFFF99FF"/>
      <color rgb="FFFF66FF"/>
      <color rgb="FFFFCC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542365</xdr:colOff>
      <xdr:row>3</xdr:row>
      <xdr:rowOff>91328</xdr:rowOff>
    </xdr:from>
    <xdr:to>
      <xdr:col>10</xdr:col>
      <xdr:colOff>752475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>
          <a:off x="4742890" y="1005728"/>
          <a:ext cx="3134285" cy="3922"/>
        </a:xfrm>
        <a:prstGeom prst="straightConnector1">
          <a:avLst/>
        </a:prstGeom>
        <a:ln w="381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502023</xdr:colOff>
      <xdr:row>14</xdr:row>
      <xdr:rowOff>100853</xdr:rowOff>
    </xdr:from>
    <xdr:to>
      <xdr:col>10</xdr:col>
      <xdr:colOff>666750</xdr:colOff>
      <xdr:row>14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4702548" y="3225053"/>
          <a:ext cx="3088902" cy="3922"/>
        </a:xfrm>
        <a:prstGeom prst="straightConnector1">
          <a:avLst/>
        </a:prstGeom>
        <a:ln w="381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</xdr:colOff>
      <xdr:row>2</xdr:row>
      <xdr:rowOff>152400</xdr:rowOff>
    </xdr:from>
    <xdr:to>
      <xdr:col>6</xdr:col>
      <xdr:colOff>533400</xdr:colOff>
      <xdr:row>4</xdr:row>
      <xdr:rowOff>9525</xdr:rowOff>
    </xdr:to>
    <xdr:sp macro="" textlink="">
      <xdr:nvSpPr>
        <xdr:cNvPr id="5" name="Ellipse 4"/>
        <xdr:cNvSpPr/>
      </xdr:nvSpPr>
      <xdr:spPr>
        <a:xfrm>
          <a:off x="4238625" y="866775"/>
          <a:ext cx="495300" cy="25717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438150</xdr:colOff>
      <xdr:row>13</xdr:row>
      <xdr:rowOff>161925</xdr:rowOff>
    </xdr:from>
    <xdr:to>
      <xdr:col>6</xdr:col>
      <xdr:colOff>485775</xdr:colOff>
      <xdr:row>15</xdr:row>
      <xdr:rowOff>19050</xdr:rowOff>
    </xdr:to>
    <xdr:sp macro="" textlink="">
      <xdr:nvSpPr>
        <xdr:cNvPr id="6" name="Ellipse 5"/>
        <xdr:cNvSpPr/>
      </xdr:nvSpPr>
      <xdr:spPr>
        <a:xfrm>
          <a:off x="4191000" y="3086100"/>
          <a:ext cx="495300" cy="25717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28575</xdr:colOff>
      <xdr:row>9</xdr:row>
      <xdr:rowOff>161925</xdr:rowOff>
    </xdr:from>
    <xdr:to>
      <xdr:col>6</xdr:col>
      <xdr:colOff>523875</xdr:colOff>
      <xdr:row>11</xdr:row>
      <xdr:rowOff>19050</xdr:rowOff>
    </xdr:to>
    <xdr:sp macro="" textlink="">
      <xdr:nvSpPr>
        <xdr:cNvPr id="9" name="Ellipse 8"/>
        <xdr:cNvSpPr/>
      </xdr:nvSpPr>
      <xdr:spPr>
        <a:xfrm>
          <a:off x="4229100" y="2286000"/>
          <a:ext cx="495300" cy="25717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9525</xdr:colOff>
      <xdr:row>10</xdr:row>
      <xdr:rowOff>114300</xdr:rowOff>
    </xdr:from>
    <xdr:to>
      <xdr:col>11</xdr:col>
      <xdr:colOff>38660</xdr:colOff>
      <xdr:row>10</xdr:row>
      <xdr:rowOff>118222</xdr:rowOff>
    </xdr:to>
    <xdr:cxnSp macro="">
      <xdr:nvCxnSpPr>
        <xdr:cNvPr id="10" name="Connecteur droit avec flèche 9"/>
        <xdr:cNvCxnSpPr/>
      </xdr:nvCxnSpPr>
      <xdr:spPr>
        <a:xfrm>
          <a:off x="4791075" y="2438400"/>
          <a:ext cx="3134285" cy="3922"/>
        </a:xfrm>
        <a:prstGeom prst="straightConnector1">
          <a:avLst/>
        </a:prstGeom>
        <a:ln w="381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</xdr:colOff>
      <xdr:row>26</xdr:row>
      <xdr:rowOff>161925</xdr:rowOff>
    </xdr:from>
    <xdr:to>
      <xdr:col>6</xdr:col>
      <xdr:colOff>533400</xdr:colOff>
      <xdr:row>28</xdr:row>
      <xdr:rowOff>19050</xdr:rowOff>
    </xdr:to>
    <xdr:sp macro="" textlink="">
      <xdr:nvSpPr>
        <xdr:cNvPr id="11" name="Ellipse 10"/>
        <xdr:cNvSpPr/>
      </xdr:nvSpPr>
      <xdr:spPr>
        <a:xfrm>
          <a:off x="4238625" y="5695950"/>
          <a:ext cx="495300" cy="25717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28575</xdr:colOff>
      <xdr:row>31</xdr:row>
      <xdr:rowOff>161925</xdr:rowOff>
    </xdr:from>
    <xdr:to>
      <xdr:col>6</xdr:col>
      <xdr:colOff>523875</xdr:colOff>
      <xdr:row>33</xdr:row>
      <xdr:rowOff>19050</xdr:rowOff>
    </xdr:to>
    <xdr:sp macro="" textlink="">
      <xdr:nvSpPr>
        <xdr:cNvPr id="12" name="Ellipse 11"/>
        <xdr:cNvSpPr/>
      </xdr:nvSpPr>
      <xdr:spPr>
        <a:xfrm>
          <a:off x="4229100" y="6705600"/>
          <a:ext cx="495300" cy="25717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56029</xdr:colOff>
      <xdr:row>32</xdr:row>
      <xdr:rowOff>123264</xdr:rowOff>
    </xdr:from>
    <xdr:to>
      <xdr:col>11</xdr:col>
      <xdr:colOff>41462</xdr:colOff>
      <xdr:row>32</xdr:row>
      <xdr:rowOff>127186</xdr:rowOff>
    </xdr:to>
    <xdr:cxnSp macro="">
      <xdr:nvCxnSpPr>
        <xdr:cNvPr id="13" name="Connecteur droit avec flèche 12"/>
        <xdr:cNvCxnSpPr/>
      </xdr:nvCxnSpPr>
      <xdr:spPr>
        <a:xfrm>
          <a:off x="4852147" y="6925235"/>
          <a:ext cx="3089462" cy="3922"/>
        </a:xfrm>
        <a:prstGeom prst="straightConnector1">
          <a:avLst/>
        </a:prstGeom>
        <a:ln w="381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56029</xdr:colOff>
      <xdr:row>27</xdr:row>
      <xdr:rowOff>100853</xdr:rowOff>
    </xdr:from>
    <xdr:to>
      <xdr:col>11</xdr:col>
      <xdr:colOff>41462</xdr:colOff>
      <xdr:row>27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4852147" y="5883088"/>
          <a:ext cx="3089462" cy="3922"/>
        </a:xfrm>
        <a:prstGeom prst="straightConnector1">
          <a:avLst/>
        </a:prstGeom>
        <a:ln w="381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B1:Z100"/>
  <sheetViews>
    <sheetView workbookViewId="0">
      <selection activeCell="D13" sqref="D13"/>
    </sheetView>
  </sheetViews>
  <sheetFormatPr baseColWidth="10" defaultColWidth="12.7109375" defaultRowHeight="18" customHeight="1"/>
  <cols>
    <col min="1" max="1" width="4.7109375" style="16" customWidth="1"/>
    <col min="2" max="20" width="12.7109375" style="16"/>
    <col min="21" max="21" width="12.7109375" style="20"/>
    <col min="22" max="23" width="15.7109375" style="16" customWidth="1"/>
    <col min="24" max="24" width="5.7109375" style="16" customWidth="1"/>
    <col min="25" max="26" width="15.7109375" style="16" customWidth="1"/>
    <col min="27" max="16384" width="12.7109375" style="16"/>
  </cols>
  <sheetData>
    <row r="1" spans="2:26" ht="18" customHeight="1" thickBot="1">
      <c r="B1" s="124" t="s">
        <v>42</v>
      </c>
      <c r="C1" s="125"/>
      <c r="D1" s="126"/>
      <c r="F1" s="124" t="s">
        <v>43</v>
      </c>
      <c r="G1" s="125"/>
      <c r="H1" s="126"/>
      <c r="J1" s="120" t="s">
        <v>44</v>
      </c>
      <c r="K1" s="121"/>
      <c r="L1" s="122"/>
      <c r="N1" s="120" t="s">
        <v>45</v>
      </c>
      <c r="O1" s="121"/>
      <c r="P1" s="122"/>
      <c r="R1" s="120" t="s">
        <v>46</v>
      </c>
      <c r="S1" s="121"/>
      <c r="T1" s="122"/>
      <c r="V1" s="119" t="s">
        <v>51</v>
      </c>
      <c r="W1" s="119"/>
      <c r="Y1" s="119" t="s">
        <v>72</v>
      </c>
      <c r="Z1" s="119"/>
    </row>
    <row r="2" spans="2:26" ht="18" customHeight="1">
      <c r="B2" s="22" t="s">
        <v>30</v>
      </c>
      <c r="C2" s="17">
        <v>43801</v>
      </c>
      <c r="D2" s="17">
        <v>43835</v>
      </c>
      <c r="F2" s="22" t="s">
        <v>30</v>
      </c>
      <c r="G2" s="17" t="str">
        <f>IF(D13="","",D13+1)</f>
        <v/>
      </c>
      <c r="H2" s="17"/>
      <c r="J2" s="22" t="s">
        <v>30</v>
      </c>
      <c r="K2" s="17" t="str">
        <f>IF(H13="","",H13+1)</f>
        <v/>
      </c>
      <c r="L2" s="17"/>
      <c r="N2" s="22" t="s">
        <v>30</v>
      </c>
      <c r="O2" s="17" t="str">
        <f>IF(L13="","",L13+1)</f>
        <v/>
      </c>
      <c r="P2" s="17"/>
      <c r="R2" s="22" t="s">
        <v>30</v>
      </c>
      <c r="S2" s="17" t="str">
        <f>IF(P13="","",P13+1)</f>
        <v/>
      </c>
      <c r="T2" s="17"/>
      <c r="V2" s="24" t="s">
        <v>52</v>
      </c>
      <c r="W2" s="24" t="s">
        <v>53</v>
      </c>
      <c r="Y2" s="24" t="s">
        <v>52</v>
      </c>
      <c r="Z2" s="24" t="s">
        <v>53</v>
      </c>
    </row>
    <row r="3" spans="2:26" ht="18" customHeight="1">
      <c r="B3" s="23" t="s">
        <v>31</v>
      </c>
      <c r="C3" s="18">
        <f>IF(D2="","",D2+1)</f>
        <v>43836</v>
      </c>
      <c r="D3" s="18"/>
      <c r="F3" s="23" t="s">
        <v>31</v>
      </c>
      <c r="G3" s="18" t="str">
        <f>IF(H2="","",H2+1)</f>
        <v/>
      </c>
      <c r="H3" s="18"/>
      <c r="J3" s="23" t="s">
        <v>31</v>
      </c>
      <c r="K3" s="18" t="str">
        <f>IF(L2="","",L2+1)</f>
        <v/>
      </c>
      <c r="L3" s="18"/>
      <c r="N3" s="23" t="s">
        <v>31</v>
      </c>
      <c r="O3" s="18" t="str">
        <f>IF(P2="","",P2+1)</f>
        <v/>
      </c>
      <c r="P3" s="18"/>
      <c r="R3" s="23" t="s">
        <v>31</v>
      </c>
      <c r="S3" s="18" t="str">
        <f>IF(T2="","",T2+1)</f>
        <v/>
      </c>
      <c r="T3" s="18"/>
      <c r="V3" s="18">
        <v>43452</v>
      </c>
      <c r="W3" s="18">
        <v>43465</v>
      </c>
      <c r="Y3" s="18"/>
      <c r="Z3" s="18"/>
    </row>
    <row r="4" spans="2:26" ht="18" customHeight="1">
      <c r="B4" s="23" t="s">
        <v>32</v>
      </c>
      <c r="C4" s="18" t="str">
        <f t="shared" ref="C4:C13" si="0">IF(D3="","",D3+1)</f>
        <v/>
      </c>
      <c r="D4" s="18"/>
      <c r="F4" s="23" t="s">
        <v>32</v>
      </c>
      <c r="G4" s="18" t="str">
        <f t="shared" ref="G4:G13" si="1">IF(H3="","",H3+1)</f>
        <v/>
      </c>
      <c r="H4" s="18"/>
      <c r="J4" s="23" t="s">
        <v>32</v>
      </c>
      <c r="K4" s="18" t="str">
        <f t="shared" ref="K4:K13" si="2">IF(L3="","",L3+1)</f>
        <v/>
      </c>
      <c r="L4" s="18"/>
      <c r="N4" s="23" t="s">
        <v>32</v>
      </c>
      <c r="O4" s="18" t="str">
        <f t="shared" ref="O4:O13" si="3">IF(P3="","",P3+1)</f>
        <v/>
      </c>
      <c r="P4" s="18"/>
      <c r="R4" s="23" t="s">
        <v>32</v>
      </c>
      <c r="S4" s="18" t="str">
        <f t="shared" ref="S4:S13" si="4">IF(T3="","",T3+1)</f>
        <v/>
      </c>
      <c r="T4" s="18"/>
      <c r="V4" s="18"/>
      <c r="W4" s="18"/>
      <c r="Y4" s="18"/>
      <c r="Z4" s="18"/>
    </row>
    <row r="5" spans="2:26" ht="18" customHeight="1">
      <c r="B5" s="23" t="s">
        <v>33</v>
      </c>
      <c r="C5" s="18" t="str">
        <f t="shared" si="0"/>
        <v/>
      </c>
      <c r="D5" s="18"/>
      <c r="F5" s="23" t="s">
        <v>33</v>
      </c>
      <c r="G5" s="18" t="str">
        <f t="shared" si="1"/>
        <v/>
      </c>
      <c r="H5" s="18"/>
      <c r="J5" s="23" t="s">
        <v>33</v>
      </c>
      <c r="K5" s="18" t="str">
        <f t="shared" si="2"/>
        <v/>
      </c>
      <c r="L5" s="18"/>
      <c r="N5" s="23" t="s">
        <v>33</v>
      </c>
      <c r="O5" s="18" t="str">
        <f t="shared" si="3"/>
        <v/>
      </c>
      <c r="P5" s="18"/>
      <c r="R5" s="23" t="s">
        <v>33</v>
      </c>
      <c r="S5" s="18" t="str">
        <f t="shared" si="4"/>
        <v/>
      </c>
      <c r="T5" s="18"/>
      <c r="V5" s="18"/>
      <c r="W5" s="18"/>
      <c r="Y5" s="18"/>
      <c r="Z5" s="18"/>
    </row>
    <row r="6" spans="2:26" ht="18" customHeight="1">
      <c r="B6" s="23" t="s">
        <v>34</v>
      </c>
      <c r="C6" s="18" t="str">
        <f t="shared" si="0"/>
        <v/>
      </c>
      <c r="D6" s="18"/>
      <c r="F6" s="23" t="s">
        <v>34</v>
      </c>
      <c r="G6" s="18" t="str">
        <f t="shared" si="1"/>
        <v/>
      </c>
      <c r="H6" s="18"/>
      <c r="J6" s="23" t="s">
        <v>34</v>
      </c>
      <c r="K6" s="18" t="str">
        <f t="shared" si="2"/>
        <v/>
      </c>
      <c r="L6" s="18"/>
      <c r="N6" s="23" t="s">
        <v>34</v>
      </c>
      <c r="O6" s="18" t="str">
        <f t="shared" si="3"/>
        <v/>
      </c>
      <c r="P6" s="18"/>
      <c r="R6" s="23" t="s">
        <v>34</v>
      </c>
      <c r="S6" s="18" t="str">
        <f t="shared" si="4"/>
        <v/>
      </c>
      <c r="T6" s="18"/>
      <c r="V6" s="18"/>
      <c r="W6" s="18"/>
      <c r="Y6" s="18"/>
      <c r="Z6" s="18"/>
    </row>
    <row r="7" spans="2:26" ht="18" customHeight="1">
      <c r="B7" s="23" t="s">
        <v>35</v>
      </c>
      <c r="C7" s="18" t="str">
        <f t="shared" si="0"/>
        <v/>
      </c>
      <c r="D7" s="18"/>
      <c r="F7" s="23" t="s">
        <v>35</v>
      </c>
      <c r="G7" s="18" t="str">
        <f t="shared" si="1"/>
        <v/>
      </c>
      <c r="H7" s="18"/>
      <c r="J7" s="23" t="s">
        <v>35</v>
      </c>
      <c r="K7" s="18" t="str">
        <f t="shared" si="2"/>
        <v/>
      </c>
      <c r="L7" s="18"/>
      <c r="N7" s="23" t="s">
        <v>35</v>
      </c>
      <c r="O7" s="18" t="str">
        <f t="shared" si="3"/>
        <v/>
      </c>
      <c r="P7" s="18"/>
      <c r="R7" s="23" t="s">
        <v>35</v>
      </c>
      <c r="S7" s="18" t="str">
        <f t="shared" si="4"/>
        <v/>
      </c>
      <c r="T7" s="18"/>
      <c r="V7" s="18"/>
      <c r="W7" s="18"/>
      <c r="Y7" s="18"/>
      <c r="Z7" s="18"/>
    </row>
    <row r="8" spans="2:26" ht="18" customHeight="1">
      <c r="B8" s="23" t="s">
        <v>36</v>
      </c>
      <c r="C8" s="18" t="str">
        <f t="shared" si="0"/>
        <v/>
      </c>
      <c r="D8" s="18"/>
      <c r="F8" s="23" t="s">
        <v>36</v>
      </c>
      <c r="G8" s="18" t="str">
        <f t="shared" si="1"/>
        <v/>
      </c>
      <c r="H8" s="18"/>
      <c r="J8" s="23" t="s">
        <v>36</v>
      </c>
      <c r="K8" s="18" t="str">
        <f t="shared" si="2"/>
        <v/>
      </c>
      <c r="L8" s="18"/>
      <c r="N8" s="23" t="s">
        <v>36</v>
      </c>
      <c r="O8" s="18" t="str">
        <f t="shared" si="3"/>
        <v/>
      </c>
      <c r="P8" s="18"/>
      <c r="R8" s="23" t="s">
        <v>36</v>
      </c>
      <c r="S8" s="18" t="str">
        <f t="shared" si="4"/>
        <v/>
      </c>
      <c r="T8" s="18"/>
      <c r="V8" s="18"/>
      <c r="W8" s="18"/>
      <c r="Y8" s="18"/>
      <c r="Z8" s="18"/>
    </row>
    <row r="9" spans="2:26" ht="18" customHeight="1">
      <c r="B9" s="23" t="s">
        <v>37</v>
      </c>
      <c r="C9" s="18" t="str">
        <f t="shared" si="0"/>
        <v/>
      </c>
      <c r="D9" s="18"/>
      <c r="F9" s="23" t="s">
        <v>37</v>
      </c>
      <c r="G9" s="18" t="str">
        <f t="shared" si="1"/>
        <v/>
      </c>
      <c r="H9" s="18"/>
      <c r="J9" s="23" t="s">
        <v>37</v>
      </c>
      <c r="K9" s="18" t="str">
        <f t="shared" si="2"/>
        <v/>
      </c>
      <c r="L9" s="18"/>
      <c r="N9" s="23" t="s">
        <v>37</v>
      </c>
      <c r="O9" s="18" t="str">
        <f t="shared" si="3"/>
        <v/>
      </c>
      <c r="P9" s="18"/>
      <c r="R9" s="23" t="s">
        <v>37</v>
      </c>
      <c r="S9" s="18" t="str">
        <f t="shared" si="4"/>
        <v/>
      </c>
      <c r="T9" s="18"/>
      <c r="V9" s="18"/>
      <c r="W9" s="18"/>
      <c r="Y9" s="18"/>
      <c r="Z9" s="18"/>
    </row>
    <row r="10" spans="2:26" ht="18" customHeight="1">
      <c r="B10" s="23" t="s">
        <v>38</v>
      </c>
      <c r="C10" s="18" t="str">
        <f t="shared" si="0"/>
        <v/>
      </c>
      <c r="D10" s="18"/>
      <c r="F10" s="23" t="s">
        <v>38</v>
      </c>
      <c r="G10" s="18" t="str">
        <f t="shared" si="1"/>
        <v/>
      </c>
      <c r="H10" s="18"/>
      <c r="J10" s="23" t="s">
        <v>38</v>
      </c>
      <c r="K10" s="18" t="str">
        <f t="shared" si="2"/>
        <v/>
      </c>
      <c r="L10" s="18"/>
      <c r="N10" s="23" t="s">
        <v>38</v>
      </c>
      <c r="O10" s="18" t="str">
        <f t="shared" si="3"/>
        <v/>
      </c>
      <c r="P10" s="18"/>
      <c r="R10" s="23" t="s">
        <v>38</v>
      </c>
      <c r="S10" s="18" t="str">
        <f t="shared" si="4"/>
        <v/>
      </c>
      <c r="T10" s="18"/>
      <c r="V10" s="18"/>
      <c r="W10" s="18"/>
      <c r="Y10" s="18"/>
      <c r="Z10" s="18"/>
    </row>
    <row r="11" spans="2:26" ht="18" customHeight="1">
      <c r="B11" s="23" t="s">
        <v>39</v>
      </c>
      <c r="C11" s="18" t="str">
        <f t="shared" si="0"/>
        <v/>
      </c>
      <c r="D11" s="18"/>
      <c r="E11" s="33"/>
      <c r="F11" s="23" t="s">
        <v>39</v>
      </c>
      <c r="G11" s="18" t="str">
        <f t="shared" si="1"/>
        <v/>
      </c>
      <c r="H11" s="18"/>
      <c r="J11" s="23" t="s">
        <v>39</v>
      </c>
      <c r="K11" s="18" t="str">
        <f t="shared" si="2"/>
        <v/>
      </c>
      <c r="L11" s="18"/>
      <c r="N11" s="23" t="s">
        <v>39</v>
      </c>
      <c r="O11" s="18" t="str">
        <f t="shared" si="3"/>
        <v/>
      </c>
      <c r="P11" s="18"/>
      <c r="R11" s="23" t="s">
        <v>39</v>
      </c>
      <c r="S11" s="18" t="str">
        <f t="shared" si="4"/>
        <v/>
      </c>
      <c r="T11" s="18"/>
      <c r="V11" s="18"/>
      <c r="W11" s="18"/>
      <c r="Y11" s="18"/>
      <c r="Z11" s="18"/>
    </row>
    <row r="12" spans="2:26" ht="18" customHeight="1">
      <c r="B12" s="23" t="s">
        <v>40</v>
      </c>
      <c r="C12" s="18" t="str">
        <f t="shared" si="0"/>
        <v/>
      </c>
      <c r="D12" s="18"/>
      <c r="F12" s="23" t="s">
        <v>40</v>
      </c>
      <c r="G12" s="18" t="str">
        <f t="shared" si="1"/>
        <v/>
      </c>
      <c r="H12" s="18"/>
      <c r="J12" s="23" t="s">
        <v>40</v>
      </c>
      <c r="K12" s="18" t="str">
        <f t="shared" si="2"/>
        <v/>
      </c>
      <c r="L12" s="18"/>
      <c r="N12" s="23" t="s">
        <v>40</v>
      </c>
      <c r="O12" s="18" t="str">
        <f t="shared" si="3"/>
        <v/>
      </c>
      <c r="P12" s="18"/>
      <c r="R12" s="23" t="s">
        <v>40</v>
      </c>
      <c r="S12" s="18" t="str">
        <f t="shared" si="4"/>
        <v/>
      </c>
      <c r="T12" s="18"/>
      <c r="V12" s="18"/>
      <c r="W12" s="18"/>
      <c r="Y12" s="18"/>
      <c r="Z12" s="18"/>
    </row>
    <row r="13" spans="2:26" ht="18" customHeight="1">
      <c r="B13" s="23" t="s">
        <v>41</v>
      </c>
      <c r="C13" s="18" t="str">
        <f t="shared" si="0"/>
        <v/>
      </c>
      <c r="D13" s="18"/>
      <c r="F13" s="23" t="s">
        <v>41</v>
      </c>
      <c r="G13" s="18" t="str">
        <f t="shared" si="1"/>
        <v/>
      </c>
      <c r="H13" s="18"/>
      <c r="J13" s="23" t="s">
        <v>41</v>
      </c>
      <c r="K13" s="18" t="str">
        <f t="shared" si="2"/>
        <v/>
      </c>
      <c r="L13" s="18"/>
      <c r="N13" s="23" t="s">
        <v>41</v>
      </c>
      <c r="O13" s="18" t="str">
        <f t="shared" si="3"/>
        <v/>
      </c>
      <c r="P13" s="18"/>
      <c r="R13" s="23" t="s">
        <v>41</v>
      </c>
      <c r="S13" s="18" t="str">
        <f t="shared" si="4"/>
        <v/>
      </c>
      <c r="T13" s="18"/>
      <c r="V13" s="18"/>
      <c r="W13" s="18"/>
      <c r="Y13" s="18"/>
      <c r="Z13" s="18"/>
    </row>
    <row r="14" spans="2:26" ht="18" customHeight="1" thickBot="1">
      <c r="V14" s="18"/>
      <c r="W14" s="18"/>
      <c r="Y14" s="18"/>
      <c r="Z14" s="18"/>
    </row>
    <row r="15" spans="2:26" ht="18" customHeight="1" thickBot="1">
      <c r="B15" s="120" t="s">
        <v>47</v>
      </c>
      <c r="C15" s="121"/>
      <c r="D15" s="122"/>
      <c r="F15" s="120" t="s">
        <v>48</v>
      </c>
      <c r="G15" s="121"/>
      <c r="H15" s="122"/>
      <c r="J15" s="120" t="s">
        <v>49</v>
      </c>
      <c r="K15" s="121"/>
      <c r="L15" s="122"/>
      <c r="N15" s="120" t="s">
        <v>50</v>
      </c>
      <c r="O15" s="121"/>
      <c r="P15" s="122"/>
      <c r="R15" s="120" t="s">
        <v>79</v>
      </c>
      <c r="S15" s="121"/>
      <c r="T15" s="122"/>
      <c r="V15" s="18"/>
      <c r="W15" s="18"/>
      <c r="Y15" s="18"/>
      <c r="Z15" s="18"/>
    </row>
    <row r="16" spans="2:26" ht="18" customHeight="1">
      <c r="B16" s="22" t="s">
        <v>30</v>
      </c>
      <c r="C16" s="17" t="str">
        <f>IF(T13="","",T13+1)</f>
        <v/>
      </c>
      <c r="D16" s="17"/>
      <c r="F16" s="22" t="s">
        <v>30</v>
      </c>
      <c r="G16" s="17" t="str">
        <f>IF(D27="","",D27+1)</f>
        <v/>
      </c>
      <c r="H16" s="17"/>
      <c r="J16" s="22" t="s">
        <v>30</v>
      </c>
      <c r="K16" s="17" t="str">
        <f>IF(H27="","",H27+1)</f>
        <v/>
      </c>
      <c r="L16" s="17"/>
      <c r="N16" s="22" t="s">
        <v>30</v>
      </c>
      <c r="O16" s="17" t="str">
        <f>IF(L27="","",L27+1)</f>
        <v/>
      </c>
      <c r="P16" s="17"/>
      <c r="R16" s="22" t="s">
        <v>30</v>
      </c>
      <c r="S16" s="17" t="str">
        <f>IF(P27="","",P27+1)</f>
        <v/>
      </c>
      <c r="T16" s="17"/>
      <c r="V16" s="18"/>
      <c r="W16" s="18"/>
      <c r="Y16" s="18"/>
      <c r="Z16" s="18"/>
    </row>
    <row r="17" spans="2:26" ht="18" customHeight="1">
      <c r="B17" s="23" t="s">
        <v>31</v>
      </c>
      <c r="C17" s="18" t="str">
        <f>IF(D16="","",D16+1)</f>
        <v/>
      </c>
      <c r="D17" s="18"/>
      <c r="F17" s="23" t="s">
        <v>31</v>
      </c>
      <c r="G17" s="18" t="str">
        <f>IF(H16="","",H16+1)</f>
        <v/>
      </c>
      <c r="H17" s="18"/>
      <c r="J17" s="23" t="s">
        <v>31</v>
      </c>
      <c r="K17" s="18" t="str">
        <f>IF(L16="","",L16+1)</f>
        <v/>
      </c>
      <c r="L17" s="18"/>
      <c r="N17" s="23" t="s">
        <v>31</v>
      </c>
      <c r="O17" s="18" t="str">
        <f>IF(P16="","",P16+1)</f>
        <v/>
      </c>
      <c r="P17" s="18"/>
      <c r="R17" s="23" t="s">
        <v>31</v>
      </c>
      <c r="S17" s="18" t="str">
        <f>IF(T16="","",T16+1)</f>
        <v/>
      </c>
      <c r="T17" s="18"/>
      <c r="V17" s="18"/>
      <c r="W17" s="18"/>
      <c r="Y17" s="18"/>
      <c r="Z17" s="18"/>
    </row>
    <row r="18" spans="2:26" ht="18" customHeight="1">
      <c r="B18" s="23" t="s">
        <v>32</v>
      </c>
      <c r="C18" s="18" t="str">
        <f t="shared" ref="C18:C27" si="5">IF(D17="","",D17+1)</f>
        <v/>
      </c>
      <c r="D18" s="18"/>
      <c r="F18" s="23" t="s">
        <v>32</v>
      </c>
      <c r="G18" s="18" t="str">
        <f t="shared" ref="G18:G27" si="6">IF(H17="","",H17+1)</f>
        <v/>
      </c>
      <c r="H18" s="18"/>
      <c r="J18" s="23" t="s">
        <v>32</v>
      </c>
      <c r="K18" s="18" t="str">
        <f t="shared" ref="K18:K27" si="7">IF(L17="","",L17+1)</f>
        <v/>
      </c>
      <c r="L18" s="18"/>
      <c r="N18" s="23" t="s">
        <v>32</v>
      </c>
      <c r="O18" s="18" t="str">
        <f t="shared" ref="O18:O27" si="8">IF(P17="","",P17+1)</f>
        <v/>
      </c>
      <c r="P18" s="18"/>
      <c r="R18" s="23" t="s">
        <v>32</v>
      </c>
      <c r="S18" s="18" t="str">
        <f t="shared" ref="S18:S27" si="9">IF(T17="","",T17+1)</f>
        <v/>
      </c>
      <c r="T18" s="18"/>
      <c r="V18" s="18"/>
      <c r="W18" s="18"/>
      <c r="Y18" s="18"/>
      <c r="Z18" s="18"/>
    </row>
    <row r="19" spans="2:26" ht="18" customHeight="1">
      <c r="B19" s="23" t="s">
        <v>33</v>
      </c>
      <c r="C19" s="18" t="str">
        <f t="shared" si="5"/>
        <v/>
      </c>
      <c r="D19" s="18"/>
      <c r="F19" s="23" t="s">
        <v>33</v>
      </c>
      <c r="G19" s="18" t="str">
        <f t="shared" si="6"/>
        <v/>
      </c>
      <c r="H19" s="18"/>
      <c r="J19" s="23" t="s">
        <v>33</v>
      </c>
      <c r="K19" s="18" t="str">
        <f t="shared" si="7"/>
        <v/>
      </c>
      <c r="L19" s="18"/>
      <c r="N19" s="23" t="s">
        <v>33</v>
      </c>
      <c r="O19" s="18" t="str">
        <f t="shared" si="8"/>
        <v/>
      </c>
      <c r="P19" s="18"/>
      <c r="R19" s="23" t="s">
        <v>33</v>
      </c>
      <c r="S19" s="18" t="str">
        <f t="shared" si="9"/>
        <v/>
      </c>
      <c r="T19" s="18"/>
      <c r="V19" s="18"/>
      <c r="W19" s="18"/>
      <c r="Y19" s="18"/>
      <c r="Z19" s="18"/>
    </row>
    <row r="20" spans="2:26" ht="18" customHeight="1">
      <c r="B20" s="23" t="s">
        <v>34</v>
      </c>
      <c r="C20" s="18" t="str">
        <f t="shared" si="5"/>
        <v/>
      </c>
      <c r="D20" s="18"/>
      <c r="F20" s="23" t="s">
        <v>34</v>
      </c>
      <c r="G20" s="18" t="str">
        <f t="shared" si="6"/>
        <v/>
      </c>
      <c r="H20" s="18"/>
      <c r="J20" s="23" t="s">
        <v>34</v>
      </c>
      <c r="K20" s="18" t="str">
        <f t="shared" si="7"/>
        <v/>
      </c>
      <c r="L20" s="18"/>
      <c r="N20" s="23" t="s">
        <v>34</v>
      </c>
      <c r="O20" s="18" t="str">
        <f t="shared" si="8"/>
        <v/>
      </c>
      <c r="P20" s="18"/>
      <c r="R20" s="23" t="s">
        <v>34</v>
      </c>
      <c r="S20" s="18" t="str">
        <f t="shared" si="9"/>
        <v/>
      </c>
      <c r="T20" s="18"/>
      <c r="V20" s="18"/>
      <c r="W20" s="18"/>
      <c r="Y20" s="18"/>
      <c r="Z20" s="18"/>
    </row>
    <row r="21" spans="2:26" ht="18" customHeight="1">
      <c r="B21" s="23" t="s">
        <v>35</v>
      </c>
      <c r="C21" s="18" t="str">
        <f t="shared" si="5"/>
        <v/>
      </c>
      <c r="D21" s="18"/>
      <c r="F21" s="23" t="s">
        <v>35</v>
      </c>
      <c r="G21" s="18" t="str">
        <f t="shared" si="6"/>
        <v/>
      </c>
      <c r="H21" s="18"/>
      <c r="J21" s="23" t="s">
        <v>35</v>
      </c>
      <c r="K21" s="18" t="str">
        <f t="shared" si="7"/>
        <v/>
      </c>
      <c r="L21" s="18"/>
      <c r="N21" s="23" t="s">
        <v>35</v>
      </c>
      <c r="O21" s="18" t="str">
        <f t="shared" si="8"/>
        <v/>
      </c>
      <c r="P21" s="18"/>
      <c r="R21" s="23" t="s">
        <v>35</v>
      </c>
      <c r="S21" s="18" t="str">
        <f t="shared" si="9"/>
        <v/>
      </c>
      <c r="T21" s="18"/>
      <c r="V21" s="18"/>
      <c r="W21" s="18"/>
      <c r="Y21" s="18"/>
      <c r="Z21" s="18"/>
    </row>
    <row r="22" spans="2:26" ht="18" customHeight="1">
      <c r="B22" s="23" t="s">
        <v>36</v>
      </c>
      <c r="C22" s="18" t="str">
        <f t="shared" si="5"/>
        <v/>
      </c>
      <c r="D22" s="18"/>
      <c r="F22" s="23" t="s">
        <v>36</v>
      </c>
      <c r="G22" s="18" t="str">
        <f t="shared" si="6"/>
        <v/>
      </c>
      <c r="H22" s="18"/>
      <c r="J22" s="23" t="s">
        <v>36</v>
      </c>
      <c r="K22" s="18" t="str">
        <f t="shared" si="7"/>
        <v/>
      </c>
      <c r="L22" s="18"/>
      <c r="N22" s="23" t="s">
        <v>36</v>
      </c>
      <c r="O22" s="18" t="str">
        <f t="shared" si="8"/>
        <v/>
      </c>
      <c r="P22" s="18"/>
      <c r="R22" s="23" t="s">
        <v>36</v>
      </c>
      <c r="S22" s="18" t="str">
        <f t="shared" si="9"/>
        <v/>
      </c>
      <c r="T22" s="18"/>
      <c r="V22" s="18"/>
      <c r="W22" s="18"/>
      <c r="Y22" s="18"/>
      <c r="Z22" s="18"/>
    </row>
    <row r="23" spans="2:26" ht="18" customHeight="1">
      <c r="B23" s="23" t="s">
        <v>37</v>
      </c>
      <c r="C23" s="18" t="str">
        <f t="shared" si="5"/>
        <v/>
      </c>
      <c r="D23" s="18"/>
      <c r="F23" s="23" t="s">
        <v>37</v>
      </c>
      <c r="G23" s="18" t="str">
        <f t="shared" si="6"/>
        <v/>
      </c>
      <c r="H23" s="18"/>
      <c r="J23" s="23" t="s">
        <v>37</v>
      </c>
      <c r="K23" s="18" t="str">
        <f t="shared" si="7"/>
        <v/>
      </c>
      <c r="L23" s="18"/>
      <c r="N23" s="23" t="s">
        <v>37</v>
      </c>
      <c r="O23" s="18" t="str">
        <f t="shared" si="8"/>
        <v/>
      </c>
      <c r="P23" s="18"/>
      <c r="R23" s="23" t="s">
        <v>37</v>
      </c>
      <c r="S23" s="18" t="str">
        <f t="shared" si="9"/>
        <v/>
      </c>
      <c r="T23" s="18"/>
      <c r="V23" s="18"/>
      <c r="W23" s="18"/>
      <c r="Y23" s="18"/>
      <c r="Z23" s="18"/>
    </row>
    <row r="24" spans="2:26" ht="18" customHeight="1">
      <c r="B24" s="23" t="s">
        <v>38</v>
      </c>
      <c r="C24" s="18" t="str">
        <f t="shared" si="5"/>
        <v/>
      </c>
      <c r="D24" s="18"/>
      <c r="F24" s="23" t="s">
        <v>38</v>
      </c>
      <c r="G24" s="18" t="str">
        <f t="shared" si="6"/>
        <v/>
      </c>
      <c r="H24" s="18"/>
      <c r="J24" s="23" t="s">
        <v>38</v>
      </c>
      <c r="K24" s="18" t="str">
        <f t="shared" si="7"/>
        <v/>
      </c>
      <c r="L24" s="18"/>
      <c r="N24" s="23" t="s">
        <v>38</v>
      </c>
      <c r="O24" s="18" t="str">
        <f t="shared" si="8"/>
        <v/>
      </c>
      <c r="P24" s="18"/>
      <c r="R24" s="23" t="s">
        <v>38</v>
      </c>
      <c r="S24" s="18" t="str">
        <f t="shared" si="9"/>
        <v/>
      </c>
      <c r="T24" s="18"/>
      <c r="V24" s="18"/>
      <c r="W24" s="18"/>
      <c r="Y24" s="18"/>
      <c r="Z24" s="18"/>
    </row>
    <row r="25" spans="2:26" ht="18" customHeight="1">
      <c r="B25" s="23" t="s">
        <v>39</v>
      </c>
      <c r="C25" s="18" t="str">
        <f t="shared" si="5"/>
        <v/>
      </c>
      <c r="D25" s="18"/>
      <c r="F25" s="23" t="s">
        <v>39</v>
      </c>
      <c r="G25" s="18" t="str">
        <f t="shared" si="6"/>
        <v/>
      </c>
      <c r="H25" s="18"/>
      <c r="J25" s="23" t="s">
        <v>39</v>
      </c>
      <c r="K25" s="18" t="str">
        <f t="shared" si="7"/>
        <v/>
      </c>
      <c r="L25" s="18"/>
      <c r="N25" s="23" t="s">
        <v>39</v>
      </c>
      <c r="O25" s="18" t="str">
        <f t="shared" si="8"/>
        <v/>
      </c>
      <c r="P25" s="18"/>
      <c r="R25" s="23" t="s">
        <v>39</v>
      </c>
      <c r="S25" s="18" t="str">
        <f t="shared" si="9"/>
        <v/>
      </c>
      <c r="T25" s="18"/>
      <c r="V25" s="18"/>
      <c r="W25" s="18"/>
      <c r="Y25" s="18"/>
      <c r="Z25" s="18"/>
    </row>
    <row r="26" spans="2:26" ht="18" customHeight="1">
      <c r="B26" s="23" t="s">
        <v>40</v>
      </c>
      <c r="C26" s="18" t="str">
        <f t="shared" si="5"/>
        <v/>
      </c>
      <c r="D26" s="18"/>
      <c r="F26" s="23" t="s">
        <v>40</v>
      </c>
      <c r="G26" s="18" t="str">
        <f t="shared" si="6"/>
        <v/>
      </c>
      <c r="H26" s="18"/>
      <c r="J26" s="23" t="s">
        <v>40</v>
      </c>
      <c r="K26" s="18" t="str">
        <f t="shared" si="7"/>
        <v/>
      </c>
      <c r="L26" s="18"/>
      <c r="N26" s="23" t="s">
        <v>40</v>
      </c>
      <c r="O26" s="18" t="str">
        <f t="shared" si="8"/>
        <v/>
      </c>
      <c r="P26" s="18"/>
      <c r="R26" s="23" t="s">
        <v>40</v>
      </c>
      <c r="S26" s="18" t="str">
        <f t="shared" si="9"/>
        <v/>
      </c>
      <c r="T26" s="18"/>
      <c r="V26" s="18"/>
      <c r="W26" s="18"/>
      <c r="Y26" s="18"/>
      <c r="Z26" s="18"/>
    </row>
    <row r="27" spans="2:26" ht="18" customHeight="1">
      <c r="B27" s="23" t="s">
        <v>41</v>
      </c>
      <c r="C27" s="18" t="str">
        <f t="shared" si="5"/>
        <v/>
      </c>
      <c r="D27" s="18"/>
      <c r="F27" s="23" t="s">
        <v>41</v>
      </c>
      <c r="G27" s="18" t="str">
        <f t="shared" si="6"/>
        <v/>
      </c>
      <c r="H27" s="18"/>
      <c r="J27" s="23" t="s">
        <v>41</v>
      </c>
      <c r="K27" s="18" t="str">
        <f t="shared" si="7"/>
        <v/>
      </c>
      <c r="L27" s="18"/>
      <c r="N27" s="23" t="s">
        <v>41</v>
      </c>
      <c r="O27" s="18" t="str">
        <f t="shared" si="8"/>
        <v/>
      </c>
      <c r="P27" s="18"/>
      <c r="R27" s="23" t="s">
        <v>41</v>
      </c>
      <c r="S27" s="18" t="str">
        <f t="shared" si="9"/>
        <v/>
      </c>
      <c r="T27" s="18"/>
      <c r="V27" s="18"/>
      <c r="W27" s="18"/>
      <c r="Y27" s="18"/>
      <c r="Z27" s="18"/>
    </row>
    <row r="28" spans="2:26" ht="18" customHeight="1" thickBot="1">
      <c r="V28" s="18"/>
      <c r="W28" s="18"/>
      <c r="Y28" s="18"/>
      <c r="Z28" s="18"/>
    </row>
    <row r="29" spans="2:26" ht="18" customHeight="1" thickBot="1">
      <c r="B29" s="120" t="s">
        <v>50</v>
      </c>
      <c r="C29" s="121"/>
      <c r="D29" s="122"/>
      <c r="F29" s="123"/>
      <c r="G29" s="123"/>
      <c r="H29" s="123"/>
      <c r="V29" s="18"/>
      <c r="W29" s="18"/>
      <c r="Y29" s="18"/>
      <c r="Z29" s="18"/>
    </row>
    <row r="30" spans="2:26" ht="18" customHeight="1">
      <c r="B30" s="22" t="s">
        <v>30</v>
      </c>
      <c r="C30" s="17"/>
      <c r="D30" s="17"/>
      <c r="F30" s="19"/>
      <c r="G30" s="19"/>
      <c r="H30" s="19"/>
      <c r="V30" s="18"/>
      <c r="W30" s="18"/>
      <c r="Y30" s="18"/>
      <c r="Z30" s="18"/>
    </row>
    <row r="31" spans="2:26" ht="18" customHeight="1">
      <c r="B31" s="23" t="s">
        <v>31</v>
      </c>
      <c r="C31" s="18" t="str">
        <f>IF(D30="","",D30+1)</f>
        <v/>
      </c>
      <c r="D31" s="18"/>
      <c r="F31" s="19"/>
      <c r="G31" s="19"/>
      <c r="H31" s="19"/>
      <c r="V31" s="18"/>
      <c r="W31" s="18"/>
      <c r="Y31" s="18"/>
      <c r="Z31" s="18"/>
    </row>
    <row r="32" spans="2:26" ht="18" customHeight="1">
      <c r="B32" s="23" t="s">
        <v>32</v>
      </c>
      <c r="C32" s="18" t="str">
        <f t="shared" ref="C32:C41" si="10">IF(D31="","",D31+1)</f>
        <v/>
      </c>
      <c r="D32" s="18"/>
      <c r="F32" s="19"/>
      <c r="G32" s="19"/>
      <c r="H32" s="19"/>
      <c r="V32" s="18"/>
      <c r="W32" s="18"/>
      <c r="Y32" s="18"/>
      <c r="Z32" s="18"/>
    </row>
    <row r="33" spans="2:26" ht="18" customHeight="1">
      <c r="B33" s="23" t="s">
        <v>33</v>
      </c>
      <c r="C33" s="18" t="str">
        <f t="shared" si="10"/>
        <v/>
      </c>
      <c r="D33" s="18"/>
      <c r="F33" s="19"/>
      <c r="G33" s="19"/>
      <c r="H33" s="19"/>
      <c r="V33" s="18"/>
      <c r="W33" s="18"/>
      <c r="Y33" s="18"/>
      <c r="Z33" s="18"/>
    </row>
    <row r="34" spans="2:26" ht="18" customHeight="1">
      <c r="B34" s="23" t="s">
        <v>34</v>
      </c>
      <c r="C34" s="18" t="str">
        <f t="shared" si="10"/>
        <v/>
      </c>
      <c r="D34" s="18"/>
      <c r="F34" s="19"/>
      <c r="G34" s="19"/>
      <c r="H34" s="19"/>
      <c r="V34" s="18"/>
      <c r="W34" s="18"/>
      <c r="Y34" s="18"/>
      <c r="Z34" s="18"/>
    </row>
    <row r="35" spans="2:26" ht="18" customHeight="1">
      <c r="B35" s="23" t="s">
        <v>35</v>
      </c>
      <c r="C35" s="18" t="str">
        <f t="shared" si="10"/>
        <v/>
      </c>
      <c r="D35" s="18"/>
      <c r="F35" s="19"/>
      <c r="G35" s="19"/>
      <c r="H35" s="19"/>
      <c r="V35" s="18"/>
      <c r="W35" s="18"/>
      <c r="Y35" s="18"/>
      <c r="Z35" s="18"/>
    </row>
    <row r="36" spans="2:26" ht="18" customHeight="1">
      <c r="B36" s="23" t="s">
        <v>36</v>
      </c>
      <c r="C36" s="18" t="str">
        <f t="shared" si="10"/>
        <v/>
      </c>
      <c r="D36" s="18"/>
      <c r="F36" s="19"/>
      <c r="G36" s="19"/>
      <c r="H36" s="19"/>
      <c r="V36" s="18"/>
      <c r="W36" s="18"/>
      <c r="Y36" s="18"/>
      <c r="Z36" s="18"/>
    </row>
    <row r="37" spans="2:26" ht="18" customHeight="1">
      <c r="B37" s="23" t="s">
        <v>37</v>
      </c>
      <c r="C37" s="18" t="str">
        <f t="shared" si="10"/>
        <v/>
      </c>
      <c r="D37" s="18"/>
      <c r="F37" s="19"/>
      <c r="G37" s="19"/>
      <c r="H37" s="19"/>
      <c r="V37" s="18"/>
      <c r="W37" s="18"/>
      <c r="Y37" s="18"/>
      <c r="Z37" s="18"/>
    </row>
    <row r="38" spans="2:26" ht="18" customHeight="1">
      <c r="B38" s="23" t="s">
        <v>38</v>
      </c>
      <c r="C38" s="18" t="str">
        <f t="shared" si="10"/>
        <v/>
      </c>
      <c r="D38" s="18"/>
      <c r="F38" s="19"/>
      <c r="G38" s="19"/>
      <c r="H38" s="19"/>
      <c r="V38" s="18"/>
      <c r="W38" s="18"/>
      <c r="Y38" s="18"/>
      <c r="Z38" s="18"/>
    </row>
    <row r="39" spans="2:26" ht="18" customHeight="1">
      <c r="B39" s="23" t="s">
        <v>39</v>
      </c>
      <c r="C39" s="18" t="str">
        <f t="shared" si="10"/>
        <v/>
      </c>
      <c r="D39" s="18"/>
      <c r="F39" s="19"/>
      <c r="G39" s="19"/>
      <c r="H39" s="19"/>
      <c r="V39" s="18"/>
      <c r="W39" s="18"/>
      <c r="Y39" s="18"/>
      <c r="Z39" s="18"/>
    </row>
    <row r="40" spans="2:26" ht="18" customHeight="1">
      <c r="B40" s="23" t="s">
        <v>40</v>
      </c>
      <c r="C40" s="18" t="str">
        <f t="shared" si="10"/>
        <v/>
      </c>
      <c r="D40" s="18"/>
      <c r="F40" s="19"/>
      <c r="G40" s="19"/>
      <c r="H40" s="19"/>
      <c r="V40" s="18"/>
      <c r="W40" s="18"/>
      <c r="Y40" s="18"/>
      <c r="Z40" s="18"/>
    </row>
    <row r="41" spans="2:26" ht="18" customHeight="1">
      <c r="B41" s="23" t="s">
        <v>41</v>
      </c>
      <c r="C41" s="18" t="str">
        <f t="shared" si="10"/>
        <v/>
      </c>
      <c r="D41" s="18"/>
      <c r="F41" s="19"/>
      <c r="G41" s="19"/>
      <c r="H41" s="19"/>
      <c r="V41" s="18"/>
      <c r="W41" s="18"/>
      <c r="Y41" s="18"/>
      <c r="Z41" s="18"/>
    </row>
    <row r="42" spans="2:26" ht="18" customHeight="1">
      <c r="V42" s="18"/>
      <c r="W42" s="18"/>
      <c r="Y42" s="18"/>
      <c r="Z42" s="18"/>
    </row>
    <row r="43" spans="2:26" ht="18" customHeight="1">
      <c r="V43" s="18"/>
      <c r="W43" s="18"/>
      <c r="Y43" s="18"/>
      <c r="Z43" s="18"/>
    </row>
    <row r="44" spans="2:26" ht="18" customHeight="1">
      <c r="V44" s="18"/>
      <c r="W44" s="18"/>
      <c r="Y44" s="18"/>
      <c r="Z44" s="18"/>
    </row>
    <row r="45" spans="2:26" ht="18" customHeight="1">
      <c r="V45" s="18"/>
      <c r="W45" s="18"/>
      <c r="Y45" s="18"/>
      <c r="Z45" s="18"/>
    </row>
    <row r="46" spans="2:26" ht="18" customHeight="1">
      <c r="V46" s="18"/>
      <c r="W46" s="18"/>
      <c r="Y46" s="18"/>
      <c r="Z46" s="18"/>
    </row>
    <row r="47" spans="2:26" ht="18" customHeight="1">
      <c r="V47" s="18"/>
      <c r="W47" s="18"/>
      <c r="Y47" s="18"/>
      <c r="Z47" s="18"/>
    </row>
    <row r="48" spans="2:26" ht="18" customHeight="1">
      <c r="V48" s="18"/>
      <c r="W48" s="18"/>
      <c r="Y48" s="18"/>
      <c r="Z48" s="18"/>
    </row>
    <row r="49" spans="22:26" ht="18" customHeight="1">
      <c r="V49" s="18"/>
      <c r="W49" s="18"/>
      <c r="Y49" s="18"/>
      <c r="Z49" s="18"/>
    </row>
    <row r="50" spans="22:26" ht="18" customHeight="1">
      <c r="V50" s="18"/>
      <c r="W50" s="18"/>
      <c r="Y50" s="18"/>
      <c r="Z50" s="18"/>
    </row>
    <row r="51" spans="22:26" ht="18" customHeight="1">
      <c r="V51" s="18"/>
      <c r="W51" s="18"/>
      <c r="Y51" s="18"/>
      <c r="Z51" s="18"/>
    </row>
    <row r="52" spans="22:26" ht="18" customHeight="1">
      <c r="V52" s="18"/>
      <c r="W52" s="18"/>
      <c r="Y52" s="18"/>
      <c r="Z52" s="18"/>
    </row>
    <row r="53" spans="22:26" ht="18" customHeight="1">
      <c r="V53" s="18"/>
      <c r="W53" s="18"/>
      <c r="Y53" s="18"/>
      <c r="Z53" s="18"/>
    </row>
    <row r="54" spans="22:26" ht="18" customHeight="1">
      <c r="V54" s="18"/>
      <c r="W54" s="18"/>
      <c r="Y54" s="18"/>
      <c r="Z54" s="18"/>
    </row>
    <row r="55" spans="22:26" ht="18" customHeight="1">
      <c r="V55" s="18"/>
      <c r="W55" s="18"/>
      <c r="Y55" s="18"/>
      <c r="Z55" s="18"/>
    </row>
    <row r="56" spans="22:26" ht="18" customHeight="1">
      <c r="V56" s="18"/>
      <c r="W56" s="18"/>
      <c r="Y56" s="18"/>
      <c r="Z56" s="18"/>
    </row>
    <row r="57" spans="22:26" ht="18" customHeight="1">
      <c r="V57" s="18"/>
      <c r="W57" s="18"/>
      <c r="Y57" s="18"/>
      <c r="Z57" s="18"/>
    </row>
    <row r="58" spans="22:26" ht="18" customHeight="1">
      <c r="V58" s="18"/>
      <c r="W58" s="18"/>
      <c r="Y58" s="18"/>
      <c r="Z58" s="18"/>
    </row>
    <row r="59" spans="22:26" ht="18" customHeight="1">
      <c r="V59" s="18"/>
      <c r="W59" s="18"/>
      <c r="Y59" s="18"/>
      <c r="Z59" s="18"/>
    </row>
    <row r="60" spans="22:26" ht="18" customHeight="1">
      <c r="V60" s="18"/>
      <c r="W60" s="18"/>
      <c r="Y60" s="18"/>
      <c r="Z60" s="18"/>
    </row>
    <row r="61" spans="22:26" ht="18" customHeight="1">
      <c r="V61" s="18"/>
      <c r="W61" s="18"/>
      <c r="Y61" s="18"/>
      <c r="Z61" s="18"/>
    </row>
    <row r="62" spans="22:26" ht="18" customHeight="1">
      <c r="V62" s="18"/>
      <c r="W62" s="18"/>
      <c r="Y62" s="18"/>
      <c r="Z62" s="18"/>
    </row>
    <row r="63" spans="22:26" ht="18" customHeight="1">
      <c r="V63" s="18"/>
      <c r="W63" s="18"/>
      <c r="Y63" s="18"/>
      <c r="Z63" s="18"/>
    </row>
    <row r="64" spans="22:26" ht="18" customHeight="1">
      <c r="V64" s="18"/>
      <c r="W64" s="18"/>
      <c r="Y64" s="18"/>
      <c r="Z64" s="18"/>
    </row>
    <row r="65" spans="22:26" ht="18" customHeight="1">
      <c r="V65" s="18"/>
      <c r="W65" s="18"/>
      <c r="Y65" s="18"/>
      <c r="Z65" s="18"/>
    </row>
    <row r="66" spans="22:26" ht="18" customHeight="1">
      <c r="V66" s="18"/>
      <c r="W66" s="18"/>
      <c r="Y66" s="18"/>
      <c r="Z66" s="18"/>
    </row>
    <row r="67" spans="22:26" ht="18" customHeight="1">
      <c r="V67" s="18"/>
      <c r="W67" s="18"/>
      <c r="Y67" s="18"/>
      <c r="Z67" s="18"/>
    </row>
    <row r="68" spans="22:26" ht="18" customHeight="1">
      <c r="V68" s="18"/>
      <c r="W68" s="18"/>
      <c r="Y68" s="18"/>
      <c r="Z68" s="18"/>
    </row>
    <row r="69" spans="22:26" ht="18" customHeight="1">
      <c r="V69" s="18"/>
      <c r="W69" s="18"/>
      <c r="Y69" s="18"/>
      <c r="Z69" s="18"/>
    </row>
    <row r="70" spans="22:26" ht="18" customHeight="1">
      <c r="V70" s="18"/>
      <c r="W70" s="18"/>
      <c r="Y70" s="18"/>
      <c r="Z70" s="18"/>
    </row>
    <row r="71" spans="22:26" ht="18" customHeight="1">
      <c r="V71" s="18"/>
      <c r="W71" s="18"/>
      <c r="Y71" s="18"/>
      <c r="Z71" s="18"/>
    </row>
    <row r="72" spans="22:26" ht="18" customHeight="1">
      <c r="V72" s="18"/>
      <c r="W72" s="18"/>
      <c r="Y72" s="18"/>
      <c r="Z72" s="18"/>
    </row>
    <row r="73" spans="22:26" ht="18" customHeight="1">
      <c r="V73" s="18"/>
      <c r="W73" s="18"/>
      <c r="Y73" s="18"/>
      <c r="Z73" s="18"/>
    </row>
    <row r="74" spans="22:26" ht="18" customHeight="1">
      <c r="V74" s="18"/>
      <c r="W74" s="18"/>
      <c r="Y74" s="18"/>
      <c r="Z74" s="18"/>
    </row>
    <row r="75" spans="22:26" ht="18" customHeight="1">
      <c r="V75" s="18"/>
      <c r="W75" s="18"/>
      <c r="Y75" s="18"/>
      <c r="Z75" s="18"/>
    </row>
    <row r="76" spans="22:26" ht="18" customHeight="1">
      <c r="V76" s="18"/>
      <c r="W76" s="18"/>
      <c r="Y76" s="18"/>
      <c r="Z76" s="18"/>
    </row>
    <row r="77" spans="22:26" ht="18" customHeight="1">
      <c r="V77" s="18"/>
      <c r="W77" s="18"/>
      <c r="Y77" s="18"/>
      <c r="Z77" s="18"/>
    </row>
    <row r="78" spans="22:26" ht="18" customHeight="1">
      <c r="V78" s="18"/>
      <c r="W78" s="18"/>
      <c r="Y78" s="18"/>
      <c r="Z78" s="18"/>
    </row>
    <row r="79" spans="22:26" ht="18" customHeight="1">
      <c r="V79" s="18"/>
      <c r="W79" s="18"/>
      <c r="Y79" s="18"/>
      <c r="Z79" s="18"/>
    </row>
    <row r="80" spans="22:26" ht="18" customHeight="1">
      <c r="V80" s="18"/>
      <c r="W80" s="18"/>
      <c r="Y80" s="18"/>
      <c r="Z80" s="18"/>
    </row>
    <row r="81" spans="22:26" ht="18" customHeight="1">
      <c r="V81" s="18"/>
      <c r="W81" s="18"/>
      <c r="Y81" s="18"/>
      <c r="Z81" s="18"/>
    </row>
    <row r="82" spans="22:26" ht="18" customHeight="1">
      <c r="V82" s="18"/>
      <c r="W82" s="18"/>
      <c r="Y82" s="18"/>
      <c r="Z82" s="18"/>
    </row>
    <row r="83" spans="22:26" ht="18" customHeight="1">
      <c r="V83" s="18"/>
      <c r="W83" s="18"/>
      <c r="Y83" s="18"/>
      <c r="Z83" s="18"/>
    </row>
    <row r="84" spans="22:26" ht="18" customHeight="1">
      <c r="V84" s="18"/>
      <c r="W84" s="18"/>
      <c r="Y84" s="18"/>
      <c r="Z84" s="18"/>
    </row>
    <row r="85" spans="22:26" ht="18" customHeight="1">
      <c r="V85" s="18"/>
      <c r="W85" s="18"/>
      <c r="Y85" s="18"/>
      <c r="Z85" s="18"/>
    </row>
    <row r="86" spans="22:26" ht="18" customHeight="1">
      <c r="V86" s="18"/>
      <c r="W86" s="18"/>
      <c r="Y86" s="18"/>
      <c r="Z86" s="18"/>
    </row>
    <row r="87" spans="22:26" ht="18" customHeight="1">
      <c r="V87" s="18"/>
      <c r="W87" s="18"/>
      <c r="Y87" s="18"/>
      <c r="Z87" s="18"/>
    </row>
    <row r="88" spans="22:26" ht="18" customHeight="1">
      <c r="V88" s="18"/>
      <c r="W88" s="18"/>
      <c r="Y88" s="18"/>
      <c r="Z88" s="18"/>
    </row>
    <row r="89" spans="22:26" ht="18" customHeight="1">
      <c r="V89" s="18"/>
      <c r="W89" s="18"/>
      <c r="Y89" s="18"/>
      <c r="Z89" s="18"/>
    </row>
    <row r="90" spans="22:26" ht="18" customHeight="1">
      <c r="V90" s="18"/>
      <c r="W90" s="18"/>
      <c r="Y90" s="18"/>
      <c r="Z90" s="18"/>
    </row>
    <row r="91" spans="22:26" ht="18" customHeight="1">
      <c r="V91" s="18"/>
      <c r="W91" s="18"/>
      <c r="Y91" s="18"/>
      <c r="Z91" s="18"/>
    </row>
    <row r="92" spans="22:26" ht="18" customHeight="1">
      <c r="V92" s="18"/>
      <c r="W92" s="18"/>
      <c r="Y92" s="18"/>
      <c r="Z92" s="18"/>
    </row>
    <row r="93" spans="22:26" ht="18" customHeight="1">
      <c r="V93" s="18"/>
      <c r="W93" s="18"/>
      <c r="Y93" s="18"/>
      <c r="Z93" s="18"/>
    </row>
    <row r="94" spans="22:26" ht="18" customHeight="1">
      <c r="V94" s="18"/>
      <c r="W94" s="18"/>
      <c r="Y94" s="18"/>
      <c r="Z94" s="18"/>
    </row>
    <row r="95" spans="22:26" ht="18" customHeight="1">
      <c r="V95" s="18"/>
      <c r="W95" s="18"/>
      <c r="Y95" s="18"/>
      <c r="Z95" s="18"/>
    </row>
    <row r="96" spans="22:26" ht="18" customHeight="1">
      <c r="V96" s="18"/>
      <c r="W96" s="18"/>
      <c r="Y96" s="18"/>
      <c r="Z96" s="18"/>
    </row>
    <row r="97" spans="22:26" ht="18" customHeight="1">
      <c r="V97" s="18"/>
      <c r="W97" s="18"/>
      <c r="Y97" s="18"/>
      <c r="Z97" s="18"/>
    </row>
    <row r="98" spans="22:26" ht="18" customHeight="1">
      <c r="V98" s="18"/>
      <c r="W98" s="18"/>
      <c r="Y98" s="18"/>
      <c r="Z98" s="18"/>
    </row>
    <row r="99" spans="22:26" ht="18" customHeight="1">
      <c r="V99" s="18"/>
      <c r="W99" s="18"/>
      <c r="Y99" s="18"/>
      <c r="Z99" s="18"/>
    </row>
    <row r="100" spans="22:26" ht="18" customHeight="1">
      <c r="V100" s="18"/>
      <c r="W100" s="18"/>
      <c r="Y100" s="18"/>
      <c r="Z100" s="18"/>
    </row>
  </sheetData>
  <mergeCells count="14">
    <mergeCell ref="Y1:Z1"/>
    <mergeCell ref="V1:W1"/>
    <mergeCell ref="B29:D29"/>
    <mergeCell ref="F29:H29"/>
    <mergeCell ref="B1:D1"/>
    <mergeCell ref="F1:H1"/>
    <mergeCell ref="J1:L1"/>
    <mergeCell ref="N1:P1"/>
    <mergeCell ref="R1:T1"/>
    <mergeCell ref="B15:D15"/>
    <mergeCell ref="F15:H15"/>
    <mergeCell ref="J15:L15"/>
    <mergeCell ref="N15:P15"/>
    <mergeCell ref="R15:T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7030A0"/>
  </sheetPr>
  <dimension ref="A1:Y169"/>
  <sheetViews>
    <sheetView workbookViewId="0">
      <selection activeCell="D20" sqref="D20"/>
    </sheetView>
  </sheetViews>
  <sheetFormatPr baseColWidth="10" defaultColWidth="6.7109375" defaultRowHeight="18" customHeight="1"/>
  <cols>
    <col min="1" max="1" width="6.7109375" style="11"/>
    <col min="2" max="2" width="16.7109375" style="11" customWidth="1"/>
    <col min="3" max="4" width="14.7109375" style="11" customWidth="1"/>
    <col min="5" max="5" width="6.7109375" style="1"/>
    <col min="6" max="6" width="16.7109375" style="35" customWidth="1"/>
    <col min="7" max="12" width="6.7109375" style="1"/>
    <col min="13" max="13" width="6.7109375" style="1" customWidth="1"/>
    <col min="14" max="15" width="6.7109375" style="1" hidden="1" customWidth="1"/>
    <col min="16" max="17" width="15.7109375" style="1" hidden="1" customWidth="1"/>
    <col min="18" max="18" width="8.7109375" style="2" customWidth="1"/>
    <col min="19" max="24" width="6.7109375" style="1"/>
    <col min="25" max="25" width="6.7109375" style="1" customWidth="1"/>
    <col min="26" max="16384" width="6.7109375" style="1"/>
  </cols>
  <sheetData>
    <row r="1" spans="2:25" ht="18" customHeight="1" thickBot="1">
      <c r="F1" s="34" t="s">
        <v>17</v>
      </c>
      <c r="N1" s="127">
        <v>2017</v>
      </c>
      <c r="O1" s="130">
        <f>IF(N1="","",FLOOR(DAY(MINUTE(N1/38)/2+56)&amp;"/5/"&amp;N1,7)-34)</f>
        <v>42841</v>
      </c>
      <c r="P1" s="41" t="s">
        <v>5</v>
      </c>
      <c r="Q1" s="39">
        <f>IF($N1="","",DATE($N1,1,1))</f>
        <v>42736</v>
      </c>
    </row>
    <row r="2" spans="2:25" s="11" customFormat="1" ht="18" customHeight="1" thickBot="1">
      <c r="F2" s="36"/>
      <c r="N2" s="128"/>
      <c r="O2" s="131" t="e">
        <f>IF(#REF!="","",FLOOR(DAY(MINUTE(#REF!/38)/2+56)&amp;"/5/"&amp;#REF!,7)-34)</f>
        <v>#REF!</v>
      </c>
      <c r="P2" s="42" t="s">
        <v>6</v>
      </c>
      <c r="Q2" s="32">
        <f>IF($O1="","",$O1-2)</f>
        <v>42839</v>
      </c>
      <c r="R2" s="2"/>
    </row>
    <row r="3" spans="2:25" ht="18" customHeight="1">
      <c r="B3" s="134" t="s">
        <v>18</v>
      </c>
      <c r="C3" s="135"/>
      <c r="D3" s="136"/>
      <c r="F3" s="37"/>
      <c r="N3" s="128"/>
      <c r="O3" s="131" t="e">
        <f>IF(#REF!="","",FLOOR(DAY(MINUTE(#REF!/38)/2+56)&amp;"/5/"&amp;#REF!,7)-34)</f>
        <v>#REF!</v>
      </c>
      <c r="P3" s="38" t="s">
        <v>7</v>
      </c>
      <c r="Q3" s="31">
        <f>IF($O1="","",$O1+1)</f>
        <v>42842</v>
      </c>
    </row>
    <row r="4" spans="2:25" ht="18" customHeight="1" thickBot="1">
      <c r="B4" s="5"/>
      <c r="C4" s="6"/>
      <c r="D4" s="7"/>
      <c r="F4" s="37"/>
      <c r="N4" s="128"/>
      <c r="O4" s="131" t="e">
        <f>IF(#REF!="","",FLOOR(DAY(MINUTE(#REF!/38)/2+56)&amp;"/5/"&amp;#REF!,7)-34)</f>
        <v>#REF!</v>
      </c>
      <c r="P4" s="38" t="s">
        <v>8</v>
      </c>
      <c r="Q4" s="31">
        <f>IF($N1="","",DATE($N1,5,1))</f>
        <v>42856</v>
      </c>
    </row>
    <row r="5" spans="2:25" ht="18" customHeight="1" thickBot="1">
      <c r="B5" s="8" t="s">
        <v>19</v>
      </c>
      <c r="C5" s="9" t="s">
        <v>20</v>
      </c>
      <c r="D5" s="9" t="s">
        <v>21</v>
      </c>
      <c r="F5" s="37"/>
      <c r="N5" s="128"/>
      <c r="O5" s="131" t="e">
        <f>IF(#REF!="","",FLOOR(DAY(MINUTE(#REF!/38)/2+56)&amp;"/5/"&amp;#REF!,7)-34)</f>
        <v>#REF!</v>
      </c>
      <c r="P5" s="38" t="s">
        <v>9</v>
      </c>
      <c r="Q5" s="31">
        <f>IF($N1="","",DATE($N1,5,8))</f>
        <v>42863</v>
      </c>
      <c r="R5" s="13"/>
    </row>
    <row r="6" spans="2:25" ht="18" customHeight="1">
      <c r="B6" s="105" t="s">
        <v>22</v>
      </c>
      <c r="C6" s="107">
        <v>0.33333333333333331</v>
      </c>
      <c r="D6" s="108">
        <v>0.70833333333333337</v>
      </c>
      <c r="F6" s="37"/>
      <c r="N6" s="128"/>
      <c r="O6" s="131" t="e">
        <f>IF(#REF!="","",FLOOR(DAY(MINUTE(#REF!/38)/2+56)&amp;"/5/"&amp;#REF!,7)-34)</f>
        <v>#REF!</v>
      </c>
      <c r="P6" s="38" t="s">
        <v>10</v>
      </c>
      <c r="Q6" s="31">
        <f>IF($O1="","",$O1+39)</f>
        <v>42880</v>
      </c>
    </row>
    <row r="7" spans="2:25" ht="18" customHeight="1">
      <c r="B7" s="10" t="s">
        <v>23</v>
      </c>
      <c r="C7" s="109">
        <v>0.20486111111111113</v>
      </c>
      <c r="D7" s="110">
        <v>0.54722222222222217</v>
      </c>
      <c r="F7" s="37"/>
      <c r="N7" s="128"/>
      <c r="O7" s="132" t="s">
        <v>16</v>
      </c>
      <c r="P7" s="38" t="s">
        <v>11</v>
      </c>
      <c r="Q7" s="31">
        <f>IF($O1="","",$O1+50)</f>
        <v>42891</v>
      </c>
    </row>
    <row r="8" spans="2:25" ht="18" customHeight="1">
      <c r="B8" s="10" t="s">
        <v>24</v>
      </c>
      <c r="C8" s="109">
        <v>0.53819444444444442</v>
      </c>
      <c r="D8" s="110">
        <v>0.88055555555555554</v>
      </c>
      <c r="F8" s="37"/>
      <c r="N8" s="128"/>
      <c r="O8" s="132"/>
      <c r="P8" s="38" t="s">
        <v>12</v>
      </c>
      <c r="Q8" s="31">
        <f>IF(N$1="","",DATE($N1,7,14))</f>
        <v>42930</v>
      </c>
    </row>
    <row r="9" spans="2:25" ht="18" customHeight="1">
      <c r="B9" s="10" t="s">
        <v>25</v>
      </c>
      <c r="C9" s="109">
        <v>0.87152777777777779</v>
      </c>
      <c r="D9" s="110">
        <v>1.213888888888889</v>
      </c>
      <c r="F9" s="67"/>
      <c r="N9" s="128"/>
      <c r="O9" s="132"/>
      <c r="P9" s="38" t="s">
        <v>13</v>
      </c>
      <c r="Q9" s="31">
        <f>IF($N1="","",DATE($N1,8,15))</f>
        <v>42962</v>
      </c>
    </row>
    <row r="10" spans="2:25" ht="18" customHeight="1">
      <c r="B10" s="10" t="s">
        <v>26</v>
      </c>
      <c r="C10" s="109">
        <v>0.33333333333333331</v>
      </c>
      <c r="D10" s="110">
        <v>0.70833333333333337</v>
      </c>
      <c r="N10" s="128"/>
      <c r="O10" s="132"/>
      <c r="P10" s="38" t="s">
        <v>14</v>
      </c>
      <c r="Q10" s="31">
        <f>IF($N1="","",DATE($N1,11,1))</f>
        <v>43040</v>
      </c>
    </row>
    <row r="11" spans="2:25" ht="18" customHeight="1">
      <c r="B11" s="10" t="s">
        <v>27</v>
      </c>
      <c r="C11" s="109">
        <v>0.33333333333333331</v>
      </c>
      <c r="D11" s="110">
        <v>0.70833333333333337</v>
      </c>
      <c r="N11" s="128"/>
      <c r="O11" s="132"/>
      <c r="P11" s="38" t="s">
        <v>15</v>
      </c>
      <c r="Q11" s="31">
        <f>IF($N1="","",DATE($N1,11,11))</f>
        <v>43050</v>
      </c>
      <c r="Y11" s="11"/>
    </row>
    <row r="12" spans="2:25" ht="18" customHeight="1" thickBot="1">
      <c r="B12" s="106" t="s">
        <v>28</v>
      </c>
      <c r="C12" s="111">
        <v>0.33333333333333331</v>
      </c>
      <c r="D12" s="112">
        <v>0.70833333333333337</v>
      </c>
      <c r="N12" s="128"/>
      <c r="O12" s="132"/>
      <c r="P12" s="38" t="s">
        <v>3</v>
      </c>
      <c r="Q12" s="31">
        <f>IF($N1="","",DATE($N1,12,25))</f>
        <v>43094</v>
      </c>
      <c r="Y12" s="14"/>
    </row>
    <row r="13" spans="2:25" ht="18" customHeight="1" thickBot="1">
      <c r="B13" s="102"/>
      <c r="C13" s="103"/>
      <c r="D13" s="103"/>
      <c r="N13" s="129"/>
      <c r="O13" s="133"/>
      <c r="P13" s="43" t="s">
        <v>4</v>
      </c>
      <c r="Q13" s="40">
        <f>IF($N1="","",DATE($N1,12,26))</f>
        <v>43095</v>
      </c>
      <c r="Y13" s="11"/>
    </row>
    <row r="14" spans="2:25" ht="18" customHeight="1">
      <c r="B14" s="102"/>
      <c r="C14" s="103"/>
      <c r="D14" s="103"/>
      <c r="N14" s="127">
        <f>N1+1</f>
        <v>2018</v>
      </c>
      <c r="O14" s="130">
        <f>IF(N14="","",FLOOR(DAY(MINUTE(N14/38)/2+56)&amp;"/5/"&amp;N14,7)-34)</f>
        <v>43191</v>
      </c>
      <c r="P14" s="41" t="s">
        <v>5</v>
      </c>
      <c r="Q14" s="39">
        <f>IF($N14="","",DATE($N14,1,1))</f>
        <v>43101</v>
      </c>
      <c r="Y14" s="11"/>
    </row>
    <row r="15" spans="2:25" ht="18" customHeight="1">
      <c r="B15" s="104"/>
      <c r="C15" s="103"/>
      <c r="D15" s="103"/>
      <c r="N15" s="128"/>
      <c r="O15" s="131" t="e">
        <f>IF(#REF!="","",FLOOR(DAY(MINUTE(#REF!/38)/2+56)&amp;"/5/"&amp;#REF!,7)-34)</f>
        <v>#REF!</v>
      </c>
      <c r="P15" s="42" t="s">
        <v>6</v>
      </c>
      <c r="Q15" s="32">
        <f>IF($O14="","",$O14-2)</f>
        <v>43189</v>
      </c>
      <c r="Y15" s="11"/>
    </row>
    <row r="16" spans="2:25" ht="18" customHeight="1" thickBot="1">
      <c r="B16" s="12"/>
      <c r="C16" s="12"/>
      <c r="D16" s="12"/>
      <c r="N16" s="128"/>
      <c r="O16" s="131" t="e">
        <f>IF(#REF!="","",FLOOR(DAY(MINUTE(#REF!/38)/2+56)&amp;"/5/"&amp;#REF!,7)-34)</f>
        <v>#REF!</v>
      </c>
      <c r="P16" s="38" t="s">
        <v>7</v>
      </c>
      <c r="Q16" s="31">
        <f>IF($O14="","",$O14+1)</f>
        <v>43192</v>
      </c>
      <c r="Y16" s="11"/>
    </row>
    <row r="17" spans="2:25" ht="18" customHeight="1" thickBot="1">
      <c r="B17" s="137" t="s">
        <v>29</v>
      </c>
      <c r="C17" s="138"/>
      <c r="D17" s="25"/>
      <c r="N17" s="128"/>
      <c r="O17" s="131" t="e">
        <f>IF(#REF!="","",FLOOR(DAY(MINUTE(#REF!/38)/2+56)&amp;"/5/"&amp;#REF!,7)-34)</f>
        <v>#REF!</v>
      </c>
      <c r="P17" s="38" t="s">
        <v>8</v>
      </c>
      <c r="Q17" s="31">
        <f>IF($N14="","",DATE($N14,5,1))</f>
        <v>43221</v>
      </c>
      <c r="Y17" s="11"/>
    </row>
    <row r="18" spans="2:25" ht="18" customHeight="1" thickBot="1">
      <c r="N18" s="128"/>
      <c r="O18" s="131" t="e">
        <f>IF(#REF!="","",FLOOR(DAY(MINUTE(#REF!/38)/2+56)&amp;"/5/"&amp;#REF!,7)-34)</f>
        <v>#REF!</v>
      </c>
      <c r="P18" s="38" t="s">
        <v>9</v>
      </c>
      <c r="Q18" s="31">
        <f>IF($N14="","",DATE($N14,5,8))</f>
        <v>43228</v>
      </c>
    </row>
    <row r="19" spans="2:25" ht="18" customHeight="1" thickBot="1">
      <c r="B19" s="137" t="s">
        <v>78</v>
      </c>
      <c r="C19" s="138"/>
      <c r="D19" s="25">
        <v>43801</v>
      </c>
      <c r="N19" s="128"/>
      <c r="O19" s="131" t="e">
        <f>IF(#REF!="","",FLOOR(DAY(MINUTE(#REF!/38)/2+56)&amp;"/5/"&amp;#REF!,7)-34)</f>
        <v>#REF!</v>
      </c>
      <c r="P19" s="38" t="s">
        <v>10</v>
      </c>
      <c r="Q19" s="31">
        <f>IF($O14="","",$O14+39)</f>
        <v>43230</v>
      </c>
    </row>
    <row r="20" spans="2:25" ht="18" customHeight="1">
      <c r="N20" s="128"/>
      <c r="O20" s="132" t="s">
        <v>16</v>
      </c>
      <c r="P20" s="38" t="s">
        <v>11</v>
      </c>
      <c r="Q20" s="31">
        <f>IF($O14="","",$O14+50)</f>
        <v>43241</v>
      </c>
    </row>
    <row r="21" spans="2:25" ht="18" customHeight="1">
      <c r="N21" s="128"/>
      <c r="O21" s="132"/>
      <c r="P21" s="38" t="s">
        <v>12</v>
      </c>
      <c r="Q21" s="31">
        <f>IF(N$1="","",DATE($N14,7,14))</f>
        <v>43295</v>
      </c>
    </row>
    <row r="22" spans="2:25" ht="18" customHeight="1">
      <c r="N22" s="128"/>
      <c r="O22" s="132"/>
      <c r="P22" s="38" t="s">
        <v>13</v>
      </c>
      <c r="Q22" s="31">
        <f>IF($N14="","",DATE($N14,8,15))</f>
        <v>43327</v>
      </c>
    </row>
    <row r="23" spans="2:25" ht="18" customHeight="1">
      <c r="F23" s="37"/>
      <c r="N23" s="128"/>
      <c r="O23" s="132"/>
      <c r="P23" s="38" t="s">
        <v>14</v>
      </c>
      <c r="Q23" s="31">
        <f>IF($N14="","",DATE($N14,11,1))</f>
        <v>43405</v>
      </c>
    </row>
    <row r="24" spans="2:25" ht="18" customHeight="1">
      <c r="N24" s="128"/>
      <c r="O24" s="132"/>
      <c r="P24" s="38" t="s">
        <v>15</v>
      </c>
      <c r="Q24" s="31">
        <f>IF($N14="","",DATE($N14,11,11))</f>
        <v>43415</v>
      </c>
    </row>
    <row r="25" spans="2:25" ht="18" customHeight="1">
      <c r="N25" s="128"/>
      <c r="O25" s="132"/>
      <c r="P25" s="38" t="s">
        <v>3</v>
      </c>
      <c r="Q25" s="31">
        <f>IF($N14="","",DATE($N14,12,25))</f>
        <v>43459</v>
      </c>
    </row>
    <row r="26" spans="2:25" ht="18" customHeight="1" thickBot="1">
      <c r="N26" s="129"/>
      <c r="O26" s="133"/>
      <c r="P26" s="43" t="s">
        <v>4</v>
      </c>
      <c r="Q26" s="40">
        <f>IF($N14="","",DATE($N14,12,26))</f>
        <v>43460</v>
      </c>
    </row>
    <row r="27" spans="2:25" ht="18" customHeight="1">
      <c r="N27" s="127">
        <f>N14+1</f>
        <v>2019</v>
      </c>
      <c r="O27" s="130">
        <f>IF(N27="","",FLOOR(DAY(MINUTE(N27/38)/2+56)&amp;"/5/"&amp;N27,7)-34)</f>
        <v>43576</v>
      </c>
      <c r="P27" s="41" t="s">
        <v>5</v>
      </c>
      <c r="Q27" s="39">
        <f>IF($N27="","",DATE($N27,1,1))</f>
        <v>43466</v>
      </c>
    </row>
    <row r="28" spans="2:25" ht="18" customHeight="1">
      <c r="N28" s="128"/>
      <c r="O28" s="131" t="e">
        <f>IF(#REF!="","",FLOOR(DAY(MINUTE(#REF!/38)/2+56)&amp;"/5/"&amp;#REF!,7)-34)</f>
        <v>#REF!</v>
      </c>
      <c r="P28" s="42" t="s">
        <v>6</v>
      </c>
      <c r="Q28" s="32">
        <f>IF($O27="","",$O27-2)</f>
        <v>43574</v>
      </c>
    </row>
    <row r="29" spans="2:25" ht="18" customHeight="1">
      <c r="N29" s="128"/>
      <c r="O29" s="131" t="e">
        <f>IF(#REF!="","",FLOOR(DAY(MINUTE(#REF!/38)/2+56)&amp;"/5/"&amp;#REF!,7)-34)</f>
        <v>#REF!</v>
      </c>
      <c r="P29" s="38" t="s">
        <v>7</v>
      </c>
      <c r="Q29" s="31">
        <f>IF($O27="","",$O27+1)</f>
        <v>43577</v>
      </c>
    </row>
    <row r="30" spans="2:25" ht="18" customHeight="1">
      <c r="N30" s="128"/>
      <c r="O30" s="131" t="e">
        <f>IF(#REF!="","",FLOOR(DAY(MINUTE(#REF!/38)/2+56)&amp;"/5/"&amp;#REF!,7)-34)</f>
        <v>#REF!</v>
      </c>
      <c r="P30" s="38" t="s">
        <v>8</v>
      </c>
      <c r="Q30" s="31">
        <f>IF($N27="","",DATE($N27,5,1))</f>
        <v>43586</v>
      </c>
    </row>
    <row r="31" spans="2:25" ht="18" customHeight="1">
      <c r="N31" s="128"/>
      <c r="O31" s="131" t="e">
        <f>IF(#REF!="","",FLOOR(DAY(MINUTE(#REF!/38)/2+56)&amp;"/5/"&amp;#REF!,7)-34)</f>
        <v>#REF!</v>
      </c>
      <c r="P31" s="38" t="s">
        <v>9</v>
      </c>
      <c r="Q31" s="31">
        <f>IF($N27="","",DATE($N27,5,8))</f>
        <v>43593</v>
      </c>
    </row>
    <row r="32" spans="2:25" ht="18" customHeight="1">
      <c r="N32" s="128"/>
      <c r="O32" s="131" t="e">
        <f>IF(#REF!="","",FLOOR(DAY(MINUTE(#REF!/38)/2+56)&amp;"/5/"&amp;#REF!,7)-34)</f>
        <v>#REF!</v>
      </c>
      <c r="P32" s="38" t="s">
        <v>10</v>
      </c>
      <c r="Q32" s="31">
        <f>IF($O27="","",$O27+39)</f>
        <v>43615</v>
      </c>
    </row>
    <row r="33" spans="14:17" ht="18" customHeight="1">
      <c r="N33" s="128"/>
      <c r="O33" s="132" t="s">
        <v>16</v>
      </c>
      <c r="P33" s="38" t="s">
        <v>11</v>
      </c>
      <c r="Q33" s="31">
        <f>IF($O27="","",$O27+50)</f>
        <v>43626</v>
      </c>
    </row>
    <row r="34" spans="14:17" ht="18" customHeight="1">
      <c r="N34" s="128"/>
      <c r="O34" s="132"/>
      <c r="P34" s="38" t="s">
        <v>12</v>
      </c>
      <c r="Q34" s="31">
        <f>IF(N$1="","",DATE($N27,7,14))</f>
        <v>43660</v>
      </c>
    </row>
    <row r="35" spans="14:17" ht="18" customHeight="1">
      <c r="N35" s="128"/>
      <c r="O35" s="132"/>
      <c r="P35" s="38" t="s">
        <v>13</v>
      </c>
      <c r="Q35" s="31">
        <f>IF($N27="","",DATE($N27,8,15))</f>
        <v>43692</v>
      </c>
    </row>
    <row r="36" spans="14:17" ht="18" customHeight="1">
      <c r="N36" s="128"/>
      <c r="O36" s="132"/>
      <c r="P36" s="38" t="s">
        <v>14</v>
      </c>
      <c r="Q36" s="31">
        <f>IF($N27="","",DATE($N27,11,1))</f>
        <v>43770</v>
      </c>
    </row>
    <row r="37" spans="14:17" ht="18" customHeight="1">
      <c r="N37" s="128"/>
      <c r="O37" s="132"/>
      <c r="P37" s="38" t="s">
        <v>15</v>
      </c>
      <c r="Q37" s="31">
        <f>IF($N27="","",DATE($N27,11,11))</f>
        <v>43780</v>
      </c>
    </row>
    <row r="38" spans="14:17" ht="18" customHeight="1">
      <c r="N38" s="128"/>
      <c r="O38" s="132"/>
      <c r="P38" s="38" t="s">
        <v>3</v>
      </c>
      <c r="Q38" s="31">
        <f>IF($N27="","",DATE($N27,12,25))</f>
        <v>43824</v>
      </c>
    </row>
    <row r="39" spans="14:17" ht="18" customHeight="1" thickBot="1">
      <c r="N39" s="129"/>
      <c r="O39" s="133"/>
      <c r="P39" s="43" t="s">
        <v>4</v>
      </c>
      <c r="Q39" s="40">
        <f>IF($N27="","",DATE($N27,12,26))</f>
        <v>43825</v>
      </c>
    </row>
    <row r="40" spans="14:17" ht="18" customHeight="1">
      <c r="N40" s="127">
        <f>N27+1</f>
        <v>2020</v>
      </c>
      <c r="O40" s="130">
        <f>IF(N40="","",FLOOR(DAY(MINUTE(N40/38)/2+56)&amp;"/5/"&amp;N40,7)-34)</f>
        <v>43933</v>
      </c>
      <c r="P40" s="41" t="s">
        <v>5</v>
      </c>
      <c r="Q40" s="39">
        <f>IF($N40="","",DATE($N40,1,1))</f>
        <v>43831</v>
      </c>
    </row>
    <row r="41" spans="14:17" ht="18" customHeight="1">
      <c r="N41" s="128"/>
      <c r="O41" s="131" t="e">
        <f>IF(#REF!="","",FLOOR(DAY(MINUTE(#REF!/38)/2+56)&amp;"/5/"&amp;#REF!,7)-34)</f>
        <v>#REF!</v>
      </c>
      <c r="P41" s="42" t="s">
        <v>6</v>
      </c>
      <c r="Q41" s="32">
        <f>IF($O40="","",$O40-2)</f>
        <v>43931</v>
      </c>
    </row>
    <row r="42" spans="14:17" ht="18" customHeight="1">
      <c r="N42" s="128"/>
      <c r="O42" s="131" t="e">
        <f>IF(#REF!="","",FLOOR(DAY(MINUTE(#REF!/38)/2+56)&amp;"/5/"&amp;#REF!,7)-34)</f>
        <v>#REF!</v>
      </c>
      <c r="P42" s="38" t="s">
        <v>7</v>
      </c>
      <c r="Q42" s="31">
        <f>IF($O40="","",$O40+1)</f>
        <v>43934</v>
      </c>
    </row>
    <row r="43" spans="14:17" ht="18" customHeight="1">
      <c r="N43" s="128"/>
      <c r="O43" s="131" t="e">
        <f>IF(#REF!="","",FLOOR(DAY(MINUTE(#REF!/38)/2+56)&amp;"/5/"&amp;#REF!,7)-34)</f>
        <v>#REF!</v>
      </c>
      <c r="P43" s="38" t="s">
        <v>8</v>
      </c>
      <c r="Q43" s="31">
        <f>IF($N40="","",DATE($N40,5,1))</f>
        <v>43952</v>
      </c>
    </row>
    <row r="44" spans="14:17" ht="18" customHeight="1">
      <c r="N44" s="128"/>
      <c r="O44" s="131" t="e">
        <f>IF(#REF!="","",FLOOR(DAY(MINUTE(#REF!/38)/2+56)&amp;"/5/"&amp;#REF!,7)-34)</f>
        <v>#REF!</v>
      </c>
      <c r="P44" s="38" t="s">
        <v>9</v>
      </c>
      <c r="Q44" s="31">
        <f>IF($N40="","",DATE($N40,5,8))</f>
        <v>43959</v>
      </c>
    </row>
    <row r="45" spans="14:17" ht="18" customHeight="1">
      <c r="N45" s="128"/>
      <c r="O45" s="131" t="e">
        <f>IF(#REF!="","",FLOOR(DAY(MINUTE(#REF!/38)/2+56)&amp;"/5/"&amp;#REF!,7)-34)</f>
        <v>#REF!</v>
      </c>
      <c r="P45" s="38" t="s">
        <v>10</v>
      </c>
      <c r="Q45" s="31">
        <f>IF($O40="","",$O40+39)</f>
        <v>43972</v>
      </c>
    </row>
    <row r="46" spans="14:17" ht="18" customHeight="1">
      <c r="N46" s="128"/>
      <c r="O46" s="132" t="s">
        <v>16</v>
      </c>
      <c r="P46" s="38" t="s">
        <v>11</v>
      </c>
      <c r="Q46" s="31">
        <f>IF($O40="","",$O40+50)</f>
        <v>43983</v>
      </c>
    </row>
    <row r="47" spans="14:17" ht="18" customHeight="1">
      <c r="N47" s="128"/>
      <c r="O47" s="132"/>
      <c r="P47" s="38" t="s">
        <v>12</v>
      </c>
      <c r="Q47" s="31">
        <f>IF(N$1="","",DATE($N40,7,14))</f>
        <v>44026</v>
      </c>
    </row>
    <row r="48" spans="14:17" ht="18" customHeight="1">
      <c r="N48" s="128"/>
      <c r="O48" s="132"/>
      <c r="P48" s="38" t="s">
        <v>13</v>
      </c>
      <c r="Q48" s="31">
        <f>IF($N40="","",DATE($N40,8,15))</f>
        <v>44058</v>
      </c>
    </row>
    <row r="49" spans="14:17" ht="18" customHeight="1">
      <c r="N49" s="128"/>
      <c r="O49" s="132"/>
      <c r="P49" s="38" t="s">
        <v>14</v>
      </c>
      <c r="Q49" s="31">
        <f>IF($N40="","",DATE($N40,11,1))</f>
        <v>44136</v>
      </c>
    </row>
    <row r="50" spans="14:17" ht="18" customHeight="1">
      <c r="N50" s="128"/>
      <c r="O50" s="132"/>
      <c r="P50" s="38" t="s">
        <v>15</v>
      </c>
      <c r="Q50" s="31">
        <f>IF($N40="","",DATE($N40,11,11))</f>
        <v>44146</v>
      </c>
    </row>
    <row r="51" spans="14:17" ht="18" customHeight="1">
      <c r="N51" s="128"/>
      <c r="O51" s="132"/>
      <c r="P51" s="38" t="s">
        <v>3</v>
      </c>
      <c r="Q51" s="31">
        <f>IF($N40="","",DATE($N40,12,25))</f>
        <v>44190</v>
      </c>
    </row>
    <row r="52" spans="14:17" ht="18" customHeight="1" thickBot="1">
      <c r="N52" s="129"/>
      <c r="O52" s="133"/>
      <c r="P52" s="43" t="s">
        <v>4</v>
      </c>
      <c r="Q52" s="40">
        <f>IF($N40="","",DATE($N40,12,26))</f>
        <v>44191</v>
      </c>
    </row>
    <row r="53" spans="14:17" ht="18" customHeight="1">
      <c r="N53" s="127">
        <f>N40+1</f>
        <v>2021</v>
      </c>
      <c r="O53" s="130">
        <f>IF(N53="","",FLOOR(DAY(MINUTE(N53/38)/2+56)&amp;"/5/"&amp;N53,7)-34)</f>
        <v>44290</v>
      </c>
      <c r="P53" s="41" t="s">
        <v>5</v>
      </c>
      <c r="Q53" s="39">
        <f>IF($N53="","",DATE($N53,1,1))</f>
        <v>44197</v>
      </c>
    </row>
    <row r="54" spans="14:17" ht="18" customHeight="1">
      <c r="N54" s="128"/>
      <c r="O54" s="131" t="e">
        <f>IF(#REF!="","",FLOOR(DAY(MINUTE(#REF!/38)/2+56)&amp;"/5/"&amp;#REF!,7)-34)</f>
        <v>#REF!</v>
      </c>
      <c r="P54" s="42" t="s">
        <v>6</v>
      </c>
      <c r="Q54" s="32">
        <f>IF($O53="","",$O53-2)</f>
        <v>44288</v>
      </c>
    </row>
    <row r="55" spans="14:17" ht="18" customHeight="1">
      <c r="N55" s="128"/>
      <c r="O55" s="131" t="e">
        <f>IF(#REF!="","",FLOOR(DAY(MINUTE(#REF!/38)/2+56)&amp;"/5/"&amp;#REF!,7)-34)</f>
        <v>#REF!</v>
      </c>
      <c r="P55" s="38" t="s">
        <v>7</v>
      </c>
      <c r="Q55" s="31">
        <f>IF($O53="","",$O53+1)</f>
        <v>44291</v>
      </c>
    </row>
    <row r="56" spans="14:17" ht="18" customHeight="1">
      <c r="N56" s="128"/>
      <c r="O56" s="131" t="e">
        <f>IF(#REF!="","",FLOOR(DAY(MINUTE(#REF!/38)/2+56)&amp;"/5/"&amp;#REF!,7)-34)</f>
        <v>#REF!</v>
      </c>
      <c r="P56" s="38" t="s">
        <v>8</v>
      </c>
      <c r="Q56" s="31">
        <f>IF($N53="","",DATE($N53,5,1))</f>
        <v>44317</v>
      </c>
    </row>
    <row r="57" spans="14:17" ht="18" customHeight="1">
      <c r="N57" s="128"/>
      <c r="O57" s="131" t="e">
        <f>IF(#REF!="","",FLOOR(DAY(MINUTE(#REF!/38)/2+56)&amp;"/5/"&amp;#REF!,7)-34)</f>
        <v>#REF!</v>
      </c>
      <c r="P57" s="38" t="s">
        <v>9</v>
      </c>
      <c r="Q57" s="31">
        <f>IF($N53="","",DATE($N53,5,8))</f>
        <v>44324</v>
      </c>
    </row>
    <row r="58" spans="14:17" ht="18" customHeight="1">
      <c r="N58" s="128"/>
      <c r="O58" s="131" t="e">
        <f>IF(#REF!="","",FLOOR(DAY(MINUTE(#REF!/38)/2+56)&amp;"/5/"&amp;#REF!,7)-34)</f>
        <v>#REF!</v>
      </c>
      <c r="P58" s="38" t="s">
        <v>10</v>
      </c>
      <c r="Q58" s="31">
        <f>IF($O53="","",$O53+39)</f>
        <v>44329</v>
      </c>
    </row>
    <row r="59" spans="14:17" ht="18" customHeight="1">
      <c r="N59" s="128"/>
      <c r="O59" s="132" t="s">
        <v>16</v>
      </c>
      <c r="P59" s="38" t="s">
        <v>11</v>
      </c>
      <c r="Q59" s="31">
        <f>IF($O53="","",$O53+50)</f>
        <v>44340</v>
      </c>
    </row>
    <row r="60" spans="14:17" ht="18" customHeight="1">
      <c r="N60" s="128"/>
      <c r="O60" s="132"/>
      <c r="P60" s="38" t="s">
        <v>12</v>
      </c>
      <c r="Q60" s="31">
        <f>IF(N$1="","",DATE($N53,7,14))</f>
        <v>44391</v>
      </c>
    </row>
    <row r="61" spans="14:17" ht="18" customHeight="1">
      <c r="N61" s="128"/>
      <c r="O61" s="132"/>
      <c r="P61" s="38" t="s">
        <v>13</v>
      </c>
      <c r="Q61" s="31">
        <f>IF($N53="","",DATE($N53,8,15))</f>
        <v>44423</v>
      </c>
    </row>
    <row r="62" spans="14:17" ht="18" customHeight="1">
      <c r="N62" s="128"/>
      <c r="O62" s="132"/>
      <c r="P62" s="38" t="s">
        <v>14</v>
      </c>
      <c r="Q62" s="31">
        <f>IF($N53="","",DATE($N53,11,1))</f>
        <v>44501</v>
      </c>
    </row>
    <row r="63" spans="14:17" ht="18" customHeight="1">
      <c r="N63" s="128"/>
      <c r="O63" s="132"/>
      <c r="P63" s="38" t="s">
        <v>15</v>
      </c>
      <c r="Q63" s="31">
        <f>IF($N53="","",DATE($N53,11,11))</f>
        <v>44511</v>
      </c>
    </row>
    <row r="64" spans="14:17" ht="18" customHeight="1">
      <c r="N64" s="128"/>
      <c r="O64" s="132"/>
      <c r="P64" s="38" t="s">
        <v>3</v>
      </c>
      <c r="Q64" s="31">
        <f>IF($N53="","",DATE($N53,12,25))</f>
        <v>44555</v>
      </c>
    </row>
    <row r="65" spans="14:17" ht="18" customHeight="1" thickBot="1">
      <c r="N65" s="129"/>
      <c r="O65" s="133"/>
      <c r="P65" s="43" t="s">
        <v>4</v>
      </c>
      <c r="Q65" s="40">
        <f>IF($N53="","",DATE($N53,12,26))</f>
        <v>44556</v>
      </c>
    </row>
    <row r="66" spans="14:17" ht="18" customHeight="1">
      <c r="N66" s="127">
        <f>N53+1</f>
        <v>2022</v>
      </c>
      <c r="O66" s="130">
        <f>IF(N66="","",FLOOR(DAY(MINUTE(N66/38)/2+56)&amp;"/5/"&amp;N66,7)-34)</f>
        <v>44668</v>
      </c>
      <c r="P66" s="41" t="s">
        <v>5</v>
      </c>
      <c r="Q66" s="39">
        <f>IF($N66="","",DATE($N66,1,1))</f>
        <v>44562</v>
      </c>
    </row>
    <row r="67" spans="14:17" ht="18" customHeight="1">
      <c r="N67" s="128"/>
      <c r="O67" s="131" t="e">
        <f>IF(#REF!="","",FLOOR(DAY(MINUTE(#REF!/38)/2+56)&amp;"/5/"&amp;#REF!,7)-34)</f>
        <v>#REF!</v>
      </c>
      <c r="P67" s="42" t="s">
        <v>6</v>
      </c>
      <c r="Q67" s="32">
        <f>IF($O66="","",$O66-2)</f>
        <v>44666</v>
      </c>
    </row>
    <row r="68" spans="14:17" ht="18" customHeight="1">
      <c r="N68" s="128"/>
      <c r="O68" s="131" t="e">
        <f>IF(#REF!="","",FLOOR(DAY(MINUTE(#REF!/38)/2+56)&amp;"/5/"&amp;#REF!,7)-34)</f>
        <v>#REF!</v>
      </c>
      <c r="P68" s="38" t="s">
        <v>7</v>
      </c>
      <c r="Q68" s="31">
        <f>IF($O66="","",$O66+1)</f>
        <v>44669</v>
      </c>
    </row>
    <row r="69" spans="14:17" ht="18" customHeight="1">
      <c r="N69" s="128"/>
      <c r="O69" s="131" t="e">
        <f>IF(#REF!="","",FLOOR(DAY(MINUTE(#REF!/38)/2+56)&amp;"/5/"&amp;#REF!,7)-34)</f>
        <v>#REF!</v>
      </c>
      <c r="P69" s="38" t="s">
        <v>8</v>
      </c>
      <c r="Q69" s="31">
        <f>IF($N66="","",DATE($N66,5,1))</f>
        <v>44682</v>
      </c>
    </row>
    <row r="70" spans="14:17" ht="18" customHeight="1">
      <c r="N70" s="128"/>
      <c r="O70" s="131" t="e">
        <f>IF(#REF!="","",FLOOR(DAY(MINUTE(#REF!/38)/2+56)&amp;"/5/"&amp;#REF!,7)-34)</f>
        <v>#REF!</v>
      </c>
      <c r="P70" s="38" t="s">
        <v>9</v>
      </c>
      <c r="Q70" s="31">
        <f>IF($N66="","",DATE($N66,5,8))</f>
        <v>44689</v>
      </c>
    </row>
    <row r="71" spans="14:17" ht="18" customHeight="1">
      <c r="N71" s="128"/>
      <c r="O71" s="131" t="e">
        <f>IF(#REF!="","",FLOOR(DAY(MINUTE(#REF!/38)/2+56)&amp;"/5/"&amp;#REF!,7)-34)</f>
        <v>#REF!</v>
      </c>
      <c r="P71" s="38" t="s">
        <v>10</v>
      </c>
      <c r="Q71" s="31">
        <f>IF($O66="","",$O66+39)</f>
        <v>44707</v>
      </c>
    </row>
    <row r="72" spans="14:17" ht="18" customHeight="1">
      <c r="N72" s="128"/>
      <c r="O72" s="132" t="s">
        <v>16</v>
      </c>
      <c r="P72" s="38" t="s">
        <v>11</v>
      </c>
      <c r="Q72" s="31">
        <f>IF($O66="","",$O66+50)</f>
        <v>44718</v>
      </c>
    </row>
    <row r="73" spans="14:17" ht="18" customHeight="1">
      <c r="N73" s="128"/>
      <c r="O73" s="132"/>
      <c r="P73" s="38" t="s">
        <v>12</v>
      </c>
      <c r="Q73" s="31">
        <f>IF(N$1="","",DATE($N66,7,14))</f>
        <v>44756</v>
      </c>
    </row>
    <row r="74" spans="14:17" ht="18" customHeight="1">
      <c r="N74" s="128"/>
      <c r="O74" s="132"/>
      <c r="P74" s="38" t="s">
        <v>13</v>
      </c>
      <c r="Q74" s="31">
        <f>IF($N66="","",DATE($N66,8,15))</f>
        <v>44788</v>
      </c>
    </row>
    <row r="75" spans="14:17" ht="18" customHeight="1">
      <c r="N75" s="128"/>
      <c r="O75" s="132"/>
      <c r="P75" s="38" t="s">
        <v>14</v>
      </c>
      <c r="Q75" s="31">
        <f>IF($N66="","",DATE($N66,11,1))</f>
        <v>44866</v>
      </c>
    </row>
    <row r="76" spans="14:17" ht="18" customHeight="1">
      <c r="N76" s="128"/>
      <c r="O76" s="132"/>
      <c r="P76" s="38" t="s">
        <v>15</v>
      </c>
      <c r="Q76" s="31">
        <f>IF($N66="","",DATE($N66,11,11))</f>
        <v>44876</v>
      </c>
    </row>
    <row r="77" spans="14:17" ht="18" customHeight="1">
      <c r="N77" s="128"/>
      <c r="O77" s="132"/>
      <c r="P77" s="38" t="s">
        <v>3</v>
      </c>
      <c r="Q77" s="31">
        <f>IF($N66="","",DATE($N66,12,25))</f>
        <v>44920</v>
      </c>
    </row>
    <row r="78" spans="14:17" ht="18" customHeight="1" thickBot="1">
      <c r="N78" s="129"/>
      <c r="O78" s="133"/>
      <c r="P78" s="43" t="s">
        <v>4</v>
      </c>
      <c r="Q78" s="40">
        <f>IF($N66="","",DATE($N66,12,26))</f>
        <v>44921</v>
      </c>
    </row>
    <row r="79" spans="14:17" ht="18" customHeight="1">
      <c r="N79" s="127">
        <f>N66+1</f>
        <v>2023</v>
      </c>
      <c r="O79" s="130">
        <f>IF(N79="","",FLOOR(DAY(MINUTE(N79/38)/2+56)&amp;"/5/"&amp;N79,7)-34)</f>
        <v>45025</v>
      </c>
      <c r="P79" s="41" t="s">
        <v>5</v>
      </c>
      <c r="Q79" s="39">
        <f>IF($N79="","",DATE($N79,1,1))</f>
        <v>44927</v>
      </c>
    </row>
    <row r="80" spans="14:17" ht="18" customHeight="1">
      <c r="N80" s="128"/>
      <c r="O80" s="131" t="e">
        <f>IF(#REF!="","",FLOOR(DAY(MINUTE(#REF!/38)/2+56)&amp;"/5/"&amp;#REF!,7)-34)</f>
        <v>#REF!</v>
      </c>
      <c r="P80" s="42" t="s">
        <v>6</v>
      </c>
      <c r="Q80" s="32">
        <f>IF($O79="","",$O79-2)</f>
        <v>45023</v>
      </c>
    </row>
    <row r="81" spans="14:17" ht="18" customHeight="1">
      <c r="N81" s="128"/>
      <c r="O81" s="131" t="e">
        <f>IF(#REF!="","",FLOOR(DAY(MINUTE(#REF!/38)/2+56)&amp;"/5/"&amp;#REF!,7)-34)</f>
        <v>#REF!</v>
      </c>
      <c r="P81" s="38" t="s">
        <v>7</v>
      </c>
      <c r="Q81" s="31">
        <f>IF($O79="","",$O79+1)</f>
        <v>45026</v>
      </c>
    </row>
    <row r="82" spans="14:17" ht="18" customHeight="1">
      <c r="N82" s="128"/>
      <c r="O82" s="131" t="e">
        <f>IF(#REF!="","",FLOOR(DAY(MINUTE(#REF!/38)/2+56)&amp;"/5/"&amp;#REF!,7)-34)</f>
        <v>#REF!</v>
      </c>
      <c r="P82" s="38" t="s">
        <v>8</v>
      </c>
      <c r="Q82" s="31">
        <f>IF($N79="","",DATE($N79,5,1))</f>
        <v>45047</v>
      </c>
    </row>
    <row r="83" spans="14:17" ht="18" customHeight="1">
      <c r="N83" s="128"/>
      <c r="O83" s="131" t="e">
        <f>IF(#REF!="","",FLOOR(DAY(MINUTE(#REF!/38)/2+56)&amp;"/5/"&amp;#REF!,7)-34)</f>
        <v>#REF!</v>
      </c>
      <c r="P83" s="38" t="s">
        <v>9</v>
      </c>
      <c r="Q83" s="31">
        <f>IF($N79="","",DATE($N79,5,8))</f>
        <v>45054</v>
      </c>
    </row>
    <row r="84" spans="14:17" ht="18" customHeight="1">
      <c r="N84" s="128"/>
      <c r="O84" s="131" t="e">
        <f>IF(#REF!="","",FLOOR(DAY(MINUTE(#REF!/38)/2+56)&amp;"/5/"&amp;#REF!,7)-34)</f>
        <v>#REF!</v>
      </c>
      <c r="P84" s="38" t="s">
        <v>10</v>
      </c>
      <c r="Q84" s="31">
        <f>IF($O79="","",$O79+39)</f>
        <v>45064</v>
      </c>
    </row>
    <row r="85" spans="14:17" ht="18" customHeight="1">
      <c r="N85" s="128"/>
      <c r="O85" s="132" t="s">
        <v>16</v>
      </c>
      <c r="P85" s="38" t="s">
        <v>11</v>
      </c>
      <c r="Q85" s="31">
        <f>IF($O79="","",$O79+50)</f>
        <v>45075</v>
      </c>
    </row>
    <row r="86" spans="14:17" ht="18" customHeight="1">
      <c r="N86" s="128"/>
      <c r="O86" s="132"/>
      <c r="P86" s="38" t="s">
        <v>12</v>
      </c>
      <c r="Q86" s="31">
        <f>IF(N$1="","",DATE($N79,7,14))</f>
        <v>45121</v>
      </c>
    </row>
    <row r="87" spans="14:17" ht="18" customHeight="1">
      <c r="N87" s="128"/>
      <c r="O87" s="132"/>
      <c r="P87" s="38" t="s">
        <v>13</v>
      </c>
      <c r="Q87" s="31">
        <f>IF($N79="","",DATE($N79,8,15))</f>
        <v>45153</v>
      </c>
    </row>
    <row r="88" spans="14:17" ht="18" customHeight="1">
      <c r="N88" s="128"/>
      <c r="O88" s="132"/>
      <c r="P88" s="38" t="s">
        <v>14</v>
      </c>
      <c r="Q88" s="31">
        <f>IF($N79="","",DATE($N79,11,1))</f>
        <v>45231</v>
      </c>
    </row>
    <row r="89" spans="14:17" ht="18" customHeight="1">
      <c r="N89" s="128"/>
      <c r="O89" s="132"/>
      <c r="P89" s="38" t="s">
        <v>15</v>
      </c>
      <c r="Q89" s="31">
        <f>IF($N79="","",DATE($N79,11,11))</f>
        <v>45241</v>
      </c>
    </row>
    <row r="90" spans="14:17" ht="18" customHeight="1">
      <c r="N90" s="128"/>
      <c r="O90" s="132"/>
      <c r="P90" s="38" t="s">
        <v>3</v>
      </c>
      <c r="Q90" s="31">
        <f>IF($N79="","",DATE($N79,12,25))</f>
        <v>45285</v>
      </c>
    </row>
    <row r="91" spans="14:17" ht="18" customHeight="1" thickBot="1">
      <c r="N91" s="129"/>
      <c r="O91" s="133"/>
      <c r="P91" s="43" t="s">
        <v>4</v>
      </c>
      <c r="Q91" s="40">
        <f>IF($N79="","",DATE($N79,12,26))</f>
        <v>45286</v>
      </c>
    </row>
    <row r="92" spans="14:17" ht="18" customHeight="1">
      <c r="N92" s="127">
        <f>N79+1</f>
        <v>2024</v>
      </c>
      <c r="O92" s="130">
        <f>IF(N92="","",FLOOR(DAY(MINUTE(N92/38)/2+56)&amp;"/5/"&amp;N92,7)-34)</f>
        <v>45382</v>
      </c>
      <c r="P92" s="41" t="s">
        <v>5</v>
      </c>
      <c r="Q92" s="39">
        <f>IF($N92="","",DATE($N92,1,1))</f>
        <v>45292</v>
      </c>
    </row>
    <row r="93" spans="14:17" ht="18" customHeight="1">
      <c r="N93" s="128"/>
      <c r="O93" s="131" t="e">
        <f>IF(#REF!="","",FLOOR(DAY(MINUTE(#REF!/38)/2+56)&amp;"/5/"&amp;#REF!,7)-34)</f>
        <v>#REF!</v>
      </c>
      <c r="P93" s="42" t="s">
        <v>6</v>
      </c>
      <c r="Q93" s="32">
        <f>IF($O92="","",$O92-2)</f>
        <v>45380</v>
      </c>
    </row>
    <row r="94" spans="14:17" ht="18" customHeight="1">
      <c r="N94" s="128"/>
      <c r="O94" s="131" t="e">
        <f>IF(#REF!="","",FLOOR(DAY(MINUTE(#REF!/38)/2+56)&amp;"/5/"&amp;#REF!,7)-34)</f>
        <v>#REF!</v>
      </c>
      <c r="P94" s="38" t="s">
        <v>7</v>
      </c>
      <c r="Q94" s="31">
        <f>IF($O92="","",$O92+1)</f>
        <v>45383</v>
      </c>
    </row>
    <row r="95" spans="14:17" ht="18" customHeight="1">
      <c r="N95" s="128"/>
      <c r="O95" s="131" t="e">
        <f>IF(#REF!="","",FLOOR(DAY(MINUTE(#REF!/38)/2+56)&amp;"/5/"&amp;#REF!,7)-34)</f>
        <v>#REF!</v>
      </c>
      <c r="P95" s="38" t="s">
        <v>8</v>
      </c>
      <c r="Q95" s="31">
        <f>IF($N92="","",DATE($N92,5,1))</f>
        <v>45413</v>
      </c>
    </row>
    <row r="96" spans="14:17" ht="18" customHeight="1">
      <c r="N96" s="128"/>
      <c r="O96" s="131" t="e">
        <f>IF(#REF!="","",FLOOR(DAY(MINUTE(#REF!/38)/2+56)&amp;"/5/"&amp;#REF!,7)-34)</f>
        <v>#REF!</v>
      </c>
      <c r="P96" s="38" t="s">
        <v>9</v>
      </c>
      <c r="Q96" s="31">
        <f>IF($N92="","",DATE($N92,5,8))</f>
        <v>45420</v>
      </c>
    </row>
    <row r="97" spans="14:17" ht="18" customHeight="1">
      <c r="N97" s="128"/>
      <c r="O97" s="131" t="e">
        <f>IF(#REF!="","",FLOOR(DAY(MINUTE(#REF!/38)/2+56)&amp;"/5/"&amp;#REF!,7)-34)</f>
        <v>#REF!</v>
      </c>
      <c r="P97" s="38" t="s">
        <v>10</v>
      </c>
      <c r="Q97" s="31">
        <f>IF($O92="","",$O92+39)</f>
        <v>45421</v>
      </c>
    </row>
    <row r="98" spans="14:17" ht="18" customHeight="1">
      <c r="N98" s="128"/>
      <c r="O98" s="132" t="s">
        <v>16</v>
      </c>
      <c r="P98" s="38" t="s">
        <v>11</v>
      </c>
      <c r="Q98" s="31">
        <f>IF($O92="","",$O92+50)</f>
        <v>45432</v>
      </c>
    </row>
    <row r="99" spans="14:17" ht="18" customHeight="1">
      <c r="N99" s="128"/>
      <c r="O99" s="132"/>
      <c r="P99" s="38" t="s">
        <v>12</v>
      </c>
      <c r="Q99" s="31">
        <f>IF(N$1="","",DATE($N92,7,14))</f>
        <v>45487</v>
      </c>
    </row>
    <row r="100" spans="14:17" ht="18" customHeight="1">
      <c r="N100" s="128"/>
      <c r="O100" s="132"/>
      <c r="P100" s="38" t="s">
        <v>13</v>
      </c>
      <c r="Q100" s="31">
        <f>IF($N92="","",DATE($N92,8,15))</f>
        <v>45519</v>
      </c>
    </row>
    <row r="101" spans="14:17" ht="18" customHeight="1">
      <c r="N101" s="128"/>
      <c r="O101" s="132"/>
      <c r="P101" s="38" t="s">
        <v>14</v>
      </c>
      <c r="Q101" s="31">
        <f>IF($N92="","",DATE($N92,11,1))</f>
        <v>45597</v>
      </c>
    </row>
    <row r="102" spans="14:17" ht="18" customHeight="1">
      <c r="N102" s="128"/>
      <c r="O102" s="132"/>
      <c r="P102" s="38" t="s">
        <v>15</v>
      </c>
      <c r="Q102" s="31">
        <f>IF($N92="","",DATE($N92,11,11))</f>
        <v>45607</v>
      </c>
    </row>
    <row r="103" spans="14:17" ht="18" customHeight="1">
      <c r="N103" s="128"/>
      <c r="O103" s="132"/>
      <c r="P103" s="38" t="s">
        <v>3</v>
      </c>
      <c r="Q103" s="31">
        <f>IF($N92="","",DATE($N92,12,25))</f>
        <v>45651</v>
      </c>
    </row>
    <row r="104" spans="14:17" ht="18" customHeight="1" thickBot="1">
      <c r="N104" s="129"/>
      <c r="O104" s="133"/>
      <c r="P104" s="43" t="s">
        <v>4</v>
      </c>
      <c r="Q104" s="40">
        <f>IF($N92="","",DATE($N92,12,26))</f>
        <v>45652</v>
      </c>
    </row>
    <row r="105" spans="14:17" ht="18" customHeight="1">
      <c r="N105" s="127">
        <f>N92+1</f>
        <v>2025</v>
      </c>
      <c r="O105" s="130">
        <f>IF(N105="","",FLOOR(DAY(MINUTE(N105/38)/2+56)&amp;"/5/"&amp;N105,7)-34)</f>
        <v>45767</v>
      </c>
      <c r="P105" s="41" t="s">
        <v>5</v>
      </c>
      <c r="Q105" s="39">
        <f>IF($N105="","",DATE($N105,1,1))</f>
        <v>45658</v>
      </c>
    </row>
    <row r="106" spans="14:17" ht="18" customHeight="1">
      <c r="N106" s="128"/>
      <c r="O106" s="131" t="e">
        <f>IF(#REF!="","",FLOOR(DAY(MINUTE(#REF!/38)/2+56)&amp;"/5/"&amp;#REF!,7)-34)</f>
        <v>#REF!</v>
      </c>
      <c r="P106" s="42" t="s">
        <v>6</v>
      </c>
      <c r="Q106" s="32">
        <f>IF($O105="","",$O105-2)</f>
        <v>45765</v>
      </c>
    </row>
    <row r="107" spans="14:17" ht="18" customHeight="1">
      <c r="N107" s="128"/>
      <c r="O107" s="131" t="e">
        <f>IF(#REF!="","",FLOOR(DAY(MINUTE(#REF!/38)/2+56)&amp;"/5/"&amp;#REF!,7)-34)</f>
        <v>#REF!</v>
      </c>
      <c r="P107" s="38" t="s">
        <v>7</v>
      </c>
      <c r="Q107" s="31">
        <f>IF($O105="","",$O105+1)</f>
        <v>45768</v>
      </c>
    </row>
    <row r="108" spans="14:17" ht="18" customHeight="1">
      <c r="N108" s="128"/>
      <c r="O108" s="131" t="e">
        <f>IF(#REF!="","",FLOOR(DAY(MINUTE(#REF!/38)/2+56)&amp;"/5/"&amp;#REF!,7)-34)</f>
        <v>#REF!</v>
      </c>
      <c r="P108" s="38" t="s">
        <v>8</v>
      </c>
      <c r="Q108" s="31">
        <f>IF($N105="","",DATE($N105,5,1))</f>
        <v>45778</v>
      </c>
    </row>
    <row r="109" spans="14:17" ht="18" customHeight="1">
      <c r="N109" s="128"/>
      <c r="O109" s="131" t="e">
        <f>IF(#REF!="","",FLOOR(DAY(MINUTE(#REF!/38)/2+56)&amp;"/5/"&amp;#REF!,7)-34)</f>
        <v>#REF!</v>
      </c>
      <c r="P109" s="38" t="s">
        <v>9</v>
      </c>
      <c r="Q109" s="31">
        <f>IF($N105="","",DATE($N105,5,8))</f>
        <v>45785</v>
      </c>
    </row>
    <row r="110" spans="14:17" ht="18" customHeight="1">
      <c r="N110" s="128"/>
      <c r="O110" s="131" t="e">
        <f>IF(#REF!="","",FLOOR(DAY(MINUTE(#REF!/38)/2+56)&amp;"/5/"&amp;#REF!,7)-34)</f>
        <v>#REF!</v>
      </c>
      <c r="P110" s="38" t="s">
        <v>10</v>
      </c>
      <c r="Q110" s="31">
        <f>IF($O105="","",$O105+39)</f>
        <v>45806</v>
      </c>
    </row>
    <row r="111" spans="14:17" ht="18" customHeight="1">
      <c r="N111" s="128"/>
      <c r="O111" s="132" t="s">
        <v>16</v>
      </c>
      <c r="P111" s="38" t="s">
        <v>11</v>
      </c>
      <c r="Q111" s="31">
        <f>IF($O105="","",$O105+50)</f>
        <v>45817</v>
      </c>
    </row>
    <row r="112" spans="14:17" ht="18" customHeight="1">
      <c r="N112" s="128"/>
      <c r="O112" s="132"/>
      <c r="P112" s="38" t="s">
        <v>12</v>
      </c>
      <c r="Q112" s="31">
        <f>IF(N$1="","",DATE($N105,7,14))</f>
        <v>45852</v>
      </c>
    </row>
    <row r="113" spans="14:17" ht="18" customHeight="1">
      <c r="N113" s="128"/>
      <c r="O113" s="132"/>
      <c r="P113" s="38" t="s">
        <v>13</v>
      </c>
      <c r="Q113" s="31">
        <f>IF($N105="","",DATE($N105,8,15))</f>
        <v>45884</v>
      </c>
    </row>
    <row r="114" spans="14:17" ht="18" customHeight="1">
      <c r="N114" s="128"/>
      <c r="O114" s="132"/>
      <c r="P114" s="38" t="s">
        <v>14</v>
      </c>
      <c r="Q114" s="31">
        <f>IF($N105="","",DATE($N105,11,1))</f>
        <v>45962</v>
      </c>
    </row>
    <row r="115" spans="14:17" ht="18" customHeight="1">
      <c r="N115" s="128"/>
      <c r="O115" s="132"/>
      <c r="P115" s="38" t="s">
        <v>15</v>
      </c>
      <c r="Q115" s="31">
        <f>IF($N105="","",DATE($N105,11,11))</f>
        <v>45972</v>
      </c>
    </row>
    <row r="116" spans="14:17" ht="18" customHeight="1">
      <c r="N116" s="128"/>
      <c r="O116" s="132"/>
      <c r="P116" s="38" t="s">
        <v>3</v>
      </c>
      <c r="Q116" s="31">
        <f>IF($N105="","",DATE($N105,12,25))</f>
        <v>46016</v>
      </c>
    </row>
    <row r="117" spans="14:17" ht="18" customHeight="1" thickBot="1">
      <c r="N117" s="129"/>
      <c r="O117" s="133"/>
      <c r="P117" s="43" t="s">
        <v>4</v>
      </c>
      <c r="Q117" s="40">
        <f>IF($N105="","",DATE($N105,12,26))</f>
        <v>46017</v>
      </c>
    </row>
    <row r="118" spans="14:17" ht="18" customHeight="1">
      <c r="N118" s="127">
        <f>N105+1</f>
        <v>2026</v>
      </c>
      <c r="O118" s="130">
        <f>IF(N118="","",FLOOR(DAY(MINUTE(N118/38)/2+56)&amp;"/5/"&amp;N118,7)-34)</f>
        <v>46117</v>
      </c>
      <c r="P118" s="41" t="s">
        <v>5</v>
      </c>
      <c r="Q118" s="39">
        <f>IF($N118="","",DATE($N118,1,1))</f>
        <v>46023</v>
      </c>
    </row>
    <row r="119" spans="14:17" ht="18" customHeight="1">
      <c r="N119" s="128"/>
      <c r="O119" s="131" t="e">
        <f>IF(#REF!="","",FLOOR(DAY(MINUTE(#REF!/38)/2+56)&amp;"/5/"&amp;#REF!,7)-34)</f>
        <v>#REF!</v>
      </c>
      <c r="P119" s="42" t="s">
        <v>6</v>
      </c>
      <c r="Q119" s="32">
        <f>IF($O118="","",$O118-2)</f>
        <v>46115</v>
      </c>
    </row>
    <row r="120" spans="14:17" ht="18" customHeight="1">
      <c r="N120" s="128"/>
      <c r="O120" s="131" t="e">
        <f>IF(#REF!="","",FLOOR(DAY(MINUTE(#REF!/38)/2+56)&amp;"/5/"&amp;#REF!,7)-34)</f>
        <v>#REF!</v>
      </c>
      <c r="P120" s="38" t="s">
        <v>7</v>
      </c>
      <c r="Q120" s="31">
        <f>IF($O118="","",$O118+1)</f>
        <v>46118</v>
      </c>
    </row>
    <row r="121" spans="14:17" ht="18" customHeight="1">
      <c r="N121" s="128"/>
      <c r="O121" s="131" t="e">
        <f>IF(#REF!="","",FLOOR(DAY(MINUTE(#REF!/38)/2+56)&amp;"/5/"&amp;#REF!,7)-34)</f>
        <v>#REF!</v>
      </c>
      <c r="P121" s="38" t="s">
        <v>8</v>
      </c>
      <c r="Q121" s="31">
        <f>IF($N118="","",DATE($N118,5,1))</f>
        <v>46143</v>
      </c>
    </row>
    <row r="122" spans="14:17" ht="18" customHeight="1">
      <c r="N122" s="128"/>
      <c r="O122" s="131" t="e">
        <f>IF(#REF!="","",FLOOR(DAY(MINUTE(#REF!/38)/2+56)&amp;"/5/"&amp;#REF!,7)-34)</f>
        <v>#REF!</v>
      </c>
      <c r="P122" s="38" t="s">
        <v>9</v>
      </c>
      <c r="Q122" s="31">
        <f>IF($N118="","",DATE($N118,5,8))</f>
        <v>46150</v>
      </c>
    </row>
    <row r="123" spans="14:17" ht="18" customHeight="1">
      <c r="N123" s="128"/>
      <c r="O123" s="131" t="e">
        <f>IF(#REF!="","",FLOOR(DAY(MINUTE(#REF!/38)/2+56)&amp;"/5/"&amp;#REF!,7)-34)</f>
        <v>#REF!</v>
      </c>
      <c r="P123" s="38" t="s">
        <v>10</v>
      </c>
      <c r="Q123" s="31">
        <f>IF($O118="","",$O118+39)</f>
        <v>46156</v>
      </c>
    </row>
    <row r="124" spans="14:17" ht="18" customHeight="1">
      <c r="N124" s="128"/>
      <c r="O124" s="132" t="s">
        <v>16</v>
      </c>
      <c r="P124" s="38" t="s">
        <v>11</v>
      </c>
      <c r="Q124" s="31">
        <f>IF($O118="","",$O118+50)</f>
        <v>46167</v>
      </c>
    </row>
    <row r="125" spans="14:17" ht="18" customHeight="1">
      <c r="N125" s="128"/>
      <c r="O125" s="132"/>
      <c r="P125" s="38" t="s">
        <v>12</v>
      </c>
      <c r="Q125" s="31">
        <f>IF(N$1="","",DATE($N118,7,14))</f>
        <v>46217</v>
      </c>
    </row>
    <row r="126" spans="14:17" ht="18" customHeight="1">
      <c r="N126" s="128"/>
      <c r="O126" s="132"/>
      <c r="P126" s="38" t="s">
        <v>13</v>
      </c>
      <c r="Q126" s="31">
        <f>IF($N118="","",DATE($N118,8,15))</f>
        <v>46249</v>
      </c>
    </row>
    <row r="127" spans="14:17" ht="18" customHeight="1">
      <c r="N127" s="128"/>
      <c r="O127" s="132"/>
      <c r="P127" s="38" t="s">
        <v>14</v>
      </c>
      <c r="Q127" s="31">
        <f>IF($N118="","",DATE($N118,11,1))</f>
        <v>46327</v>
      </c>
    </row>
    <row r="128" spans="14:17" ht="18" customHeight="1">
      <c r="N128" s="128"/>
      <c r="O128" s="132"/>
      <c r="P128" s="38" t="s">
        <v>15</v>
      </c>
      <c r="Q128" s="31">
        <f>IF($N118="","",DATE($N118,11,11))</f>
        <v>46337</v>
      </c>
    </row>
    <row r="129" spans="14:17" ht="18" customHeight="1">
      <c r="N129" s="128"/>
      <c r="O129" s="132"/>
      <c r="P129" s="38" t="s">
        <v>3</v>
      </c>
      <c r="Q129" s="31">
        <f>IF($N118="","",DATE($N118,12,25))</f>
        <v>46381</v>
      </c>
    </row>
    <row r="130" spans="14:17" ht="18" customHeight="1" thickBot="1">
      <c r="N130" s="129"/>
      <c r="O130" s="133"/>
      <c r="P130" s="43" t="s">
        <v>4</v>
      </c>
      <c r="Q130" s="40">
        <f>IF($N118="","",DATE($N118,12,26))</f>
        <v>46382</v>
      </c>
    </row>
    <row r="131" spans="14:17" ht="18" customHeight="1">
      <c r="N131" s="127">
        <f>N118+1</f>
        <v>2027</v>
      </c>
      <c r="O131" s="130">
        <f>IF(N131="","",FLOOR(DAY(MINUTE(N131/38)/2+56)&amp;"/5/"&amp;N131,7)-34)</f>
        <v>46474</v>
      </c>
      <c r="P131" s="41" t="s">
        <v>5</v>
      </c>
      <c r="Q131" s="39">
        <f>IF($N131="","",DATE($N131,1,1))</f>
        <v>46388</v>
      </c>
    </row>
    <row r="132" spans="14:17" ht="18" customHeight="1">
      <c r="N132" s="128"/>
      <c r="O132" s="131" t="e">
        <f>IF(#REF!="","",FLOOR(DAY(MINUTE(#REF!/38)/2+56)&amp;"/5/"&amp;#REF!,7)-34)</f>
        <v>#REF!</v>
      </c>
      <c r="P132" s="42" t="s">
        <v>6</v>
      </c>
      <c r="Q132" s="32">
        <f>IF($O131="","",$O131-2)</f>
        <v>46472</v>
      </c>
    </row>
    <row r="133" spans="14:17" ht="18" customHeight="1">
      <c r="N133" s="128"/>
      <c r="O133" s="131" t="e">
        <f>IF(#REF!="","",FLOOR(DAY(MINUTE(#REF!/38)/2+56)&amp;"/5/"&amp;#REF!,7)-34)</f>
        <v>#REF!</v>
      </c>
      <c r="P133" s="38" t="s">
        <v>7</v>
      </c>
      <c r="Q133" s="31">
        <f>IF($O131="","",$O131+1)</f>
        <v>46475</v>
      </c>
    </row>
    <row r="134" spans="14:17" ht="18" customHeight="1">
      <c r="N134" s="128"/>
      <c r="O134" s="131" t="e">
        <f>IF(#REF!="","",FLOOR(DAY(MINUTE(#REF!/38)/2+56)&amp;"/5/"&amp;#REF!,7)-34)</f>
        <v>#REF!</v>
      </c>
      <c r="P134" s="38" t="s">
        <v>8</v>
      </c>
      <c r="Q134" s="31">
        <f>IF($N131="","",DATE($N131,5,1))</f>
        <v>46508</v>
      </c>
    </row>
    <row r="135" spans="14:17" ht="18" customHeight="1">
      <c r="N135" s="128"/>
      <c r="O135" s="131" t="e">
        <f>IF(#REF!="","",FLOOR(DAY(MINUTE(#REF!/38)/2+56)&amp;"/5/"&amp;#REF!,7)-34)</f>
        <v>#REF!</v>
      </c>
      <c r="P135" s="38" t="s">
        <v>9</v>
      </c>
      <c r="Q135" s="31">
        <f>IF($N131="","",DATE($N131,5,8))</f>
        <v>46515</v>
      </c>
    </row>
    <row r="136" spans="14:17" ht="18" customHeight="1">
      <c r="N136" s="128"/>
      <c r="O136" s="131" t="e">
        <f>IF(#REF!="","",FLOOR(DAY(MINUTE(#REF!/38)/2+56)&amp;"/5/"&amp;#REF!,7)-34)</f>
        <v>#REF!</v>
      </c>
      <c r="P136" s="38" t="s">
        <v>10</v>
      </c>
      <c r="Q136" s="31">
        <f>IF($O131="","",$O131+39)</f>
        <v>46513</v>
      </c>
    </row>
    <row r="137" spans="14:17" ht="18" customHeight="1">
      <c r="N137" s="128"/>
      <c r="O137" s="132" t="s">
        <v>16</v>
      </c>
      <c r="P137" s="38" t="s">
        <v>11</v>
      </c>
      <c r="Q137" s="31">
        <f>IF($O131="","",$O131+50)</f>
        <v>46524</v>
      </c>
    </row>
    <row r="138" spans="14:17" ht="18" customHeight="1">
      <c r="N138" s="128"/>
      <c r="O138" s="132"/>
      <c r="P138" s="38" t="s">
        <v>12</v>
      </c>
      <c r="Q138" s="31">
        <f>IF(N$1="","",DATE($N131,7,14))</f>
        <v>46582</v>
      </c>
    </row>
    <row r="139" spans="14:17" ht="18" customHeight="1">
      <c r="N139" s="128"/>
      <c r="O139" s="132"/>
      <c r="P139" s="38" t="s">
        <v>13</v>
      </c>
      <c r="Q139" s="31">
        <f>IF($N131="","",DATE($N131,8,15))</f>
        <v>46614</v>
      </c>
    </row>
    <row r="140" spans="14:17" ht="18" customHeight="1">
      <c r="N140" s="128"/>
      <c r="O140" s="132"/>
      <c r="P140" s="38" t="s">
        <v>14</v>
      </c>
      <c r="Q140" s="31">
        <f>IF($N131="","",DATE($N131,11,1))</f>
        <v>46692</v>
      </c>
    </row>
    <row r="141" spans="14:17" ht="18" customHeight="1">
      <c r="N141" s="128"/>
      <c r="O141" s="132"/>
      <c r="P141" s="38" t="s">
        <v>15</v>
      </c>
      <c r="Q141" s="31">
        <f>IF($N131="","",DATE($N131,11,11))</f>
        <v>46702</v>
      </c>
    </row>
    <row r="142" spans="14:17" ht="18" customHeight="1">
      <c r="N142" s="128"/>
      <c r="O142" s="132"/>
      <c r="P142" s="38" t="s">
        <v>3</v>
      </c>
      <c r="Q142" s="31">
        <f>IF($N131="","",DATE($N131,12,25))</f>
        <v>46746</v>
      </c>
    </row>
    <row r="143" spans="14:17" ht="18" customHeight="1" thickBot="1">
      <c r="N143" s="129"/>
      <c r="O143" s="133"/>
      <c r="P143" s="43" t="s">
        <v>4</v>
      </c>
      <c r="Q143" s="40">
        <f>IF($N131="","",DATE($N131,12,26))</f>
        <v>46747</v>
      </c>
    </row>
    <row r="144" spans="14:17" ht="18" customHeight="1">
      <c r="N144" s="127">
        <f>N131+1</f>
        <v>2028</v>
      </c>
      <c r="O144" s="130">
        <f>IF(N144="","",FLOOR(DAY(MINUTE(N144/38)/2+56)&amp;"/5/"&amp;N144,7)-34)</f>
        <v>46859</v>
      </c>
      <c r="P144" s="41" t="s">
        <v>5</v>
      </c>
      <c r="Q144" s="39">
        <f>IF($N144="","",DATE($N144,1,1))</f>
        <v>46753</v>
      </c>
    </row>
    <row r="145" spans="14:17" ht="18" customHeight="1">
      <c r="N145" s="128"/>
      <c r="O145" s="131" t="e">
        <f>IF(#REF!="","",FLOOR(DAY(MINUTE(#REF!/38)/2+56)&amp;"/5/"&amp;#REF!,7)-34)</f>
        <v>#REF!</v>
      </c>
      <c r="P145" s="42" t="s">
        <v>6</v>
      </c>
      <c r="Q145" s="32">
        <f>IF($O144="","",$O144-2)</f>
        <v>46857</v>
      </c>
    </row>
    <row r="146" spans="14:17" ht="18" customHeight="1">
      <c r="N146" s="128"/>
      <c r="O146" s="131" t="e">
        <f>IF(#REF!="","",FLOOR(DAY(MINUTE(#REF!/38)/2+56)&amp;"/5/"&amp;#REF!,7)-34)</f>
        <v>#REF!</v>
      </c>
      <c r="P146" s="38" t="s">
        <v>7</v>
      </c>
      <c r="Q146" s="31">
        <f>IF($O144="","",$O144+1)</f>
        <v>46860</v>
      </c>
    </row>
    <row r="147" spans="14:17" ht="18" customHeight="1">
      <c r="N147" s="128"/>
      <c r="O147" s="131" t="e">
        <f>IF(#REF!="","",FLOOR(DAY(MINUTE(#REF!/38)/2+56)&amp;"/5/"&amp;#REF!,7)-34)</f>
        <v>#REF!</v>
      </c>
      <c r="P147" s="38" t="s">
        <v>8</v>
      </c>
      <c r="Q147" s="31">
        <f>IF($N144="","",DATE($N144,5,1))</f>
        <v>46874</v>
      </c>
    </row>
    <row r="148" spans="14:17" ht="18" customHeight="1">
      <c r="N148" s="128"/>
      <c r="O148" s="131" t="e">
        <f>IF(#REF!="","",FLOOR(DAY(MINUTE(#REF!/38)/2+56)&amp;"/5/"&amp;#REF!,7)-34)</f>
        <v>#REF!</v>
      </c>
      <c r="P148" s="38" t="s">
        <v>9</v>
      </c>
      <c r="Q148" s="31">
        <f>IF($N144="","",DATE($N144,5,8))</f>
        <v>46881</v>
      </c>
    </row>
    <row r="149" spans="14:17" ht="18" customHeight="1">
      <c r="N149" s="128"/>
      <c r="O149" s="131" t="e">
        <f>IF(#REF!="","",FLOOR(DAY(MINUTE(#REF!/38)/2+56)&amp;"/5/"&amp;#REF!,7)-34)</f>
        <v>#REF!</v>
      </c>
      <c r="P149" s="38" t="s">
        <v>10</v>
      </c>
      <c r="Q149" s="31">
        <f>IF($O144="","",$O144+39)</f>
        <v>46898</v>
      </c>
    </row>
    <row r="150" spans="14:17" ht="18" customHeight="1">
      <c r="N150" s="128"/>
      <c r="O150" s="132" t="s">
        <v>16</v>
      </c>
      <c r="P150" s="38" t="s">
        <v>11</v>
      </c>
      <c r="Q150" s="31">
        <f>IF($O144="","",$O144+50)</f>
        <v>46909</v>
      </c>
    </row>
    <row r="151" spans="14:17" ht="18" customHeight="1">
      <c r="N151" s="128"/>
      <c r="O151" s="132"/>
      <c r="P151" s="38" t="s">
        <v>12</v>
      </c>
      <c r="Q151" s="31">
        <f>IF(N$1="","",DATE($N144,7,14))</f>
        <v>46948</v>
      </c>
    </row>
    <row r="152" spans="14:17" ht="18" customHeight="1">
      <c r="N152" s="128"/>
      <c r="O152" s="132"/>
      <c r="P152" s="38" t="s">
        <v>13</v>
      </c>
      <c r="Q152" s="31">
        <f>IF($N144="","",DATE($N144,8,15))</f>
        <v>46980</v>
      </c>
    </row>
    <row r="153" spans="14:17" ht="18" customHeight="1">
      <c r="N153" s="128"/>
      <c r="O153" s="132"/>
      <c r="P153" s="38" t="s">
        <v>14</v>
      </c>
      <c r="Q153" s="31">
        <f>IF($N144="","",DATE($N144,11,1))</f>
        <v>47058</v>
      </c>
    </row>
    <row r="154" spans="14:17" ht="18" customHeight="1">
      <c r="N154" s="128"/>
      <c r="O154" s="132"/>
      <c r="P154" s="38" t="s">
        <v>15</v>
      </c>
      <c r="Q154" s="31">
        <f>IF($N144="","",DATE($N144,11,11))</f>
        <v>47068</v>
      </c>
    </row>
    <row r="155" spans="14:17" ht="18" customHeight="1">
      <c r="N155" s="128"/>
      <c r="O155" s="132"/>
      <c r="P155" s="38" t="s">
        <v>3</v>
      </c>
      <c r="Q155" s="31">
        <f>IF($N144="","",DATE($N144,12,25))</f>
        <v>47112</v>
      </c>
    </row>
    <row r="156" spans="14:17" ht="18" customHeight="1" thickBot="1">
      <c r="N156" s="129"/>
      <c r="O156" s="133"/>
      <c r="P156" s="43" t="s">
        <v>4</v>
      </c>
      <c r="Q156" s="40">
        <f>IF($N144="","",DATE($N144,12,26))</f>
        <v>47113</v>
      </c>
    </row>
    <row r="157" spans="14:17" ht="18" customHeight="1">
      <c r="N157" s="127">
        <f>N144+1</f>
        <v>2029</v>
      </c>
      <c r="O157" s="130">
        <f>IF(N157="","",FLOOR(DAY(MINUTE(N157/38)/2+56)&amp;"/5/"&amp;N157,7)-34)</f>
        <v>47209</v>
      </c>
      <c r="P157" s="41" t="s">
        <v>5</v>
      </c>
      <c r="Q157" s="39">
        <f>IF($N157="","",DATE($N157,1,1))</f>
        <v>47119</v>
      </c>
    </row>
    <row r="158" spans="14:17" ht="18" customHeight="1">
      <c r="N158" s="128"/>
      <c r="O158" s="131" t="e">
        <f>IF(#REF!="","",FLOOR(DAY(MINUTE(#REF!/38)/2+56)&amp;"/5/"&amp;#REF!,7)-34)</f>
        <v>#REF!</v>
      </c>
      <c r="P158" s="42" t="s">
        <v>6</v>
      </c>
      <c r="Q158" s="32">
        <f>IF($O157="","",$O157-2)</f>
        <v>47207</v>
      </c>
    </row>
    <row r="159" spans="14:17" ht="18" customHeight="1">
      <c r="N159" s="128"/>
      <c r="O159" s="131" t="e">
        <f>IF(#REF!="","",FLOOR(DAY(MINUTE(#REF!/38)/2+56)&amp;"/5/"&amp;#REF!,7)-34)</f>
        <v>#REF!</v>
      </c>
      <c r="P159" s="38" t="s">
        <v>7</v>
      </c>
      <c r="Q159" s="31">
        <f>IF($O157="","",$O157+1)</f>
        <v>47210</v>
      </c>
    </row>
    <row r="160" spans="14:17" ht="18" customHeight="1">
      <c r="N160" s="128"/>
      <c r="O160" s="131" t="e">
        <f>IF(#REF!="","",FLOOR(DAY(MINUTE(#REF!/38)/2+56)&amp;"/5/"&amp;#REF!,7)-34)</f>
        <v>#REF!</v>
      </c>
      <c r="P160" s="38" t="s">
        <v>8</v>
      </c>
      <c r="Q160" s="31">
        <f>IF($N157="","",DATE($N157,5,1))</f>
        <v>47239</v>
      </c>
    </row>
    <row r="161" spans="14:17" ht="18" customHeight="1">
      <c r="N161" s="128"/>
      <c r="O161" s="131" t="e">
        <f>IF(#REF!="","",FLOOR(DAY(MINUTE(#REF!/38)/2+56)&amp;"/5/"&amp;#REF!,7)-34)</f>
        <v>#REF!</v>
      </c>
      <c r="P161" s="38" t="s">
        <v>9</v>
      </c>
      <c r="Q161" s="31">
        <f>IF($N157="","",DATE($N157,5,8))</f>
        <v>47246</v>
      </c>
    </row>
    <row r="162" spans="14:17" ht="18" customHeight="1">
      <c r="N162" s="128"/>
      <c r="O162" s="131" t="e">
        <f>IF(#REF!="","",FLOOR(DAY(MINUTE(#REF!/38)/2+56)&amp;"/5/"&amp;#REF!,7)-34)</f>
        <v>#REF!</v>
      </c>
      <c r="P162" s="38" t="s">
        <v>10</v>
      </c>
      <c r="Q162" s="31">
        <f>IF($O157="","",$O157+39)</f>
        <v>47248</v>
      </c>
    </row>
    <row r="163" spans="14:17" ht="18" customHeight="1">
      <c r="N163" s="128"/>
      <c r="O163" s="132" t="s">
        <v>16</v>
      </c>
      <c r="P163" s="38" t="s">
        <v>11</v>
      </c>
      <c r="Q163" s="31">
        <f>IF($O157="","",$O157+50)</f>
        <v>47259</v>
      </c>
    </row>
    <row r="164" spans="14:17" ht="18" customHeight="1">
      <c r="N164" s="128"/>
      <c r="O164" s="132"/>
      <c r="P164" s="38" t="s">
        <v>12</v>
      </c>
      <c r="Q164" s="31">
        <f>IF(N$1="","",DATE($N157,7,14))</f>
        <v>47313</v>
      </c>
    </row>
    <row r="165" spans="14:17" ht="18" customHeight="1">
      <c r="N165" s="128"/>
      <c r="O165" s="132"/>
      <c r="P165" s="38" t="s">
        <v>13</v>
      </c>
      <c r="Q165" s="31">
        <f>IF($N157="","",DATE($N157,8,15))</f>
        <v>47345</v>
      </c>
    </row>
    <row r="166" spans="14:17" ht="18" customHeight="1">
      <c r="N166" s="128"/>
      <c r="O166" s="132"/>
      <c r="P166" s="38" t="s">
        <v>14</v>
      </c>
      <c r="Q166" s="31">
        <f>IF($N157="","",DATE($N157,11,1))</f>
        <v>47423</v>
      </c>
    </row>
    <row r="167" spans="14:17" ht="18" customHeight="1">
      <c r="N167" s="128"/>
      <c r="O167" s="132"/>
      <c r="P167" s="38" t="s">
        <v>15</v>
      </c>
      <c r="Q167" s="31">
        <f>IF($N157="","",DATE($N157,11,11))</f>
        <v>47433</v>
      </c>
    </row>
    <row r="168" spans="14:17" ht="18" customHeight="1">
      <c r="N168" s="128"/>
      <c r="O168" s="132"/>
      <c r="P168" s="38" t="s">
        <v>3</v>
      </c>
      <c r="Q168" s="31">
        <f>IF($N157="","",DATE($N157,12,25))</f>
        <v>47477</v>
      </c>
    </row>
    <row r="169" spans="14:17" ht="18" customHeight="1" thickBot="1">
      <c r="N169" s="129"/>
      <c r="O169" s="133"/>
      <c r="P169" s="43" t="s">
        <v>4</v>
      </c>
      <c r="Q169" s="40">
        <f>IF($N157="","",DATE($N157,12,26))</f>
        <v>47478</v>
      </c>
    </row>
  </sheetData>
  <mergeCells count="42">
    <mergeCell ref="N131:N143"/>
    <mergeCell ref="O131:O136"/>
    <mergeCell ref="O137:O143"/>
    <mergeCell ref="N105:N117"/>
    <mergeCell ref="O105:O110"/>
    <mergeCell ref="O111:O117"/>
    <mergeCell ref="N118:N130"/>
    <mergeCell ref="O118:O123"/>
    <mergeCell ref="O124:O130"/>
    <mergeCell ref="N79:N91"/>
    <mergeCell ref="O79:O84"/>
    <mergeCell ref="O85:O91"/>
    <mergeCell ref="N92:N104"/>
    <mergeCell ref="O92:O97"/>
    <mergeCell ref="O98:O104"/>
    <mergeCell ref="N53:N65"/>
    <mergeCell ref="O53:O58"/>
    <mergeCell ref="O59:O65"/>
    <mergeCell ref="N66:N78"/>
    <mergeCell ref="O66:O71"/>
    <mergeCell ref="O72:O78"/>
    <mergeCell ref="N27:N39"/>
    <mergeCell ref="O27:O32"/>
    <mergeCell ref="O33:O39"/>
    <mergeCell ref="N40:N52"/>
    <mergeCell ref="O40:O45"/>
    <mergeCell ref="O46:O52"/>
    <mergeCell ref="B3:D3"/>
    <mergeCell ref="B17:C17"/>
    <mergeCell ref="N1:N13"/>
    <mergeCell ref="O7:O13"/>
    <mergeCell ref="O1:O6"/>
    <mergeCell ref="N14:N26"/>
    <mergeCell ref="O14:O19"/>
    <mergeCell ref="O20:O26"/>
    <mergeCell ref="B19:C19"/>
    <mergeCell ref="N157:N169"/>
    <mergeCell ref="O157:O162"/>
    <mergeCell ref="O163:O169"/>
    <mergeCell ref="N144:N156"/>
    <mergeCell ref="O144:O149"/>
    <mergeCell ref="O150:O15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AV22"/>
  <sheetViews>
    <sheetView zoomScale="85" zoomScaleNormal="85" workbookViewId="0">
      <selection activeCell="A10" sqref="A10:B15"/>
    </sheetView>
  </sheetViews>
  <sheetFormatPr baseColWidth="10" defaultRowHeight="18" customHeight="1"/>
  <cols>
    <col min="1" max="1" width="18.7109375" style="16" customWidth="1"/>
    <col min="2" max="2" width="11.42578125" style="1"/>
    <col min="3" max="4" width="18.7109375" style="1" customWidth="1"/>
    <col min="5" max="5" width="2.7109375" style="1" customWidth="1"/>
    <col min="6" max="7" width="5.7109375" style="52" customWidth="1"/>
    <col min="8" max="8" width="5.7109375" style="52" hidden="1" customWidth="1"/>
    <col min="9" max="9" width="1.7109375" style="52" customWidth="1"/>
    <col min="10" max="17" width="5.7109375" style="52" customWidth="1"/>
    <col min="18" max="24" width="5.7109375" style="52" hidden="1" customWidth="1"/>
    <col min="25" max="25" width="1.7109375" style="52" customWidth="1"/>
    <col min="26" max="28" width="5.7109375" style="52" customWidth="1"/>
    <col min="29" max="31" width="5.7109375" style="52" hidden="1" customWidth="1"/>
    <col min="32" max="32" width="11.42578125" style="1"/>
    <col min="33" max="33" width="12.7109375" style="15" hidden="1" customWidth="1"/>
    <col min="34" max="34" width="11.42578125" style="1" hidden="1" customWidth="1"/>
    <col min="35" max="45" width="11.42578125" style="1"/>
    <col min="46" max="46" width="6.7109375" style="1" hidden="1" customWidth="1"/>
    <col min="47" max="48" width="11.42578125" style="1" hidden="1" customWidth="1"/>
    <col min="49" max="16384" width="11.42578125" style="1"/>
  </cols>
  <sheetData>
    <row r="1" spans="1:48" s="15" customFormat="1" ht="24" customHeight="1" thickBot="1">
      <c r="A1" s="66"/>
      <c r="F1" s="26" t="s">
        <v>59</v>
      </c>
      <c r="G1" s="26" t="s">
        <v>77</v>
      </c>
      <c r="H1" s="26">
        <v>3</v>
      </c>
      <c r="J1" s="26" t="s">
        <v>60</v>
      </c>
      <c r="K1" s="26" t="s">
        <v>61</v>
      </c>
      <c r="L1" s="26" t="s">
        <v>62</v>
      </c>
      <c r="M1" s="26" t="s">
        <v>63</v>
      </c>
      <c r="N1" s="26" t="s">
        <v>64</v>
      </c>
      <c r="O1" s="26" t="s">
        <v>65</v>
      </c>
      <c r="P1" s="26" t="s">
        <v>66</v>
      </c>
      <c r="Q1" s="26" t="s">
        <v>67</v>
      </c>
      <c r="R1" s="26">
        <v>4</v>
      </c>
      <c r="S1" s="26">
        <v>5</v>
      </c>
      <c r="T1" s="26">
        <v>6</v>
      </c>
      <c r="U1" s="26">
        <v>7</v>
      </c>
      <c r="V1" s="26">
        <v>8</v>
      </c>
      <c r="W1" s="26">
        <v>9</v>
      </c>
      <c r="X1" s="26">
        <v>10</v>
      </c>
      <c r="Z1" s="26" t="s">
        <v>68</v>
      </c>
      <c r="AA1" s="26" t="s">
        <v>69</v>
      </c>
      <c r="AB1" s="26" t="s">
        <v>70</v>
      </c>
      <c r="AC1" s="26">
        <v>11</v>
      </c>
      <c r="AD1" s="26">
        <v>12</v>
      </c>
      <c r="AE1" s="26">
        <v>13</v>
      </c>
      <c r="AG1" s="53" t="s">
        <v>71</v>
      </c>
      <c r="AH1" s="15" t="e">
        <v>#N/A</v>
      </c>
    </row>
    <row r="2" spans="1:48" s="48" customFormat="1" ht="20.100000000000001" customHeight="1" thickBot="1">
      <c r="A2" s="47"/>
      <c r="F2" s="49"/>
      <c r="G2" s="49"/>
      <c r="H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Z2" s="49"/>
      <c r="AA2" s="49"/>
      <c r="AB2" s="49"/>
      <c r="AC2" s="49"/>
      <c r="AD2" s="49"/>
      <c r="AE2" s="49"/>
      <c r="AG2" s="49"/>
    </row>
    <row r="3" spans="1:48" s="48" customFormat="1" ht="20.100000000000001" hidden="1" customHeight="1">
      <c r="A3" s="47"/>
      <c r="F3" s="49" t="e">
        <f>IF(VLOOKUP($A$10-7,[0]!Plage1,3,FALSE)=0,1,VLOOKUP($A$10-7,[0]!Plage1,3,FALSE))</f>
        <v>#REF!</v>
      </c>
      <c r="G3" s="49" t="e">
        <f>IF(VLOOKUP($A$10-7,[0]!Plage1,7,FALSE)=0,1,VLOOKUP($A$10-7,[0]!Plage1,7,FALSE))</f>
        <v>#REF!</v>
      </c>
      <c r="H3" s="49" t="e">
        <f>IF(VLOOKUP($A$10-7,[0]!Plage1,11,FALSE)=0,1,VLOOKUP($A$10-7,[0]!Plage1,11,FALSE))</f>
        <v>#REF!</v>
      </c>
      <c r="I3" s="49"/>
      <c r="J3" s="49" t="e">
        <f>IF(VLOOKUP($A$10-7,[0]!Plage2,3,FALSE)=0,1,VLOOKUP($A$10-7,[0]!Plage2,3,FALSE))</f>
        <v>#N/A</v>
      </c>
      <c r="K3" s="49" t="e">
        <f>IF(VLOOKUP($A$10-7,[0]!Plage2,7,FALSE)=0,1,VLOOKUP($A$10-7,[0]!Plage2,7,FALSE))</f>
        <v>#N/A</v>
      </c>
      <c r="L3" s="49" t="e">
        <f>IF(VLOOKUP($A$10-7,[0]!Plage2,11,FALSE)=0,1,VLOOKUP($A$10-7,[0]!Plage2,11,FALSE))</f>
        <v>#N/A</v>
      </c>
      <c r="M3" s="49" t="e">
        <f>IF(VLOOKUP($A$10-7,[0]!Plage2,15,FALSE)=0,1,VLOOKUP($A$10-7,[0]!Plage2,15,FALSE))</f>
        <v>#N/A</v>
      </c>
      <c r="N3" s="49" t="e">
        <f>IF(VLOOKUP($A$10-7,[0]!Plage2,19,FALSE)=0,1,VLOOKUP($A$10-7,[0]!Plage2,19,FALSE))</f>
        <v>#N/A</v>
      </c>
      <c r="O3" s="49" t="e">
        <f>IF(VLOOKUP($A$10-7,[0]!Plage2,23,FALSE)=0,1,VLOOKUP($A$10-7,[0]!Plage2,23,FALSE))</f>
        <v>#N/A</v>
      </c>
      <c r="P3" s="49" t="e">
        <f>IF(VLOOKUP($A$10-7,[0]!Plage2,27,FALSE)=0,1,VLOOKUP($A$10-7,[0]!Plage2,27,FALSE))</f>
        <v>#N/A</v>
      </c>
      <c r="Q3" s="49" t="e">
        <f>IF(VLOOKUP($A$10-7,[0]!Plage2,31,FALSE)=0,1,VLOOKUP($A$10-7,[0]!Plage2,31,FALSE))</f>
        <v>#N/A</v>
      </c>
      <c r="R3" s="49" t="e">
        <f>IF(VLOOKUP($A$10-7,[0]!Plage2,35,FALSE)=0,1,VLOOKUP($A$10-7,[0]!Plage2,35,FALSE))</f>
        <v>#N/A</v>
      </c>
      <c r="S3" s="49" t="e">
        <f>IF(VLOOKUP($A$10-7,[0]!Plage2,39,FALSE)=0,1,VLOOKUP($A$10-7,[0]!Plage2,39,FALSE))</f>
        <v>#N/A</v>
      </c>
      <c r="T3" s="49" t="e">
        <f>IF(VLOOKUP($A$10-7,[0]!Plage2,43,FALSE)=0,1,VLOOKUP($A$10-7,[0]!Plage2,43,FALSE))</f>
        <v>#N/A</v>
      </c>
      <c r="U3" s="49" t="e">
        <f>IF(VLOOKUP($A$10-7,[0]!Plage2,47,FALSE)=0,1,VLOOKUP($A$10-7,[0]!Plage2,47,FALSE))</f>
        <v>#N/A</v>
      </c>
      <c r="V3" s="49" t="e">
        <f>IF(VLOOKUP($A$10-7,[0]!Plage2,51,FALSE)=0,1,VLOOKUP($A$10-7,[0]!Plage2,51,FALSE))</f>
        <v>#N/A</v>
      </c>
      <c r="W3" s="49" t="e">
        <f>IF(VLOOKUP($A$10-7,[0]!Plage2,55,FALSE)=0,1,VLOOKUP($A$10-7,[0]!Plage2,55,FALSE))</f>
        <v>#N/A</v>
      </c>
      <c r="X3" s="49" t="e">
        <f>IF(VLOOKUP($A$10-7,[0]!Plage2,59,FALSE)=0,1,VLOOKUP($A$10-7,[0]!Plage2,59,FALSE))</f>
        <v>#N/A</v>
      </c>
      <c r="Y3" s="49"/>
      <c r="Z3" s="49" t="e">
        <f>IF(VLOOKUP($A$10-7,[0]!Plage3,3,FALSE)=0,1,VLOOKUP($A$10-7,[0]!Plage3,3,FALSE))</f>
        <v>#REF!</v>
      </c>
      <c r="AA3" s="49" t="e">
        <f>IF(VLOOKUP($A$10-7,[0]!Plage3,7,FALSE)=0,1,VLOOKUP($A$10-7,[0]!Plage3,7,FALSE))</f>
        <v>#REF!</v>
      </c>
      <c r="AB3" s="49" t="e">
        <f>IF(VLOOKUP($A$10-7,[0]!Plage3,11,FALSE)=0,1,VLOOKUP($A$10-7,[0]!Plage3,11,FALSE))</f>
        <v>#REF!</v>
      </c>
      <c r="AC3" s="49" t="e">
        <f>IF(VLOOKUP($A$10-7,[0]!Plage3,15,FALSE)=0,1,VLOOKUP($A$10-7,[0]!Plage3,15,FALSE))</f>
        <v>#REF!</v>
      </c>
      <c r="AD3" s="49" t="e">
        <f>IF(VLOOKUP($A$10-7,[0]!Plage3,19,FALSE)=0,1,VLOOKUP($A$10-7,[0]!Plage3,19,FALSE))</f>
        <v>#REF!</v>
      </c>
      <c r="AE3" s="49" t="e">
        <f>IF(VLOOKUP($A$10-7,[0]!Plage3,23,FALSE)=0,1,VLOOKUP($A$10-7,[0]!Plage3,23,FALSE))</f>
        <v>#REF!</v>
      </c>
      <c r="AG3" s="49"/>
    </row>
    <row r="4" spans="1:48" s="48" customFormat="1" ht="20.100000000000001" hidden="1" customHeight="1">
      <c r="A4" s="47"/>
      <c r="F4" s="49" t="e">
        <f>IF(VLOOKUP($A$10-6,[0]!Plage1,3,FALSE)=0,1,VLOOKUP($A$10-6,[0]!Plage1,3,FALSE))</f>
        <v>#REF!</v>
      </c>
      <c r="G4" s="49" t="e">
        <f>IF(VLOOKUP($A$10-6,[0]!Plage1,7,FALSE)=0,1,VLOOKUP($A$10-6,[0]!Plage1,7,FALSE))</f>
        <v>#REF!</v>
      </c>
      <c r="H4" s="49" t="e">
        <f>IF(VLOOKUP($A$10-6,[0]!Plage1,11,FALSE)=0,1,VLOOKUP($A$10-6,[0]!Plage1,11,FALSE))</f>
        <v>#REF!</v>
      </c>
      <c r="I4" s="49"/>
      <c r="J4" s="49" t="e">
        <f>IF(VLOOKUP($A$10-6,[0]!Plage2,3,FALSE)=0,1,VLOOKUP($A$10-6,[0]!Plage2,3,FALSE))</f>
        <v>#N/A</v>
      </c>
      <c r="K4" s="49" t="e">
        <f>IF(VLOOKUP($A$10-6,[0]!Plage2,7,FALSE)=0,1,VLOOKUP($A$10-6,[0]!Plage2,7,FALSE))</f>
        <v>#N/A</v>
      </c>
      <c r="L4" s="49" t="e">
        <f>IF(VLOOKUP($A$10-6,[0]!Plage2,11,FALSE)=0,1,VLOOKUP($A$10-6,[0]!Plage2,11,FALSE))</f>
        <v>#N/A</v>
      </c>
      <c r="M4" s="49" t="e">
        <f>IF(VLOOKUP($A$10-6,[0]!Plage2,15,FALSE)=0,1,VLOOKUP($A$10-6,[0]!Plage2,15,FALSE))</f>
        <v>#N/A</v>
      </c>
      <c r="N4" s="49" t="e">
        <f>IF(VLOOKUP($A$10-6,[0]!Plage2,19,FALSE)=0,1,VLOOKUP($A$10-6,[0]!Plage2,19,FALSE))</f>
        <v>#N/A</v>
      </c>
      <c r="O4" s="49" t="e">
        <f>IF(VLOOKUP($A$10-6,[0]!Plage2,23,FALSE)=0,1,VLOOKUP($A$10-6,[0]!Plage2,23,FALSE))</f>
        <v>#N/A</v>
      </c>
      <c r="P4" s="49" t="e">
        <f>IF(VLOOKUP($A$10-6,[0]!Plage2,27,FALSE)=0,1,VLOOKUP($A$10-6,[0]!Plage2,27,FALSE))</f>
        <v>#N/A</v>
      </c>
      <c r="Q4" s="49" t="e">
        <f>IF(VLOOKUP($A$10-6,[0]!Plage2,31,FALSE)=0,1,VLOOKUP($A$10-6,[0]!Plage2,31,FALSE))</f>
        <v>#N/A</v>
      </c>
      <c r="R4" s="49" t="e">
        <f>IF(VLOOKUP($A$10-6,[0]!Plage2,35,FALSE)=0,1,VLOOKUP($A$10-6,[0]!Plage2,35,FALSE))</f>
        <v>#N/A</v>
      </c>
      <c r="S4" s="49" t="e">
        <f>IF(VLOOKUP($A$10-6,[0]!Plage2,39,FALSE)=0,1,VLOOKUP($A$10-6,[0]!Plage2,39,FALSE))</f>
        <v>#N/A</v>
      </c>
      <c r="T4" s="49" t="e">
        <f>IF(VLOOKUP($A$10-6,[0]!Plage2,43,FALSE)=0,1,VLOOKUP($A$10-6,[0]!Plage2,43,FALSE))</f>
        <v>#N/A</v>
      </c>
      <c r="U4" s="49" t="e">
        <f>IF(VLOOKUP($A$10-6,[0]!Plage2,47,FALSE)=0,1,VLOOKUP($A$10-6,[0]!Plage2,47,FALSE))</f>
        <v>#N/A</v>
      </c>
      <c r="V4" s="49" t="e">
        <f>IF(VLOOKUP($A$10-6,[0]!Plage2,51,FALSE)=0,1,VLOOKUP($A$10-6,[0]!Plage2,51,FALSE))</f>
        <v>#N/A</v>
      </c>
      <c r="W4" s="49" t="e">
        <f>IF(VLOOKUP($A$10-6,[0]!Plage2,55,FALSE)=0,1,VLOOKUP($A$10-6,[0]!Plage2,55,FALSE))</f>
        <v>#N/A</v>
      </c>
      <c r="X4" s="49" t="e">
        <f>IF(VLOOKUP($A$10-6,[0]!Plage2,59,FALSE)=0,1,VLOOKUP($A$10-6,[0]!Plage2,59,FALSE))</f>
        <v>#N/A</v>
      </c>
      <c r="Y4" s="49"/>
      <c r="Z4" s="49" t="e">
        <f>IF(VLOOKUP($A$10-6,[0]!Plage3,3,FALSE)=0,1,VLOOKUP($A$10-6,[0]!Plage3,3,FALSE))</f>
        <v>#REF!</v>
      </c>
      <c r="AA4" s="49" t="e">
        <f>IF(VLOOKUP($A$10-6,[0]!Plage3,7,FALSE)=0,1,VLOOKUP($A$10-6,[0]!Plage3,7,FALSE))</f>
        <v>#REF!</v>
      </c>
      <c r="AB4" s="49" t="e">
        <f>IF(VLOOKUP($A$10-6,[0]!Plage3,11,FALSE)=0,1,VLOOKUP($A$10-6,[0]!Plage3,11,FALSE))</f>
        <v>#REF!</v>
      </c>
      <c r="AC4" s="49" t="e">
        <f>IF(VLOOKUP($A$10-6,[0]!Plage3,15,FALSE)=0,1,VLOOKUP($A$10-6,[0]!Plage3,15,FALSE))</f>
        <v>#REF!</v>
      </c>
      <c r="AD4" s="49" t="e">
        <f>IF(VLOOKUP($A$10-6,[0]!Plage3,19,FALSE)=0,1,VLOOKUP($A$10-6,[0]!Plage3,19,FALSE))</f>
        <v>#REF!</v>
      </c>
      <c r="AE4" s="49" t="e">
        <f>IF(VLOOKUP($A$10-6,[0]!Plage3,23,FALSE)=0,1,VLOOKUP($A$10-6,[0]!Plage3,23,FALSE))</f>
        <v>#REF!</v>
      </c>
      <c r="AG4" s="49"/>
    </row>
    <row r="5" spans="1:48" s="48" customFormat="1" ht="20.100000000000001" hidden="1" customHeight="1">
      <c r="A5" s="47"/>
      <c r="F5" s="49" t="e">
        <f>IF(VLOOKUP($A$10-5,[0]!Plage1,3,FALSE)=0,1,VLOOKUP($A$10-5,[0]!Plage1,3,FALSE))</f>
        <v>#REF!</v>
      </c>
      <c r="G5" s="49" t="e">
        <f>IF(VLOOKUP($A$10-5,[0]!Plage1,7,FALSE)=0,1,VLOOKUP($A$10-5,[0]!Plage1,7,FALSE))</f>
        <v>#REF!</v>
      </c>
      <c r="H5" s="49" t="e">
        <f>IF(VLOOKUP($A$10-5,[0]!Plage1,11,FALSE)=0,1,VLOOKUP($A$10-5,[0]!Plage1,11,FALSE))</f>
        <v>#REF!</v>
      </c>
      <c r="I5" s="49"/>
      <c r="J5" s="49" t="e">
        <f>IF(VLOOKUP($A$10-5,[0]!Plage2,3,FALSE)=0,1,VLOOKUP($A$10-5,[0]!Plage2,3,FALSE))</f>
        <v>#N/A</v>
      </c>
      <c r="K5" s="49" t="e">
        <f>IF(VLOOKUP($A$10-5,[0]!Plage2,7,FALSE)=0,1,VLOOKUP($A$10-5,[0]!Plage2,7,FALSE))</f>
        <v>#N/A</v>
      </c>
      <c r="L5" s="49" t="e">
        <f>IF(VLOOKUP($A$10-5,[0]!Plage2,11,FALSE)=0,1,VLOOKUP($A$10-5,[0]!Plage2,11,FALSE))</f>
        <v>#N/A</v>
      </c>
      <c r="M5" s="49" t="e">
        <f>IF(VLOOKUP($A$10-5,[0]!Plage2,15,FALSE)=0,1,VLOOKUP($A$10-5,[0]!Plage2,15,FALSE))</f>
        <v>#N/A</v>
      </c>
      <c r="N5" s="49" t="e">
        <f>IF(VLOOKUP($A$10-5,[0]!Plage2,19,FALSE)=0,1,VLOOKUP($A$10-5,[0]!Plage2,19,FALSE))</f>
        <v>#N/A</v>
      </c>
      <c r="O5" s="49" t="e">
        <f>IF(VLOOKUP($A$10-5,[0]!Plage2,23,FALSE)=0,1,VLOOKUP($A$10-5,[0]!Plage2,23,FALSE))</f>
        <v>#N/A</v>
      </c>
      <c r="P5" s="49" t="e">
        <f>IF(VLOOKUP($A$10-5,[0]!Plage2,27,FALSE)=0,1,VLOOKUP($A$10-5,[0]!Plage2,27,FALSE))</f>
        <v>#N/A</v>
      </c>
      <c r="Q5" s="49" t="e">
        <f>IF(VLOOKUP($A$10-5,[0]!Plage2,31,FALSE)=0,1,VLOOKUP($A$10-5,[0]!Plage2,31,FALSE))</f>
        <v>#N/A</v>
      </c>
      <c r="R5" s="49" t="e">
        <f>IF(VLOOKUP($A$10-5,[0]!Plage2,35,FALSE)=0,1,VLOOKUP($A$10-5,[0]!Plage2,35,FALSE))</f>
        <v>#N/A</v>
      </c>
      <c r="S5" s="49" t="e">
        <f>IF(VLOOKUP($A$10-5,[0]!Plage2,39,FALSE)=0,1,VLOOKUP($A$10-5,[0]!Plage2,39,FALSE))</f>
        <v>#N/A</v>
      </c>
      <c r="T5" s="49" t="e">
        <f>IF(VLOOKUP($A$10-5,[0]!Plage2,43,FALSE)=0,1,VLOOKUP($A$10-5,[0]!Plage2,43,FALSE))</f>
        <v>#N/A</v>
      </c>
      <c r="U5" s="49" t="e">
        <f>IF(VLOOKUP($A$10-5,[0]!Plage2,47,FALSE)=0,1,VLOOKUP($A$10-5,[0]!Plage2,47,FALSE))</f>
        <v>#N/A</v>
      </c>
      <c r="V5" s="49" t="e">
        <f>IF(VLOOKUP($A$10-5,[0]!Plage2,51,FALSE)=0,1,VLOOKUP($A$10-5,[0]!Plage2,51,FALSE))</f>
        <v>#N/A</v>
      </c>
      <c r="W5" s="49" t="e">
        <f>IF(VLOOKUP($A$10-5,[0]!Plage2,55,FALSE)=0,1,VLOOKUP($A$10-5,[0]!Plage2,55,FALSE))</f>
        <v>#N/A</v>
      </c>
      <c r="X5" s="49" t="e">
        <f>IF(VLOOKUP($A$10-5,[0]!Plage2,59,FALSE)=0,1,VLOOKUP($A$10-5,[0]!Plage2,59,FALSE))</f>
        <v>#N/A</v>
      </c>
      <c r="Y5" s="49"/>
      <c r="Z5" s="49" t="e">
        <f>IF(VLOOKUP($A$10-5,[0]!Plage3,3,FALSE)=0,1,VLOOKUP($A$10-5,[0]!Plage3,3,FALSE))</f>
        <v>#REF!</v>
      </c>
      <c r="AA5" s="49" t="e">
        <f>IF(VLOOKUP($A$10-5,[0]!Plage3,7,FALSE)=0,1,VLOOKUP($A$10-5,[0]!Plage3,7,FALSE))</f>
        <v>#REF!</v>
      </c>
      <c r="AB5" s="49" t="e">
        <f>IF(VLOOKUP($A$10-5,[0]!Plage3,11,FALSE)=0,1,VLOOKUP($A$10-5,[0]!Plage3,11,FALSE))</f>
        <v>#REF!</v>
      </c>
      <c r="AC5" s="49" t="e">
        <f>IF(VLOOKUP($A$10-5,[0]!Plage3,15,FALSE)=0,1,VLOOKUP($A$10-5,[0]!Plage3,15,FALSE))</f>
        <v>#REF!</v>
      </c>
      <c r="AD5" s="49" t="e">
        <f>IF(VLOOKUP($A$10-5,[0]!Plage3,19,FALSE)=0,1,VLOOKUP($A$10-5,[0]!Plage3,19,FALSE))</f>
        <v>#REF!</v>
      </c>
      <c r="AE5" s="49" t="e">
        <f>IF(VLOOKUP($A$10-5,[0]!Plage3,23,FALSE)=0,1,VLOOKUP($A$10-5,[0]!Plage3,23,FALSE))</f>
        <v>#REF!</v>
      </c>
      <c r="AG5" s="49"/>
    </row>
    <row r="6" spans="1:48" s="48" customFormat="1" ht="20.100000000000001" hidden="1" customHeight="1">
      <c r="A6" s="47"/>
      <c r="F6" s="49" t="e">
        <f>IF(VLOOKUP($A$10-4,[0]!Plage1,3,FALSE)=0,1,VLOOKUP($A$10-4,[0]!Plage1,3,FALSE))</f>
        <v>#REF!</v>
      </c>
      <c r="G6" s="49" t="e">
        <f>IF(VLOOKUP($A$10-4,[0]!Plage1,7,FALSE)=0,1,VLOOKUP($A$10-4,[0]!Plage1,7,FALSE))</f>
        <v>#REF!</v>
      </c>
      <c r="H6" s="49" t="e">
        <f>IF(VLOOKUP($A$10-4,[0]!Plage1,11,FALSE)=0,1,VLOOKUP($A$10-4,[0]!Plage1,11,FALSE))</f>
        <v>#REF!</v>
      </c>
      <c r="I6" s="49"/>
      <c r="J6" s="49" t="e">
        <f>IF(VLOOKUP($A$10-4,[0]!Plage2,3,FALSE)=0,1,VLOOKUP($A$10-4,[0]!Plage2,3,FALSE))</f>
        <v>#N/A</v>
      </c>
      <c r="K6" s="49" t="e">
        <f>IF(VLOOKUP($A$10-4,[0]!Plage2,7,FALSE)=0,1,VLOOKUP($A$10-4,[0]!Plage2,7,FALSE))</f>
        <v>#N/A</v>
      </c>
      <c r="L6" s="49" t="e">
        <f>IF(VLOOKUP($A$10-4,[0]!Plage2,11,FALSE)=0,1,VLOOKUP($A$10-4,[0]!Plage2,11,FALSE))</f>
        <v>#N/A</v>
      </c>
      <c r="M6" s="49" t="e">
        <f>IF(VLOOKUP($A$10-4,[0]!Plage2,15,FALSE)=0,1,VLOOKUP($A$10-4,[0]!Plage2,15,FALSE))</f>
        <v>#N/A</v>
      </c>
      <c r="N6" s="49" t="e">
        <f>IF(VLOOKUP($A$10-4,[0]!Plage2,19,FALSE)=0,1,VLOOKUP($A$10-4,[0]!Plage2,19,FALSE))</f>
        <v>#N/A</v>
      </c>
      <c r="O6" s="49" t="e">
        <f>IF(VLOOKUP($A$10-4,[0]!Plage2,23,FALSE)=0,1,VLOOKUP($A$10-4,[0]!Plage2,23,FALSE))</f>
        <v>#N/A</v>
      </c>
      <c r="P6" s="49" t="e">
        <f>IF(VLOOKUP($A$10-4,[0]!Plage2,27,FALSE)=0,1,VLOOKUP($A$10-4,[0]!Plage2,27,FALSE))</f>
        <v>#N/A</v>
      </c>
      <c r="Q6" s="49" t="e">
        <f>IF(VLOOKUP($A$10-4,[0]!Plage2,31,FALSE)=0,1,VLOOKUP($A$10-4,[0]!Plage2,31,FALSE))</f>
        <v>#N/A</v>
      </c>
      <c r="R6" s="49" t="e">
        <f>IF(VLOOKUP($A$10-4,[0]!Plage2,35,FALSE)=0,1,VLOOKUP($A$10-4,[0]!Plage2,35,FALSE))</f>
        <v>#N/A</v>
      </c>
      <c r="S6" s="49" t="e">
        <f>IF(VLOOKUP($A$10-4,[0]!Plage2,39,FALSE)=0,1,VLOOKUP($A$10-4,[0]!Plage2,39,FALSE))</f>
        <v>#N/A</v>
      </c>
      <c r="T6" s="49" t="e">
        <f>IF(VLOOKUP($A$10-4,[0]!Plage2,43,FALSE)=0,1,VLOOKUP($A$10-4,[0]!Plage2,43,FALSE))</f>
        <v>#N/A</v>
      </c>
      <c r="U6" s="49" t="e">
        <f>IF(VLOOKUP($A$10-4,[0]!Plage2,47,FALSE)=0,1,VLOOKUP($A$10-4,[0]!Plage2,47,FALSE))</f>
        <v>#N/A</v>
      </c>
      <c r="V6" s="49" t="e">
        <f>IF(VLOOKUP($A$10-4,[0]!Plage2,51,FALSE)=0,1,VLOOKUP($A$10-4,[0]!Plage2,51,FALSE))</f>
        <v>#N/A</v>
      </c>
      <c r="W6" s="49" t="e">
        <f>IF(VLOOKUP($A$10-4,[0]!Plage2,55,FALSE)=0,1,VLOOKUP($A$10-4,[0]!Plage2,55,FALSE))</f>
        <v>#N/A</v>
      </c>
      <c r="X6" s="49" t="e">
        <f>IF(VLOOKUP($A$10-4,[0]!Plage2,59,FALSE)=0,1,VLOOKUP($A$10-4,[0]!Plage2,59,FALSE))</f>
        <v>#N/A</v>
      </c>
      <c r="Y6" s="49"/>
      <c r="Z6" s="49" t="e">
        <f>IF(VLOOKUP($A$10-4,[0]!Plage3,3,FALSE)=0,1,VLOOKUP($A$10-4,[0]!Plage3,3,FALSE))</f>
        <v>#REF!</v>
      </c>
      <c r="AA6" s="49" t="e">
        <f>IF(VLOOKUP($A$10-4,[0]!Plage3,7,FALSE)=0,1,VLOOKUP($A$10-4,[0]!Plage3,7,FALSE))</f>
        <v>#REF!</v>
      </c>
      <c r="AB6" s="49" t="e">
        <f>IF(VLOOKUP($A$10-4,[0]!Plage3,11,FALSE)=0,1,VLOOKUP($A$10-4,[0]!Plage3,11,FALSE))</f>
        <v>#REF!</v>
      </c>
      <c r="AC6" s="49" t="e">
        <f>IF(VLOOKUP($A$10-4,[0]!Plage3,15,FALSE)=0,1,VLOOKUP($A$10-4,[0]!Plage3,15,FALSE))</f>
        <v>#REF!</v>
      </c>
      <c r="AD6" s="49" t="e">
        <f>IF(VLOOKUP($A$10-4,[0]!Plage3,19,FALSE)=0,1,VLOOKUP($A$10-4,[0]!Plage3,19,FALSE))</f>
        <v>#REF!</v>
      </c>
      <c r="AE6" s="49" t="e">
        <f>IF(VLOOKUP($A$10-4,[0]!Plage3,23,FALSE)=0,1,VLOOKUP($A$10-4,[0]!Plage3,23,FALSE))</f>
        <v>#REF!</v>
      </c>
      <c r="AG6" s="49"/>
    </row>
    <row r="7" spans="1:48" s="48" customFormat="1" ht="20.100000000000001" hidden="1" customHeight="1">
      <c r="A7" s="47"/>
      <c r="F7" s="49" t="e">
        <f>IF(VLOOKUP($A$10-3,[0]!Plage1,3,FALSE)=0,1,VLOOKUP($A$10-3,[0]!Plage1,3,FALSE))</f>
        <v>#REF!</v>
      </c>
      <c r="G7" s="49" t="e">
        <f>IF(VLOOKUP($A$10-3,[0]!Plage1,7,FALSE)=0,1,VLOOKUP($A$10-3,[0]!Plage1,7,FALSE))</f>
        <v>#REF!</v>
      </c>
      <c r="H7" s="49" t="e">
        <f>IF(VLOOKUP($A$10-3,[0]!Plage1,11,FALSE)=0,1,VLOOKUP($A$10-3,[0]!Plage1,11,FALSE))</f>
        <v>#REF!</v>
      </c>
      <c r="I7" s="49"/>
      <c r="J7" s="49" t="e">
        <f>IF(VLOOKUP($A$10-3,[0]!Plage2,3,FALSE)=0,1,VLOOKUP($A$10-3,[0]!Plage2,3,FALSE))</f>
        <v>#N/A</v>
      </c>
      <c r="K7" s="49" t="e">
        <f>IF(VLOOKUP($A$10-3,[0]!Plage2,7,FALSE)=0,1,VLOOKUP($A$10-3,[0]!Plage2,7,FALSE))</f>
        <v>#N/A</v>
      </c>
      <c r="L7" s="49" t="e">
        <f>IF(VLOOKUP($A$10-3,[0]!Plage2,11,FALSE)=0,1,VLOOKUP($A$10-3,[0]!Plage2,11,FALSE))</f>
        <v>#N/A</v>
      </c>
      <c r="M7" s="49" t="e">
        <f>IF(VLOOKUP($A$10-3,[0]!Plage2,15,FALSE)=0,1,VLOOKUP($A$10-3,[0]!Plage2,15,FALSE))</f>
        <v>#N/A</v>
      </c>
      <c r="N7" s="49" t="e">
        <f>IF(VLOOKUP($A$10-3,[0]!Plage2,19,FALSE)=0,1,VLOOKUP($A$10-3,[0]!Plage2,19,FALSE))</f>
        <v>#N/A</v>
      </c>
      <c r="O7" s="49" t="e">
        <f>IF(VLOOKUP($A$10-3,[0]!Plage2,23,FALSE)=0,1,VLOOKUP($A$10-3,[0]!Plage2,23,FALSE))</f>
        <v>#N/A</v>
      </c>
      <c r="P7" s="49" t="e">
        <f>IF(VLOOKUP($A$10-3,[0]!Plage2,27,FALSE)=0,1,VLOOKUP($A$10-3,[0]!Plage2,27,FALSE))</f>
        <v>#N/A</v>
      </c>
      <c r="Q7" s="49" t="e">
        <f>IF(VLOOKUP($A$10-3,[0]!Plage2,31,FALSE)=0,1,VLOOKUP($A$10-3,[0]!Plage2,31,FALSE))</f>
        <v>#N/A</v>
      </c>
      <c r="R7" s="49" t="e">
        <f>IF(VLOOKUP($A$10-3,[0]!Plage2,35,FALSE)=0,1,VLOOKUP($A$10-3,[0]!Plage2,35,FALSE))</f>
        <v>#N/A</v>
      </c>
      <c r="S7" s="49" t="e">
        <f>IF(VLOOKUP($A$10-3,[0]!Plage2,39,FALSE)=0,1,VLOOKUP($A$10-3,[0]!Plage2,39,FALSE))</f>
        <v>#N/A</v>
      </c>
      <c r="T7" s="49" t="e">
        <f>IF(VLOOKUP($A$10-3,[0]!Plage2,43,FALSE)=0,1,VLOOKUP($A$10-3,[0]!Plage2,43,FALSE))</f>
        <v>#N/A</v>
      </c>
      <c r="U7" s="49" t="e">
        <f>IF(VLOOKUP($A$10-3,[0]!Plage2,47,FALSE)=0,1,VLOOKUP($A$10-3,[0]!Plage2,47,FALSE))</f>
        <v>#N/A</v>
      </c>
      <c r="V7" s="49" t="e">
        <f>IF(VLOOKUP($A$10-3,[0]!Plage2,51,FALSE)=0,1,VLOOKUP($A$10-3,[0]!Plage2,51,FALSE))</f>
        <v>#N/A</v>
      </c>
      <c r="W7" s="49" t="e">
        <f>IF(VLOOKUP($A$10-3,[0]!Plage2,55,FALSE)=0,1,VLOOKUP($A$10-3,[0]!Plage2,55,FALSE))</f>
        <v>#N/A</v>
      </c>
      <c r="X7" s="49" t="e">
        <f>IF(VLOOKUP($A$10-3,[0]!Plage2,59,FALSE)=0,1,VLOOKUP($A$10-3,[0]!Plage2,59,FALSE))</f>
        <v>#N/A</v>
      </c>
      <c r="Y7" s="49"/>
      <c r="Z7" s="49" t="e">
        <f>IF(VLOOKUP($A$10-3,[0]!Plage3,3,FALSE)=0,1,VLOOKUP($A$10-3,[0]!Plage3,3,FALSE))</f>
        <v>#REF!</v>
      </c>
      <c r="AA7" s="49" t="e">
        <f>IF(VLOOKUP($A$10-3,[0]!Plage3,7,FALSE)=0,1,VLOOKUP($A$10-3,[0]!Plage3,7,FALSE))</f>
        <v>#REF!</v>
      </c>
      <c r="AB7" s="49" t="e">
        <f>IF(VLOOKUP($A$10-3,[0]!Plage3,11,FALSE)=0,1,VLOOKUP($A$10-3,[0]!Plage3,11,FALSE))</f>
        <v>#REF!</v>
      </c>
      <c r="AC7" s="49" t="e">
        <f>IF(VLOOKUP($A$10-3,[0]!Plage3,15,FALSE)=0,1,VLOOKUP($A$10-3,[0]!Plage3,15,FALSE))</f>
        <v>#REF!</v>
      </c>
      <c r="AD7" s="49" t="e">
        <f>IF(VLOOKUP($A$10-3,[0]!Plage3,19,FALSE)=0,1,VLOOKUP($A$10-3,[0]!Plage3,19,FALSE))</f>
        <v>#REF!</v>
      </c>
      <c r="AE7" s="49" t="e">
        <f>IF(VLOOKUP($A$10-3,[0]!Plage3,23,FALSE)=0,1,VLOOKUP($A$10-3,[0]!Plage3,23,FALSE))</f>
        <v>#REF!</v>
      </c>
      <c r="AG7" s="49"/>
    </row>
    <row r="8" spans="1:48" s="48" customFormat="1" ht="20.100000000000001" hidden="1" customHeight="1" thickBot="1">
      <c r="A8" s="47"/>
      <c r="F8" s="55" t="e">
        <f>IF(VLOOKUP($A$10-2,[0]!Plage1,3,FALSE)=0,1,VLOOKUP($A$10-2,[0]!Plage1,3,FALSE))</f>
        <v>#REF!</v>
      </c>
      <c r="G8" s="55" t="e">
        <f>IF(VLOOKUP($A$10-2,[0]!Plage1,7,FALSE)=0,1,VLOOKUP($A$10-2,[0]!Plage1,7,FALSE))</f>
        <v>#REF!</v>
      </c>
      <c r="H8" s="55" t="e">
        <f>IF(VLOOKUP($A$10-2,[0]!Plage1,11,FALSE)=0,1,VLOOKUP($A$10-2,[0]!Plage1,11,FALSE))</f>
        <v>#REF!</v>
      </c>
      <c r="I8" s="49"/>
      <c r="J8" s="55" t="e">
        <f>IF(VLOOKUP($A$10-2,[0]!Plage2,3,FALSE)=0,1,VLOOKUP($A$10-2,[0]!Plage2,3,FALSE))</f>
        <v>#N/A</v>
      </c>
      <c r="K8" s="55" t="e">
        <f>IF(VLOOKUP($A$10-2,[0]!Plage2,7,FALSE)=0,1,VLOOKUP($A$10-2,[0]!Plage2,7,FALSE))</f>
        <v>#N/A</v>
      </c>
      <c r="L8" s="55" t="e">
        <f>IF(VLOOKUP($A$10-2,[0]!Plage2,11,FALSE)=0,1,VLOOKUP($A$10-2,[0]!Plage2,11,FALSE))</f>
        <v>#N/A</v>
      </c>
      <c r="M8" s="55" t="e">
        <f>IF(VLOOKUP($A$10-2,[0]!Plage2,15,FALSE)=0,1,VLOOKUP($A$10-2,[0]!Plage2,15,FALSE))</f>
        <v>#N/A</v>
      </c>
      <c r="N8" s="55" t="e">
        <f>IF(VLOOKUP($A$10-2,[0]!Plage2,19,FALSE)=0,1,VLOOKUP($A$10-2,[0]!Plage2,19,FALSE))</f>
        <v>#N/A</v>
      </c>
      <c r="O8" s="55" t="e">
        <f>IF(VLOOKUP($A$10-2,[0]!Plage2,23,FALSE)=0,1,VLOOKUP($A$10-2,[0]!Plage2,23,FALSE))</f>
        <v>#N/A</v>
      </c>
      <c r="P8" s="55" t="e">
        <f>IF(VLOOKUP($A$10-2,[0]!Plage2,27,FALSE)=0,1,VLOOKUP($A$10-2,[0]!Plage2,27,FALSE))</f>
        <v>#N/A</v>
      </c>
      <c r="Q8" s="55" t="e">
        <f>IF(VLOOKUP($A$10-2,[0]!Plage2,31,FALSE)=0,1,VLOOKUP($A$10-2,[0]!Plage2,31,FALSE))</f>
        <v>#N/A</v>
      </c>
      <c r="R8" s="55" t="e">
        <f>IF(VLOOKUP($A$10-2,[0]!Plage2,35,FALSE)=0,1,VLOOKUP($A$10-2,[0]!Plage2,35,FALSE))</f>
        <v>#N/A</v>
      </c>
      <c r="S8" s="55" t="e">
        <f>IF(VLOOKUP($A$10-2,[0]!Plage2,39,FALSE)=0,1,VLOOKUP($A$10-2,[0]!Plage2,39,FALSE))</f>
        <v>#N/A</v>
      </c>
      <c r="T8" s="55" t="e">
        <f>IF(VLOOKUP($A$10-2,[0]!Plage2,43,FALSE)=0,1,VLOOKUP($A$10-2,[0]!Plage2,43,FALSE))</f>
        <v>#N/A</v>
      </c>
      <c r="U8" s="55" t="e">
        <f>IF(VLOOKUP($A$10-2,[0]!Plage2,47,FALSE)=0,1,VLOOKUP($A$10-2,[0]!Plage2,47,FALSE))</f>
        <v>#N/A</v>
      </c>
      <c r="V8" s="55" t="e">
        <f>IF(VLOOKUP($A$10-2,[0]!Plage2,51,FALSE)=0,1,VLOOKUP($A$10-2,[0]!Plage2,51,FALSE))</f>
        <v>#N/A</v>
      </c>
      <c r="W8" s="55" t="e">
        <f>IF(VLOOKUP($A$10-2,[0]!Plage2,55,FALSE)=0,1,VLOOKUP($A$10-2,[0]!Plage2,55,FALSE))</f>
        <v>#N/A</v>
      </c>
      <c r="X8" s="55" t="e">
        <f>IF(VLOOKUP($A$10-2,[0]!Plage2,59,FALSE)=0,1,VLOOKUP($A$10-2,[0]!Plage2,59,FALSE))</f>
        <v>#N/A</v>
      </c>
      <c r="Y8" s="49"/>
      <c r="Z8" s="55" t="e">
        <f>IF(VLOOKUP($A$10-2,[0]!Plage3,3,FALSE)=0,1,VLOOKUP($A$10-2,[0]!Plage3,3,FALSE))</f>
        <v>#REF!</v>
      </c>
      <c r="AA8" s="55" t="e">
        <f>IF(VLOOKUP($A$10-2,[0]!Plage3,7,FALSE)=0,1,VLOOKUP($A$10-2,[0]!Plage3,7,FALSE))</f>
        <v>#REF!</v>
      </c>
      <c r="AB8" s="55" t="e">
        <f>IF(VLOOKUP($A$10-2,[0]!Plage3,11,FALSE)=0,1,VLOOKUP($A$10-2,[0]!Plage3,11,FALSE))</f>
        <v>#REF!</v>
      </c>
      <c r="AC8" s="55" t="e">
        <f>IF(VLOOKUP($A$10-2,[0]!Plage3,15,FALSE)=0,1,VLOOKUP($A$10-2,[0]!Plage3,15,FALSE))</f>
        <v>#REF!</v>
      </c>
      <c r="AD8" s="55" t="e">
        <f>IF(VLOOKUP($A$10-2,[0]!Plage3,19,FALSE)=0,1,VLOOKUP($A$10-2,[0]!Plage3,19,FALSE))</f>
        <v>#REF!</v>
      </c>
      <c r="AE8" s="55" t="e">
        <f>IF(VLOOKUP($A$10-2,[0]!Plage3,23,FALSE)=0,1,VLOOKUP($A$10-2,[0]!Plage3,23,FALSE))</f>
        <v>#REF!</v>
      </c>
      <c r="AG8" s="44" t="s">
        <v>71</v>
      </c>
    </row>
    <row r="9" spans="1:48" ht="18" customHeight="1" thickBot="1">
      <c r="A9" s="28" t="s">
        <v>1</v>
      </c>
      <c r="B9" s="29" t="s">
        <v>54</v>
      </c>
      <c r="C9" s="29" t="s">
        <v>55</v>
      </c>
      <c r="D9" s="30" t="s">
        <v>76</v>
      </c>
      <c r="F9" s="65" t="e">
        <f>IF(VLOOKUP($A$10-1,[0]!Plage1,3,FALSE)=0,1,VLOOKUP($A$10-1,[0]!Plage1,3,FALSE))</f>
        <v>#REF!</v>
      </c>
      <c r="G9" s="65" t="e">
        <f>IF(VLOOKUP($A$10-1,[0]!Plage1,7,FALSE)=0,1,VLOOKUP($A$10-1,[0]!Plage1,7,FALSE))</f>
        <v>#REF!</v>
      </c>
      <c r="H9" s="65" t="e">
        <f>IF(VLOOKUP($A$10-1,[0]!Plage1,11,FALSE)=0,1,VLOOKUP($A$10-1,[0]!Plage1,11,FALSE))</f>
        <v>#REF!</v>
      </c>
      <c r="I9" s="65"/>
      <c r="J9" s="65" t="e">
        <f>IF(VLOOKUP($A$10-1,[0]!Plage2,3,FALSE)=0,1,VLOOKUP($A$10-1,[0]!Plage2,3,FALSE))</f>
        <v>#N/A</v>
      </c>
      <c r="K9" s="65" t="e">
        <f>IF(VLOOKUP($A$10-1,[0]!Plage2,7,FALSE)=0,1,VLOOKUP($A$10-1,[0]!Plage2,7,FALSE))</f>
        <v>#N/A</v>
      </c>
      <c r="L9" s="65" t="e">
        <f>IF(VLOOKUP($A$10-1,[0]!Plage2,11,FALSE)=0,1,VLOOKUP($A$10-1,[0]!Plage2,11,FALSE))</f>
        <v>#N/A</v>
      </c>
      <c r="M9" s="65" t="e">
        <f>IF(VLOOKUP($A$10-1,[0]!Plage2,15,FALSE)=0,1,VLOOKUP($A$10-1,[0]!Plage2,15,FALSE))</f>
        <v>#N/A</v>
      </c>
      <c r="N9" s="65" t="e">
        <f>IF(VLOOKUP($A$10-1,[0]!Plage2,19,FALSE)=0,1,VLOOKUP($A$10-1,[0]!Plage2,19,FALSE))</f>
        <v>#N/A</v>
      </c>
      <c r="O9" s="65" t="e">
        <f>IF(VLOOKUP($A$10-1,[0]!Plage2,23,FALSE)=0,1,VLOOKUP($A$10-1,[0]!Plage2,23,FALSE))</f>
        <v>#N/A</v>
      </c>
      <c r="P9" s="65" t="e">
        <f>IF(VLOOKUP($A$10-1,[0]!Plage2,27,FALSE)=0,1,VLOOKUP($A$10-1,[0]!Plage2,27,FALSE))</f>
        <v>#N/A</v>
      </c>
      <c r="Q9" s="65" t="e">
        <f>IF(VLOOKUP($A$10-1,[0]!Plage2,31,FALSE)=0,1,VLOOKUP($A$10-1,[0]!Plage2,31,FALSE))</f>
        <v>#N/A</v>
      </c>
      <c r="R9" s="65" t="e">
        <f>IF(VLOOKUP($A$10-1,[0]!Plage2,35,FALSE)=0,1,VLOOKUP($A$10-1,[0]!Plage2,35,FALSE))</f>
        <v>#N/A</v>
      </c>
      <c r="S9" s="65" t="e">
        <f>IF(VLOOKUP($A$10-1,[0]!Plage2,39,FALSE)=0,1,VLOOKUP($A$10-1,[0]!Plage2,39,FALSE))</f>
        <v>#N/A</v>
      </c>
      <c r="T9" s="65" t="e">
        <f>IF(VLOOKUP($A$10-1,[0]!Plage2,43,FALSE)=0,1,VLOOKUP($A$10-1,[0]!Plage2,43,FALSE))</f>
        <v>#N/A</v>
      </c>
      <c r="U9" s="65" t="e">
        <f>IF(VLOOKUP($A$10-1,[0]!Plage2,47,FALSE)=0,1,VLOOKUP($A$10-1,[0]!Plage2,47,FALSE))</f>
        <v>#N/A</v>
      </c>
      <c r="V9" s="65" t="e">
        <f>IF(VLOOKUP($A$10-1,[0]!Plage2,51,FALSE)=0,1,VLOOKUP($A$10-1,[0]!Plage2,51,FALSE))</f>
        <v>#N/A</v>
      </c>
      <c r="W9" s="65" t="e">
        <f>IF(VLOOKUP($A$10-1,[0]!Plage2,55,FALSE)=0,1,VLOOKUP($A$10-1,[0]!Plage2,55,FALSE))</f>
        <v>#N/A</v>
      </c>
      <c r="X9" s="65" t="e">
        <f>IF(VLOOKUP($A$10-1,[0]!Plage2,59,FALSE)=0,1,VLOOKUP($A$10-1,[0]!Plage2,59,FALSE))</f>
        <v>#N/A</v>
      </c>
      <c r="Y9" s="65"/>
      <c r="Z9" s="65" t="e">
        <f>IF(VLOOKUP($A$10-1,[0]!Plage3,3,FALSE)=0,1,VLOOKUP($A$10-1,[0]!Plage3,3,FALSE))</f>
        <v>#REF!</v>
      </c>
      <c r="AA9" s="65" t="e">
        <f>IF(VLOOKUP($A$10-1,[0]!Plage3,7,FALSE)=0,1,VLOOKUP($A$10-1,[0]!Plage3,7,FALSE))</f>
        <v>#REF!</v>
      </c>
      <c r="AB9" s="65" t="e">
        <f>IF(VLOOKUP($A$10-1,[0]!Plage3,11,FALSE)=0,1,VLOOKUP($A$10-1,[0]!Plage3,11,FALSE))</f>
        <v>#REF!</v>
      </c>
      <c r="AC9" s="65" t="e">
        <f>IF(VLOOKUP($A$10-1,[0]!Plage3,15,FALSE)=0,1,VLOOKUP($A$10-1,[0]!Plage3,15,FALSE))</f>
        <v>#REF!</v>
      </c>
      <c r="AD9" s="65" t="e">
        <f>IF(VLOOKUP($A$10-1,[0]!Plage3,19,FALSE)=0,1,VLOOKUP($A$10-1,[0]!Plage3,19,FALSE))</f>
        <v>#REF!</v>
      </c>
      <c r="AE9" s="65" t="e">
        <f>IF(VLOOKUP($A$10-1,[0]!Plage3,23,FALSE)=0,1,VLOOKUP($A$10-1,[0]!Plage3,23,FALSE))</f>
        <v>#REF!</v>
      </c>
      <c r="AG9" s="27" t="s">
        <v>56</v>
      </c>
      <c r="AT9" s="1" t="s">
        <v>23</v>
      </c>
      <c r="AU9" s="1" t="s">
        <v>73</v>
      </c>
      <c r="AV9" s="1" t="s">
        <v>74</v>
      </c>
    </row>
    <row r="10" spans="1:48" ht="20.100000000000001" customHeight="1">
      <c r="A10" s="60"/>
      <c r="B10" s="57"/>
      <c r="C10" s="61"/>
      <c r="D10" s="61"/>
      <c r="F10" s="54" t="e">
        <f>IF(VLOOKUP($A$10,[0]!Plage1,3,FALSE)=0,1,VLOOKUP($A$10,[0]!Plage1,3,FALSE))</f>
        <v>#REF!</v>
      </c>
      <c r="G10" s="54" t="e">
        <f>IF(VLOOKUP($A$10,[0]!Plage1,7,FALSE)=0,1,VLOOKUP($A$10,[0]!Plage1,7,FALSE))</f>
        <v>#REF!</v>
      </c>
      <c r="H10" s="54" t="e">
        <f>IF(VLOOKUP($A$10,[0]!Plage1,11,FALSE)=0,1,VLOOKUP($A$10,[0]!Plage1,11,FALSE))</f>
        <v>#REF!</v>
      </c>
      <c r="I10" s="15"/>
      <c r="J10" s="54" t="e">
        <f>IF(VLOOKUP($A$10,[0]!Plage2,3,FALSE)=0,1,VLOOKUP($A$10,[0]!Plage2,3,FALSE))</f>
        <v>#N/A</v>
      </c>
      <c r="K10" s="54" t="e">
        <f>IF(VLOOKUP($A$10,[0]!Plage2,7,FALSE)=0,1,VLOOKUP($A$10,[0]!Plage2,7,FALSE))</f>
        <v>#N/A</v>
      </c>
      <c r="L10" s="54" t="e">
        <f>IF(VLOOKUP($A$10,[0]!Plage2,11,FALSE)=0,1,VLOOKUP($A$10,[0]!Plage2,11,FALSE))</f>
        <v>#N/A</v>
      </c>
      <c r="M10" s="54" t="e">
        <f>IF(VLOOKUP($A$10,[0]!Plage2,15,FALSE)=0,1,VLOOKUP($A$10,[0]!Plage2,15,FALSE))</f>
        <v>#N/A</v>
      </c>
      <c r="N10" s="54" t="e">
        <f>IF(VLOOKUP($A$10,[0]!Plage2,19,FALSE)=0,1,VLOOKUP($A$10,[0]!Plage2,19,FALSE))</f>
        <v>#N/A</v>
      </c>
      <c r="O10" s="54" t="e">
        <f>IF(VLOOKUP($A$10,[0]!Plage2,23,FALSE)=0,1,VLOOKUP($A$10,[0]!Plage2,23,FALSE))</f>
        <v>#N/A</v>
      </c>
      <c r="P10" s="54" t="e">
        <f>IF(VLOOKUP($A$10,[0]!Plage2,27,FALSE)=0,1,VLOOKUP($A$10,[0]!Plage2,27,FALSE))</f>
        <v>#N/A</v>
      </c>
      <c r="Q10" s="54" t="e">
        <f>IF(VLOOKUP($A$10,[0]!Plage2,31,FALSE)=0,1,VLOOKUP($A$10,[0]!Plage2,31,FALSE))</f>
        <v>#N/A</v>
      </c>
      <c r="R10" s="54" t="e">
        <f>IF(VLOOKUP($A$10,[0]!Plage2,35,FALSE)=0,1,VLOOKUP($A$10,[0]!Plage2,35,FALSE))</f>
        <v>#N/A</v>
      </c>
      <c r="S10" s="54" t="e">
        <f>IF(VLOOKUP($A$10,[0]!Plage2,39,FALSE)=0,1,VLOOKUP($A$10,[0]!Plage2,39,FALSE))</f>
        <v>#N/A</v>
      </c>
      <c r="T10" s="54" t="e">
        <f>IF(VLOOKUP($A$10,[0]!Plage2,43,FALSE)=0,1,VLOOKUP($A$10,[0]!Plage2,43,FALSE))</f>
        <v>#N/A</v>
      </c>
      <c r="U10" s="54" t="e">
        <f>IF(VLOOKUP($A$10,[0]!Plage2,47,FALSE)=0,1,VLOOKUP($A$10,[0]!Plage2,47,FALSE))</f>
        <v>#N/A</v>
      </c>
      <c r="V10" s="54" t="e">
        <f>IF(VLOOKUP($A$10,[0]!Plage2,51,FALSE)=0,1,VLOOKUP($A$10,[0]!Plage2,51,FALSE))</f>
        <v>#N/A</v>
      </c>
      <c r="W10" s="54" t="e">
        <f>IF(VLOOKUP($A$10,[0]!Plage2,55,FALSE)=0,1,VLOOKUP($A$10,[0]!Plage2,55,FALSE))</f>
        <v>#N/A</v>
      </c>
      <c r="X10" s="54" t="e">
        <f>IF(VLOOKUP($A$10,[0]!Plage2,59,FALSE)=0,1,VLOOKUP($A$10,[0]!Plage2,59,FALSE))</f>
        <v>#N/A</v>
      </c>
      <c r="Y10" s="15"/>
      <c r="Z10" s="54" t="e">
        <f>IF(VLOOKUP($A$10,[0]!Plage3,3,FALSE)=0,1,VLOOKUP($A$10,[0]!Plage3,3,FALSE))</f>
        <v>#REF!</v>
      </c>
      <c r="AA10" s="54" t="e">
        <f>IF(VLOOKUP($A$10,[0]!Plage3,7,FALSE)=0,1,VLOOKUP($A$10,[0]!Plage3,7,FALSE))</f>
        <v>#REF!</v>
      </c>
      <c r="AB10" s="54" t="e">
        <f>IF(VLOOKUP($A$10,[0]!Plage3,11,FALSE)=0,1,VLOOKUP($A$10,[0]!Plage3,11,FALSE))</f>
        <v>#REF!</v>
      </c>
      <c r="AC10" s="54" t="e">
        <f>IF(VLOOKUP($A$10,[0]!Plage3,15,FALSE)=0,1,VLOOKUP($A$10,[0]!Plage3,15,FALSE))</f>
        <v>#REF!</v>
      </c>
      <c r="AD10" s="54" t="e">
        <f>IF(VLOOKUP($A$10,[0]!Plage3,19,FALSE)=0,1,VLOOKUP($A$10,[0]!Plage3,19,FALSE))</f>
        <v>#REF!</v>
      </c>
      <c r="AE10" s="54" t="e">
        <f>IF(VLOOKUP($A$10,[0]!Plage3,23,FALSE)=0,1,VLOOKUP($A$10,[0]!Plage3,23,FALSE))</f>
        <v>#REF!</v>
      </c>
      <c r="AG10" s="27" t="s">
        <v>57</v>
      </c>
      <c r="AT10" s="1" t="s">
        <v>24</v>
      </c>
      <c r="AU10" s="1" t="s">
        <v>74</v>
      </c>
      <c r="AV10" s="1" t="s">
        <v>75</v>
      </c>
    </row>
    <row r="11" spans="1:48" ht="20.100000000000001" customHeight="1">
      <c r="A11" s="60"/>
      <c r="B11" s="58"/>
      <c r="C11" s="3"/>
      <c r="D11" s="4"/>
      <c r="F11" s="54" t="e">
        <f>IF(VLOOKUP($A$11,[0]!Plage1,3,FALSE)=0,1,VLOOKUP($A$11,[0]!Plage1,3,FALSE))</f>
        <v>#REF!</v>
      </c>
      <c r="G11" s="54" t="e">
        <f>IF(VLOOKUP($A$11,[0]!Plage1,7,FALSE)=0,1,VLOOKUP($A$11,[0]!Plage1,7,FALSE))</f>
        <v>#REF!</v>
      </c>
      <c r="H11" s="54" t="e">
        <f>IF(VLOOKUP($A$11,[0]!Plage1,11,FALSE)=0,1,VLOOKUP($A$11,[0]!Plage1,11,FALSE))</f>
        <v>#REF!</v>
      </c>
      <c r="I11" s="15"/>
      <c r="J11" s="54" t="e">
        <f>IF(VLOOKUP($A$11,[0]!Plage2,3,FALSE)=0,1,VLOOKUP($A$11,[0]!Plage2,3,FALSE))</f>
        <v>#N/A</v>
      </c>
      <c r="K11" s="54" t="e">
        <f>IF(VLOOKUP($A$11,[0]!Plage2,7,FALSE)=0,1,VLOOKUP($A$11,[0]!Plage2,7,FALSE))</f>
        <v>#N/A</v>
      </c>
      <c r="L11" s="54" t="e">
        <f>IF(VLOOKUP($A$11,[0]!Plage2,11,FALSE)=0,1,VLOOKUP($A$11,[0]!Plage2,11,FALSE))</f>
        <v>#N/A</v>
      </c>
      <c r="M11" s="54" t="e">
        <f>IF(VLOOKUP($A$11,[0]!Plage2,15,FALSE)=0,1,VLOOKUP($A$11,[0]!Plage2,15,FALSE))</f>
        <v>#N/A</v>
      </c>
      <c r="N11" s="54" t="e">
        <f>IF(VLOOKUP($A$11,[0]!Plage2,19,FALSE)=0,1,VLOOKUP($A$11,[0]!Plage2,19,FALSE))</f>
        <v>#N/A</v>
      </c>
      <c r="O11" s="54" t="e">
        <f>IF(VLOOKUP($A$11,[0]!Plage2,23,FALSE)=0,1,VLOOKUP($A$11,[0]!Plage2,23,FALSE))</f>
        <v>#N/A</v>
      </c>
      <c r="P11" s="54" t="e">
        <f>IF(VLOOKUP($A$11,[0]!Plage2,27,FALSE)=0,1,VLOOKUP($A$11,[0]!Plage2,27,FALSE))</f>
        <v>#N/A</v>
      </c>
      <c r="Q11" s="54" t="e">
        <f>IF(VLOOKUP($A$11,[0]!Plage2,31,FALSE)=0,1,VLOOKUP($A$11,[0]!Plage2,31,FALSE))</f>
        <v>#N/A</v>
      </c>
      <c r="R11" s="54" t="e">
        <f>IF(VLOOKUP($A$11,[0]!Plage2,35,FALSE)=0,1,VLOOKUP($A$11,[0]!Plage2,35,FALSE))</f>
        <v>#N/A</v>
      </c>
      <c r="S11" s="54" t="e">
        <f>IF(VLOOKUP($A$11,[0]!Plage2,39,FALSE)=0,1,VLOOKUP($A$11,[0]!Plage2,39,FALSE))</f>
        <v>#N/A</v>
      </c>
      <c r="T11" s="54" t="e">
        <f>IF(VLOOKUP($A$11,[0]!Plage2,43,FALSE)=0,1,VLOOKUP($A$11,[0]!Plage2,43,FALSE))</f>
        <v>#N/A</v>
      </c>
      <c r="U11" s="54" t="e">
        <f>IF(VLOOKUP($A$11,[0]!Plage2,47,FALSE)=0,1,VLOOKUP($A$11,[0]!Plage2,47,FALSE))</f>
        <v>#N/A</v>
      </c>
      <c r="V11" s="54" t="e">
        <f>IF(VLOOKUP($A$11,[0]!Plage2,51,FALSE)=0,1,VLOOKUP($A$11,[0]!Plage2,51,FALSE))</f>
        <v>#N/A</v>
      </c>
      <c r="W11" s="54" t="e">
        <f>IF(VLOOKUP($A$11,[0]!Plage2,55,FALSE)=0,1,VLOOKUP($A$11,[0]!Plage2,55,FALSE))</f>
        <v>#N/A</v>
      </c>
      <c r="X11" s="54" t="e">
        <f>IF(VLOOKUP($A$11,[0]!Plage2,59,FALSE)=0,1,VLOOKUP($A$11,[0]!Plage2,59,FALSE))</f>
        <v>#N/A</v>
      </c>
      <c r="Y11" s="15"/>
      <c r="Z11" s="54" t="e">
        <f>IF(VLOOKUP($A$11,[0]!Plage3,3,FALSE)=0,1,VLOOKUP($A$11,[0]!Plage3,3,FALSE))</f>
        <v>#REF!</v>
      </c>
      <c r="AA11" s="54" t="e">
        <f>IF(VLOOKUP($A$11,[0]!Plage3,7,FALSE)=0,1,VLOOKUP($A$11,[0]!Plage3,7,FALSE))</f>
        <v>#REF!</v>
      </c>
      <c r="AB11" s="54" t="e">
        <f>IF(VLOOKUP($A$11,[0]!Plage3,11,FALSE)=0,1,VLOOKUP($A$11,[0]!Plage3,11,FALSE))</f>
        <v>#REF!</v>
      </c>
      <c r="AC11" s="54" t="e">
        <f>IF(VLOOKUP($A$11,[0]!Plage3,15,FALSE)=0,1,VLOOKUP($A$11,[0]!Plage3,15,FALSE))</f>
        <v>#REF!</v>
      </c>
      <c r="AD11" s="54" t="e">
        <f>IF(VLOOKUP($A$11,[0]!Plage3,19,FALSE)=0,1,VLOOKUP($A$11,[0]!Plage3,19,FALSE))</f>
        <v>#REF!</v>
      </c>
      <c r="AE11" s="54" t="e">
        <f>IF(VLOOKUP($A$11,[0]!Plage3,23,FALSE)=0,1,VLOOKUP($A$11,[0]!Plage3,23,FALSE))</f>
        <v>#REF!</v>
      </c>
      <c r="AG11" s="27" t="s">
        <v>58</v>
      </c>
      <c r="AT11" s="1" t="s">
        <v>25</v>
      </c>
      <c r="AU11" s="1" t="s">
        <v>75</v>
      </c>
      <c r="AV11" s="1" t="s">
        <v>73</v>
      </c>
    </row>
    <row r="12" spans="1:48" ht="20.100000000000001" customHeight="1">
      <c r="A12" s="60"/>
      <c r="B12" s="58"/>
      <c r="C12" s="3"/>
      <c r="D12" s="4"/>
      <c r="F12" s="54" t="e">
        <f>IF(VLOOKUP($A$12,[0]!Plage1,3,FALSE)=0,1,VLOOKUP($A$12,[0]!Plage1,3,FALSE))</f>
        <v>#REF!</v>
      </c>
      <c r="G12" s="54" t="e">
        <f>IF(VLOOKUP($A$12,[0]!Plage1,7,FALSE)=0,1,VLOOKUP($A$12,[0]!Plage1,7,FALSE))</f>
        <v>#REF!</v>
      </c>
      <c r="H12" s="54" t="e">
        <f>IF(VLOOKUP($A$12,[0]!Plage1,11,FALSE)=0,1,VLOOKUP($A$12,[0]!Plage1,11,FALSE))</f>
        <v>#REF!</v>
      </c>
      <c r="I12" s="15"/>
      <c r="J12" s="54" t="e">
        <f>IF(VLOOKUP($A$12,[0]!Plage2,3,FALSE)=0,1,VLOOKUP($A$12,[0]!Plage2,3,FALSE))</f>
        <v>#N/A</v>
      </c>
      <c r="K12" s="54" t="e">
        <f>IF(VLOOKUP($A$12,[0]!Plage2,7,FALSE)=0,1,VLOOKUP($A$12,[0]!Plage2,7,FALSE))</f>
        <v>#N/A</v>
      </c>
      <c r="L12" s="54" t="e">
        <f>IF(VLOOKUP($A$12,[0]!Plage2,11,FALSE)=0,1,VLOOKUP($A$12,[0]!Plage2,11,FALSE))</f>
        <v>#N/A</v>
      </c>
      <c r="M12" s="54" t="e">
        <f>IF(VLOOKUP($A$12,[0]!Plage2,15,FALSE)=0,1,VLOOKUP($A$12,[0]!Plage2,15,FALSE))</f>
        <v>#N/A</v>
      </c>
      <c r="N12" s="54" t="e">
        <f>IF(VLOOKUP($A$12,[0]!Plage2,19,FALSE)=0,1,VLOOKUP($A$12,[0]!Plage2,19,FALSE))</f>
        <v>#N/A</v>
      </c>
      <c r="O12" s="54" t="e">
        <f>IF(VLOOKUP($A$12,[0]!Plage2,23,FALSE)=0,1,VLOOKUP($A$12,[0]!Plage2,23,FALSE))</f>
        <v>#N/A</v>
      </c>
      <c r="P12" s="54" t="e">
        <f>IF(VLOOKUP($A$12,[0]!Plage2,27,FALSE)=0,1,VLOOKUP($A$12,[0]!Plage2,27,FALSE))</f>
        <v>#N/A</v>
      </c>
      <c r="Q12" s="54" t="e">
        <f>IF(VLOOKUP($A$12,[0]!Plage2,31,FALSE)=0,1,VLOOKUP($A$12,[0]!Plage2,31,FALSE))</f>
        <v>#N/A</v>
      </c>
      <c r="R12" s="54" t="e">
        <f>IF(VLOOKUP($A$12,[0]!Plage2,35,FALSE)=0,1,VLOOKUP($A$12,[0]!Plage2,35,FALSE))</f>
        <v>#N/A</v>
      </c>
      <c r="S12" s="54" t="e">
        <f>IF(VLOOKUP($A$12,[0]!Plage2,39,FALSE)=0,1,VLOOKUP($A$12,[0]!Plage2,39,FALSE))</f>
        <v>#N/A</v>
      </c>
      <c r="T12" s="54" t="e">
        <f>IF(VLOOKUP($A$12,[0]!Plage2,43,FALSE)=0,1,VLOOKUP($A$12,[0]!Plage2,43,FALSE))</f>
        <v>#N/A</v>
      </c>
      <c r="U12" s="54" t="e">
        <f>IF(VLOOKUP($A$12,[0]!Plage2,47,FALSE)=0,1,VLOOKUP($A$12,[0]!Plage2,47,FALSE))</f>
        <v>#N/A</v>
      </c>
      <c r="V12" s="54" t="e">
        <f>IF(VLOOKUP($A$12,[0]!Plage2,51,FALSE)=0,1,VLOOKUP($A$12,[0]!Plage2,51,FALSE))</f>
        <v>#N/A</v>
      </c>
      <c r="W12" s="54" t="e">
        <f>IF(VLOOKUP($A$12,[0]!Plage2,55,FALSE)=0,1,VLOOKUP($A$12,[0]!Plage2,55,FALSE))</f>
        <v>#N/A</v>
      </c>
      <c r="X12" s="54" t="e">
        <f>IF(VLOOKUP($A$12,[0]!Plage2,59,FALSE)=0,1,VLOOKUP($A$12,[0]!Plage2,59,FALSE))</f>
        <v>#N/A</v>
      </c>
      <c r="Y12" s="15"/>
      <c r="Z12" s="54" t="e">
        <f>IF(VLOOKUP($A$12,[0]!Plage3,3,FALSE)=0,1,VLOOKUP($A$12,[0]!Plage3,3,FALSE))</f>
        <v>#REF!</v>
      </c>
      <c r="AA12" s="54" t="e">
        <f>IF(VLOOKUP($A$12,[0]!Plage3,7,FALSE)=0,1,VLOOKUP($A$12,[0]!Plage3,7,FALSE))</f>
        <v>#REF!</v>
      </c>
      <c r="AB12" s="54" t="e">
        <f>IF(VLOOKUP($A$12,[0]!Plage3,11,FALSE)=0,1,VLOOKUP($A$12,[0]!Plage3,11,FALSE))</f>
        <v>#REF!</v>
      </c>
      <c r="AC12" s="54" t="e">
        <f>IF(VLOOKUP($A$12,[0]!Plage3,15,FALSE)=0,1,VLOOKUP($A$12,[0]!Plage3,15,FALSE))</f>
        <v>#REF!</v>
      </c>
      <c r="AD12" s="54" t="e">
        <f>IF(VLOOKUP($A$12,[0]!Plage3,19,FALSE)=0,1,VLOOKUP($A$12,[0]!Plage3,19,FALSE))</f>
        <v>#REF!</v>
      </c>
      <c r="AE12" s="54" t="e">
        <f>IF(VLOOKUP($A$12,[0]!Plage3,23,FALSE)=0,1,VLOOKUP($A$12,[0]!Plage3,23,FALSE))</f>
        <v>#REF!</v>
      </c>
    </row>
    <row r="13" spans="1:48" ht="20.100000000000001" customHeight="1">
      <c r="A13" s="60"/>
      <c r="B13" s="58"/>
      <c r="C13" s="3"/>
      <c r="D13" s="4"/>
      <c r="F13" s="54" t="e">
        <f>IF(VLOOKUP($A$13,[0]!Plage1,3,FALSE)=0,1,VLOOKUP($A$13,[0]!Plage1,3,FALSE))</f>
        <v>#REF!</v>
      </c>
      <c r="G13" s="54" t="e">
        <f>IF(VLOOKUP($A$13,[0]!Plage1,7,FALSE)=0,1,VLOOKUP($A$13,[0]!Plage1,7,FALSE))</f>
        <v>#REF!</v>
      </c>
      <c r="H13" s="54" t="e">
        <f>IF(VLOOKUP($A$13,[0]!Plage1,11,FALSE)=0,1,VLOOKUP($A$13,[0]!Plage1,11,FALSE))</f>
        <v>#REF!</v>
      </c>
      <c r="I13" s="15"/>
      <c r="J13" s="54" t="e">
        <f>IF(VLOOKUP($A$13,[0]!Plage2,3,FALSE)=0,1,VLOOKUP($A$13,[0]!Plage2,3,FALSE))</f>
        <v>#N/A</v>
      </c>
      <c r="K13" s="54" t="e">
        <f>IF(VLOOKUP($A$13,[0]!Plage2,7,FALSE)=0,1,VLOOKUP($A$13,[0]!Plage2,7,FALSE))</f>
        <v>#N/A</v>
      </c>
      <c r="L13" s="54" t="e">
        <f>IF(VLOOKUP($A$13,[0]!Plage2,11,FALSE)=0,1,VLOOKUP($A$13,[0]!Plage2,11,FALSE))</f>
        <v>#N/A</v>
      </c>
      <c r="M13" s="54" t="e">
        <f>IF(VLOOKUP($A$13,[0]!Plage2,15,FALSE)=0,1,VLOOKUP($A$13,[0]!Plage2,15,FALSE))</f>
        <v>#N/A</v>
      </c>
      <c r="N13" s="54" t="e">
        <f>IF(VLOOKUP($A$13,[0]!Plage2,19,FALSE)=0,1,VLOOKUP($A$13,[0]!Plage2,19,FALSE))</f>
        <v>#N/A</v>
      </c>
      <c r="O13" s="54" t="e">
        <f>IF(VLOOKUP($A$13,[0]!Plage2,23,FALSE)=0,1,VLOOKUP($A$13,[0]!Plage2,23,FALSE))</f>
        <v>#N/A</v>
      </c>
      <c r="P13" s="54" t="e">
        <f>IF(VLOOKUP($A$13,[0]!Plage2,27,FALSE)=0,1,VLOOKUP($A$13,[0]!Plage2,27,FALSE))</f>
        <v>#N/A</v>
      </c>
      <c r="Q13" s="54" t="e">
        <f>IF(VLOOKUP($A$13,[0]!Plage2,31,FALSE)=0,1,VLOOKUP($A$13,[0]!Plage2,31,FALSE))</f>
        <v>#N/A</v>
      </c>
      <c r="R13" s="54" t="e">
        <f>IF(VLOOKUP($A$13,[0]!Plage2,35,FALSE)=0,1,VLOOKUP($A$13,[0]!Plage2,35,FALSE))</f>
        <v>#N/A</v>
      </c>
      <c r="S13" s="54" t="e">
        <f>IF(VLOOKUP($A$13,[0]!Plage2,39,FALSE)=0,1,VLOOKUP($A$13,[0]!Plage2,39,FALSE))</f>
        <v>#N/A</v>
      </c>
      <c r="T13" s="54" t="e">
        <f>IF(VLOOKUP($A$13,[0]!Plage2,43,FALSE)=0,1,VLOOKUP($A$13,[0]!Plage2,43,FALSE))</f>
        <v>#N/A</v>
      </c>
      <c r="U13" s="54" t="e">
        <f>IF(VLOOKUP($A$13,[0]!Plage2,47,FALSE)=0,1,VLOOKUP($A$13,[0]!Plage2,47,FALSE))</f>
        <v>#N/A</v>
      </c>
      <c r="V13" s="54" t="e">
        <f>IF(VLOOKUP($A$13,[0]!Plage2,51,FALSE)=0,1,VLOOKUP($A$13,[0]!Plage2,51,FALSE))</f>
        <v>#N/A</v>
      </c>
      <c r="W13" s="54" t="e">
        <f>IF(VLOOKUP($A$13,[0]!Plage2,55,FALSE)=0,1,VLOOKUP($A$13,[0]!Plage2,55,FALSE))</f>
        <v>#N/A</v>
      </c>
      <c r="X13" s="54" t="e">
        <f>IF(VLOOKUP($A$13,[0]!Plage2,59,FALSE)=0,1,VLOOKUP($A$13,[0]!Plage2,59,FALSE))</f>
        <v>#N/A</v>
      </c>
      <c r="Y13" s="15"/>
      <c r="Z13" s="54" t="e">
        <f>IF(VLOOKUP($A$13,[0]!Plage3,3,FALSE)=0,1,VLOOKUP($A$13,[0]!Plage3,3,FALSE))</f>
        <v>#REF!</v>
      </c>
      <c r="AA13" s="54" t="e">
        <f>IF(VLOOKUP($A$13,[0]!Plage3,7,FALSE)=0,1,VLOOKUP($A$13,[0]!Plage3,7,FALSE))</f>
        <v>#REF!</v>
      </c>
      <c r="AB13" s="54" t="e">
        <f>IF(VLOOKUP($A$13,[0]!Plage3,11,FALSE)=0,1,VLOOKUP($A$13,[0]!Plage3,11,FALSE))</f>
        <v>#REF!</v>
      </c>
      <c r="AC13" s="54" t="e">
        <f>IF(VLOOKUP($A$13,[0]!Plage3,15,FALSE)=0,1,VLOOKUP($A$13,[0]!Plage3,15,FALSE))</f>
        <v>#REF!</v>
      </c>
      <c r="AD13" s="54" t="e">
        <f>IF(VLOOKUP($A$13,[0]!Plage3,19,FALSE)=0,1,VLOOKUP($A$13,[0]!Plage3,19,FALSE))</f>
        <v>#REF!</v>
      </c>
      <c r="AE13" s="54" t="e">
        <f>IF(VLOOKUP($A$13,[0]!Plage3,23,FALSE)=0,1,VLOOKUP($A$13,[0]!Plage3,23,FALSE))</f>
        <v>#REF!</v>
      </c>
    </row>
    <row r="14" spans="1:48" ht="20.100000000000001" customHeight="1">
      <c r="A14" s="60"/>
      <c r="B14" s="59"/>
      <c r="C14" s="50"/>
      <c r="D14" s="51"/>
      <c r="F14" s="54" t="e">
        <f>IF(VLOOKUP($A$14,[0]!Plage1,3,FALSE)=0,1,VLOOKUP($A$14,[0]!Plage1,3,FALSE))</f>
        <v>#REF!</v>
      </c>
      <c r="G14" s="54" t="e">
        <f>IF(VLOOKUP($A$14,[0]!Plage1,7,FALSE)=0,1,VLOOKUP($A$14,[0]!Plage1,7,FALSE))</f>
        <v>#REF!</v>
      </c>
      <c r="H14" s="54" t="e">
        <f>IF(VLOOKUP($A$14,[0]!Plage1,11,FALSE)=0,1,VLOOKUP($A$14,[0]!Plage1,11,FALSE))</f>
        <v>#REF!</v>
      </c>
      <c r="I14" s="15"/>
      <c r="J14" s="54" t="e">
        <f>IF(VLOOKUP($A$14,[0]!Plage2,3,FALSE)=0,1,VLOOKUP($A$14,[0]!Plage2,3,FALSE))</f>
        <v>#N/A</v>
      </c>
      <c r="K14" s="54" t="e">
        <f>IF(VLOOKUP($A$14,[0]!Plage2,7,FALSE)=0,1,VLOOKUP($A$14,[0]!Plage2,7,FALSE))</f>
        <v>#N/A</v>
      </c>
      <c r="L14" s="54" t="e">
        <f>IF(VLOOKUP($A$14,[0]!Plage2,11,FALSE)=0,1,VLOOKUP($A$14,[0]!Plage2,11,FALSE))</f>
        <v>#N/A</v>
      </c>
      <c r="M14" s="54" t="e">
        <f>IF(VLOOKUP($A$14,[0]!Plage2,15,FALSE)=0,1,VLOOKUP($A$14,[0]!Plage2,15,FALSE))</f>
        <v>#N/A</v>
      </c>
      <c r="N14" s="54" t="e">
        <f>IF(VLOOKUP($A$14,[0]!Plage2,19,FALSE)=0,1,VLOOKUP($A$14,[0]!Plage2,19,FALSE))</f>
        <v>#N/A</v>
      </c>
      <c r="O14" s="54" t="e">
        <f>IF(VLOOKUP($A$14,[0]!Plage2,23,FALSE)=0,1,VLOOKUP($A$14,[0]!Plage2,23,FALSE))</f>
        <v>#N/A</v>
      </c>
      <c r="P14" s="54" t="e">
        <f>IF(VLOOKUP($A$14,[0]!Plage2,27,FALSE)=0,1,VLOOKUP($A$14,[0]!Plage2,27,FALSE))</f>
        <v>#N/A</v>
      </c>
      <c r="Q14" s="54" t="e">
        <f>IF(VLOOKUP($A$14,[0]!Plage2,31,FALSE)=0,1,VLOOKUP($A$14,[0]!Plage2,31,FALSE))</f>
        <v>#N/A</v>
      </c>
      <c r="R14" s="54" t="e">
        <f>IF(VLOOKUP($A$14,[0]!Plage2,35,FALSE)=0,1,VLOOKUP($A$14,[0]!Plage2,35,FALSE))</f>
        <v>#N/A</v>
      </c>
      <c r="S14" s="54" t="e">
        <f>IF(VLOOKUP($A$14,[0]!Plage2,39,FALSE)=0,1,VLOOKUP($A$14,[0]!Plage2,39,FALSE))</f>
        <v>#N/A</v>
      </c>
      <c r="T14" s="54" t="e">
        <f>IF(VLOOKUP($A$14,[0]!Plage2,43,FALSE)=0,1,VLOOKUP($A$14,[0]!Plage2,43,FALSE))</f>
        <v>#N/A</v>
      </c>
      <c r="U14" s="54" t="e">
        <f>IF(VLOOKUP($A$14,[0]!Plage2,47,FALSE)=0,1,VLOOKUP($A$14,[0]!Plage2,47,FALSE))</f>
        <v>#N/A</v>
      </c>
      <c r="V14" s="54" t="e">
        <f>IF(VLOOKUP($A$14,[0]!Plage2,51,FALSE)=0,1,VLOOKUP($A$14,[0]!Plage2,51,FALSE))</f>
        <v>#N/A</v>
      </c>
      <c r="W14" s="54" t="e">
        <f>IF(VLOOKUP($A$14,[0]!Plage2,55,FALSE)=0,1,VLOOKUP($A$14,[0]!Plage2,55,FALSE))</f>
        <v>#N/A</v>
      </c>
      <c r="X14" s="54" t="e">
        <f>IF(VLOOKUP($A$14,[0]!Plage2,59,FALSE)=0,1,VLOOKUP($A$14,[0]!Plage2,59,FALSE))</f>
        <v>#N/A</v>
      </c>
      <c r="Y14" s="15"/>
      <c r="Z14" s="54" t="e">
        <f>IF(VLOOKUP($A$14,[0]!Plage3,3,FALSE)=0,1,VLOOKUP($A$14,[0]!Plage3,3,FALSE))</f>
        <v>#REF!</v>
      </c>
      <c r="AA14" s="54" t="e">
        <f>IF(VLOOKUP($A$14,[0]!Plage3,7,FALSE)=0,1,VLOOKUP($A$14,[0]!Plage3,7,FALSE))</f>
        <v>#REF!</v>
      </c>
      <c r="AB14" s="54" t="e">
        <f>IF(VLOOKUP($A$14,[0]!Plage3,11,FALSE)=0,1,VLOOKUP($A$14,[0]!Plage3,11,FALSE))</f>
        <v>#REF!</v>
      </c>
      <c r="AC14" s="54" t="e">
        <f>IF(VLOOKUP($A$14,[0]!Plage3,15,FALSE)=0,1,VLOOKUP($A$14,[0]!Plage3,15,FALSE))</f>
        <v>#REF!</v>
      </c>
      <c r="AD14" s="54" t="e">
        <f>IF(VLOOKUP($A$14,[0]!Plage3,19,FALSE)=0,1,VLOOKUP($A$14,[0]!Plage3,19,FALSE))</f>
        <v>#REF!</v>
      </c>
      <c r="AE14" s="54" t="e">
        <f>IF(VLOOKUP($A$14,[0]!Plage3,23,FALSE)=0,1,VLOOKUP($A$14,[0]!Plage3,23,FALSE))</f>
        <v>#REF!</v>
      </c>
    </row>
    <row r="15" spans="1:48" ht="20.100000000000001" customHeight="1">
      <c r="A15" s="60"/>
      <c r="B15" s="46"/>
      <c r="C15" s="21"/>
      <c r="D15" s="21"/>
      <c r="F15" s="54" t="e">
        <f>IF(VLOOKUP($A$15,[0]!Plage1,3,FALSE)=0,1,VLOOKUP($A$15,[0]!Plage1,3,FALSE))</f>
        <v>#REF!</v>
      </c>
      <c r="G15" s="54" t="e">
        <f>IF(VLOOKUP($A$15,[0]!Plage1,7,FALSE)=0,1,VLOOKUP($A$15,[0]!Plage1,7,FALSE))</f>
        <v>#REF!</v>
      </c>
      <c r="H15" s="54" t="e">
        <f>IF(VLOOKUP($A$15,[0]!Plage1,11,FALSE)=0,1,VLOOKUP($A$15,[0]!Plage1,11,FALSE))</f>
        <v>#REF!</v>
      </c>
      <c r="I15" s="15"/>
      <c r="J15" s="54" t="e">
        <f>IF(VLOOKUP($A$15,[0]!Plage2,3,FALSE)=0,1,VLOOKUP($A$15,[0]!Plage2,3,FALSE))</f>
        <v>#N/A</v>
      </c>
      <c r="K15" s="54" t="e">
        <f>IF(VLOOKUP($A$15,[0]!Plage2,7,FALSE)=0,1,VLOOKUP($A$15,[0]!Plage2,7,FALSE))</f>
        <v>#N/A</v>
      </c>
      <c r="L15" s="54" t="e">
        <f>IF(VLOOKUP($A$15,[0]!Plage2,11,FALSE)=0,1,VLOOKUP($A$15,[0]!Plage2,11,FALSE))</f>
        <v>#N/A</v>
      </c>
      <c r="M15" s="54" t="e">
        <f>IF(VLOOKUP($A$15,[0]!Plage2,15,FALSE)=0,1,VLOOKUP($A$15,[0]!Plage2,15,FALSE))</f>
        <v>#N/A</v>
      </c>
      <c r="N15" s="54" t="e">
        <f>IF(VLOOKUP($A$15,[0]!Plage2,19,FALSE)=0,1,VLOOKUP($A$15,[0]!Plage2,19,FALSE))</f>
        <v>#N/A</v>
      </c>
      <c r="O15" s="54" t="e">
        <f>IF(VLOOKUP($A$15,[0]!Plage2,23,FALSE)=0,1,VLOOKUP($A$15,[0]!Plage2,23,FALSE))</f>
        <v>#N/A</v>
      </c>
      <c r="P15" s="54" t="e">
        <f>IF(VLOOKUP($A$15,[0]!Plage2,27,FALSE)=0,1,VLOOKUP($A$15,[0]!Plage2,27,FALSE))</f>
        <v>#N/A</v>
      </c>
      <c r="Q15" s="54" t="e">
        <f>IF(VLOOKUP($A$15,[0]!Plage2,31,FALSE)=0,1,VLOOKUP($A$15,[0]!Plage2,31,FALSE))</f>
        <v>#N/A</v>
      </c>
      <c r="R15" s="54" t="e">
        <f>IF(VLOOKUP($A$15,[0]!Plage2,35,FALSE)=0,1,VLOOKUP($A$15,[0]!Plage2,35,FALSE))</f>
        <v>#N/A</v>
      </c>
      <c r="S15" s="54" t="e">
        <f>IF(VLOOKUP($A$15,[0]!Plage2,39,FALSE)=0,1,VLOOKUP($A$15,[0]!Plage2,39,FALSE))</f>
        <v>#N/A</v>
      </c>
      <c r="T15" s="54" t="e">
        <f>IF(VLOOKUP($A$15,[0]!Plage2,43,FALSE)=0,1,VLOOKUP($A$15,[0]!Plage2,43,FALSE))</f>
        <v>#N/A</v>
      </c>
      <c r="U15" s="54" t="e">
        <f>IF(VLOOKUP($A$15,[0]!Plage2,47,FALSE)=0,1,VLOOKUP($A$15,[0]!Plage2,47,FALSE))</f>
        <v>#N/A</v>
      </c>
      <c r="V15" s="54" t="e">
        <f>IF(VLOOKUP($A$15,[0]!Plage2,51,FALSE)=0,1,VLOOKUP($A$15,[0]!Plage2,51,FALSE))</f>
        <v>#N/A</v>
      </c>
      <c r="W15" s="54" t="e">
        <f>IF(VLOOKUP($A$15,[0]!Plage2,55,FALSE)=0,1,VLOOKUP($A$15,[0]!Plage2,55,FALSE))</f>
        <v>#N/A</v>
      </c>
      <c r="X15" s="54" t="e">
        <f>IF(VLOOKUP($A$15,[0]!Plage2,59,FALSE)=0,1,VLOOKUP($A$15,[0]!Plage2,59,FALSE))</f>
        <v>#N/A</v>
      </c>
      <c r="Y15" s="15"/>
      <c r="Z15" s="54" t="e">
        <f>IF(VLOOKUP($A$15,[0]!Plage3,3,FALSE)=0,1,VLOOKUP($A$15,[0]!Plage3,3,FALSE))</f>
        <v>#REF!</v>
      </c>
      <c r="AA15" s="54" t="e">
        <f>IF(VLOOKUP($A$15,[0]!Plage3,7,FALSE)=0,1,VLOOKUP($A$15,[0]!Plage3,7,FALSE))</f>
        <v>#REF!</v>
      </c>
      <c r="AB15" s="54" t="e">
        <f>IF(VLOOKUP($A$15,[0]!Plage3,11,FALSE)=0,1,VLOOKUP($A$15,[0]!Plage3,11,FALSE))</f>
        <v>#REF!</v>
      </c>
      <c r="AC15" s="54" t="e">
        <f>IF(VLOOKUP($A$15,[0]!Plage3,15,FALSE)=0,1,VLOOKUP($A$15,[0]!Plage3,15,FALSE))</f>
        <v>#REF!</v>
      </c>
      <c r="AD15" s="54" t="e">
        <f>IF(VLOOKUP($A$15,[0]!Plage3,19,FALSE)=0,1,VLOOKUP($A$15,[0]!Plage3,19,FALSE))</f>
        <v>#REF!</v>
      </c>
      <c r="AE15" s="54" t="e">
        <f>IF(VLOOKUP($A$15,[0]!Plage3,23,FALSE)=0,1,VLOOKUP($A$15,[0]!Plage3,23,FALSE))</f>
        <v>#REF!</v>
      </c>
    </row>
    <row r="16" spans="1:48" ht="20.100000000000001" hidden="1" customHeight="1">
      <c r="A16" s="56"/>
      <c r="B16" s="2"/>
      <c r="C16" s="2"/>
      <c r="D16" s="2"/>
      <c r="F16" s="55" t="e">
        <f>IF(VLOOKUP($A$15+1,[0]!Plage1,3,FALSE)=0,1,VLOOKUP($A$15+1,[0]!Plage1,3,FALSE))</f>
        <v>#REF!</v>
      </c>
      <c r="G16" s="55" t="e">
        <f>IF(VLOOKUP($A$15+1,[0]!Plage1,7,FALSE)=0,1,VLOOKUP($A$15+1,[0]!Plage1,7,FALSE))</f>
        <v>#REF!</v>
      </c>
      <c r="H16" s="55" t="e">
        <f>IF(VLOOKUP($A$15+1,[0]!Plage1,11,FALSE)=0,1,VLOOKUP($A$15+1,[0]!Plage1,11,FALSE))</f>
        <v>#REF!</v>
      </c>
      <c r="I16" s="53"/>
      <c r="J16" s="55" t="e">
        <f>IF(VLOOKUP($A$15+1,[0]!Plage2,3,FALSE)=0,1,VLOOKUP($A$15+1,[0]!Plage2,3,FALSE))</f>
        <v>#N/A</v>
      </c>
      <c r="K16" s="55" t="e">
        <f>IF(VLOOKUP($A$15+1,[0]!Plage2,7,FALSE)=0,1,VLOOKUP($A$15+1,[0]!Plage2,7,FALSE))</f>
        <v>#N/A</v>
      </c>
      <c r="L16" s="55" t="e">
        <f>IF(VLOOKUP($A$15+1,[0]!Plage2,11,FALSE)=0,1,VLOOKUP($A$15+1,[0]!Plage2,11,FALSE))</f>
        <v>#N/A</v>
      </c>
      <c r="M16" s="55" t="e">
        <f>IF(VLOOKUP($A$15+1,[0]!Plage2,15,FALSE)=0,1,VLOOKUP($A$15+1,[0]!Plage2,15,FALSE))</f>
        <v>#N/A</v>
      </c>
      <c r="N16" s="55" t="e">
        <f>IF(VLOOKUP($A$15+1,[0]!Plage2,19,FALSE)=0,1,VLOOKUP($A$15+1,[0]!Plage2,19,FALSE))</f>
        <v>#N/A</v>
      </c>
      <c r="O16" s="55" t="e">
        <f>IF(VLOOKUP($A$15+1,[0]!Plage2,23,FALSE)=0,1,VLOOKUP($A$15+1,[0]!Plage2,23,FALSE))</f>
        <v>#N/A</v>
      </c>
      <c r="P16" s="55" t="e">
        <f>IF(VLOOKUP($A$15+1,[0]!Plage2,27,FALSE)=0,1,VLOOKUP($A$15+1,[0]!Plage2,27,FALSE))</f>
        <v>#N/A</v>
      </c>
      <c r="Q16" s="55" t="e">
        <f>IF(VLOOKUP($A$15+1,[0]!Plage2,31,FALSE)=0,1,VLOOKUP($A$15+1,[0]!Plage2,31,FALSE))</f>
        <v>#N/A</v>
      </c>
      <c r="R16" s="55" t="e">
        <f>IF(VLOOKUP($A$15+1,[0]!Plage2,35,FALSE)=0,1,VLOOKUP($A$15+1,[0]!Plage2,35,FALSE))</f>
        <v>#N/A</v>
      </c>
      <c r="S16" s="55" t="e">
        <f>IF(VLOOKUP($A$15+1,[0]!Plage2,39,FALSE)=0,1,VLOOKUP($A$15+1,[0]!Plage2,39,FALSE))</f>
        <v>#N/A</v>
      </c>
      <c r="T16" s="55" t="e">
        <f>IF(VLOOKUP($A$15+1,[0]!Plage2,43,FALSE)=0,1,VLOOKUP($A$15+1,[0]!Plage2,43,FALSE))</f>
        <v>#N/A</v>
      </c>
      <c r="U16" s="55" t="e">
        <f>IF(VLOOKUP($A$15+1,[0]!Plage2,47,FALSE)=0,1,VLOOKUP($A$15+1,[0]!Plage2,47,FALSE))</f>
        <v>#N/A</v>
      </c>
      <c r="V16" s="55" t="e">
        <f>IF(VLOOKUP($A$15+1,[0]!Plage2,51,FALSE)=0,1,VLOOKUP($A$15+1,[0]!Plage2,51,FALSE))</f>
        <v>#N/A</v>
      </c>
      <c r="W16" s="55" t="e">
        <f>IF(VLOOKUP($A$15+1,[0]!Plage2,55,FALSE)=0,1,VLOOKUP($A$15+1,[0]!Plage2,55,FALSE))</f>
        <v>#N/A</v>
      </c>
      <c r="X16" s="55" t="e">
        <f>IF(VLOOKUP($A$15+1,[0]!Plage2,59,FALSE)=0,1,VLOOKUP($A$15+1,[0]!Plage2,59,FALSE))</f>
        <v>#N/A</v>
      </c>
      <c r="Y16" s="53"/>
      <c r="Z16" s="55" t="e">
        <f>IF(VLOOKUP($A$15+1,[0]!Plage3,3,FALSE)=0,1,VLOOKUP($A$15+1,[0]!Plage3,3,FALSE))</f>
        <v>#REF!</v>
      </c>
      <c r="AA16" s="55" t="e">
        <f>IF(VLOOKUP($A$15+1,[0]!Plage3,7,FALSE)=0,1,VLOOKUP($A$15+1,[0]!Plage3,7,FALSE))</f>
        <v>#REF!</v>
      </c>
      <c r="AB16" s="55" t="e">
        <f>IF(VLOOKUP($A$15+1,[0]!Plage3,11,FALSE)=0,1,VLOOKUP($A$15+1,[0]!Plage3,11,FALSE))</f>
        <v>#REF!</v>
      </c>
      <c r="AC16" s="55" t="e">
        <f>IF(VLOOKUP($A$15+1,[0]!Plage3,15,FALSE)=0,1,VLOOKUP($A$15+1,[0]!Plage3,15,FALSE))</f>
        <v>#REF!</v>
      </c>
      <c r="AD16" s="55" t="e">
        <f>IF(VLOOKUP($A$15+1,[0]!Plage3,19,FALSE)=0,1,VLOOKUP($A$15+1,[0]!Plage3,19,FALSE))</f>
        <v>#REF!</v>
      </c>
      <c r="AE16" s="55" t="e">
        <f>IF(VLOOKUP($A$15+1,[0]!Plage3,23,FALSE)=0,1,VLOOKUP($A$15+1,[0]!Plage3,23,FALSE))</f>
        <v>#REF!</v>
      </c>
    </row>
    <row r="17" spans="1:31" ht="20.100000000000001" hidden="1" customHeight="1">
      <c r="A17" s="56"/>
      <c r="B17" s="2"/>
      <c r="C17" s="2"/>
      <c r="D17" s="2"/>
      <c r="F17" s="55" t="e">
        <f>IF(VLOOKUP($A$15+2,[0]!Plage1,3,FALSE)=0,1,VLOOKUP($A$15+2,[0]!Plage1,3,FALSE))</f>
        <v>#REF!</v>
      </c>
      <c r="G17" s="55" t="e">
        <f>IF(VLOOKUP($A$15+2,[0]!Plage1,7,FALSE)=0,1,VLOOKUP($A$15+2,[0]!Plage1,7,FALSE))</f>
        <v>#REF!</v>
      </c>
      <c r="H17" s="55" t="e">
        <f>IF(VLOOKUP($A$15+2,[0]!Plage1,11,FALSE)=0,1,VLOOKUP($A$15+2,[0]!Plage1,11,FALSE))</f>
        <v>#REF!</v>
      </c>
      <c r="I17" s="53"/>
      <c r="J17" s="55" t="e">
        <f>IF(VLOOKUP($A$15+2,[0]!Plage2,3,FALSE)=0,1,VLOOKUP($A$15+2,[0]!Plage2,3,FALSE))</f>
        <v>#N/A</v>
      </c>
      <c r="K17" s="55" t="e">
        <f>IF(VLOOKUP($A$15+2,[0]!Plage2,7,FALSE)=0,1,VLOOKUP($A$15+2,[0]!Plage2,7,FALSE))</f>
        <v>#N/A</v>
      </c>
      <c r="L17" s="55" t="e">
        <f>IF(VLOOKUP($A$15+2,[0]!Plage2,11,FALSE)=0,1,VLOOKUP($A$15+2,[0]!Plage2,11,FALSE))</f>
        <v>#N/A</v>
      </c>
      <c r="M17" s="55" t="e">
        <f>IF(VLOOKUP($A$15+2,[0]!Plage2,15,FALSE)=0,1,VLOOKUP($A$15+2,[0]!Plage2,15,FALSE))</f>
        <v>#N/A</v>
      </c>
      <c r="N17" s="55" t="e">
        <f>IF(VLOOKUP($A$15+2,[0]!Plage2,19,FALSE)=0,1,VLOOKUP($A$15+2,[0]!Plage2,19,FALSE))</f>
        <v>#N/A</v>
      </c>
      <c r="O17" s="55" t="e">
        <f>IF(VLOOKUP($A$15+2,[0]!Plage2,23,FALSE)=0,1,VLOOKUP($A$15+2,[0]!Plage2,23,FALSE))</f>
        <v>#N/A</v>
      </c>
      <c r="P17" s="55" t="e">
        <f>IF(VLOOKUP($A$15+2,[0]!Plage2,27,FALSE)=0,1,VLOOKUP($A$15+2,[0]!Plage2,27,FALSE))</f>
        <v>#N/A</v>
      </c>
      <c r="Q17" s="55" t="e">
        <f>IF(VLOOKUP($A$15+2,[0]!Plage2,31,FALSE)=0,1,VLOOKUP($A$15+2,[0]!Plage2,31,FALSE))</f>
        <v>#N/A</v>
      </c>
      <c r="R17" s="55" t="e">
        <f>IF(VLOOKUP($A$15+2,[0]!Plage2,35,FALSE)=0,1,VLOOKUP($A$15+2,[0]!Plage2,35,FALSE))</f>
        <v>#N/A</v>
      </c>
      <c r="S17" s="55" t="e">
        <f>IF(VLOOKUP($A$15+2,[0]!Plage2,39,FALSE)=0,1,VLOOKUP($A$15+2,[0]!Plage2,39,FALSE))</f>
        <v>#N/A</v>
      </c>
      <c r="T17" s="55" t="e">
        <f>IF(VLOOKUP($A$15+2,[0]!Plage2,43,FALSE)=0,1,VLOOKUP($A$15+2,[0]!Plage2,43,FALSE))</f>
        <v>#N/A</v>
      </c>
      <c r="U17" s="55" t="e">
        <f>IF(VLOOKUP($A$15+2,[0]!Plage2,47,FALSE)=0,1,VLOOKUP($A$15+2,[0]!Plage2,47,FALSE))</f>
        <v>#N/A</v>
      </c>
      <c r="V17" s="55" t="e">
        <f>IF(VLOOKUP($A$15+2,[0]!Plage2,51,FALSE)=0,1,VLOOKUP($A$15+2,[0]!Plage2,51,FALSE))</f>
        <v>#N/A</v>
      </c>
      <c r="W17" s="55" t="e">
        <f>IF(VLOOKUP($A$15+2,[0]!Plage2,55,FALSE)=0,1,VLOOKUP($A$15+2,[0]!Plage2,55,FALSE))</f>
        <v>#N/A</v>
      </c>
      <c r="X17" s="55" t="e">
        <f>IF(VLOOKUP($A$15+2,[0]!Plage2,59,FALSE)=0,1,VLOOKUP($A$15+2,[0]!Plage2,59,FALSE))</f>
        <v>#N/A</v>
      </c>
      <c r="Y17" s="53"/>
      <c r="Z17" s="55" t="e">
        <f>IF(VLOOKUP($A$15+2,[0]!Plage3,3,FALSE)=0,1,VLOOKUP($A$15+2,[0]!Plage3,3,FALSE))</f>
        <v>#REF!</v>
      </c>
      <c r="AA17" s="55" t="e">
        <f>IF(VLOOKUP($A$15+2,[0]!Plage3,7,FALSE)=0,1,VLOOKUP($A$15+2,[0]!Plage3,7,FALSE))</f>
        <v>#REF!</v>
      </c>
      <c r="AB17" s="55" t="e">
        <f>IF(VLOOKUP($A$15+2,[0]!Plage3,11,FALSE)=0,1,VLOOKUP($A$15+2,[0]!Plage3,11,FALSE))</f>
        <v>#REF!</v>
      </c>
      <c r="AC17" s="55" t="e">
        <f>IF(VLOOKUP($A$15+2,[0]!Plage3,15,FALSE)=0,1,VLOOKUP($A$15+2,[0]!Plage3,15,FALSE))</f>
        <v>#REF!</v>
      </c>
      <c r="AD17" s="55" t="e">
        <f>IF(VLOOKUP($A$15+2,[0]!Plage3,19,FALSE)=0,1,VLOOKUP($A$15+2,[0]!Plage3,19,FALSE))</f>
        <v>#REF!</v>
      </c>
      <c r="AE17" s="55" t="e">
        <f>IF(VLOOKUP($A$15+2,[0]!Plage3,23,FALSE)=0,1,VLOOKUP($A$15+2,[0]!Plage3,23,FALSE))</f>
        <v>#REF!</v>
      </c>
    </row>
    <row r="18" spans="1:31" ht="18" hidden="1" customHeight="1">
      <c r="A18" s="56"/>
      <c r="F18" s="53" t="e">
        <f>IF(VLOOKUP($A$15+3,[0]!Plage1,3,FALSE)=0,1,VLOOKUP($A$15+3,[0]!Plage1,3,FALSE))</f>
        <v>#REF!</v>
      </c>
      <c r="G18" s="53" t="e">
        <f>IF(VLOOKUP($A$15+3,[0]!Plage1,7,FALSE)=0,1,VLOOKUP($A$15+3,[0]!Plage1,7,FALSE))</f>
        <v>#REF!</v>
      </c>
      <c r="H18" s="53" t="e">
        <f>IF(VLOOKUP($A$15+3,[0]!Plage1,11,FALSE)=0,1,VLOOKUP($A$15+3,[0]!Plage1,11,FALSE))</f>
        <v>#REF!</v>
      </c>
      <c r="I18" s="53"/>
      <c r="J18" s="53" t="e">
        <f>IF(VLOOKUP($A$15+3,[0]!Plage2,3,FALSE)=0,1,VLOOKUP($A$15+3,[0]!Plage2,3,FALSE))</f>
        <v>#N/A</v>
      </c>
      <c r="K18" s="53" t="e">
        <f>IF(VLOOKUP($A$15+3,[0]!Plage2,7,FALSE)=0,1,VLOOKUP($A$15+3,[0]!Plage2,7,FALSE))</f>
        <v>#N/A</v>
      </c>
      <c r="L18" s="53" t="e">
        <f>IF(VLOOKUP($A$15+3,[0]!Plage2,11,FALSE)=0,1,VLOOKUP($A$15+3,[0]!Plage2,11,FALSE))</f>
        <v>#N/A</v>
      </c>
      <c r="M18" s="53" t="e">
        <f>IF(VLOOKUP($A$15+3,[0]!Plage2,15,FALSE)=0,1,VLOOKUP($A$15+3,[0]!Plage2,15,FALSE))</f>
        <v>#N/A</v>
      </c>
      <c r="N18" s="53" t="e">
        <f>IF(VLOOKUP($A$15+3,[0]!Plage2,19,FALSE)=0,1,VLOOKUP($A$15+3,[0]!Plage2,19,FALSE))</f>
        <v>#N/A</v>
      </c>
      <c r="O18" s="53" t="e">
        <f>IF(VLOOKUP($A$15+3,[0]!Plage2,23,FALSE)=0,1,VLOOKUP($A$15+3,[0]!Plage2,23,FALSE))</f>
        <v>#N/A</v>
      </c>
      <c r="P18" s="53" t="e">
        <f>IF(VLOOKUP($A$15+3,[0]!Plage2,27,FALSE)=0,1,VLOOKUP($A$15+3,[0]!Plage2,27,FALSE))</f>
        <v>#N/A</v>
      </c>
      <c r="Q18" s="53" t="e">
        <f>IF(VLOOKUP($A$15+3,[0]!Plage2,31,FALSE)=0,1,VLOOKUP($A$15+3,[0]!Plage2,31,FALSE))</f>
        <v>#N/A</v>
      </c>
      <c r="R18" s="53" t="e">
        <f>IF(VLOOKUP($A$15+3,[0]!Plage2,35,FALSE)=0,1,VLOOKUP($A$15+3,[0]!Plage2,35,FALSE))</f>
        <v>#N/A</v>
      </c>
      <c r="S18" s="53" t="e">
        <f>IF(VLOOKUP($A$15+3,[0]!Plage2,39,FALSE)=0,1,VLOOKUP($A$15+3,[0]!Plage2,39,FALSE))</f>
        <v>#N/A</v>
      </c>
      <c r="T18" s="53" t="e">
        <f>IF(VLOOKUP($A$15+3,[0]!Plage2,43,FALSE)=0,1,VLOOKUP($A$15+3,[0]!Plage2,43,FALSE))</f>
        <v>#N/A</v>
      </c>
      <c r="U18" s="53" t="e">
        <f>IF(VLOOKUP($A$15+3,[0]!Plage2,47,FALSE)=0,1,VLOOKUP($A$15+3,[0]!Plage2,47,FALSE))</f>
        <v>#N/A</v>
      </c>
      <c r="V18" s="53" t="e">
        <f>IF(VLOOKUP($A$15+3,[0]!Plage2,51,FALSE)=0,1,VLOOKUP($A$15+3,[0]!Plage2,51,FALSE))</f>
        <v>#N/A</v>
      </c>
      <c r="W18" s="53" t="e">
        <f>IF(VLOOKUP($A$15+3,[0]!Plage2,55,FALSE)=0,1,VLOOKUP($A$15+3,[0]!Plage2,55,FALSE))</f>
        <v>#N/A</v>
      </c>
      <c r="X18" s="53" t="e">
        <f>IF(VLOOKUP($A$15+3,[0]!Plage2,59,FALSE)=0,1,VLOOKUP($A$15+3,[0]!Plage2,59,FALSE))</f>
        <v>#N/A</v>
      </c>
      <c r="Y18" s="53"/>
      <c r="Z18" s="53" t="e">
        <f>IF(VLOOKUP($A$15+3,[0]!Plage3,3,FALSE)=0,1,VLOOKUP($A$15+3,[0]!Plage3,3,FALSE))</f>
        <v>#REF!</v>
      </c>
      <c r="AA18" s="53" t="e">
        <f>IF(VLOOKUP($A$15+3,[0]!Plage3,7,FALSE)=0,1,VLOOKUP($A$15+3,[0]!Plage3,7,FALSE))</f>
        <v>#REF!</v>
      </c>
      <c r="AB18" s="53" t="e">
        <f>IF(VLOOKUP($A$15+3,[0]!Plage3,11,FALSE)=0,1,VLOOKUP($A$15+3,[0]!Plage3,11,FALSE))</f>
        <v>#REF!</v>
      </c>
      <c r="AC18" s="53" t="e">
        <f>IF(VLOOKUP($A$15+3,[0]!Plage3,15,FALSE)=0,1,VLOOKUP($A$15+3,[0]!Plage3,15,FALSE))</f>
        <v>#REF!</v>
      </c>
      <c r="AD18" s="53" t="e">
        <f>IF(VLOOKUP($A$15+3,[0]!Plage3,19,FALSE)=0,1,VLOOKUP($A$15+3,[0]!Plage3,19,FALSE))</f>
        <v>#REF!</v>
      </c>
      <c r="AE18" s="53" t="e">
        <f>IF(VLOOKUP($A$15+3,[0]!Plage3,23,FALSE)=0,1,VLOOKUP($A$15+3,[0]!Plage3,23,FALSE))</f>
        <v>#REF!</v>
      </c>
    </row>
    <row r="19" spans="1:31" ht="18" hidden="1" customHeight="1">
      <c r="A19" s="56"/>
      <c r="F19" s="53" t="e">
        <f>IF(VLOOKUP($A$15+4,[0]!Plage1,3,FALSE)=0,1,VLOOKUP($A$15+4,[0]!Plage1,3,FALSE))</f>
        <v>#REF!</v>
      </c>
      <c r="G19" s="53" t="e">
        <f>IF(VLOOKUP($A$15+4,[0]!Plage1,7,FALSE)=0,1,VLOOKUP($A$15+4,[0]!Plage1,7,FALSE))</f>
        <v>#REF!</v>
      </c>
      <c r="H19" s="53" t="e">
        <f>IF(VLOOKUP($A$15+4,[0]!Plage1,11,FALSE)=0,1,VLOOKUP($A$15+4,[0]!Plage1,11,FALSE))</f>
        <v>#REF!</v>
      </c>
      <c r="I19" s="53"/>
      <c r="J19" s="53" t="e">
        <f>IF(VLOOKUP($A$15+4,[0]!Plage2,3,FALSE)=0,1,VLOOKUP($A$15+4,[0]!Plage2,3,FALSE))</f>
        <v>#N/A</v>
      </c>
      <c r="K19" s="53" t="e">
        <f>IF(VLOOKUP($A$15+4,[0]!Plage2,7,FALSE)=0,1,VLOOKUP($A$15+4,[0]!Plage2,7,FALSE))</f>
        <v>#N/A</v>
      </c>
      <c r="L19" s="53" t="e">
        <f>IF(VLOOKUP($A$15+4,[0]!Plage2,11,FALSE)=0,1,VLOOKUP($A$15+4,[0]!Plage2,11,FALSE))</f>
        <v>#N/A</v>
      </c>
      <c r="M19" s="53" t="e">
        <f>IF(VLOOKUP($A$15+4,[0]!Plage2,15,FALSE)=0,1,VLOOKUP($A$15+4,[0]!Plage2,15,FALSE))</f>
        <v>#N/A</v>
      </c>
      <c r="N19" s="53" t="e">
        <f>IF(VLOOKUP($A$15+4,[0]!Plage2,19,FALSE)=0,1,VLOOKUP($A$15+4,[0]!Plage2,19,FALSE))</f>
        <v>#N/A</v>
      </c>
      <c r="O19" s="53" t="e">
        <f>IF(VLOOKUP($A$15+4,[0]!Plage2,23,FALSE)=0,1,VLOOKUP($A$15+4,[0]!Plage2,23,FALSE))</f>
        <v>#N/A</v>
      </c>
      <c r="P19" s="53" t="e">
        <f>IF(VLOOKUP($A$15+4,[0]!Plage2,27,FALSE)=0,1,VLOOKUP($A$15+4,[0]!Plage2,27,FALSE))</f>
        <v>#N/A</v>
      </c>
      <c r="Q19" s="53" t="e">
        <f>IF(VLOOKUP($A$15+4,[0]!Plage2,31,FALSE)=0,1,VLOOKUP($A$15+4,[0]!Plage2,31,FALSE))</f>
        <v>#N/A</v>
      </c>
      <c r="R19" s="53" t="e">
        <f>IF(VLOOKUP($A$15+4,[0]!Plage2,35,FALSE)=0,1,VLOOKUP($A$15+4,[0]!Plage2,35,FALSE))</f>
        <v>#N/A</v>
      </c>
      <c r="S19" s="53" t="e">
        <f>IF(VLOOKUP($A$15+4,[0]!Plage2,39,FALSE)=0,1,VLOOKUP($A$15+4,[0]!Plage2,39,FALSE))</f>
        <v>#N/A</v>
      </c>
      <c r="T19" s="53" t="e">
        <f>IF(VLOOKUP($A$15+4,[0]!Plage2,43,FALSE)=0,1,VLOOKUP($A$15+4,[0]!Plage2,43,FALSE))</f>
        <v>#N/A</v>
      </c>
      <c r="U19" s="53" t="e">
        <f>IF(VLOOKUP($A$15+4,[0]!Plage2,47,FALSE)=0,1,VLOOKUP($A$15+4,[0]!Plage2,47,FALSE))</f>
        <v>#N/A</v>
      </c>
      <c r="V19" s="53" t="e">
        <f>IF(VLOOKUP($A$15+4,[0]!Plage2,51,FALSE)=0,1,VLOOKUP($A$15+4,[0]!Plage2,51,FALSE))</f>
        <v>#N/A</v>
      </c>
      <c r="W19" s="53" t="e">
        <f>IF(VLOOKUP($A$15+4,[0]!Plage2,55,FALSE)=0,1,VLOOKUP($A$15+4,[0]!Plage2,55,FALSE))</f>
        <v>#N/A</v>
      </c>
      <c r="X19" s="53" t="e">
        <f>IF(VLOOKUP($A$15+4,[0]!Plage2,59,FALSE)=0,1,VLOOKUP($A$15+4,[0]!Plage2,59,FALSE))</f>
        <v>#N/A</v>
      </c>
      <c r="Y19" s="53"/>
      <c r="Z19" s="53" t="e">
        <f>IF(VLOOKUP($A$15+4,[0]!Plage3,3,FALSE)=0,1,VLOOKUP($A$15+4,[0]!Plage3,3,FALSE))</f>
        <v>#REF!</v>
      </c>
      <c r="AA19" s="53" t="e">
        <f>IF(VLOOKUP($A$15+4,[0]!Plage3,7,FALSE)=0,1,VLOOKUP($A$15+4,[0]!Plage3,7,FALSE))</f>
        <v>#REF!</v>
      </c>
      <c r="AB19" s="53" t="e">
        <f>IF(VLOOKUP($A$15+4,[0]!Plage3,11,FALSE)=0,1,VLOOKUP($A$15+4,[0]!Plage3,11,FALSE))</f>
        <v>#REF!</v>
      </c>
      <c r="AC19" s="53" t="e">
        <f>IF(VLOOKUP($A$15+4,[0]!Plage3,15,FALSE)=0,1,VLOOKUP($A$15+4,[0]!Plage3,15,FALSE))</f>
        <v>#REF!</v>
      </c>
      <c r="AD19" s="53" t="e">
        <f>IF(VLOOKUP($A$15+4,[0]!Plage3,19,FALSE)=0,1,VLOOKUP($A$15+4,[0]!Plage3,19,FALSE))</f>
        <v>#REF!</v>
      </c>
      <c r="AE19" s="53" t="e">
        <f>IF(VLOOKUP($A$15+4,[0]!Plage3,23,FALSE)=0,1,VLOOKUP($A$15+4,[0]!Plage3,23,FALSE))</f>
        <v>#REF!</v>
      </c>
    </row>
    <row r="20" spans="1:31" ht="18" hidden="1" customHeight="1">
      <c r="A20" s="56"/>
      <c r="F20" s="53" t="e">
        <f>IF(VLOOKUP($A$15+5,[0]!Plage1,3,FALSE)=0,1,VLOOKUP($A$15+5,[0]!Plage1,3,FALSE))</f>
        <v>#REF!</v>
      </c>
      <c r="G20" s="53" t="e">
        <f>IF(VLOOKUP($A$15+5,[0]!Plage1,7,FALSE)=0,1,VLOOKUP($A$15+5,[0]!Plage1,7,FALSE))</f>
        <v>#REF!</v>
      </c>
      <c r="H20" s="53" t="e">
        <f>IF(VLOOKUP($A$15+5,[0]!Plage1,11,FALSE)=0,1,VLOOKUP($A$15+5,[0]!Plage1,11,FALSE))</f>
        <v>#REF!</v>
      </c>
      <c r="I20" s="53"/>
      <c r="J20" s="53" t="e">
        <f>IF(VLOOKUP($A$15+5,[0]!Plage2,3,FALSE)=0,1,VLOOKUP($A$15+5,[0]!Plage2,3,FALSE))</f>
        <v>#N/A</v>
      </c>
      <c r="K20" s="53" t="e">
        <f>IF(VLOOKUP($A$15+5,[0]!Plage2,7,FALSE)=0,1,VLOOKUP($A$15+5,[0]!Plage2,7,FALSE))</f>
        <v>#N/A</v>
      </c>
      <c r="L20" s="53" t="e">
        <f>IF(VLOOKUP($A$15+5,[0]!Plage2,11,FALSE)=0,1,VLOOKUP($A$15+5,[0]!Plage2,11,FALSE))</f>
        <v>#N/A</v>
      </c>
      <c r="M20" s="53" t="e">
        <f>IF(VLOOKUP($A$15+5,[0]!Plage2,15,FALSE)=0,1,VLOOKUP($A$15+5,[0]!Plage2,15,FALSE))</f>
        <v>#N/A</v>
      </c>
      <c r="N20" s="53" t="e">
        <f>IF(VLOOKUP($A$15+5,[0]!Plage2,19,FALSE)=0,1,VLOOKUP($A$15+5,[0]!Plage2,19,FALSE))</f>
        <v>#N/A</v>
      </c>
      <c r="O20" s="53" t="e">
        <f>IF(VLOOKUP($A$15+5,[0]!Plage2,23,FALSE)=0,1,VLOOKUP($A$15+5,[0]!Plage2,23,FALSE))</f>
        <v>#N/A</v>
      </c>
      <c r="P20" s="53" t="e">
        <f>IF(VLOOKUP($A$15+5,[0]!Plage2,27,FALSE)=0,1,VLOOKUP($A$15+5,[0]!Plage2,27,FALSE))</f>
        <v>#N/A</v>
      </c>
      <c r="Q20" s="53" t="e">
        <f>IF(VLOOKUP($A$15+5,[0]!Plage2,31,FALSE)=0,1,VLOOKUP($A$15+5,[0]!Plage2,31,FALSE))</f>
        <v>#N/A</v>
      </c>
      <c r="R20" s="53" t="e">
        <f>IF(VLOOKUP($A$15+5,[0]!Plage2,35,FALSE)=0,1,VLOOKUP($A$15+5,[0]!Plage2,35,FALSE))</f>
        <v>#N/A</v>
      </c>
      <c r="S20" s="53" t="e">
        <f>IF(VLOOKUP($A$15+5,[0]!Plage2,39,FALSE)=0,1,VLOOKUP($A$15+5,[0]!Plage2,39,FALSE))</f>
        <v>#N/A</v>
      </c>
      <c r="T20" s="53" t="e">
        <f>IF(VLOOKUP($A$15+5,[0]!Plage2,43,FALSE)=0,1,VLOOKUP($A$15+5,[0]!Plage2,43,FALSE))</f>
        <v>#N/A</v>
      </c>
      <c r="U20" s="53" t="e">
        <f>IF(VLOOKUP($A$15+5,[0]!Plage2,47,FALSE)=0,1,VLOOKUP($A$15+5,[0]!Plage2,47,FALSE))</f>
        <v>#N/A</v>
      </c>
      <c r="V20" s="53" t="e">
        <f>IF(VLOOKUP($A$15+5,[0]!Plage2,51,FALSE)=0,1,VLOOKUP($A$15+5,[0]!Plage2,51,FALSE))</f>
        <v>#N/A</v>
      </c>
      <c r="W20" s="53" t="e">
        <f>IF(VLOOKUP($A$15+5,[0]!Plage2,55,FALSE)=0,1,VLOOKUP($A$15+5,[0]!Plage2,55,FALSE))</f>
        <v>#N/A</v>
      </c>
      <c r="X20" s="53" t="e">
        <f>IF(VLOOKUP($A$15+5,[0]!Plage2,59,FALSE)=0,1,VLOOKUP($A$15+5,[0]!Plage2,59,FALSE))</f>
        <v>#N/A</v>
      </c>
      <c r="Y20" s="53"/>
      <c r="Z20" s="53" t="e">
        <f>IF(VLOOKUP($A$15+5,[0]!Plage3,3,FALSE)=0,1,VLOOKUP($A$15+5,[0]!Plage3,3,FALSE))</f>
        <v>#REF!</v>
      </c>
      <c r="AA20" s="53" t="e">
        <f>IF(VLOOKUP($A$15+5,[0]!Plage3,7,FALSE)=0,1,VLOOKUP($A$15+5,[0]!Plage3,7,FALSE))</f>
        <v>#REF!</v>
      </c>
      <c r="AB20" s="53" t="e">
        <f>IF(VLOOKUP($A$15+5,[0]!Plage3,11,FALSE)=0,1,VLOOKUP($A$15+5,[0]!Plage3,11,FALSE))</f>
        <v>#REF!</v>
      </c>
      <c r="AC20" s="53" t="e">
        <f>IF(VLOOKUP($A$15+5,[0]!Plage3,15,FALSE)=0,1,VLOOKUP($A$15+5,[0]!Plage3,15,FALSE))</f>
        <v>#REF!</v>
      </c>
      <c r="AD20" s="53" t="e">
        <f>IF(VLOOKUP($A$15+5,[0]!Plage3,19,FALSE)=0,1,VLOOKUP($A$15+5,[0]!Plage3,19,FALSE))</f>
        <v>#REF!</v>
      </c>
      <c r="AE20" s="53" t="e">
        <f>IF(VLOOKUP($A$15+5,[0]!Plage3,23,FALSE)=0,1,VLOOKUP($A$15+5,[0]!Plage3,23,FALSE))</f>
        <v>#REF!</v>
      </c>
    </row>
    <row r="21" spans="1:31" ht="18" hidden="1" customHeight="1">
      <c r="A21" s="56"/>
      <c r="F21" s="53" t="e">
        <f>IF(VLOOKUP($A$15+6,[0]!Plage1,3,FALSE)=0,1,VLOOKUP($A$15+6,[0]!Plage1,3,FALSE))</f>
        <v>#REF!</v>
      </c>
      <c r="G21" s="53" t="e">
        <f>IF(VLOOKUP($A$15+6,[0]!Plage1,7,FALSE)=0,1,VLOOKUP($A$15+6,[0]!Plage1,7,FALSE))</f>
        <v>#REF!</v>
      </c>
      <c r="H21" s="53" t="e">
        <f>IF(VLOOKUP($A$15+6,[0]!Plage1,11,FALSE)=0,1,VLOOKUP($A$15+6,[0]!Plage1,11,FALSE))</f>
        <v>#REF!</v>
      </c>
      <c r="I21" s="53"/>
      <c r="J21" s="53" t="e">
        <f>IF(VLOOKUP($A$15+6,[0]!Plage2,3,FALSE)=0,1,VLOOKUP($A$15+6,[0]!Plage2,3,FALSE))</f>
        <v>#N/A</v>
      </c>
      <c r="K21" s="53" t="e">
        <f>IF(VLOOKUP($A$15+6,[0]!Plage2,7,FALSE)=0,1,VLOOKUP($A$15+6,[0]!Plage2,7,FALSE))</f>
        <v>#N/A</v>
      </c>
      <c r="L21" s="53" t="e">
        <f>IF(VLOOKUP($A$15+6,[0]!Plage2,11,FALSE)=0,1,VLOOKUP($A$15+6,[0]!Plage2,11,FALSE))</f>
        <v>#N/A</v>
      </c>
      <c r="M21" s="53" t="e">
        <f>IF(VLOOKUP($A$15+6,[0]!Plage2,15,FALSE)=0,1,VLOOKUP($A$15+6,[0]!Plage2,15,FALSE))</f>
        <v>#N/A</v>
      </c>
      <c r="N21" s="53" t="e">
        <f>IF(VLOOKUP($A$15+6,[0]!Plage2,19,FALSE)=0,1,VLOOKUP($A$15+6,[0]!Plage2,19,FALSE))</f>
        <v>#N/A</v>
      </c>
      <c r="O21" s="53" t="e">
        <f>IF(VLOOKUP($A$15+6,[0]!Plage2,23,FALSE)=0,1,VLOOKUP($A$15+6,[0]!Plage2,23,FALSE))</f>
        <v>#N/A</v>
      </c>
      <c r="P21" s="53" t="e">
        <f>IF(VLOOKUP($A$15+6,[0]!Plage2,27,FALSE)=0,1,VLOOKUP($A$15+6,[0]!Plage2,27,FALSE))</f>
        <v>#N/A</v>
      </c>
      <c r="Q21" s="53" t="e">
        <f>IF(VLOOKUP($A$15+6,[0]!Plage2,31,FALSE)=0,1,VLOOKUP($A$15+6,[0]!Plage2,31,FALSE))</f>
        <v>#N/A</v>
      </c>
      <c r="R21" s="53" t="e">
        <f>IF(VLOOKUP($A$15+6,[0]!Plage2,35,FALSE)=0,1,VLOOKUP($A$15+6,[0]!Plage2,35,FALSE))</f>
        <v>#N/A</v>
      </c>
      <c r="S21" s="53" t="e">
        <f>IF(VLOOKUP($A$15+6,[0]!Plage2,39,FALSE)=0,1,VLOOKUP($A$15+6,[0]!Plage2,39,FALSE))</f>
        <v>#N/A</v>
      </c>
      <c r="T21" s="53" t="e">
        <f>IF(VLOOKUP($A$15+6,[0]!Plage2,43,FALSE)=0,1,VLOOKUP($A$15+6,[0]!Plage2,43,FALSE))</f>
        <v>#N/A</v>
      </c>
      <c r="U21" s="53" t="e">
        <f>IF(VLOOKUP($A$15+6,[0]!Plage2,47,FALSE)=0,1,VLOOKUP($A$15+6,[0]!Plage2,47,FALSE))</f>
        <v>#N/A</v>
      </c>
      <c r="V21" s="53" t="e">
        <f>IF(VLOOKUP($A$15+6,[0]!Plage2,51,FALSE)=0,1,VLOOKUP($A$15+6,[0]!Plage2,51,FALSE))</f>
        <v>#N/A</v>
      </c>
      <c r="W21" s="53" t="e">
        <f>IF(VLOOKUP($A$15+6,[0]!Plage2,55,FALSE)=0,1,VLOOKUP($A$15+6,[0]!Plage2,55,FALSE))</f>
        <v>#N/A</v>
      </c>
      <c r="X21" s="53" t="e">
        <f>IF(VLOOKUP($A$15+6,[0]!Plage2,59,FALSE)=0,1,VLOOKUP($A$15+6,[0]!Plage2,59,FALSE))</f>
        <v>#N/A</v>
      </c>
      <c r="Y21" s="53"/>
      <c r="Z21" s="53" t="e">
        <f>IF(VLOOKUP($A$15+6,[0]!Plage3,3,FALSE)=0,1,VLOOKUP($A$15+6,[0]!Plage3,3,FALSE))</f>
        <v>#REF!</v>
      </c>
      <c r="AA21" s="53" t="e">
        <f>IF(VLOOKUP($A$15+6,[0]!Plage3,7,FALSE)=0,1,VLOOKUP($A$15+6,[0]!Plage3,7,FALSE))</f>
        <v>#REF!</v>
      </c>
      <c r="AB21" s="53" t="e">
        <f>IF(VLOOKUP($A$15+6,[0]!Plage3,11,FALSE)=0,1,VLOOKUP($A$15+6,[0]!Plage3,11,FALSE))</f>
        <v>#REF!</v>
      </c>
      <c r="AC21" s="53" t="e">
        <f>IF(VLOOKUP($A$15+6,[0]!Plage3,15,FALSE)=0,1,VLOOKUP($A$15+6,[0]!Plage3,15,FALSE))</f>
        <v>#REF!</v>
      </c>
      <c r="AD21" s="53" t="e">
        <f>IF(VLOOKUP($A$15+6,[0]!Plage3,19,FALSE)=0,1,VLOOKUP($A$15+6,[0]!Plage3,19,FALSE))</f>
        <v>#REF!</v>
      </c>
      <c r="AE21" s="53" t="e">
        <f>IF(VLOOKUP($A$15+6,[0]!Plage3,23,FALSE)=0,1,VLOOKUP($A$15+6,[0]!Plage3,23,FALSE))</f>
        <v>#REF!</v>
      </c>
    </row>
    <row r="22" spans="1:31" ht="18" hidden="1" customHeight="1">
      <c r="A22" s="56"/>
      <c r="F22" s="53" t="e">
        <f>IF(VLOOKUP($A$15+7,[0]!Plage1,3,FALSE)=0,1,VLOOKUP($A$15+7,[0]!Plage1,3,FALSE))</f>
        <v>#REF!</v>
      </c>
      <c r="G22" s="53" t="e">
        <f>IF(VLOOKUP($A$15+7,[0]!Plage1,7,FALSE)=0,1,VLOOKUP($A$15+7,[0]!Plage1,7,FALSE))</f>
        <v>#REF!</v>
      </c>
      <c r="H22" s="53" t="e">
        <f>IF(VLOOKUP($A$15+7,[0]!Plage1,11,FALSE)=0,1,VLOOKUP($A$15+7,[0]!Plage1,11,FALSE))</f>
        <v>#REF!</v>
      </c>
      <c r="I22" s="53"/>
      <c r="J22" s="53" t="e">
        <f>IF(VLOOKUP($A$15+7,[0]!Plage2,3,FALSE)=0,1,VLOOKUP($A$15+7,[0]!Plage2,3,FALSE))</f>
        <v>#N/A</v>
      </c>
      <c r="K22" s="53" t="e">
        <f>IF(VLOOKUP($A$15+7,[0]!Plage2,7,FALSE)=0,1,VLOOKUP($A$15+7,[0]!Plage2,7,FALSE))</f>
        <v>#N/A</v>
      </c>
      <c r="L22" s="53" t="e">
        <f>IF(VLOOKUP($A$15+7,[0]!Plage2,11,FALSE)=0,1,VLOOKUP($A$15+7,[0]!Plage2,11,FALSE))</f>
        <v>#N/A</v>
      </c>
      <c r="M22" s="53" t="e">
        <f>IF(VLOOKUP($A$15+7,[0]!Plage2,15,FALSE)=0,1,VLOOKUP($A$15+7,[0]!Plage2,15,FALSE))</f>
        <v>#N/A</v>
      </c>
      <c r="N22" s="53" t="e">
        <f>IF(VLOOKUP($A$15+7,[0]!Plage2,19,FALSE)=0,1,VLOOKUP($A$15+7,[0]!Plage2,19,FALSE))</f>
        <v>#N/A</v>
      </c>
      <c r="O22" s="53" t="e">
        <f>IF(VLOOKUP($A$15+7,[0]!Plage2,23,FALSE)=0,1,VLOOKUP($A$15+7,[0]!Plage2,23,FALSE))</f>
        <v>#N/A</v>
      </c>
      <c r="P22" s="53" t="e">
        <f>IF(VLOOKUP($A$15+7,[0]!Plage2,27,FALSE)=0,1,VLOOKUP($A$15+7,[0]!Plage2,27,FALSE))</f>
        <v>#N/A</v>
      </c>
      <c r="Q22" s="53" t="e">
        <f>IF(VLOOKUP($A$15+7,[0]!Plage2,31,FALSE)=0,1,VLOOKUP($A$15+7,[0]!Plage2,31,FALSE))</f>
        <v>#N/A</v>
      </c>
      <c r="R22" s="53" t="e">
        <f>IF(VLOOKUP($A$15+7,[0]!Plage2,35,FALSE)=0,1,VLOOKUP($A$15+7,[0]!Plage2,35,FALSE))</f>
        <v>#N/A</v>
      </c>
      <c r="S22" s="53" t="e">
        <f>IF(VLOOKUP($A$15+7,[0]!Plage2,39,FALSE)=0,1,VLOOKUP($A$15+7,[0]!Plage2,39,FALSE))</f>
        <v>#N/A</v>
      </c>
      <c r="T22" s="53" t="e">
        <f>IF(VLOOKUP($A$15+7,[0]!Plage2,43,FALSE)=0,1,VLOOKUP($A$15+7,[0]!Plage2,43,FALSE))</f>
        <v>#N/A</v>
      </c>
      <c r="U22" s="53" t="e">
        <f>IF(VLOOKUP($A$15+7,[0]!Plage2,47,FALSE)=0,1,VLOOKUP($A$15+7,[0]!Plage2,47,FALSE))</f>
        <v>#N/A</v>
      </c>
      <c r="V22" s="53" t="e">
        <f>IF(VLOOKUP($A$15+7,[0]!Plage2,51,FALSE)=0,1,VLOOKUP($A$15+7,[0]!Plage2,51,FALSE))</f>
        <v>#N/A</v>
      </c>
      <c r="W22" s="53" t="e">
        <f>IF(VLOOKUP($A$15+7,[0]!Plage2,55,FALSE)=0,1,VLOOKUP($A$15+7,[0]!Plage2,55,FALSE))</f>
        <v>#N/A</v>
      </c>
      <c r="X22" s="53" t="e">
        <f>IF(VLOOKUP($A$15+7,[0]!Plage2,59,FALSE)=0,1,VLOOKUP($A$15+7,[0]!Plage2,59,FALSE))</f>
        <v>#N/A</v>
      </c>
      <c r="Y22" s="53"/>
      <c r="Z22" s="53" t="e">
        <f>IF(VLOOKUP($A$15+7,[0]!Plage3,3,FALSE)=0,1,VLOOKUP($A$15+7,[0]!Plage3,3,FALSE))</f>
        <v>#REF!</v>
      </c>
      <c r="AA22" s="53" t="e">
        <f>IF(VLOOKUP($A$15+7,[0]!Plage3,7,FALSE)=0,1,VLOOKUP($A$15+7,[0]!Plage3,7,FALSE))</f>
        <v>#REF!</v>
      </c>
      <c r="AB22" s="53" t="e">
        <f>IF(VLOOKUP($A$15+7,[0]!Plage3,11,FALSE)=0,1,VLOOKUP($A$15+7,[0]!Plage3,11,FALSE))</f>
        <v>#REF!</v>
      </c>
      <c r="AC22" s="53" t="e">
        <f>IF(VLOOKUP($A$15+7,[0]!Plage3,15,FALSE)=0,1,VLOOKUP($A$15+7,[0]!Plage3,15,FALSE))</f>
        <v>#REF!</v>
      </c>
      <c r="AD22" s="53" t="e">
        <f>IF(VLOOKUP($A$15+7,[0]!Plage3,19,FALSE)=0,1,VLOOKUP($A$15+7,[0]!Plage3,19,FALSE))</f>
        <v>#REF!</v>
      </c>
      <c r="AE22" s="53" t="e">
        <f>IF(VLOOKUP($A$15+7,[0]!Plage3,23,FALSE)=0,1,VLOOKUP($A$15+7,[0]!Plage3,23,FALSE))</f>
        <v>#REF!</v>
      </c>
    </row>
  </sheetData>
  <conditionalFormatting sqref="F10:H15 J10:X15 Z10:AE15">
    <cfRule type="expression" dxfId="14" priority="27">
      <formula>OR(AND(F10=1,F4:F9&lt;&gt;1,F4:F9&lt;&gt;"J"),AND(F10=1,F5:F9&lt;&gt;1,F5:F9&lt;&gt;"J",F11&lt;&gt;1,F11&lt;&gt;"J"),AND(F10=1,F6:F9&lt;&gt;1,F6:F9&lt;&gt;"J",F11:F12&lt;&gt;1,F11:F12&lt;&gt;"J"),AND(F10=1,F7:F9&lt;&gt;1,F7:F9&lt;&gt;"J",F11:F13&lt;&gt;1,F11:F13&lt;&gt;"J"),AND(F10=1,F8:F9&lt;&gt;1,F8:F9&lt;&gt;"J",F11:F14&lt;&gt;1,F11:F14&lt;&gt;"J"),AND(F10=1,F9&lt;&gt;1,F9&lt;&gt;"J",F11:F15&lt;&gt;1,F11:F15&lt;&gt;"J"),AND(F10=1,F11:F16&lt;&gt;1,F11:F16&lt;&gt;"J"),AND($B10="M",F9="N"),AND(OR(F11="M",AND(F12="M",F13&lt;&gt;1,F14&lt;&gt;1,F15&lt;&gt;1,F16&lt;&gt;1,F17&lt;&gt;1)),$B10="N"),AND(F8="N",F7&lt;&gt;1,F6&lt;&gt;1,F5&lt;&gt;1,F4&lt;&gt;1,F3&lt;&gt;1,$B10="M"))</formula>
    </cfRule>
    <cfRule type="expression" dxfId="13" priority="53">
      <formula>OR(AND(F8="S",F7&lt;&gt;1,F6&lt;&gt;1,F5&lt;&gt;1,F4&lt;&gt;1,F3&lt;&gt;1,$B10="M"),AND($B10="S",F11="M"),AND(F9="N",$B10="S"),AND(F9="S",$B10="M"),AND(F8="N",F7&lt;&gt;1,F6&lt;&gt;1,F5&lt;&gt;1,F4&lt;&gt;1,F3&lt;&gt;1,$B10="S"),AND($B10="S",F12="M",F13&lt;&gt;1,F14&lt;&gt;1,F15&lt;&gt;1,F16&lt;&gt;1,F17&lt;&gt;1),AND(F12="S",F13&lt;&gt;1,F14&lt;&gt;1,F15&lt;&gt;1,F16&lt;&gt;1,F17&lt;&gt;1,$B10="N"),AND($B10="N",F11="S"))</formula>
    </cfRule>
  </conditionalFormatting>
  <conditionalFormatting sqref="F10:H15 J10:X15 Z10:AE15">
    <cfRule type="cellIs" dxfId="12" priority="28" operator="equal">
      <formula>"J"</formula>
    </cfRule>
    <cfRule type="cellIs" dxfId="11" priority="29" operator="notEqual">
      <formula>1</formula>
    </cfRule>
    <cfRule type="cellIs" dxfId="10" priority="54" operator="equal">
      <formula>1</formula>
    </cfRule>
    <cfRule type="expression" dxfId="9" priority="80">
      <formula>ERROR.TYPE($AH$1)=7</formula>
    </cfRule>
  </conditionalFormatting>
  <conditionalFormatting sqref="J1:X15 Z1:AE15">
    <cfRule type="expression" dxfId="8" priority="3">
      <formula>$A$1="SV"</formula>
    </cfRule>
  </conditionalFormatting>
  <conditionalFormatting sqref="F1:H15 Z1:AE15">
    <cfRule type="expression" dxfId="7" priority="2">
      <formula>OR($A$1="MIXING",$A$1="COATER")</formula>
    </cfRule>
  </conditionalFormatting>
  <conditionalFormatting sqref="F1:H15 J1:X15">
    <cfRule type="expression" dxfId="6" priority="1">
      <formula>$A$1="FINITION"</formula>
    </cfRule>
  </conditionalFormatting>
  <dataValidations count="1">
    <dataValidation type="list" allowBlank="1" showInputMessage="1" showErrorMessage="1" sqref="A1">
      <formula1>$AG$8:$AG$11</formula1>
    </dataValidation>
  </dataValidations>
  <pageMargins left="0.7" right="0.7" top="0.75" bottom="0.75" header="0.3" footer="0.3"/>
  <pageSetup paperSize="9" orientation="portrait" r:id="rId1"/>
  <ignoredErrors>
    <ignoredError sqref="F4:AE9 F22:AE22 F10:AE21" evalError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R4076"/>
  <sheetViews>
    <sheetView tabSelected="1" zoomScale="85" zoomScaleNormal="85" workbookViewId="0">
      <pane xSplit="3" ySplit="1" topLeftCell="D17" activePane="bottomRight" state="frozen"/>
      <selection activeCell="D1" activeCellId="1" sqref="D1:D1048576 D1:D1048576"/>
      <selection pane="topRight" activeCell="D1" activeCellId="1" sqref="D1:D1048576 D1:D1048576"/>
      <selection pane="bottomLeft" activeCell="D1" activeCellId="1" sqref="D1:D1048576 D1:D1048576"/>
      <selection pane="bottomRight" activeCell="D24" sqref="D24:D31"/>
    </sheetView>
  </sheetViews>
  <sheetFormatPr baseColWidth="10" defaultRowHeight="15.75" thickBottom="1"/>
  <cols>
    <col min="1" max="1" width="10.7109375" style="72" customWidth="1"/>
    <col min="2" max="2" width="14.7109375" style="70" customWidth="1"/>
    <col min="3" max="3" width="11.42578125" style="82"/>
    <col min="4" max="4" width="12.7109375" style="86" customWidth="1"/>
    <col min="5" max="6" width="6.7109375" style="115" customWidth="1"/>
    <col min="7" max="7" width="8.7109375" style="116" customWidth="1"/>
    <col min="8" max="8" width="25.7109375" style="93" customWidth="1"/>
    <col min="9" max="9" width="4.7109375" style="73" customWidth="1"/>
    <col min="10" max="10" width="4.7109375" style="94" customWidth="1"/>
    <col min="11" max="16384" width="11.42578125" style="53"/>
  </cols>
  <sheetData>
    <row r="1" spans="1:17" s="68" customFormat="1" ht="39.950000000000003" customHeight="1" thickTop="1" thickBot="1">
      <c r="A1" s="45" t="s">
        <v>0</v>
      </c>
      <c r="B1" s="62" t="s">
        <v>1</v>
      </c>
      <c r="C1" s="80" t="s">
        <v>2</v>
      </c>
      <c r="D1" s="84"/>
      <c r="E1" s="113"/>
      <c r="F1" s="113"/>
      <c r="G1" s="114"/>
      <c r="H1" s="90"/>
      <c r="I1" s="63"/>
      <c r="J1" s="64"/>
    </row>
    <row r="2" spans="1:17" ht="16.5" customHeight="1" thickTop="1" thickBot="1">
      <c r="A2" s="69"/>
      <c r="B2" s="70">
        <v>43794</v>
      </c>
      <c r="C2" s="81" t="str">
        <f>IF(B2="","",TEXT(B2,"jjjj"))</f>
        <v>lundi</v>
      </c>
      <c r="D2" s="85" t="s">
        <v>25</v>
      </c>
      <c r="E2" s="115">
        <f t="shared" ref="E2:E15" si="0">IF(D2="","",B2+VLOOKUP(D2,Plageh,2,0))</f>
        <v>43794.871527777781</v>
      </c>
      <c r="F2" s="115">
        <f t="shared" ref="F2:F15" si="1">IF(D2="","",B2+VLOOKUP(D2,Plageh,3,0))</f>
        <v>43795.213888888888</v>
      </c>
      <c r="H2" s="91"/>
      <c r="I2" s="71">
        <f ca="1">IF(D2="N",COUNTIF(INDIRECT(ADDRESS(MATCH(Plages!$D$19,'Planning annuel mixing coater'!$B:$B),4)):D2,"N"),IF(D2="N1",COUNTIF(D$2:D2,"N1"),""))</f>
        <v>3</v>
      </c>
      <c r="J2" s="92">
        <f>IF(D2="","",COUNTA(D2:D2)-(COUNTA(D2:D2)-1))</f>
        <v>1</v>
      </c>
    </row>
    <row r="3" spans="1:17" ht="15.75" customHeight="1" thickBot="1">
      <c r="B3" s="70">
        <f>IF(B2="","",B2+1)</f>
        <v>43795</v>
      </c>
      <c r="C3" s="82" t="str">
        <f>IF(B3="","",TEXT(B3,"jjjj"))</f>
        <v>mardi</v>
      </c>
      <c r="E3" s="115" t="str">
        <f t="shared" si="0"/>
        <v/>
      </c>
      <c r="F3" s="115" t="str">
        <f t="shared" si="1"/>
        <v/>
      </c>
      <c r="G3" s="116" t="str">
        <f>IF(ISNONTEXT(D3),"",E3-MAX($F$2:F2))</f>
        <v/>
      </c>
      <c r="I3" s="73" t="str">
        <f ca="1">IF(D3="N",COUNTIF(INDIRECT(ADDRESS(MATCH(Plages!$D$19,'Planning annuel mixing coater'!$B:$B),4)):D3,"N"),IF(D3="N1",COUNTIF(D$2:D3,"N1"),""))</f>
        <v/>
      </c>
      <c r="J3" s="94" t="str">
        <f>IF(D3="","",COUNTA(D2:D3)-(COUNTA(D3:D3)-1))</f>
        <v/>
      </c>
    </row>
    <row r="4" spans="1:17" ht="15.75" customHeight="1" thickBot="1">
      <c r="B4" s="70">
        <f t="shared" ref="B4:B67" si="2">IF(B3="","",B3+1)</f>
        <v>43796</v>
      </c>
      <c r="C4" s="82" t="str">
        <f t="shared" ref="C4:C29" si="3">IF(B4="","",TEXT(B4,"jjjj"))</f>
        <v>mercredi</v>
      </c>
      <c r="D4" s="86" t="s">
        <v>23</v>
      </c>
      <c r="E4" s="115">
        <f t="shared" si="0"/>
        <v>43796.204861111109</v>
      </c>
      <c r="F4" s="115">
        <f t="shared" si="1"/>
        <v>43796.547222222223</v>
      </c>
      <c r="G4" s="116">
        <f>IF(ISNONTEXT(D4),"",E4-MAX($F$2:F3))</f>
        <v>0.99097222222189885</v>
      </c>
      <c r="I4" s="73" t="str">
        <f ca="1">IF(D4="N",COUNTIF(INDIRECT(ADDRESS(MATCH(Plages!$D$19,'Planning annuel mixing coater'!$B:$B),4)):D4,"N"),IF(D4="N1",COUNTIF(D$2:D4,"N1"),""))</f>
        <v/>
      </c>
      <c r="J4" s="94">
        <f>IF(D4="","",COUNTA(D2:D4)-(COUNTA(D4:D4)-1))</f>
        <v>2</v>
      </c>
      <c r="L4" s="142" t="s">
        <v>80</v>
      </c>
      <c r="M4" s="142"/>
      <c r="N4" s="142"/>
      <c r="O4" s="142"/>
      <c r="P4" s="142"/>
    </row>
    <row r="5" spans="1:17" s="49" customFormat="1" thickBot="1">
      <c r="A5" s="72"/>
      <c r="B5" s="70">
        <f t="shared" si="2"/>
        <v>43797</v>
      </c>
      <c r="C5" s="82" t="str">
        <f t="shared" si="3"/>
        <v>jeudi</v>
      </c>
      <c r="D5" s="87" t="s">
        <v>23</v>
      </c>
      <c r="E5" s="115">
        <f t="shared" si="0"/>
        <v>43797.204861111109</v>
      </c>
      <c r="F5" s="115">
        <f t="shared" si="1"/>
        <v>43797.547222222223</v>
      </c>
      <c r="G5" s="116">
        <f>IF(ISNONTEXT(D5),"",E5-MAX($F$2:F4))</f>
        <v>0.65763888888614019</v>
      </c>
      <c r="H5" s="95"/>
      <c r="I5" s="74" t="str">
        <f ca="1">IF(D5="N",COUNTIF(INDIRECT(ADDRESS(MATCH(Plages!$D$19,'Planning annuel mixing coater'!$B:$B),4)):D5,"N"),IF(D5="N1",COUNTIF(D$2:D5,"N1"),""))</f>
        <v/>
      </c>
      <c r="J5" s="96">
        <f>IF(D5="","",COUNTA(D2:D5)-(COUNTA(D5:D5)-1))</f>
        <v>3</v>
      </c>
    </row>
    <row r="6" spans="1:17" thickBot="1">
      <c r="B6" s="70">
        <f t="shared" si="2"/>
        <v>43798</v>
      </c>
      <c r="C6" s="82" t="str">
        <f t="shared" si="3"/>
        <v>vendredi</v>
      </c>
      <c r="D6" s="86" t="s">
        <v>24</v>
      </c>
      <c r="E6" s="115">
        <f t="shared" si="0"/>
        <v>43798.538194444445</v>
      </c>
      <c r="F6" s="115">
        <f t="shared" si="1"/>
        <v>43798.880555555559</v>
      </c>
      <c r="G6" s="116">
        <f>IF(ISNONTEXT(D6),"",E6-MAX($F$2:F5))</f>
        <v>0.99097222222189885</v>
      </c>
      <c r="I6" s="73" t="str">
        <f ca="1">IF(D6="N",COUNTIF(INDIRECT(ADDRESS(MATCH(Plages!$D$19,'Planning annuel mixing coater'!$B:$B),4)):D6,"N"),IF(D6="N1",COUNTIF(D$2:D6,"N1"),""))</f>
        <v/>
      </c>
      <c r="J6" s="94">
        <f>IF(D6="","",COUNTA(D2:D6)-(COUNTA(D6:D6)-1))</f>
        <v>4</v>
      </c>
    </row>
    <row r="7" spans="1:17" thickBot="1">
      <c r="B7" s="70">
        <f t="shared" si="2"/>
        <v>43799</v>
      </c>
      <c r="C7" s="82" t="str">
        <f t="shared" si="3"/>
        <v>samedi</v>
      </c>
      <c r="D7" s="86" t="s">
        <v>24</v>
      </c>
      <c r="E7" s="115">
        <f t="shared" si="0"/>
        <v>43799.538194444445</v>
      </c>
      <c r="F7" s="115">
        <f t="shared" si="1"/>
        <v>43799.880555555559</v>
      </c>
      <c r="G7" s="116">
        <f>IF(ISNONTEXT(D7),"",E7-MAX($F$2:F6))</f>
        <v>0.65763888888614019</v>
      </c>
      <c r="I7" s="73" t="str">
        <f ca="1">IF(D7="N",COUNTIF(INDIRECT(ADDRESS(MATCH(Plages!$D$19,'Planning annuel mixing coater'!$B:$B),4)):D7,"N"),IF(D7="N1",COUNTIF(D$2:D7,"N1"),""))</f>
        <v/>
      </c>
      <c r="J7" s="94">
        <f>IF(D7="","",COUNTA(D2:D7)-(COUNTA(D7:D7)-1))</f>
        <v>5</v>
      </c>
    </row>
    <row r="8" spans="1:17" thickBot="1">
      <c r="B8" s="70">
        <f t="shared" si="2"/>
        <v>43800</v>
      </c>
      <c r="C8" s="82" t="str">
        <f t="shared" si="3"/>
        <v>dimanche</v>
      </c>
      <c r="D8" s="86" t="s">
        <v>25</v>
      </c>
      <c r="E8" s="115">
        <f t="shared" si="0"/>
        <v>43800.871527777781</v>
      </c>
      <c r="F8" s="115">
        <f t="shared" si="1"/>
        <v>43801.213888888888</v>
      </c>
      <c r="G8" s="116">
        <f>IF(ISNONTEXT(D8),"",E8-MAX($F$2:F7))</f>
        <v>0.99097222222189885</v>
      </c>
      <c r="I8" s="73">
        <f ca="1">IF(D8="N",COUNTIF(INDIRECT(ADDRESS(MATCH(Plages!$D$19,'Planning annuel mixing coater'!$B:$B),4)):D8,"N"),IF(D8="N1",COUNTIF(D$2:D8,"N1"),""))</f>
        <v>2</v>
      </c>
      <c r="J8" s="94">
        <f>IF(D8="","",COUNTA(D2:D8)-(COUNTA(D8:D8)-1))</f>
        <v>6</v>
      </c>
    </row>
    <row r="9" spans="1:17" ht="16.5" thickTop="1" thickBot="1">
      <c r="A9" s="139" t="s">
        <v>30</v>
      </c>
      <c r="B9" s="70">
        <f t="shared" si="2"/>
        <v>43801</v>
      </c>
      <c r="C9" s="82" t="str">
        <f t="shared" si="3"/>
        <v>lundi</v>
      </c>
      <c r="D9" s="87" t="s">
        <v>25</v>
      </c>
      <c r="E9" s="115">
        <f t="shared" si="0"/>
        <v>43801.871527777781</v>
      </c>
      <c r="F9" s="115">
        <f t="shared" si="1"/>
        <v>43802.213888888888</v>
      </c>
      <c r="G9" s="116">
        <f>IF(ISNONTEXT(D9),"",E9-MAX($F$2:F8))</f>
        <v>0.65763888889341615</v>
      </c>
      <c r="H9" s="97"/>
      <c r="I9" s="74">
        <f ca="1">IF(D9="N",COUNTIF(INDIRECT(ADDRESS(MATCH(Plages!$D$19,'Planning annuel mixing coater'!$B:$B),4)):D9,"N"),IF(D9="N1",COUNTIF(D$2:D9,"N1"),""))</f>
        <v>1</v>
      </c>
      <c r="J9" s="96">
        <f>IF(D9="","",COUNTA(D2:D9)-(COUNTA(D9:D9)-1))</f>
        <v>7</v>
      </c>
    </row>
    <row r="10" spans="1:17" thickBot="1">
      <c r="A10" s="140"/>
      <c r="B10" s="70">
        <f t="shared" si="2"/>
        <v>43802</v>
      </c>
      <c r="C10" s="82" t="str">
        <f t="shared" si="3"/>
        <v>mardi</v>
      </c>
      <c r="D10" s="87"/>
      <c r="E10" s="115" t="str">
        <f t="shared" si="0"/>
        <v/>
      </c>
      <c r="F10" s="115" t="str">
        <f t="shared" si="1"/>
        <v/>
      </c>
      <c r="G10" s="116" t="str">
        <f>IF(ISNONTEXT(D10),"",E10-MAX($F$2:F9))</f>
        <v/>
      </c>
      <c r="H10" s="97"/>
      <c r="I10" s="74" t="str">
        <f ca="1">IF(D10="N",COUNTIF(INDIRECT(ADDRESS(MATCH(Plages!$D$19,'Planning annuel mixing coater'!$B:$B),4)):D10,"N"),IF(D10="N1",COUNTIF(D$2:D10,"N1"),""))</f>
        <v/>
      </c>
      <c r="J10" s="96" t="str">
        <f>IF(D10="","",COUNTA(D2:D10)-(COUNTA(D10:D10)-1))</f>
        <v/>
      </c>
    </row>
    <row r="11" spans="1:17" thickBot="1">
      <c r="A11" s="140"/>
      <c r="B11" s="70">
        <f t="shared" si="2"/>
        <v>43803</v>
      </c>
      <c r="C11" s="82" t="str">
        <f t="shared" si="3"/>
        <v>mercredi</v>
      </c>
      <c r="D11" s="87" t="s">
        <v>23</v>
      </c>
      <c r="E11" s="115">
        <f t="shared" si="0"/>
        <v>43803.204861111109</v>
      </c>
      <c r="F11" s="115">
        <f t="shared" si="1"/>
        <v>43803.547222222223</v>
      </c>
      <c r="G11" s="116">
        <f>IF(ISNONTEXT(D11),"",E11-MAX($F$2:F10))</f>
        <v>0.99097222222189885</v>
      </c>
      <c r="H11" s="97"/>
      <c r="I11" s="74" t="str">
        <f ca="1">IF(D11="N",COUNTIF(INDIRECT(ADDRESS(MATCH(Plages!$D$19,'Planning annuel mixing coater'!$B:$B),4)):D11,"N"),IF(D11="N1",COUNTIF(D$2:D11,"N1"),""))</f>
        <v/>
      </c>
      <c r="J11" s="96">
        <f>IF(D11="","",COUNTA(D2:D11)-(COUNTA(D11:D11)-1))</f>
        <v>8</v>
      </c>
      <c r="L11" s="142" t="s">
        <v>80</v>
      </c>
      <c r="M11" s="142"/>
      <c r="N11" s="142"/>
      <c r="O11" s="142"/>
      <c r="P11" s="142"/>
    </row>
    <row r="12" spans="1:17" thickBot="1">
      <c r="A12" s="140"/>
      <c r="B12" s="70">
        <f t="shared" si="2"/>
        <v>43804</v>
      </c>
      <c r="C12" s="82" t="str">
        <f t="shared" si="3"/>
        <v>jeudi</v>
      </c>
      <c r="D12" s="87"/>
      <c r="E12" s="115" t="str">
        <f t="shared" si="0"/>
        <v/>
      </c>
      <c r="F12" s="115" t="str">
        <f t="shared" si="1"/>
        <v/>
      </c>
      <c r="G12" s="116" t="str">
        <f>IF(ISNONTEXT(D12),"",E12-MAX($F$2:F11))</f>
        <v/>
      </c>
      <c r="H12" s="97"/>
      <c r="I12" s="74" t="str">
        <f ca="1">IF(D12="N",COUNTIF(INDIRECT(ADDRESS(MATCH(Plages!$D$19,'Planning annuel mixing coater'!$B:$B),4)):D12,"N"),IF(D12="N1",COUNTIF(D$2:D12,"N1"),""))</f>
        <v/>
      </c>
      <c r="J12" s="96" t="str">
        <f>IF(D12="","",COUNTA(D2:D12)-(COUNTA(D12:D12)-1))</f>
        <v/>
      </c>
    </row>
    <row r="13" spans="1:17" thickBot="1">
      <c r="A13" s="140"/>
      <c r="B13" s="70">
        <f t="shared" si="2"/>
        <v>43805</v>
      </c>
      <c r="C13" s="82" t="str">
        <f t="shared" si="3"/>
        <v>vendredi</v>
      </c>
      <c r="D13" s="87" t="s">
        <v>25</v>
      </c>
      <c r="E13" s="115">
        <f t="shared" si="0"/>
        <v>43805.871527777781</v>
      </c>
      <c r="F13" s="115">
        <f t="shared" si="1"/>
        <v>43806.213888888888</v>
      </c>
      <c r="G13" s="116">
        <f>IF(ISNONTEXT(D13),"",E13-MAX($F$2:F12))</f>
        <v>2.3243055555576575</v>
      </c>
      <c r="H13" s="97"/>
      <c r="I13" s="74">
        <f ca="1">IF(D13="N",COUNTIF(INDIRECT(ADDRESS(MATCH(Plages!$D$19,'Planning annuel mixing coater'!$B:$B),4)):D13,"N"),IF(D13="N1",COUNTIF(D$2:D13,"N1"),""))</f>
        <v>2</v>
      </c>
      <c r="J13" s="96">
        <f>IF(D13="","",COUNTA(D2:D13)-(COUNTA(D13:D13)-1))</f>
        <v>9</v>
      </c>
    </row>
    <row r="14" spans="1:17" thickBot="1">
      <c r="A14" s="140"/>
      <c r="B14" s="70">
        <f t="shared" si="2"/>
        <v>43806</v>
      </c>
      <c r="C14" s="82" t="str">
        <f t="shared" si="3"/>
        <v>samedi</v>
      </c>
      <c r="D14" s="87"/>
      <c r="E14" s="115" t="str">
        <f t="shared" si="0"/>
        <v/>
      </c>
      <c r="F14" s="115" t="str">
        <f t="shared" si="1"/>
        <v/>
      </c>
      <c r="G14" s="116" t="str">
        <f>IF(ISNONTEXT(D14),"",E14-MAX($F$2:F13))</f>
        <v/>
      </c>
      <c r="H14" s="97"/>
      <c r="I14" s="74" t="str">
        <f ca="1">IF(D14="N",COUNTIF(INDIRECT(ADDRESS(MATCH(Plages!$D$19,'Planning annuel mixing coater'!$B:$B),4)):D14,"N"),IF(D14="N1",COUNTIF(D$2:D14,"N1"),""))</f>
        <v/>
      </c>
      <c r="J14" s="96" t="str">
        <f>IF(D14="","",COUNTA(D2:D14)-(COUNTA(D14:D14)-1))</f>
        <v/>
      </c>
    </row>
    <row r="15" spans="1:17" s="77" customFormat="1" thickBot="1">
      <c r="A15" s="140"/>
      <c r="B15" s="75">
        <f t="shared" si="2"/>
        <v>43807</v>
      </c>
      <c r="C15" s="83" t="str">
        <f t="shared" si="3"/>
        <v>dimanche</v>
      </c>
      <c r="D15" s="88" t="s">
        <v>24</v>
      </c>
      <c r="E15" s="115">
        <f t="shared" si="0"/>
        <v>43807.538194444445</v>
      </c>
      <c r="F15" s="115">
        <f t="shared" si="1"/>
        <v>43807.880555555559</v>
      </c>
      <c r="G15" s="116">
        <f>IF(ISNONTEXT(D15),"",E15-MAX($F$2:F14))</f>
        <v>1.3243055555576575</v>
      </c>
      <c r="H15" s="98"/>
      <c r="I15" s="76" t="str">
        <f ca="1">IF(D15="N",COUNTIF(INDIRECT(ADDRESS(MATCH(Plages!$D$19,'Planning annuel mixing coater'!$B:$B),4)):D15,"N"),IF(D15="N1",COUNTIF(D$2:D15,"N1"),""))</f>
        <v/>
      </c>
      <c r="J15" s="99">
        <f>IF(D15="","",COUNTA(D2:D15)-(COUNTA(D15:D15)-1))</f>
        <v>10</v>
      </c>
      <c r="L15" s="143" t="s">
        <v>81</v>
      </c>
      <c r="M15" s="143"/>
      <c r="N15" s="143"/>
      <c r="O15" s="143"/>
      <c r="P15" s="143"/>
      <c r="Q15" s="143"/>
    </row>
    <row r="16" spans="1:17" ht="16.5" thickTop="1" thickBot="1">
      <c r="A16" s="140"/>
      <c r="B16" s="78">
        <f t="shared" si="2"/>
        <v>43808</v>
      </c>
      <c r="C16" s="81" t="str">
        <f t="shared" si="3"/>
        <v>lundi</v>
      </c>
      <c r="D16" s="89" t="s">
        <v>24</v>
      </c>
      <c r="E16" s="115">
        <f t="shared" ref="E16:E29" si="4">IF(D16="","",B16+VLOOKUP(D16,Plageh,2,0))</f>
        <v>43808.538194444445</v>
      </c>
      <c r="F16" s="115">
        <f t="shared" ref="F16:F29" si="5">IF(D16="","",B16+VLOOKUP(D16,Plageh,3,0))</f>
        <v>43808.880555555559</v>
      </c>
      <c r="G16" s="116">
        <f>IF(ISNONTEXT(D16),"",E16-MAX($F$2:F15))</f>
        <v>0.65763888888614019</v>
      </c>
      <c r="H16" s="100"/>
      <c r="I16" s="79" t="str">
        <f ca="1">IF(D16="N",COUNTIF(INDIRECT(ADDRESS(MATCH(Plages!$D$19,'Planning annuel mixing coater'!$B:$B),4)):D16,"N"),IF(D16="N1",COUNTIF($D$9:D16,"N1"),""))</f>
        <v/>
      </c>
      <c r="J16" s="101">
        <f>IF(D16="","",COUNTA(D16:D16)-(COUNTA(D16:D16)-1))</f>
        <v>1</v>
      </c>
      <c r="L16" s="144" t="s">
        <v>82</v>
      </c>
      <c r="M16" s="144"/>
      <c r="N16" s="144"/>
      <c r="O16" s="144"/>
      <c r="P16" s="144"/>
      <c r="Q16" s="144"/>
    </row>
    <row r="17" spans="1:16" thickBot="1">
      <c r="A17" s="140"/>
      <c r="B17" s="70">
        <f t="shared" si="2"/>
        <v>43809</v>
      </c>
      <c r="C17" s="82" t="str">
        <f t="shared" si="3"/>
        <v>mardi</v>
      </c>
      <c r="D17" s="87" t="s">
        <v>24</v>
      </c>
      <c r="E17" s="115">
        <f t="shared" si="4"/>
        <v>43809.538194444445</v>
      </c>
      <c r="F17" s="115">
        <f t="shared" si="5"/>
        <v>43809.880555555559</v>
      </c>
      <c r="G17" s="116">
        <f>IF(ISNONTEXT(D17),"",E17-MAX($F$2:F16))</f>
        <v>0.65763888888614019</v>
      </c>
      <c r="H17" s="97"/>
      <c r="I17" s="74" t="str">
        <f ca="1">IF(D17="N",COUNTIF(INDIRECT(ADDRESS(MATCH(Plages!$D$19,'Planning annuel mixing coater'!$B:$B),4)):D17,"N"),IF(D17="N1",COUNTIF($D$9:D17,"N1"),""))</f>
        <v/>
      </c>
      <c r="J17" s="96">
        <f>IF(D17="","",COUNTA(D16:D17)-(COUNTA(D17:D17)-1))</f>
        <v>2</v>
      </c>
    </row>
    <row r="18" spans="1:16" thickBot="1">
      <c r="A18" s="140"/>
      <c r="B18" s="70">
        <f t="shared" si="2"/>
        <v>43810</v>
      </c>
      <c r="C18" s="82" t="str">
        <f t="shared" si="3"/>
        <v>mercredi</v>
      </c>
      <c r="D18" s="87" t="s">
        <v>24</v>
      </c>
      <c r="E18" s="115">
        <f t="shared" si="4"/>
        <v>43810.538194444445</v>
      </c>
      <c r="F18" s="115">
        <f t="shared" si="5"/>
        <v>43810.880555555559</v>
      </c>
      <c r="G18" s="116">
        <f>IF(ISNONTEXT(D18),"",E18-MAX($F$2:F17))</f>
        <v>0.65763888888614019</v>
      </c>
      <c r="H18" s="97"/>
      <c r="I18" s="74" t="str">
        <f ca="1">IF(D18="N",COUNTIF(INDIRECT(ADDRESS(MATCH(Plages!$D$19,'Planning annuel mixing coater'!$B:$B),4)):D18,"N"),IF(D18="N1",COUNTIF($D$9:D18,"N1"),""))</f>
        <v/>
      </c>
      <c r="J18" s="96">
        <f>IF(D18="","",COUNTA(D16:D18)-(COUNTA(D18:D18)-1))</f>
        <v>3</v>
      </c>
    </row>
    <row r="19" spans="1:16" thickBot="1">
      <c r="A19" s="140"/>
      <c r="B19" s="70">
        <f t="shared" si="2"/>
        <v>43811</v>
      </c>
      <c r="C19" s="82" t="str">
        <f t="shared" si="3"/>
        <v>jeudi</v>
      </c>
      <c r="D19" s="87" t="s">
        <v>25</v>
      </c>
      <c r="E19" s="115">
        <f t="shared" si="4"/>
        <v>43811.871527777781</v>
      </c>
      <c r="F19" s="115">
        <f t="shared" si="5"/>
        <v>43812.213888888888</v>
      </c>
      <c r="G19" s="116">
        <f>IF(ISNONTEXT(D19),"",E19-MAX($F$2:F18))</f>
        <v>0.99097222222189885</v>
      </c>
      <c r="H19" s="97"/>
      <c r="I19" s="74">
        <f ca="1">IF(D19="N",COUNTIF(INDIRECT(ADDRESS(MATCH(Plages!$D$19,'Planning annuel mixing coater'!$B:$B),4)):D19,"N"),IF(D19="N1",COUNTIF($D$9:D19,"N1"),""))</f>
        <v>3</v>
      </c>
      <c r="J19" s="96">
        <f>IF(D19="","",COUNTA(D16:D19)-(COUNTA(D19:D19)-1))</f>
        <v>4</v>
      </c>
    </row>
    <row r="20" spans="1:16" thickBot="1">
      <c r="A20" s="140"/>
      <c r="B20" s="70">
        <f t="shared" si="2"/>
        <v>43812</v>
      </c>
      <c r="C20" s="82" t="str">
        <f t="shared" si="3"/>
        <v>vendredi</v>
      </c>
      <c r="D20" s="87" t="s">
        <v>25</v>
      </c>
      <c r="E20" s="115">
        <f t="shared" si="4"/>
        <v>43812.871527777781</v>
      </c>
      <c r="F20" s="115">
        <f t="shared" si="5"/>
        <v>43813.213888888888</v>
      </c>
      <c r="G20" s="116">
        <f>IF(ISNONTEXT(D20),"",E20-MAX($F$2:F19))</f>
        <v>0.65763888889341615</v>
      </c>
      <c r="H20" s="97"/>
      <c r="I20" s="74">
        <f ca="1">IF(D20="N",COUNTIF(INDIRECT(ADDRESS(MATCH(Plages!$D$19,'Planning annuel mixing coater'!$B:$B),4)):D20,"N"),IF(D20="N1",COUNTIF($D$9:D20,"N1"),""))</f>
        <v>4</v>
      </c>
      <c r="J20" s="96">
        <f>IF(D20="","",COUNTA(D16:D20)-(COUNTA(D20:D20)-1))</f>
        <v>5</v>
      </c>
    </row>
    <row r="21" spans="1:16" thickBot="1">
      <c r="A21" s="140"/>
      <c r="B21" s="70">
        <f t="shared" si="2"/>
        <v>43813</v>
      </c>
      <c r="C21" s="82" t="str">
        <f t="shared" si="3"/>
        <v>samedi</v>
      </c>
      <c r="D21" s="87"/>
      <c r="E21" s="115" t="str">
        <f t="shared" si="4"/>
        <v/>
      </c>
      <c r="F21" s="115" t="str">
        <f t="shared" si="5"/>
        <v/>
      </c>
      <c r="G21" s="116" t="str">
        <f>IF(ISNONTEXT(D21),"",E21-MAX($F$2:F20))</f>
        <v/>
      </c>
      <c r="H21" s="97"/>
      <c r="I21" s="74" t="str">
        <f ca="1">IF(D21="N",COUNTIF(INDIRECT(ADDRESS(MATCH(Plages!$D$19,'Planning annuel mixing coater'!$B:$B),4)):D21,"N"),IF(D21="N1",COUNTIF($D$9:D21,"N1"),""))</f>
        <v/>
      </c>
      <c r="J21" s="96" t="str">
        <f>IF(D21="","",COUNTA(D16:D21)-(COUNTA(D21:D21)-1))</f>
        <v/>
      </c>
    </row>
    <row r="22" spans="1:16" thickBot="1">
      <c r="A22" s="140"/>
      <c r="B22" s="70">
        <f t="shared" si="2"/>
        <v>43814</v>
      </c>
      <c r="C22" s="82" t="str">
        <f t="shared" si="3"/>
        <v>dimanche</v>
      </c>
      <c r="D22" s="87"/>
      <c r="E22" s="115" t="str">
        <f t="shared" si="4"/>
        <v/>
      </c>
      <c r="F22" s="115" t="str">
        <f t="shared" si="5"/>
        <v/>
      </c>
      <c r="G22" s="116" t="str">
        <f>IF(ISNONTEXT(D22),"",E22-MAX($F$2:F21))</f>
        <v/>
      </c>
      <c r="H22" s="98"/>
      <c r="I22" s="74" t="str">
        <f ca="1">IF(D22="N",COUNTIF(INDIRECT(ADDRESS(MATCH(Plages!$D$19,'Planning annuel mixing coater'!$B:$B),4)):D22,"N"),IF(D22="N1",COUNTIF($D$9:D22,"N1"),""))</f>
        <v/>
      </c>
      <c r="J22" s="96" t="str">
        <f>IF(D22="","",COUNTA(D16:D22)-(COUNTA(D22:D22)-1))</f>
        <v/>
      </c>
    </row>
    <row r="23" spans="1:16" thickBot="1">
      <c r="A23" s="140"/>
      <c r="B23" s="70">
        <f t="shared" si="2"/>
        <v>43815</v>
      </c>
      <c r="C23" s="82" t="str">
        <f t="shared" si="3"/>
        <v>lundi</v>
      </c>
      <c r="D23" s="87"/>
      <c r="E23" s="115" t="str">
        <f t="shared" si="4"/>
        <v/>
      </c>
      <c r="F23" s="115" t="str">
        <f t="shared" si="5"/>
        <v/>
      </c>
      <c r="G23" s="116" t="str">
        <f>IF(ISNONTEXT(D23),"",E23-MAX($F$2:F22))</f>
        <v/>
      </c>
      <c r="H23" s="97"/>
      <c r="I23" s="74" t="str">
        <f ca="1">IF(D23="N",COUNTIF(INDIRECT(ADDRESS(MATCH(Plages!$D$19,'Planning annuel mixing coater'!$B:$B),4)):D23,"N"),IF(D23="N1",COUNTIF($D$9:D23,"N1"),""))</f>
        <v/>
      </c>
      <c r="J23" s="96" t="str">
        <f>IF(D23="","",COUNTA(D16:D23)-(COUNTA(D23:D23)-1))</f>
        <v/>
      </c>
    </row>
    <row r="24" spans="1:16" thickBot="1">
      <c r="A24" s="140"/>
      <c r="B24" s="70">
        <f t="shared" si="2"/>
        <v>43816</v>
      </c>
      <c r="C24" s="82" t="str">
        <f t="shared" si="3"/>
        <v>mardi</v>
      </c>
      <c r="D24" s="87" t="s">
        <v>23</v>
      </c>
      <c r="E24" s="115">
        <f t="shared" si="4"/>
        <v>43816.204861111109</v>
      </c>
      <c r="F24" s="115">
        <f t="shared" si="5"/>
        <v>43816.547222222223</v>
      </c>
      <c r="G24" s="116">
        <f>IF(ISNONTEXT(D24),"",E24-MAX($F$2:F23))</f>
        <v>2.9909722222218988</v>
      </c>
      <c r="H24" s="97"/>
      <c r="I24" s="74" t="str">
        <f ca="1">IF(D24="N",COUNTIF(INDIRECT(ADDRESS(MATCH(Plages!$D$19,'Planning annuel mixing coater'!$B:$B),4)):D24,"N"),IF(D24="N1",COUNTIF($D$9:D24,"N1"),""))</f>
        <v/>
      </c>
      <c r="J24" s="96">
        <f>IF(D24="","",COUNTA(D16:D24)-(COUNTA(D24:D24)-1))</f>
        <v>6</v>
      </c>
    </row>
    <row r="25" spans="1:16" thickBot="1">
      <c r="A25" s="140"/>
      <c r="B25" s="70">
        <f t="shared" si="2"/>
        <v>43817</v>
      </c>
      <c r="C25" s="82" t="str">
        <f t="shared" si="3"/>
        <v>mercredi</v>
      </c>
      <c r="D25" s="87" t="s">
        <v>23</v>
      </c>
      <c r="E25" s="115">
        <f t="shared" si="4"/>
        <v>43817.204861111109</v>
      </c>
      <c r="F25" s="115">
        <f t="shared" si="5"/>
        <v>43817.547222222223</v>
      </c>
      <c r="G25" s="116">
        <f>IF(ISNONTEXT(D25),"",E25-MAX($F$2:F24))</f>
        <v>0.65763888888614019</v>
      </c>
      <c r="H25" s="97"/>
      <c r="I25" s="74" t="str">
        <f ca="1">IF(D25="N",COUNTIF(INDIRECT(ADDRESS(MATCH(Plages!$D$19,'Planning annuel mixing coater'!$B:$B),4)):D25,"N"),IF(D25="N1",COUNTIF($D$9:D25,"N1"),""))</f>
        <v/>
      </c>
      <c r="J25" s="96">
        <f>IF(D25="","",COUNTA(D16:D25)-(COUNTA(D25:D25)-1))</f>
        <v>7</v>
      </c>
    </row>
    <row r="26" spans="1:16" thickBot="1">
      <c r="A26" s="140"/>
      <c r="B26" s="70">
        <f t="shared" si="2"/>
        <v>43818</v>
      </c>
      <c r="C26" s="82" t="str">
        <f t="shared" si="3"/>
        <v>jeudi</v>
      </c>
      <c r="D26" s="87" t="s">
        <v>25</v>
      </c>
      <c r="E26" s="115">
        <f t="shared" si="4"/>
        <v>43818.871527777781</v>
      </c>
      <c r="F26" s="115">
        <f t="shared" si="5"/>
        <v>43819.213888888888</v>
      </c>
      <c r="G26" s="116">
        <f>IF(ISNONTEXT(D26),"",E26-MAX($F$2:F25))</f>
        <v>1.3243055555576575</v>
      </c>
      <c r="H26" s="97"/>
      <c r="I26" s="74">
        <f ca="1">IF(D26="N",COUNTIF(INDIRECT(ADDRESS(MATCH(Plages!$D$19,'Planning annuel mixing coater'!$B:$B),4)):D26,"N"),IF(D26="N1",COUNTIF($D$9:D26,"N1"),""))</f>
        <v>5</v>
      </c>
      <c r="J26" s="96">
        <f>IF(D26="","",COUNTA(D16:D26)-(COUNTA(D26:D26)-1))</f>
        <v>8</v>
      </c>
    </row>
    <row r="27" spans="1:16" thickBot="1">
      <c r="A27" s="140"/>
      <c r="B27" s="70">
        <f t="shared" si="2"/>
        <v>43819</v>
      </c>
      <c r="C27" s="82" t="str">
        <f t="shared" si="3"/>
        <v>vendredi</v>
      </c>
      <c r="D27" s="87"/>
      <c r="E27" s="115" t="str">
        <f t="shared" si="4"/>
        <v/>
      </c>
      <c r="F27" s="115" t="str">
        <f t="shared" si="5"/>
        <v/>
      </c>
      <c r="G27" s="116" t="str">
        <f>IF(ISNONTEXT(D27),"",E27-MAX($F$2:F26))</f>
        <v/>
      </c>
      <c r="H27" s="97"/>
      <c r="I27" s="74" t="str">
        <f ca="1">IF(D27="N",COUNTIF(INDIRECT(ADDRESS(MATCH(Plages!$D$19,'Planning annuel mixing coater'!$B:$B),4)):D27,"N"),IF(D27="N1",COUNTIF($D$9:D27,"N1"),""))</f>
        <v/>
      </c>
      <c r="J27" s="96" t="str">
        <f>IF(D27="","",COUNTA(D16:D27)-(COUNTA(D27:D27)-1))</f>
        <v/>
      </c>
    </row>
    <row r="28" spans="1:16" thickBot="1">
      <c r="A28" s="140"/>
      <c r="B28" s="70">
        <f t="shared" si="2"/>
        <v>43820</v>
      </c>
      <c r="C28" s="82" t="str">
        <f t="shared" si="3"/>
        <v>samedi</v>
      </c>
      <c r="D28" s="87" t="s">
        <v>23</v>
      </c>
      <c r="E28" s="115">
        <f t="shared" si="4"/>
        <v>43820.204861111109</v>
      </c>
      <c r="F28" s="115">
        <f t="shared" si="5"/>
        <v>43820.547222222223</v>
      </c>
      <c r="G28" s="116">
        <f>IF(ISNONTEXT(D28),"",E28-MAX($F$2:F27))</f>
        <v>0.99097222222189885</v>
      </c>
      <c r="H28" s="97"/>
      <c r="I28" s="74" t="str">
        <f ca="1">IF(D28="N",COUNTIF(INDIRECT(ADDRESS(MATCH(Plages!$D$19,'Planning annuel mixing coater'!$B:$B),4)):D28,"N"),IF(D28="N1",COUNTIF($D$9:D28,"N1"),""))</f>
        <v/>
      </c>
      <c r="J28" s="96">
        <f>IF(D28="","",COUNTA(D16:D28)-(COUNTA(D28:D28)-1))</f>
        <v>9</v>
      </c>
      <c r="L28" s="142" t="s">
        <v>83</v>
      </c>
      <c r="M28" s="142"/>
      <c r="N28" s="142"/>
      <c r="O28" s="142"/>
      <c r="P28" s="142"/>
    </row>
    <row r="29" spans="1:16" s="77" customFormat="1" thickBot="1">
      <c r="A29" s="140"/>
      <c r="B29" s="75">
        <f t="shared" si="2"/>
        <v>43821</v>
      </c>
      <c r="C29" s="83" t="str">
        <f t="shared" si="3"/>
        <v>dimanche</v>
      </c>
      <c r="D29" s="88" t="s">
        <v>24</v>
      </c>
      <c r="E29" s="115">
        <f t="shared" si="4"/>
        <v>43821.538194444445</v>
      </c>
      <c r="F29" s="115">
        <f t="shared" si="5"/>
        <v>43821.880555555559</v>
      </c>
      <c r="G29" s="116">
        <f>IF(ISNONTEXT(D29),"",E29-MAX($F$2:F28))</f>
        <v>0.99097222222189885</v>
      </c>
      <c r="H29" s="98"/>
      <c r="I29" s="76" t="str">
        <f ca="1">IF(D29="N",COUNTIF(INDIRECT(ADDRESS(MATCH(Plages!$D$19,'Planning annuel mixing coater'!$B:$B),4)):D29,"N"),IF(D29="N1",COUNTIF($D$9:D29,"N1"),""))</f>
        <v/>
      </c>
      <c r="J29" s="99">
        <f>IF(D29="","",COUNTA(D16:D29)-(COUNTA(D29:D29)-1))</f>
        <v>10</v>
      </c>
    </row>
    <row r="30" spans="1:16" ht="16.5" thickTop="1" thickBot="1">
      <c r="A30" s="140"/>
      <c r="B30" s="78">
        <f t="shared" si="2"/>
        <v>43822</v>
      </c>
      <c r="C30" s="81" t="str">
        <f t="shared" ref="C30:C93" si="6">IF(B30="","",TEXT(B30,"jjjj"))</f>
        <v>lundi</v>
      </c>
      <c r="D30" s="89" t="s">
        <v>25</v>
      </c>
      <c r="E30" s="115">
        <f t="shared" ref="E30:E93" si="7">IF(D30="","",B30+VLOOKUP(D30,Plageh,2,0))</f>
        <v>43822.871527777781</v>
      </c>
      <c r="F30" s="115">
        <f t="shared" ref="F30:F93" si="8">IF(D30="","",B30+VLOOKUP(D30,Plageh,3,0))</f>
        <v>43823.213888888888</v>
      </c>
      <c r="G30" s="116">
        <f>IF(ISNONTEXT(D30),"",E30-MAX($F$2:F29))</f>
        <v>0.99097222222189885</v>
      </c>
      <c r="H30" s="100"/>
      <c r="I30" s="79">
        <f ca="1">IF(D30="N",COUNTIF(INDIRECT(ADDRESS(MATCH(Plages!$D$19,'Planning annuel mixing coater'!$B:$B),4)):D30,"N"),IF(D30="N1",COUNTIF($D$9:D30,"N1"),""))</f>
        <v>6</v>
      </c>
      <c r="J30" s="101">
        <f>IF(D30="","",COUNTA(D30:D30)-(COUNTA(D30:D30)-1))</f>
        <v>1</v>
      </c>
    </row>
    <row r="31" spans="1:16" thickBot="1">
      <c r="A31" s="140"/>
      <c r="B31" s="70">
        <f t="shared" si="2"/>
        <v>43823</v>
      </c>
      <c r="C31" s="82" t="str">
        <f t="shared" si="6"/>
        <v>mardi</v>
      </c>
      <c r="D31" s="87" t="s">
        <v>25</v>
      </c>
      <c r="E31" s="115">
        <f t="shared" si="7"/>
        <v>43823.871527777781</v>
      </c>
      <c r="F31" s="115">
        <f t="shared" si="8"/>
        <v>43824.213888888888</v>
      </c>
      <c r="G31" s="116">
        <f>IF(ISNONTEXT(D31),"",E31-MAX($F$2:F30))</f>
        <v>0.65763888889341615</v>
      </c>
      <c r="H31" s="97"/>
      <c r="I31" s="74">
        <f ca="1">IF(D31="N",COUNTIF(INDIRECT(ADDRESS(MATCH(Plages!$D$19,'Planning annuel mixing coater'!$B:$B),4)):D31,"N"),IF(D31="N1",COUNTIF($D$9:D31,"N1"),""))</f>
        <v>7</v>
      </c>
      <c r="J31" s="96">
        <f>IF(D31="","",COUNTA(D30:D31)-(COUNTA(D31:D31)-1))</f>
        <v>2</v>
      </c>
    </row>
    <row r="32" spans="1:16" thickBot="1">
      <c r="A32" s="140"/>
      <c r="B32" s="70">
        <f t="shared" si="2"/>
        <v>43824</v>
      </c>
      <c r="C32" s="82" t="str">
        <f t="shared" si="6"/>
        <v>mercredi</v>
      </c>
      <c r="D32" s="87"/>
      <c r="E32" s="115" t="str">
        <f t="shared" si="7"/>
        <v/>
      </c>
      <c r="F32" s="115" t="str">
        <f t="shared" si="8"/>
        <v/>
      </c>
      <c r="G32" s="116" t="str">
        <f>IF(ISNONTEXT(D32),"",E32-MAX($F$2:F31))</f>
        <v/>
      </c>
      <c r="H32" s="97"/>
      <c r="I32" s="74" t="str">
        <f ca="1">IF(D32="N",COUNTIF(INDIRECT(ADDRESS(MATCH(Plages!$D$19,'Planning annuel mixing coater'!$B:$B),4)):D32,"N"),IF(D32="N1",COUNTIF($D$9:D32,"N1"),""))</f>
        <v/>
      </c>
      <c r="J32" s="96" t="str">
        <f>IF(D32="","",COUNTA(D30:D32)-(COUNTA(D32:D32)-1))</f>
        <v/>
      </c>
    </row>
    <row r="33" spans="1:18" thickBot="1">
      <c r="A33" s="140"/>
      <c r="B33" s="70">
        <f t="shared" si="2"/>
        <v>43825</v>
      </c>
      <c r="C33" s="82" t="str">
        <f t="shared" si="6"/>
        <v>jeudi</v>
      </c>
      <c r="D33" s="87" t="s">
        <v>24</v>
      </c>
      <c r="E33" s="115">
        <f t="shared" si="7"/>
        <v>43825.538194444445</v>
      </c>
      <c r="F33" s="115">
        <f t="shared" si="8"/>
        <v>43825.880555555559</v>
      </c>
      <c r="G33" s="116">
        <f>IF(ISNONTEXT(D33),"",E33-MAX($F$2:F32))</f>
        <v>1.3243055555576575</v>
      </c>
      <c r="H33" s="97"/>
      <c r="I33" s="74" t="str">
        <f ca="1">IF(D33="N",COUNTIF(INDIRECT(ADDRESS(MATCH(Plages!$D$19,'Planning annuel mixing coater'!$B:$B),4)):D33,"N"),IF(D33="N1",COUNTIF($D$9:D33,"N1"),""))</f>
        <v/>
      </c>
      <c r="J33" s="96">
        <f>IF(D33="","",COUNTA(D30:D33)-(COUNTA(D33:D33)-1))</f>
        <v>3</v>
      </c>
      <c r="L33" s="142" t="s">
        <v>84</v>
      </c>
      <c r="M33" s="142"/>
      <c r="N33" s="142"/>
      <c r="O33" s="142"/>
      <c r="P33" s="142"/>
      <c r="Q33" s="142"/>
      <c r="R33" s="142"/>
    </row>
    <row r="34" spans="1:18" thickBot="1">
      <c r="A34" s="140"/>
      <c r="B34" s="70">
        <f t="shared" si="2"/>
        <v>43826</v>
      </c>
      <c r="C34" s="82" t="str">
        <f t="shared" si="6"/>
        <v>vendredi</v>
      </c>
      <c r="D34" s="87" t="s">
        <v>24</v>
      </c>
      <c r="E34" s="115">
        <f t="shared" si="7"/>
        <v>43826.538194444445</v>
      </c>
      <c r="F34" s="115">
        <f t="shared" si="8"/>
        <v>43826.880555555559</v>
      </c>
      <c r="G34" s="116">
        <f>IF(ISNONTEXT(D34),"",E34-MAX($F$2:F33))</f>
        <v>0.65763888888614019</v>
      </c>
      <c r="H34" s="97"/>
      <c r="I34" s="74" t="str">
        <f ca="1">IF(D34="N",COUNTIF(INDIRECT(ADDRESS(MATCH(Plages!$D$19,'Planning annuel mixing coater'!$B:$B),4)):D34,"N"),IF(D34="N1",COUNTIF($D$9:D34,"N1"),""))</f>
        <v/>
      </c>
      <c r="J34" s="96">
        <f>IF(D34="","",COUNTA(D30:D34)-(COUNTA(D34:D34)-1))</f>
        <v>4</v>
      </c>
    </row>
    <row r="35" spans="1:18" thickBot="1">
      <c r="A35" s="140"/>
      <c r="B35" s="70">
        <f t="shared" si="2"/>
        <v>43827</v>
      </c>
      <c r="C35" s="82" t="str">
        <f t="shared" si="6"/>
        <v>samedi</v>
      </c>
      <c r="D35" s="87"/>
      <c r="E35" s="115" t="str">
        <f t="shared" si="7"/>
        <v/>
      </c>
      <c r="F35" s="115" t="str">
        <f t="shared" si="8"/>
        <v/>
      </c>
      <c r="G35" s="116" t="str">
        <f>IF(ISNONTEXT(D35),"",E35-MAX($F$2:F34))</f>
        <v/>
      </c>
      <c r="H35" s="97"/>
      <c r="I35" s="74" t="str">
        <f ca="1">IF(D35="N",COUNTIF(INDIRECT(ADDRESS(MATCH(Plages!$D$19,'Planning annuel mixing coater'!$B:$B),4)):D35,"N"),IF(D35="N1",COUNTIF($D$9:D35,"N1"),""))</f>
        <v/>
      </c>
      <c r="J35" s="96" t="str">
        <f>IF(D35="","",COUNTA(D30:D35)-(COUNTA(D35:D35)-1))</f>
        <v/>
      </c>
    </row>
    <row r="36" spans="1:18" thickBot="1">
      <c r="A36" s="140"/>
      <c r="B36" s="70">
        <f t="shared" si="2"/>
        <v>43828</v>
      </c>
      <c r="C36" s="82" t="str">
        <f t="shared" si="6"/>
        <v>dimanche</v>
      </c>
      <c r="D36" s="87"/>
      <c r="E36" s="115" t="str">
        <f t="shared" si="7"/>
        <v/>
      </c>
      <c r="F36" s="115" t="str">
        <f t="shared" si="8"/>
        <v/>
      </c>
      <c r="G36" s="116" t="str">
        <f>IF(ISNONTEXT(D36),"",E36-MAX($F$2:F35))</f>
        <v/>
      </c>
      <c r="H36" s="98"/>
      <c r="I36" s="74" t="str">
        <f ca="1">IF(D36="N",COUNTIF(INDIRECT(ADDRESS(MATCH(Plages!$D$19,'Planning annuel mixing coater'!$B:$B),4)):D36,"N"),IF(D36="N1",COUNTIF($D$9:D36,"N1"),""))</f>
        <v/>
      </c>
      <c r="J36" s="96" t="str">
        <f>IF(D36="","",COUNTA(D30:D36)-(COUNTA(D36:D36)-1))</f>
        <v/>
      </c>
    </row>
    <row r="37" spans="1:18" thickBot="1">
      <c r="A37" s="140"/>
      <c r="B37" s="70">
        <f t="shared" si="2"/>
        <v>43829</v>
      </c>
      <c r="C37" s="82" t="str">
        <f t="shared" si="6"/>
        <v>lundi</v>
      </c>
      <c r="D37" s="87"/>
      <c r="E37" s="115" t="str">
        <f t="shared" si="7"/>
        <v/>
      </c>
      <c r="F37" s="115" t="str">
        <f t="shared" si="8"/>
        <v/>
      </c>
      <c r="G37" s="116" t="str">
        <f>IF(ISNONTEXT(D37),"",E37-MAX($F$2:F36))</f>
        <v/>
      </c>
      <c r="H37" s="97"/>
      <c r="I37" s="74" t="str">
        <f ca="1">IF(D37="N",COUNTIF(INDIRECT(ADDRESS(MATCH(Plages!$D$19,'Planning annuel mixing coater'!$B:$B),4)):D37,"N"),IF(D37="N1",COUNTIF($D$9:D37,"N1"),""))</f>
        <v/>
      </c>
      <c r="J37" s="96" t="str">
        <f>IF(D37="","",COUNTA(D30:D37)-(COUNTA(D37:D37)-1))</f>
        <v/>
      </c>
    </row>
    <row r="38" spans="1:18" thickBot="1">
      <c r="A38" s="140"/>
      <c r="B38" s="70">
        <f t="shared" si="2"/>
        <v>43830</v>
      </c>
      <c r="C38" s="82" t="str">
        <f t="shared" si="6"/>
        <v>mardi</v>
      </c>
      <c r="D38" s="87"/>
      <c r="E38" s="115" t="str">
        <f t="shared" si="7"/>
        <v/>
      </c>
      <c r="F38" s="115" t="str">
        <f t="shared" si="8"/>
        <v/>
      </c>
      <c r="G38" s="116" t="str">
        <f>IF(ISNONTEXT(D38),"",E38-MAX($F$2:F37))</f>
        <v/>
      </c>
      <c r="H38" s="97"/>
      <c r="I38" s="74" t="str">
        <f ca="1">IF(D38="N",COUNTIF(INDIRECT(ADDRESS(MATCH(Plages!$D$19,'Planning annuel mixing coater'!$B:$B),4)):D38,"N"),IF(D38="N1",COUNTIF($D$9:D38,"N1"),""))</f>
        <v/>
      </c>
      <c r="J38" s="96" t="str">
        <f>IF(D38="","",COUNTA(D30:D38)-(COUNTA(D38:D38)-1))</f>
        <v/>
      </c>
    </row>
    <row r="39" spans="1:18" thickBot="1">
      <c r="A39" s="140"/>
      <c r="B39" s="70">
        <f t="shared" si="2"/>
        <v>43831</v>
      </c>
      <c r="C39" s="82" t="str">
        <f t="shared" si="6"/>
        <v>mercredi</v>
      </c>
      <c r="D39" s="87"/>
      <c r="E39" s="115" t="str">
        <f t="shared" si="7"/>
        <v/>
      </c>
      <c r="F39" s="115" t="str">
        <f t="shared" si="8"/>
        <v/>
      </c>
      <c r="G39" s="116" t="str">
        <f>IF(ISNONTEXT(D39),"",E39-MAX($F$2:F38))</f>
        <v/>
      </c>
      <c r="H39" s="97"/>
      <c r="I39" s="74" t="str">
        <f ca="1">IF(D39="N",COUNTIF(INDIRECT(ADDRESS(MATCH(Plages!$D$19,'Planning annuel mixing coater'!$B:$B),4)):D39,"N"),IF(D39="N1",COUNTIF($D$9:D39,"N1"),""))</f>
        <v/>
      </c>
      <c r="J39" s="96" t="str">
        <f>IF(D39="","",COUNTA(D30:D39)-(COUNTA(D39:D39)-1))</f>
        <v/>
      </c>
    </row>
    <row r="40" spans="1:18" thickBot="1">
      <c r="A40" s="140"/>
      <c r="B40" s="70">
        <f t="shared" si="2"/>
        <v>43832</v>
      </c>
      <c r="C40" s="82" t="str">
        <f t="shared" si="6"/>
        <v>jeudi</v>
      </c>
      <c r="D40" s="87"/>
      <c r="E40" s="115" t="str">
        <f t="shared" si="7"/>
        <v/>
      </c>
      <c r="F40" s="115" t="str">
        <f t="shared" si="8"/>
        <v/>
      </c>
      <c r="G40" s="116" t="str">
        <f>IF(ISNONTEXT(D40),"",E40-MAX($F$2:F39))</f>
        <v/>
      </c>
      <c r="H40" s="97"/>
      <c r="I40" s="74" t="str">
        <f ca="1">IF(D40="N",COUNTIF(INDIRECT(ADDRESS(MATCH(Plages!$D$19,'Planning annuel mixing coater'!$B:$B),4)):D40,"N"),IF(D40="N1",COUNTIF($D$9:D40,"N1"),""))</f>
        <v/>
      </c>
      <c r="J40" s="96" t="str">
        <f>IF(D40="","",COUNTA(D30:D40)-(COUNTA(D40:D40)-1))</f>
        <v/>
      </c>
    </row>
    <row r="41" spans="1:18" thickBot="1">
      <c r="A41" s="140"/>
      <c r="B41" s="70">
        <f t="shared" si="2"/>
        <v>43833</v>
      </c>
      <c r="C41" s="82" t="str">
        <f t="shared" si="6"/>
        <v>vendredi</v>
      </c>
      <c r="D41" s="87"/>
      <c r="E41" s="115" t="str">
        <f t="shared" si="7"/>
        <v/>
      </c>
      <c r="F41" s="115" t="str">
        <f t="shared" si="8"/>
        <v/>
      </c>
      <c r="G41" s="116" t="str">
        <f>IF(ISNONTEXT(D41),"",E41-MAX($F$2:F40))</f>
        <v/>
      </c>
      <c r="H41" s="97"/>
      <c r="I41" s="74" t="str">
        <f ca="1">IF(D41="N",COUNTIF(INDIRECT(ADDRESS(MATCH(Plages!$D$19,'Planning annuel mixing coater'!$B:$B),4)):D41,"N"),IF(D41="N1",COUNTIF($D$9:D41,"N1"),""))</f>
        <v/>
      </c>
      <c r="J41" s="96" t="str">
        <f>IF(D41="","",COUNTA(D30:D41)-(COUNTA(D41:D41)-1))</f>
        <v/>
      </c>
    </row>
    <row r="42" spans="1:18" thickBot="1">
      <c r="A42" s="140"/>
      <c r="B42" s="70">
        <f t="shared" si="2"/>
        <v>43834</v>
      </c>
      <c r="C42" s="82" t="str">
        <f t="shared" si="6"/>
        <v>samedi</v>
      </c>
      <c r="D42" s="87"/>
      <c r="E42" s="115" t="str">
        <f t="shared" si="7"/>
        <v/>
      </c>
      <c r="F42" s="115" t="str">
        <f t="shared" si="8"/>
        <v/>
      </c>
      <c r="G42" s="116" t="str">
        <f>IF(ISNONTEXT(D42),"",E42-MAX($F$2:F41))</f>
        <v/>
      </c>
      <c r="H42" s="97"/>
      <c r="I42" s="74" t="str">
        <f ca="1">IF(D42="N",COUNTIF(INDIRECT(ADDRESS(MATCH(Plages!$D$19,'Planning annuel mixing coater'!$B:$B),4)):D42,"N"),IF(D42="N1",COUNTIF($D$9:D42,"N1"),""))</f>
        <v/>
      </c>
      <c r="J42" s="96" t="str">
        <f>IF(D42="","",COUNTA(D30:D42)-(COUNTA(D42:D42)-1))</f>
        <v/>
      </c>
    </row>
    <row r="43" spans="1:18" s="77" customFormat="1" thickBot="1">
      <c r="A43" s="141"/>
      <c r="B43" s="75">
        <f t="shared" si="2"/>
        <v>43835</v>
      </c>
      <c r="C43" s="83" t="str">
        <f t="shared" si="6"/>
        <v>dimanche</v>
      </c>
      <c r="D43" s="88"/>
      <c r="E43" s="115" t="str">
        <f t="shared" si="7"/>
        <v/>
      </c>
      <c r="F43" s="115" t="str">
        <f t="shared" si="8"/>
        <v/>
      </c>
      <c r="G43" s="116" t="str">
        <f>IF(ISNONTEXT(D43),"",E43-MAX($F$2:F42))</f>
        <v/>
      </c>
      <c r="H43" s="98"/>
      <c r="I43" s="76" t="str">
        <f ca="1">IF(D43="N",COUNTIF(INDIRECT(ADDRESS(MATCH(Plages!$D$19,'Planning annuel mixing coater'!$B:$B),4)):D43,"N"),IF(D43="N1",COUNTIF($D$9:D43,"N1"),""))</f>
        <v/>
      </c>
      <c r="J43" s="99" t="str">
        <f>IF(D43="","",COUNTA(D30:D43)-(COUNTA(D43:D43)-1))</f>
        <v/>
      </c>
    </row>
    <row r="44" spans="1:18" ht="16.5" thickTop="1" thickBot="1">
      <c r="A44" s="117"/>
      <c r="B44" s="78">
        <f t="shared" si="2"/>
        <v>43836</v>
      </c>
      <c r="C44" s="81" t="str">
        <f t="shared" si="6"/>
        <v>lundi</v>
      </c>
      <c r="D44" s="89"/>
      <c r="E44" s="115" t="str">
        <f t="shared" si="7"/>
        <v/>
      </c>
      <c r="F44" s="115" t="str">
        <f t="shared" si="8"/>
        <v/>
      </c>
      <c r="G44" s="116" t="str">
        <f>IF(ISNONTEXT(D44),"",E44-MAX($F$2:F43))</f>
        <v/>
      </c>
      <c r="H44" s="100"/>
      <c r="I44" s="79" t="str">
        <f ca="1">IF(D44="N",COUNTIF(INDIRECT(ADDRESS(MATCH(Plages!$D$19,'Planning annuel mixing coater'!$B:$B),4)):D44,"N"),IF(D44="N1",COUNTIF($D$9:D44,"N1"),""))</f>
        <v/>
      </c>
      <c r="J44" s="101" t="str">
        <f>IF(D44="","",COUNTA(D44:D44)-(COUNTA(D44:D44)-1))</f>
        <v/>
      </c>
    </row>
    <row r="45" spans="1:18" thickBot="1">
      <c r="A45" s="117"/>
      <c r="B45" s="70">
        <f t="shared" si="2"/>
        <v>43837</v>
      </c>
      <c r="C45" s="82" t="str">
        <f t="shared" si="6"/>
        <v>mardi</v>
      </c>
      <c r="D45" s="87"/>
      <c r="E45" s="115" t="str">
        <f t="shared" si="7"/>
        <v/>
      </c>
      <c r="F45" s="115" t="str">
        <f t="shared" si="8"/>
        <v/>
      </c>
      <c r="G45" s="116" t="str">
        <f>IF(ISNONTEXT(D45),"",E45-MAX($F$2:F44))</f>
        <v/>
      </c>
      <c r="H45" s="97"/>
      <c r="I45" s="74" t="str">
        <f ca="1">IF(D45="N",COUNTIF(INDIRECT(ADDRESS(MATCH(Plages!$D$19,'Planning annuel mixing coater'!$B:$B),4)):D45,"N"),IF(D45="N1",COUNTIF($D$9:D45,"N1"),""))</f>
        <v/>
      </c>
      <c r="J45" s="96" t="str">
        <f>IF(D45="","",COUNTA(D44:D45)-(COUNTA(D45:D45)-1))</f>
        <v/>
      </c>
    </row>
    <row r="46" spans="1:18" thickBot="1">
      <c r="A46" s="117"/>
      <c r="B46" s="70">
        <f t="shared" si="2"/>
        <v>43838</v>
      </c>
      <c r="C46" s="82" t="str">
        <f t="shared" si="6"/>
        <v>mercredi</v>
      </c>
      <c r="D46" s="87"/>
      <c r="E46" s="115" t="str">
        <f t="shared" si="7"/>
        <v/>
      </c>
      <c r="F46" s="115" t="str">
        <f t="shared" si="8"/>
        <v/>
      </c>
      <c r="G46" s="116" t="str">
        <f>IF(ISNONTEXT(D46),"",E46-MAX($F$2:F45))</f>
        <v/>
      </c>
      <c r="H46" s="97"/>
      <c r="I46" s="74" t="str">
        <f ca="1">IF(D46="N",COUNTIF(INDIRECT(ADDRESS(MATCH(Plages!$D$19,'Planning annuel mixing coater'!$B:$B),4)):D46,"N"),IF(D46="N1",COUNTIF($D$9:D46,"N1"),""))</f>
        <v/>
      </c>
      <c r="J46" s="96" t="str">
        <f>IF(D46="","",COUNTA(D44:D46)-(COUNTA(D46:D46)-1))</f>
        <v/>
      </c>
    </row>
    <row r="47" spans="1:18" thickBot="1">
      <c r="A47" s="117"/>
      <c r="B47" s="70">
        <f t="shared" si="2"/>
        <v>43839</v>
      </c>
      <c r="C47" s="82" t="str">
        <f t="shared" si="6"/>
        <v>jeudi</v>
      </c>
      <c r="D47" s="87"/>
      <c r="E47" s="115" t="str">
        <f t="shared" si="7"/>
        <v/>
      </c>
      <c r="F47" s="115" t="str">
        <f t="shared" si="8"/>
        <v/>
      </c>
      <c r="G47" s="116" t="str">
        <f>IF(ISNONTEXT(D47),"",E47-MAX($F$2:F46))</f>
        <v/>
      </c>
      <c r="H47" s="97"/>
      <c r="I47" s="74" t="str">
        <f ca="1">IF(D47="N",COUNTIF(INDIRECT(ADDRESS(MATCH(Plages!$D$19,'Planning annuel mixing coater'!$B:$B),4)):D47,"N"),IF(D47="N1",COUNTIF($D$9:D47,"N1"),""))</f>
        <v/>
      </c>
      <c r="J47" s="96" t="str">
        <f>IF(D47="","",COUNTA(D44:D47)-(COUNTA(D47:D47)-1))</f>
        <v/>
      </c>
    </row>
    <row r="48" spans="1:18" thickBot="1">
      <c r="A48" s="117"/>
      <c r="B48" s="70">
        <f t="shared" si="2"/>
        <v>43840</v>
      </c>
      <c r="C48" s="82" t="str">
        <f t="shared" si="6"/>
        <v>vendredi</v>
      </c>
      <c r="D48" s="87"/>
      <c r="E48" s="115" t="str">
        <f t="shared" si="7"/>
        <v/>
      </c>
      <c r="F48" s="115" t="str">
        <f t="shared" si="8"/>
        <v/>
      </c>
      <c r="G48" s="116" t="str">
        <f>IF(ISNONTEXT(D48),"",E48-MAX($F$2:F47))</f>
        <v/>
      </c>
      <c r="H48" s="97"/>
      <c r="I48" s="74" t="str">
        <f ca="1">IF(D48="N",COUNTIF(INDIRECT(ADDRESS(MATCH(Plages!$D$19,'Planning annuel mixing coater'!$B:$B),4)):D48,"N"),IF(D48="N1",COUNTIF($D$9:D48,"N1"),""))</f>
        <v/>
      </c>
      <c r="J48" s="96" t="str">
        <f>IF(D48="","",COUNTA(D44:D48)-(COUNTA(D48:D48)-1))</f>
        <v/>
      </c>
    </row>
    <row r="49" spans="1:10" thickBot="1">
      <c r="A49" s="117"/>
      <c r="B49" s="70">
        <f t="shared" si="2"/>
        <v>43841</v>
      </c>
      <c r="C49" s="82" t="str">
        <f t="shared" si="6"/>
        <v>samedi</v>
      </c>
      <c r="D49" s="87"/>
      <c r="E49" s="115" t="str">
        <f t="shared" si="7"/>
        <v/>
      </c>
      <c r="F49" s="115" t="str">
        <f t="shared" si="8"/>
        <v/>
      </c>
      <c r="G49" s="116" t="str">
        <f>IF(ISNONTEXT(D49),"",E49-MAX($F$2:F48))</f>
        <v/>
      </c>
      <c r="H49" s="97"/>
      <c r="I49" s="74" t="str">
        <f ca="1">IF(D49="N",COUNTIF(INDIRECT(ADDRESS(MATCH(Plages!$D$19,'Planning annuel mixing coater'!$B:$B),4)):D49,"N"),IF(D49="N1",COUNTIF($D$9:D49,"N1"),""))</f>
        <v/>
      </c>
      <c r="J49" s="96" t="str">
        <f>IF(D49="","",COUNTA(D44:D49)-(COUNTA(D49:D49)-1))</f>
        <v/>
      </c>
    </row>
    <row r="50" spans="1:10" thickBot="1">
      <c r="A50" s="117"/>
      <c r="B50" s="70">
        <f t="shared" si="2"/>
        <v>43842</v>
      </c>
      <c r="C50" s="82" t="str">
        <f t="shared" si="6"/>
        <v>dimanche</v>
      </c>
      <c r="D50" s="87"/>
      <c r="E50" s="115" t="str">
        <f t="shared" si="7"/>
        <v/>
      </c>
      <c r="F50" s="115" t="str">
        <f t="shared" si="8"/>
        <v/>
      </c>
      <c r="G50" s="116" t="str">
        <f>IF(ISNONTEXT(D50),"",E50-MAX($F$2:F49))</f>
        <v/>
      </c>
      <c r="H50" s="98"/>
      <c r="I50" s="74" t="str">
        <f ca="1">IF(D50="N",COUNTIF(INDIRECT(ADDRESS(MATCH(Plages!$D$19,'Planning annuel mixing coater'!$B:$B),4)):D50,"N"),IF(D50="N1",COUNTIF($D$9:D50,"N1"),""))</f>
        <v/>
      </c>
      <c r="J50" s="96" t="str">
        <f>IF(D50="","",COUNTA(D44:D50)-(COUNTA(D50:D50)-1))</f>
        <v/>
      </c>
    </row>
    <row r="51" spans="1:10" thickBot="1">
      <c r="A51" s="117"/>
      <c r="B51" s="70">
        <f t="shared" si="2"/>
        <v>43843</v>
      </c>
      <c r="C51" s="82" t="str">
        <f t="shared" si="6"/>
        <v>lundi</v>
      </c>
      <c r="D51" s="87"/>
      <c r="E51" s="115" t="str">
        <f t="shared" si="7"/>
        <v/>
      </c>
      <c r="F51" s="115" t="str">
        <f t="shared" si="8"/>
        <v/>
      </c>
      <c r="G51" s="116" t="str">
        <f>IF(ISNONTEXT(D51),"",E51-MAX($F$2:F50))</f>
        <v/>
      </c>
      <c r="H51" s="97"/>
      <c r="I51" s="74" t="str">
        <f ca="1">IF(D51="N",COUNTIF(INDIRECT(ADDRESS(MATCH(Plages!$D$19,'Planning annuel mixing coater'!$B:$B),4)):D51,"N"),IF(D51="N1",COUNTIF($D$9:D51,"N1"),""))</f>
        <v/>
      </c>
      <c r="J51" s="96" t="str">
        <f>IF(D51="","",COUNTA(D44:D51)-(COUNTA(D51:D51)-1))</f>
        <v/>
      </c>
    </row>
    <row r="52" spans="1:10" thickBot="1">
      <c r="A52" s="117"/>
      <c r="B52" s="70">
        <f t="shared" si="2"/>
        <v>43844</v>
      </c>
      <c r="C52" s="82" t="str">
        <f t="shared" si="6"/>
        <v>mardi</v>
      </c>
      <c r="D52" s="87"/>
      <c r="E52" s="115" t="str">
        <f t="shared" si="7"/>
        <v/>
      </c>
      <c r="F52" s="115" t="str">
        <f t="shared" si="8"/>
        <v/>
      </c>
      <c r="G52" s="116" t="str">
        <f>IF(ISNONTEXT(D52),"",E52-MAX($F$2:F51))</f>
        <v/>
      </c>
      <c r="H52" s="97"/>
      <c r="I52" s="74" t="str">
        <f ca="1">IF(D52="N",COUNTIF(INDIRECT(ADDRESS(MATCH(Plages!$D$19,'Planning annuel mixing coater'!$B:$B),4)):D52,"N"),IF(D52="N1",COUNTIF($D$9:D52,"N1"),""))</f>
        <v/>
      </c>
      <c r="J52" s="96" t="str">
        <f>IF(D52="","",COUNTA(D44:D52)-(COUNTA(D52:D52)-1))</f>
        <v/>
      </c>
    </row>
    <row r="53" spans="1:10" thickBot="1">
      <c r="A53" s="117"/>
      <c r="B53" s="70">
        <f t="shared" si="2"/>
        <v>43845</v>
      </c>
      <c r="C53" s="82" t="str">
        <f t="shared" si="6"/>
        <v>mercredi</v>
      </c>
      <c r="D53" s="87"/>
      <c r="E53" s="115" t="str">
        <f t="shared" si="7"/>
        <v/>
      </c>
      <c r="F53" s="115" t="str">
        <f t="shared" si="8"/>
        <v/>
      </c>
      <c r="G53" s="116" t="str">
        <f>IF(ISNONTEXT(D53),"",E53-MAX($F$2:F52))</f>
        <v/>
      </c>
      <c r="H53" s="97"/>
      <c r="I53" s="74" t="str">
        <f ca="1">IF(D53="N",COUNTIF(INDIRECT(ADDRESS(MATCH(Plages!$D$19,'Planning annuel mixing coater'!$B:$B),4)):D53,"N"),IF(D53="N1",COUNTIF($D$9:D53,"N1"),""))</f>
        <v/>
      </c>
      <c r="J53" s="96" t="str">
        <f>IF(D53="","",COUNTA(D44:D53)-(COUNTA(D53:D53)-1))</f>
        <v/>
      </c>
    </row>
    <row r="54" spans="1:10" thickBot="1">
      <c r="A54" s="117"/>
      <c r="B54" s="70">
        <f t="shared" si="2"/>
        <v>43846</v>
      </c>
      <c r="C54" s="82" t="str">
        <f t="shared" si="6"/>
        <v>jeudi</v>
      </c>
      <c r="D54" s="87"/>
      <c r="E54" s="115" t="str">
        <f t="shared" si="7"/>
        <v/>
      </c>
      <c r="F54" s="115" t="str">
        <f t="shared" si="8"/>
        <v/>
      </c>
      <c r="G54" s="116" t="str">
        <f>IF(ISNONTEXT(D54),"",E54-MAX($F$2:F53))</f>
        <v/>
      </c>
      <c r="H54" s="97"/>
      <c r="I54" s="74" t="str">
        <f ca="1">IF(D54="N",COUNTIF(INDIRECT(ADDRESS(MATCH(Plages!$D$19,'Planning annuel mixing coater'!$B:$B),4)):D54,"N"),IF(D54="N1",COUNTIF($D$9:D54,"N1"),""))</f>
        <v/>
      </c>
      <c r="J54" s="96" t="str">
        <f>IF(D54="","",COUNTA(D44:D54)-(COUNTA(D54:D54)-1))</f>
        <v/>
      </c>
    </row>
    <row r="55" spans="1:10" thickBot="1">
      <c r="A55" s="117"/>
      <c r="B55" s="70">
        <f t="shared" si="2"/>
        <v>43847</v>
      </c>
      <c r="C55" s="82" t="str">
        <f t="shared" si="6"/>
        <v>vendredi</v>
      </c>
      <c r="D55" s="87"/>
      <c r="E55" s="115" t="str">
        <f t="shared" si="7"/>
        <v/>
      </c>
      <c r="F55" s="115" t="str">
        <f t="shared" si="8"/>
        <v/>
      </c>
      <c r="G55" s="116" t="str">
        <f>IF(ISNONTEXT(D55),"",E55-MAX($F$2:F54))</f>
        <v/>
      </c>
      <c r="H55" s="97"/>
      <c r="I55" s="74" t="str">
        <f ca="1">IF(D55="N",COUNTIF(INDIRECT(ADDRESS(MATCH(Plages!$D$19,'Planning annuel mixing coater'!$B:$B),4)):D55,"N"),IF(D55="N1",COUNTIF($D$9:D55,"N1"),""))</f>
        <v/>
      </c>
      <c r="J55" s="96" t="str">
        <f>IF(D55="","",COUNTA(D44:D55)-(COUNTA(D55:D55)-1))</f>
        <v/>
      </c>
    </row>
    <row r="56" spans="1:10" thickBot="1">
      <c r="A56" s="117"/>
      <c r="B56" s="70">
        <f t="shared" si="2"/>
        <v>43848</v>
      </c>
      <c r="C56" s="82" t="str">
        <f t="shared" si="6"/>
        <v>samedi</v>
      </c>
      <c r="D56" s="87"/>
      <c r="E56" s="115" t="str">
        <f t="shared" si="7"/>
        <v/>
      </c>
      <c r="F56" s="115" t="str">
        <f t="shared" si="8"/>
        <v/>
      </c>
      <c r="G56" s="116" t="str">
        <f>IF(ISNONTEXT(D56),"",E56-MAX($F$2:F55))</f>
        <v/>
      </c>
      <c r="H56" s="97"/>
      <c r="I56" s="74" t="str">
        <f ca="1">IF(D56="N",COUNTIF(INDIRECT(ADDRESS(MATCH(Plages!$D$19,'Planning annuel mixing coater'!$B:$B),4)):D56,"N"),IF(D56="N1",COUNTIF($D$9:D56,"N1"),""))</f>
        <v/>
      </c>
      <c r="J56" s="96" t="str">
        <f>IF(D56="","",COUNTA(D44:D56)-(COUNTA(D56:D56)-1))</f>
        <v/>
      </c>
    </row>
    <row r="57" spans="1:10" s="77" customFormat="1" thickBot="1">
      <c r="A57" s="117"/>
      <c r="B57" s="75">
        <f t="shared" si="2"/>
        <v>43849</v>
      </c>
      <c r="C57" s="83" t="str">
        <f t="shared" si="6"/>
        <v>dimanche</v>
      </c>
      <c r="D57" s="88"/>
      <c r="E57" s="115" t="str">
        <f t="shared" si="7"/>
        <v/>
      </c>
      <c r="F57" s="115" t="str">
        <f t="shared" si="8"/>
        <v/>
      </c>
      <c r="G57" s="116" t="str">
        <f>IF(ISNONTEXT(D57),"",E57-MAX($F$2:F56))</f>
        <v/>
      </c>
      <c r="H57" s="98"/>
      <c r="I57" s="76" t="str">
        <f ca="1">IF(D57="N",COUNTIF(INDIRECT(ADDRESS(MATCH(Plages!$D$19,'Planning annuel mixing coater'!$B:$B),4)):D57,"N"),IF(D57="N1",COUNTIF($D$9:D57,"N1"),""))</f>
        <v/>
      </c>
      <c r="J57" s="99" t="str">
        <f>IF(D57="","",COUNTA(D44:D57)-(COUNTA(D57:D57)-1))</f>
        <v/>
      </c>
    </row>
    <row r="58" spans="1:10" ht="16.5" thickTop="1" thickBot="1">
      <c r="A58" s="117"/>
      <c r="B58" s="78">
        <f t="shared" si="2"/>
        <v>43850</v>
      </c>
      <c r="C58" s="81" t="str">
        <f t="shared" si="6"/>
        <v>lundi</v>
      </c>
      <c r="D58" s="89"/>
      <c r="E58" s="115" t="str">
        <f t="shared" si="7"/>
        <v/>
      </c>
      <c r="F58" s="115" t="str">
        <f t="shared" si="8"/>
        <v/>
      </c>
      <c r="G58" s="116" t="str">
        <f>IF(ISNONTEXT(D58),"",E58-MAX($F$2:F57))</f>
        <v/>
      </c>
      <c r="H58" s="100"/>
      <c r="I58" s="79" t="str">
        <f ca="1">IF(D58="N",COUNTIF(INDIRECT(ADDRESS(MATCH(Plages!$D$19,'Planning annuel mixing coater'!$B:$B),4)):D58,"N"),IF(D58="N1",COUNTIF($D$9:D58,"N1"),""))</f>
        <v/>
      </c>
      <c r="J58" s="101" t="str">
        <f>IF(D58="","",COUNTA(D58:D58)-(COUNTA(D58:D58)-1))</f>
        <v/>
      </c>
    </row>
    <row r="59" spans="1:10" thickBot="1">
      <c r="A59" s="117"/>
      <c r="B59" s="70">
        <f t="shared" si="2"/>
        <v>43851</v>
      </c>
      <c r="C59" s="82" t="str">
        <f t="shared" si="6"/>
        <v>mardi</v>
      </c>
      <c r="D59" s="87"/>
      <c r="E59" s="115" t="str">
        <f t="shared" si="7"/>
        <v/>
      </c>
      <c r="F59" s="115" t="str">
        <f t="shared" si="8"/>
        <v/>
      </c>
      <c r="G59" s="116" t="str">
        <f>IF(ISNONTEXT(D59),"",E59-MAX($F$2:F58))</f>
        <v/>
      </c>
      <c r="H59" s="97"/>
      <c r="I59" s="74" t="str">
        <f ca="1">IF(D59="N",COUNTIF(INDIRECT(ADDRESS(MATCH(Plages!$D$19,'Planning annuel mixing coater'!$B:$B),4)):D59,"N"),IF(D59="N1",COUNTIF($D$9:D59,"N1"),""))</f>
        <v/>
      </c>
      <c r="J59" s="96" t="str">
        <f>IF(D59="","",COUNTA(D58:D59)-(COUNTA(D59:D59)-1))</f>
        <v/>
      </c>
    </row>
    <row r="60" spans="1:10" thickBot="1">
      <c r="A60" s="117"/>
      <c r="B60" s="70">
        <f t="shared" si="2"/>
        <v>43852</v>
      </c>
      <c r="C60" s="82" t="str">
        <f t="shared" si="6"/>
        <v>mercredi</v>
      </c>
      <c r="D60" s="87"/>
      <c r="E60" s="115" t="str">
        <f t="shared" si="7"/>
        <v/>
      </c>
      <c r="F60" s="115" t="str">
        <f t="shared" si="8"/>
        <v/>
      </c>
      <c r="G60" s="116" t="str">
        <f>IF(ISNONTEXT(D60),"",E60-MAX($F$2:F59))</f>
        <v/>
      </c>
      <c r="H60" s="97"/>
      <c r="I60" s="74" t="str">
        <f ca="1">IF(D60="N",COUNTIF(INDIRECT(ADDRESS(MATCH(Plages!$D$19,'Planning annuel mixing coater'!$B:$B),4)):D60,"N"),IF(D60="N1",COUNTIF($D$9:D60,"N1"),""))</f>
        <v/>
      </c>
      <c r="J60" s="96" t="str">
        <f>IF(D60="","",COUNTA(D58:D60)-(COUNTA(D60:D60)-1))</f>
        <v/>
      </c>
    </row>
    <row r="61" spans="1:10" thickBot="1">
      <c r="A61" s="117"/>
      <c r="B61" s="70">
        <f t="shared" si="2"/>
        <v>43853</v>
      </c>
      <c r="C61" s="82" t="str">
        <f t="shared" si="6"/>
        <v>jeudi</v>
      </c>
      <c r="D61" s="87"/>
      <c r="E61" s="115" t="str">
        <f t="shared" si="7"/>
        <v/>
      </c>
      <c r="F61" s="115" t="str">
        <f t="shared" si="8"/>
        <v/>
      </c>
      <c r="G61" s="116" t="str">
        <f>IF(ISNONTEXT(D61),"",E61-MAX($F$2:F60))</f>
        <v/>
      </c>
      <c r="H61" s="97"/>
      <c r="I61" s="74" t="str">
        <f ca="1">IF(D61="N",COUNTIF(INDIRECT(ADDRESS(MATCH(Plages!$D$19,'Planning annuel mixing coater'!$B:$B),4)):D61,"N"),IF(D61="N1",COUNTIF($D$9:D61,"N1"),""))</f>
        <v/>
      </c>
      <c r="J61" s="96" t="str">
        <f>IF(D61="","",COUNTA(D58:D61)-(COUNTA(D61:D61)-1))</f>
        <v/>
      </c>
    </row>
    <row r="62" spans="1:10" thickBot="1">
      <c r="A62" s="117"/>
      <c r="B62" s="70">
        <f t="shared" si="2"/>
        <v>43854</v>
      </c>
      <c r="C62" s="82" t="str">
        <f t="shared" si="6"/>
        <v>vendredi</v>
      </c>
      <c r="D62" s="87"/>
      <c r="E62" s="115" t="str">
        <f t="shared" si="7"/>
        <v/>
      </c>
      <c r="F62" s="115" t="str">
        <f t="shared" si="8"/>
        <v/>
      </c>
      <c r="G62" s="116" t="str">
        <f>IF(ISNONTEXT(D62),"",E62-MAX($F$2:F61))</f>
        <v/>
      </c>
      <c r="H62" s="97"/>
      <c r="I62" s="74" t="str">
        <f ca="1">IF(D62="N",COUNTIF(INDIRECT(ADDRESS(MATCH(Plages!$D$19,'Planning annuel mixing coater'!$B:$B),4)):D62,"N"),IF(D62="N1",COUNTIF($D$9:D62,"N1"),""))</f>
        <v/>
      </c>
      <c r="J62" s="96" t="str">
        <f>IF(D62="","",COUNTA(D58:D62)-(COUNTA(D62:D62)-1))</f>
        <v/>
      </c>
    </row>
    <row r="63" spans="1:10" thickBot="1">
      <c r="A63" s="117"/>
      <c r="B63" s="70">
        <f t="shared" si="2"/>
        <v>43855</v>
      </c>
      <c r="C63" s="82" t="str">
        <f t="shared" si="6"/>
        <v>samedi</v>
      </c>
      <c r="D63" s="87"/>
      <c r="E63" s="115" t="str">
        <f t="shared" si="7"/>
        <v/>
      </c>
      <c r="F63" s="115" t="str">
        <f t="shared" si="8"/>
        <v/>
      </c>
      <c r="G63" s="116" t="str">
        <f>IF(ISNONTEXT(D63),"",E63-MAX($F$2:F62))</f>
        <v/>
      </c>
      <c r="H63" s="97"/>
      <c r="I63" s="74" t="str">
        <f ca="1">IF(D63="N",COUNTIF(INDIRECT(ADDRESS(MATCH(Plages!$D$19,'Planning annuel mixing coater'!$B:$B),4)):D63,"N"),IF(D63="N1",COUNTIF($D$9:D63,"N1"),""))</f>
        <v/>
      </c>
      <c r="J63" s="96" t="str">
        <f>IF(D63="","",COUNTA(D58:D63)-(COUNTA(D63:D63)-1))</f>
        <v/>
      </c>
    </row>
    <row r="64" spans="1:10" thickBot="1">
      <c r="A64" s="117"/>
      <c r="B64" s="70">
        <f t="shared" si="2"/>
        <v>43856</v>
      </c>
      <c r="C64" s="82" t="str">
        <f t="shared" si="6"/>
        <v>dimanche</v>
      </c>
      <c r="D64" s="87"/>
      <c r="E64" s="115" t="str">
        <f t="shared" si="7"/>
        <v/>
      </c>
      <c r="F64" s="115" t="str">
        <f t="shared" si="8"/>
        <v/>
      </c>
      <c r="G64" s="116" t="str">
        <f>IF(ISNONTEXT(D64),"",E64-MAX($F$2:F63))</f>
        <v/>
      </c>
      <c r="H64" s="98"/>
      <c r="I64" s="74" t="str">
        <f ca="1">IF(D64="N",COUNTIF(INDIRECT(ADDRESS(MATCH(Plages!$D$19,'Planning annuel mixing coater'!$B:$B),4)):D64,"N"),IF(D64="N1",COUNTIF($D$9:D64,"N1"),""))</f>
        <v/>
      </c>
      <c r="J64" s="96" t="str">
        <f>IF(D64="","",COUNTA(D58:D64)-(COUNTA(D64:D64)-1))</f>
        <v/>
      </c>
    </row>
    <row r="65" spans="1:10" thickBot="1">
      <c r="A65" s="117"/>
      <c r="B65" s="70">
        <f t="shared" si="2"/>
        <v>43857</v>
      </c>
      <c r="C65" s="82" t="str">
        <f t="shared" si="6"/>
        <v>lundi</v>
      </c>
      <c r="D65" s="87"/>
      <c r="E65" s="115" t="str">
        <f t="shared" si="7"/>
        <v/>
      </c>
      <c r="F65" s="115" t="str">
        <f t="shared" si="8"/>
        <v/>
      </c>
      <c r="G65" s="116" t="str">
        <f>IF(ISNONTEXT(D65),"",E65-MAX($F$2:F64))</f>
        <v/>
      </c>
      <c r="H65" s="97"/>
      <c r="I65" s="74" t="str">
        <f ca="1">IF(D65="N",COUNTIF(INDIRECT(ADDRESS(MATCH(Plages!$D$19,'Planning annuel mixing coater'!$B:$B),4)):D65,"N"),IF(D65="N1",COUNTIF($D$9:D65,"N1"),""))</f>
        <v/>
      </c>
      <c r="J65" s="96" t="str">
        <f>IF(D65="","",COUNTA(D58:D65)-(COUNTA(D65:D65)-1))</f>
        <v/>
      </c>
    </row>
    <row r="66" spans="1:10" thickBot="1">
      <c r="A66" s="117"/>
      <c r="B66" s="70">
        <f t="shared" si="2"/>
        <v>43858</v>
      </c>
      <c r="C66" s="82" t="str">
        <f t="shared" si="6"/>
        <v>mardi</v>
      </c>
      <c r="D66" s="87"/>
      <c r="E66" s="115" t="str">
        <f t="shared" si="7"/>
        <v/>
      </c>
      <c r="F66" s="115" t="str">
        <f t="shared" si="8"/>
        <v/>
      </c>
      <c r="G66" s="116" t="str">
        <f>IF(ISNONTEXT(D66),"",E66-MAX($F$2:F65))</f>
        <v/>
      </c>
      <c r="H66" s="97"/>
      <c r="I66" s="74" t="str">
        <f ca="1">IF(D66="N",COUNTIF(INDIRECT(ADDRESS(MATCH(Plages!$D$19,'Planning annuel mixing coater'!$B:$B),4)):D66,"N"),IF(D66="N1",COUNTIF($D$9:D66,"N1"),""))</f>
        <v/>
      </c>
      <c r="J66" s="96" t="str">
        <f>IF(D66="","",COUNTA(D58:D66)-(COUNTA(D66:D66)-1))</f>
        <v/>
      </c>
    </row>
    <row r="67" spans="1:10" thickBot="1">
      <c r="A67" s="117"/>
      <c r="B67" s="70">
        <f t="shared" si="2"/>
        <v>43859</v>
      </c>
      <c r="C67" s="82" t="str">
        <f t="shared" si="6"/>
        <v>mercredi</v>
      </c>
      <c r="D67" s="87"/>
      <c r="E67" s="115" t="str">
        <f t="shared" si="7"/>
        <v/>
      </c>
      <c r="F67" s="115" t="str">
        <f t="shared" si="8"/>
        <v/>
      </c>
      <c r="G67" s="116" t="str">
        <f>IF(ISNONTEXT(D67),"",E67-MAX($F$2:F66))</f>
        <v/>
      </c>
      <c r="H67" s="97"/>
      <c r="I67" s="74" t="str">
        <f ca="1">IF(D67="N",COUNTIF(INDIRECT(ADDRESS(MATCH(Plages!$D$19,'Planning annuel mixing coater'!$B:$B),4)):D67,"N"),IF(D67="N1",COUNTIF($D$9:D67,"N1"),""))</f>
        <v/>
      </c>
      <c r="J67" s="96" t="str">
        <f>IF(D67="","",COUNTA(D58:D67)-(COUNTA(D67:D67)-1))</f>
        <v/>
      </c>
    </row>
    <row r="68" spans="1:10" thickBot="1">
      <c r="A68" s="117"/>
      <c r="B68" s="70">
        <f t="shared" ref="B68:B131" si="9">IF(B67="","",B67+1)</f>
        <v>43860</v>
      </c>
      <c r="C68" s="82" t="str">
        <f t="shared" si="6"/>
        <v>jeudi</v>
      </c>
      <c r="D68" s="87"/>
      <c r="E68" s="115" t="str">
        <f t="shared" si="7"/>
        <v/>
      </c>
      <c r="F68" s="115" t="str">
        <f t="shared" si="8"/>
        <v/>
      </c>
      <c r="G68" s="116" t="str">
        <f>IF(ISNONTEXT(D68),"",E68-MAX($F$2:F67))</f>
        <v/>
      </c>
      <c r="H68" s="97"/>
      <c r="I68" s="74" t="str">
        <f ca="1">IF(D68="N",COUNTIF(INDIRECT(ADDRESS(MATCH(Plages!$D$19,'Planning annuel mixing coater'!$B:$B),4)):D68,"N"),IF(D68="N1",COUNTIF($D$9:D68,"N1"),""))</f>
        <v/>
      </c>
      <c r="J68" s="96" t="str">
        <f>IF(D68="","",COUNTA(D58:D68)-(COUNTA(D68:D68)-1))</f>
        <v/>
      </c>
    </row>
    <row r="69" spans="1:10" thickBot="1">
      <c r="A69" s="117"/>
      <c r="B69" s="70">
        <f t="shared" si="9"/>
        <v>43861</v>
      </c>
      <c r="C69" s="82" t="str">
        <f t="shared" si="6"/>
        <v>vendredi</v>
      </c>
      <c r="D69" s="87"/>
      <c r="E69" s="115" t="str">
        <f t="shared" si="7"/>
        <v/>
      </c>
      <c r="F69" s="115" t="str">
        <f t="shared" si="8"/>
        <v/>
      </c>
      <c r="G69" s="116" t="str">
        <f>IF(ISNONTEXT(D69),"",E69-MAX($F$2:F68))</f>
        <v/>
      </c>
      <c r="H69" s="97"/>
      <c r="I69" s="74" t="str">
        <f ca="1">IF(D69="N",COUNTIF(INDIRECT(ADDRESS(MATCH(Plages!$D$19,'Planning annuel mixing coater'!$B:$B),4)):D69,"N"),IF(D69="N1",COUNTIF($D$9:D69,"N1"),""))</f>
        <v/>
      </c>
      <c r="J69" s="96" t="str">
        <f>IF(D69="","",COUNTA(D58:D69)-(COUNTA(D69:D69)-1))</f>
        <v/>
      </c>
    </row>
    <row r="70" spans="1:10" thickBot="1">
      <c r="A70" s="117"/>
      <c r="B70" s="70">
        <f t="shared" si="9"/>
        <v>43862</v>
      </c>
      <c r="C70" s="82" t="str">
        <f t="shared" si="6"/>
        <v>samedi</v>
      </c>
      <c r="D70" s="87"/>
      <c r="E70" s="115" t="str">
        <f t="shared" si="7"/>
        <v/>
      </c>
      <c r="F70" s="115" t="str">
        <f t="shared" si="8"/>
        <v/>
      </c>
      <c r="G70" s="116" t="str">
        <f>IF(ISNONTEXT(D70),"",E70-MAX($F$2:F69))</f>
        <v/>
      </c>
      <c r="H70" s="97"/>
      <c r="I70" s="74" t="str">
        <f ca="1">IF(D70="N",COUNTIF(INDIRECT(ADDRESS(MATCH(Plages!$D$19,'Planning annuel mixing coater'!$B:$B),4)):D70,"N"),IF(D70="N1",COUNTIF($D$9:D70,"N1"),""))</f>
        <v/>
      </c>
      <c r="J70" s="96" t="str">
        <f>IF(D70="","",COUNTA(D58:D70)-(COUNTA(D70:D70)-1))</f>
        <v/>
      </c>
    </row>
    <row r="71" spans="1:10" s="77" customFormat="1" thickBot="1">
      <c r="A71" s="117"/>
      <c r="B71" s="75">
        <f t="shared" si="9"/>
        <v>43863</v>
      </c>
      <c r="C71" s="83" t="str">
        <f t="shared" si="6"/>
        <v>dimanche</v>
      </c>
      <c r="D71" s="88"/>
      <c r="E71" s="115" t="str">
        <f t="shared" si="7"/>
        <v/>
      </c>
      <c r="F71" s="115" t="str">
        <f t="shared" si="8"/>
        <v/>
      </c>
      <c r="G71" s="116" t="str">
        <f>IF(ISNONTEXT(D71),"",E71-MAX($F$2:F70))</f>
        <v/>
      </c>
      <c r="H71" s="98"/>
      <c r="I71" s="76" t="str">
        <f ca="1">IF(D71="N",COUNTIF(INDIRECT(ADDRESS(MATCH(Plages!$D$19,'Planning annuel mixing coater'!$B:$B),4)):D71,"N"),IF(D71="N1",COUNTIF($D$9:D71,"N1"),""))</f>
        <v/>
      </c>
      <c r="J71" s="99" t="str">
        <f>IF(D71="","",COUNTA(D58:D71)-(COUNTA(D71:D71)-1))</f>
        <v/>
      </c>
    </row>
    <row r="72" spans="1:10" ht="16.5" thickTop="1" thickBot="1">
      <c r="A72" s="117"/>
      <c r="B72" s="78">
        <f t="shared" si="9"/>
        <v>43864</v>
      </c>
      <c r="C72" s="81" t="str">
        <f t="shared" si="6"/>
        <v>lundi</v>
      </c>
      <c r="D72" s="89"/>
      <c r="E72" s="115" t="str">
        <f t="shared" si="7"/>
        <v/>
      </c>
      <c r="F72" s="115" t="str">
        <f t="shared" si="8"/>
        <v/>
      </c>
      <c r="G72" s="116" t="str">
        <f>IF(ISNONTEXT(D72),"",E72-MAX($F$2:F71))</f>
        <v/>
      </c>
      <c r="H72" s="100"/>
      <c r="I72" s="79" t="str">
        <f ca="1">IF(D72="N",COUNTIF(INDIRECT(ADDRESS(MATCH(Plages!$D$19,'Planning annuel mixing coater'!$B:$B),4)):D72,"N"),IF(D72="N1",COUNTIF($D$9:D72,"N1"),""))</f>
        <v/>
      </c>
      <c r="J72" s="101" t="str">
        <f>IF(D72="","",COUNTA(D72:D72)-(COUNTA(D72:D72)-1))</f>
        <v/>
      </c>
    </row>
    <row r="73" spans="1:10" thickBot="1">
      <c r="A73" s="117"/>
      <c r="B73" s="70">
        <f t="shared" si="9"/>
        <v>43865</v>
      </c>
      <c r="C73" s="82" t="str">
        <f t="shared" si="6"/>
        <v>mardi</v>
      </c>
      <c r="D73" s="87"/>
      <c r="E73" s="115" t="str">
        <f t="shared" si="7"/>
        <v/>
      </c>
      <c r="F73" s="115" t="str">
        <f t="shared" si="8"/>
        <v/>
      </c>
      <c r="G73" s="116" t="str">
        <f>IF(ISNONTEXT(D73),"",E73-MAX($F$2:F72))</f>
        <v/>
      </c>
      <c r="H73" s="97"/>
      <c r="I73" s="74" t="str">
        <f ca="1">IF(D73="N",COUNTIF(INDIRECT(ADDRESS(MATCH(Plages!$D$19,'Planning annuel mixing coater'!$B:$B),4)):D73,"N"),IF(D73="N1",COUNTIF($D$9:D73,"N1"),""))</f>
        <v/>
      </c>
      <c r="J73" s="96" t="str">
        <f>IF(D73="","",COUNTA(D72:D73)-(COUNTA(D73:D73)-1))</f>
        <v/>
      </c>
    </row>
    <row r="74" spans="1:10" thickBot="1">
      <c r="A74" s="117"/>
      <c r="B74" s="70">
        <f t="shared" si="9"/>
        <v>43866</v>
      </c>
      <c r="C74" s="82" t="str">
        <f t="shared" si="6"/>
        <v>mercredi</v>
      </c>
      <c r="D74" s="87"/>
      <c r="E74" s="115" t="str">
        <f t="shared" si="7"/>
        <v/>
      </c>
      <c r="F74" s="115" t="str">
        <f t="shared" si="8"/>
        <v/>
      </c>
      <c r="G74" s="116" t="str">
        <f>IF(ISNONTEXT(D74),"",E74-MAX($F$2:F73))</f>
        <v/>
      </c>
      <c r="H74" s="97"/>
      <c r="I74" s="74" t="str">
        <f ca="1">IF(D74="N",COUNTIF(INDIRECT(ADDRESS(MATCH(Plages!$D$19,'Planning annuel mixing coater'!$B:$B),4)):D74,"N"),IF(D74="N1",COUNTIF($D$9:D74,"N1"),""))</f>
        <v/>
      </c>
      <c r="J74" s="96" t="str">
        <f>IF(D74="","",COUNTA(D72:D74)-(COUNTA(D74:D74)-1))</f>
        <v/>
      </c>
    </row>
    <row r="75" spans="1:10" thickBot="1">
      <c r="A75" s="117"/>
      <c r="B75" s="70">
        <f t="shared" si="9"/>
        <v>43867</v>
      </c>
      <c r="C75" s="82" t="str">
        <f t="shared" si="6"/>
        <v>jeudi</v>
      </c>
      <c r="D75" s="87"/>
      <c r="E75" s="115" t="str">
        <f t="shared" si="7"/>
        <v/>
      </c>
      <c r="F75" s="115" t="str">
        <f t="shared" si="8"/>
        <v/>
      </c>
      <c r="G75" s="116" t="str">
        <f>IF(ISNONTEXT(D75),"",E75-MAX($F$2:F74))</f>
        <v/>
      </c>
      <c r="H75" s="97"/>
      <c r="I75" s="74" t="str">
        <f ca="1">IF(D75="N",COUNTIF(INDIRECT(ADDRESS(MATCH(Plages!$D$19,'Planning annuel mixing coater'!$B:$B),4)):D75,"N"),IF(D75="N1",COUNTIF($D$9:D75,"N1"),""))</f>
        <v/>
      </c>
      <c r="J75" s="96" t="str">
        <f>IF(D75="","",COUNTA(D72:D75)-(COUNTA(D75:D75)-1))</f>
        <v/>
      </c>
    </row>
    <row r="76" spans="1:10" thickBot="1">
      <c r="A76" s="117"/>
      <c r="B76" s="70">
        <f t="shared" si="9"/>
        <v>43868</v>
      </c>
      <c r="C76" s="82" t="str">
        <f t="shared" si="6"/>
        <v>vendredi</v>
      </c>
      <c r="D76" s="87"/>
      <c r="E76" s="115" t="str">
        <f t="shared" si="7"/>
        <v/>
      </c>
      <c r="F76" s="115" t="str">
        <f t="shared" si="8"/>
        <v/>
      </c>
      <c r="G76" s="116" t="str">
        <f>IF(ISNONTEXT(D76),"",E76-MAX($F$2:F75))</f>
        <v/>
      </c>
      <c r="H76" s="97"/>
      <c r="I76" s="74" t="str">
        <f ca="1">IF(D76="N",COUNTIF(INDIRECT(ADDRESS(MATCH(Plages!$D$19,'Planning annuel mixing coater'!$B:$B),4)):D76,"N"),IF(D76="N1",COUNTIF($D$9:D76,"N1"),""))</f>
        <v/>
      </c>
      <c r="J76" s="96" t="str">
        <f>IF(D76="","",COUNTA(D72:D76)-(COUNTA(D76:D76)-1))</f>
        <v/>
      </c>
    </row>
    <row r="77" spans="1:10" thickBot="1">
      <c r="A77" s="117"/>
      <c r="B77" s="70">
        <f t="shared" si="9"/>
        <v>43869</v>
      </c>
      <c r="C77" s="82" t="str">
        <f t="shared" si="6"/>
        <v>samedi</v>
      </c>
      <c r="D77" s="87"/>
      <c r="E77" s="115" t="str">
        <f t="shared" si="7"/>
        <v/>
      </c>
      <c r="F77" s="115" t="str">
        <f t="shared" si="8"/>
        <v/>
      </c>
      <c r="G77" s="116" t="str">
        <f>IF(ISNONTEXT(D77),"",E77-MAX($F$2:F76))</f>
        <v/>
      </c>
      <c r="H77" s="97"/>
      <c r="I77" s="74" t="str">
        <f ca="1">IF(D77="N",COUNTIF(INDIRECT(ADDRESS(MATCH(Plages!$D$19,'Planning annuel mixing coater'!$B:$B),4)):D77,"N"),IF(D77="N1",COUNTIF($D$9:D77,"N1"),""))</f>
        <v/>
      </c>
      <c r="J77" s="96" t="str">
        <f>IF(D77="","",COUNTA(D72:D77)-(COUNTA(D77:D77)-1))</f>
        <v/>
      </c>
    </row>
    <row r="78" spans="1:10" thickBot="1">
      <c r="A78" s="117"/>
      <c r="B78" s="70">
        <f t="shared" si="9"/>
        <v>43870</v>
      </c>
      <c r="C78" s="82" t="str">
        <f t="shared" si="6"/>
        <v>dimanche</v>
      </c>
      <c r="D78" s="87"/>
      <c r="E78" s="115" t="str">
        <f t="shared" si="7"/>
        <v/>
      </c>
      <c r="F78" s="115" t="str">
        <f t="shared" si="8"/>
        <v/>
      </c>
      <c r="G78" s="116" t="str">
        <f>IF(ISNONTEXT(D78),"",E78-MAX($F$2:F77))</f>
        <v/>
      </c>
      <c r="H78" s="98"/>
      <c r="I78" s="74" t="str">
        <f ca="1">IF(D78="N",COUNTIF(INDIRECT(ADDRESS(MATCH(Plages!$D$19,'Planning annuel mixing coater'!$B:$B),4)):D78,"N"),IF(D78="N1",COUNTIF($D$9:D78,"N1"),""))</f>
        <v/>
      </c>
      <c r="J78" s="96" t="str">
        <f>IF(D78="","",COUNTA(D72:D78)-(COUNTA(D78:D78)-1))</f>
        <v/>
      </c>
    </row>
    <row r="79" spans="1:10" thickBot="1">
      <c r="A79" s="117"/>
      <c r="B79" s="70">
        <f t="shared" si="9"/>
        <v>43871</v>
      </c>
      <c r="C79" s="82" t="str">
        <f t="shared" si="6"/>
        <v>lundi</v>
      </c>
      <c r="D79" s="87"/>
      <c r="E79" s="115" t="str">
        <f t="shared" si="7"/>
        <v/>
      </c>
      <c r="F79" s="115" t="str">
        <f t="shared" si="8"/>
        <v/>
      </c>
      <c r="G79" s="116" t="str">
        <f>IF(ISNONTEXT(D79),"",E79-MAX($F$2:F78))</f>
        <v/>
      </c>
      <c r="H79" s="97"/>
      <c r="I79" s="74" t="str">
        <f ca="1">IF(D79="N",COUNTIF(INDIRECT(ADDRESS(MATCH(Plages!$D$19,'Planning annuel mixing coater'!$B:$B),4)):D79,"N"),IF(D79="N1",COUNTIF($D$9:D79,"N1"),""))</f>
        <v/>
      </c>
      <c r="J79" s="96" t="str">
        <f>IF(D79="","",COUNTA(D72:D79)-(COUNTA(D79:D79)-1))</f>
        <v/>
      </c>
    </row>
    <row r="80" spans="1:10" thickBot="1">
      <c r="A80" s="117"/>
      <c r="B80" s="70">
        <f t="shared" si="9"/>
        <v>43872</v>
      </c>
      <c r="C80" s="82" t="str">
        <f t="shared" si="6"/>
        <v>mardi</v>
      </c>
      <c r="D80" s="87"/>
      <c r="E80" s="115" t="str">
        <f t="shared" si="7"/>
        <v/>
      </c>
      <c r="F80" s="115" t="str">
        <f t="shared" si="8"/>
        <v/>
      </c>
      <c r="G80" s="116" t="str">
        <f>IF(ISNONTEXT(D80),"",E80-MAX($F$2:F79))</f>
        <v/>
      </c>
      <c r="H80" s="97"/>
      <c r="I80" s="74" t="str">
        <f ca="1">IF(D80="N",COUNTIF(INDIRECT(ADDRESS(MATCH(Plages!$D$19,'Planning annuel mixing coater'!$B:$B),4)):D80,"N"),IF(D80="N1",COUNTIF($D$9:D80,"N1"),""))</f>
        <v/>
      </c>
      <c r="J80" s="96" t="str">
        <f>IF(D80="","",COUNTA(D72:D80)-(COUNTA(D80:D80)-1))</f>
        <v/>
      </c>
    </row>
    <row r="81" spans="1:10" thickBot="1">
      <c r="A81" s="117"/>
      <c r="B81" s="70">
        <f t="shared" si="9"/>
        <v>43873</v>
      </c>
      <c r="C81" s="82" t="str">
        <f t="shared" si="6"/>
        <v>mercredi</v>
      </c>
      <c r="D81" s="87"/>
      <c r="E81" s="115" t="str">
        <f t="shared" si="7"/>
        <v/>
      </c>
      <c r="F81" s="115" t="str">
        <f t="shared" si="8"/>
        <v/>
      </c>
      <c r="G81" s="116" t="str">
        <f>IF(ISNONTEXT(D81),"",E81-MAX($F$2:F80))</f>
        <v/>
      </c>
      <c r="H81" s="97"/>
      <c r="I81" s="74" t="str">
        <f ca="1">IF(D81="N",COUNTIF(INDIRECT(ADDRESS(MATCH(Plages!$D$19,'Planning annuel mixing coater'!$B:$B),4)):D81,"N"),IF(D81="N1",COUNTIF($D$9:D81,"N1"),""))</f>
        <v/>
      </c>
      <c r="J81" s="96" t="str">
        <f>IF(D81="","",COUNTA(D72:D81)-(COUNTA(D81:D81)-1))</f>
        <v/>
      </c>
    </row>
    <row r="82" spans="1:10" thickBot="1">
      <c r="A82" s="117"/>
      <c r="B82" s="70">
        <f t="shared" si="9"/>
        <v>43874</v>
      </c>
      <c r="C82" s="82" t="str">
        <f t="shared" si="6"/>
        <v>jeudi</v>
      </c>
      <c r="D82" s="87"/>
      <c r="E82" s="115" t="str">
        <f t="shared" si="7"/>
        <v/>
      </c>
      <c r="F82" s="115" t="str">
        <f t="shared" si="8"/>
        <v/>
      </c>
      <c r="G82" s="116" t="str">
        <f>IF(ISNONTEXT(D82),"",E82-MAX($F$2:F81))</f>
        <v/>
      </c>
      <c r="H82" s="97"/>
      <c r="I82" s="74" t="str">
        <f ca="1">IF(D82="N",COUNTIF(INDIRECT(ADDRESS(MATCH(Plages!$D$19,'Planning annuel mixing coater'!$B:$B),4)):D82,"N"),IF(D82="N1",COUNTIF($D$9:D82,"N1"),""))</f>
        <v/>
      </c>
      <c r="J82" s="96" t="str">
        <f>IF(D82="","",COUNTA(D72:D82)-(COUNTA(D82:D82)-1))</f>
        <v/>
      </c>
    </row>
    <row r="83" spans="1:10" thickBot="1">
      <c r="A83" s="117"/>
      <c r="B83" s="70">
        <f t="shared" si="9"/>
        <v>43875</v>
      </c>
      <c r="C83" s="82" t="str">
        <f t="shared" si="6"/>
        <v>vendredi</v>
      </c>
      <c r="D83" s="87"/>
      <c r="E83" s="115" t="str">
        <f t="shared" si="7"/>
        <v/>
      </c>
      <c r="F83" s="115" t="str">
        <f t="shared" si="8"/>
        <v/>
      </c>
      <c r="G83" s="116" t="str">
        <f>IF(ISNONTEXT(D83),"",E83-MAX($F$2:F82))</f>
        <v/>
      </c>
      <c r="H83" s="97"/>
      <c r="I83" s="74" t="str">
        <f ca="1">IF(D83="N",COUNTIF(INDIRECT(ADDRESS(MATCH(Plages!$D$19,'Planning annuel mixing coater'!$B:$B),4)):D83,"N"),IF(D83="N1",COUNTIF($D$9:D83,"N1"),""))</f>
        <v/>
      </c>
      <c r="J83" s="96" t="str">
        <f>IF(D83="","",COUNTA(D72:D83)-(COUNTA(D83:D83)-1))</f>
        <v/>
      </c>
    </row>
    <row r="84" spans="1:10" thickBot="1">
      <c r="A84" s="117"/>
      <c r="B84" s="70">
        <f t="shared" si="9"/>
        <v>43876</v>
      </c>
      <c r="C84" s="82" t="str">
        <f t="shared" si="6"/>
        <v>samedi</v>
      </c>
      <c r="D84" s="87"/>
      <c r="E84" s="115" t="str">
        <f t="shared" si="7"/>
        <v/>
      </c>
      <c r="F84" s="115" t="str">
        <f t="shared" si="8"/>
        <v/>
      </c>
      <c r="G84" s="116" t="str">
        <f>IF(ISNONTEXT(D84),"",E84-MAX($F$2:F83))</f>
        <v/>
      </c>
      <c r="H84" s="97"/>
      <c r="I84" s="74" t="str">
        <f ca="1">IF(D84="N",COUNTIF(INDIRECT(ADDRESS(MATCH(Plages!$D$19,'Planning annuel mixing coater'!$B:$B),4)):D84,"N"),IF(D84="N1",COUNTIF($D$9:D84,"N1"),""))</f>
        <v/>
      </c>
      <c r="J84" s="96" t="str">
        <f>IF(D84="","",COUNTA(D72:D84)-(COUNTA(D84:D84)-1))</f>
        <v/>
      </c>
    </row>
    <row r="85" spans="1:10" s="77" customFormat="1" thickBot="1">
      <c r="A85" s="117"/>
      <c r="B85" s="75">
        <f t="shared" si="9"/>
        <v>43877</v>
      </c>
      <c r="C85" s="83" t="str">
        <f t="shared" si="6"/>
        <v>dimanche</v>
      </c>
      <c r="D85" s="88"/>
      <c r="E85" s="115" t="str">
        <f t="shared" si="7"/>
        <v/>
      </c>
      <c r="F85" s="115" t="str">
        <f t="shared" si="8"/>
        <v/>
      </c>
      <c r="G85" s="116" t="str">
        <f>IF(ISNONTEXT(D85),"",E85-MAX($F$2:F84))</f>
        <v/>
      </c>
      <c r="H85" s="98"/>
      <c r="I85" s="76" t="str">
        <f ca="1">IF(D85="N",COUNTIF(INDIRECT(ADDRESS(MATCH(Plages!$D$19,'Planning annuel mixing coater'!$B:$B),4)):D85,"N"),IF(D85="N1",COUNTIF($D$9:D85,"N1"),""))</f>
        <v/>
      </c>
      <c r="J85" s="99" t="str">
        <f>IF(D85="","",COUNTA(D72:D85)-(COUNTA(D85:D85)-1))</f>
        <v/>
      </c>
    </row>
    <row r="86" spans="1:10" ht="16.5" thickTop="1" thickBot="1">
      <c r="A86" s="117"/>
      <c r="B86" s="78">
        <f t="shared" si="9"/>
        <v>43878</v>
      </c>
      <c r="C86" s="81" t="str">
        <f t="shared" si="6"/>
        <v>lundi</v>
      </c>
      <c r="D86" s="89"/>
      <c r="E86" s="115" t="str">
        <f t="shared" si="7"/>
        <v/>
      </c>
      <c r="F86" s="115" t="str">
        <f t="shared" si="8"/>
        <v/>
      </c>
      <c r="G86" s="116" t="str">
        <f>IF(ISNONTEXT(D86),"",E86-MAX($F$2:F85))</f>
        <v/>
      </c>
      <c r="H86" s="100"/>
      <c r="I86" s="79" t="str">
        <f ca="1">IF(D86="N",COUNTIF(INDIRECT(ADDRESS(MATCH(Plages!$D$19,'Planning annuel mixing coater'!$B:$B),4)):D86,"N"),IF(D86="N1",COUNTIF($D$9:D86,"N1"),""))</f>
        <v/>
      </c>
      <c r="J86" s="101" t="str">
        <f>IF(D86="","",COUNTA(D86:D86)-(COUNTA(D86:D86)-1))</f>
        <v/>
      </c>
    </row>
    <row r="87" spans="1:10" thickBot="1">
      <c r="A87" s="117"/>
      <c r="B87" s="70">
        <f t="shared" si="9"/>
        <v>43879</v>
      </c>
      <c r="C87" s="82" t="str">
        <f t="shared" si="6"/>
        <v>mardi</v>
      </c>
      <c r="D87" s="87"/>
      <c r="E87" s="115" t="str">
        <f t="shared" si="7"/>
        <v/>
      </c>
      <c r="F87" s="115" t="str">
        <f t="shared" si="8"/>
        <v/>
      </c>
      <c r="G87" s="116" t="str">
        <f>IF(ISNONTEXT(D87),"",E87-MAX($F$2:F86))</f>
        <v/>
      </c>
      <c r="H87" s="97"/>
      <c r="I87" s="74" t="str">
        <f ca="1">IF(D87="N",COUNTIF(INDIRECT(ADDRESS(MATCH(Plages!$D$19,'Planning annuel mixing coater'!$B:$B),4)):D87,"N"),IF(D87="N1",COUNTIF($D$9:D87,"N1"),""))</f>
        <v/>
      </c>
      <c r="J87" s="96" t="str">
        <f>IF(D87="","",COUNTA(D86:D87)-(COUNTA(D87:D87)-1))</f>
        <v/>
      </c>
    </row>
    <row r="88" spans="1:10" thickBot="1">
      <c r="A88" s="117"/>
      <c r="B88" s="70">
        <f t="shared" si="9"/>
        <v>43880</v>
      </c>
      <c r="C88" s="82" t="str">
        <f t="shared" si="6"/>
        <v>mercredi</v>
      </c>
      <c r="D88" s="87"/>
      <c r="E88" s="115" t="str">
        <f t="shared" si="7"/>
        <v/>
      </c>
      <c r="F88" s="115" t="str">
        <f t="shared" si="8"/>
        <v/>
      </c>
      <c r="G88" s="116" t="str">
        <f>IF(ISNONTEXT(D88),"",E88-MAX($F$2:F87))</f>
        <v/>
      </c>
      <c r="H88" s="97"/>
      <c r="I88" s="74" t="str">
        <f ca="1">IF(D88="N",COUNTIF(INDIRECT(ADDRESS(MATCH(Plages!$D$19,'Planning annuel mixing coater'!$B:$B),4)):D88,"N"),IF(D88="N1",COUNTIF($D$9:D88,"N1"),""))</f>
        <v/>
      </c>
      <c r="J88" s="96" t="str">
        <f>IF(D88="","",COUNTA(D86:D88)-(COUNTA(D88:D88)-1))</f>
        <v/>
      </c>
    </row>
    <row r="89" spans="1:10" thickBot="1">
      <c r="A89" s="117"/>
      <c r="B89" s="70">
        <f t="shared" si="9"/>
        <v>43881</v>
      </c>
      <c r="C89" s="82" t="str">
        <f t="shared" si="6"/>
        <v>jeudi</v>
      </c>
      <c r="D89" s="87"/>
      <c r="E89" s="115" t="str">
        <f t="shared" si="7"/>
        <v/>
      </c>
      <c r="F89" s="115" t="str">
        <f t="shared" si="8"/>
        <v/>
      </c>
      <c r="G89" s="116" t="str">
        <f>IF(ISNONTEXT(D89),"",E89-MAX($F$2:F88))</f>
        <v/>
      </c>
      <c r="H89" s="97"/>
      <c r="I89" s="74" t="str">
        <f ca="1">IF(D89="N",COUNTIF(INDIRECT(ADDRESS(MATCH(Plages!$D$19,'Planning annuel mixing coater'!$B:$B),4)):D89,"N"),IF(D89="N1",COUNTIF($D$9:D89,"N1"),""))</f>
        <v/>
      </c>
      <c r="J89" s="96" t="str">
        <f>IF(D89="","",COUNTA(D86:D89)-(COUNTA(D89:D89)-1))</f>
        <v/>
      </c>
    </row>
    <row r="90" spans="1:10" thickBot="1">
      <c r="A90" s="117"/>
      <c r="B90" s="70">
        <f t="shared" si="9"/>
        <v>43882</v>
      </c>
      <c r="C90" s="82" t="str">
        <f t="shared" si="6"/>
        <v>vendredi</v>
      </c>
      <c r="D90" s="87"/>
      <c r="E90" s="115" t="str">
        <f t="shared" si="7"/>
        <v/>
      </c>
      <c r="F90" s="115" t="str">
        <f t="shared" si="8"/>
        <v/>
      </c>
      <c r="G90" s="116" t="str">
        <f>IF(ISNONTEXT(D90),"",E90-MAX($F$2:F89))</f>
        <v/>
      </c>
      <c r="H90" s="97"/>
      <c r="I90" s="74" t="str">
        <f ca="1">IF(D90="N",COUNTIF(INDIRECT(ADDRESS(MATCH(Plages!$D$19,'Planning annuel mixing coater'!$B:$B),4)):D90,"N"),IF(D90="N1",COUNTIF($D$9:D90,"N1"),""))</f>
        <v/>
      </c>
      <c r="J90" s="96" t="str">
        <f>IF(D90="","",COUNTA(D86:D90)-(COUNTA(D90:D90)-1))</f>
        <v/>
      </c>
    </row>
    <row r="91" spans="1:10" thickBot="1">
      <c r="A91" s="117"/>
      <c r="B91" s="70">
        <f t="shared" si="9"/>
        <v>43883</v>
      </c>
      <c r="C91" s="82" t="str">
        <f t="shared" si="6"/>
        <v>samedi</v>
      </c>
      <c r="D91" s="87"/>
      <c r="E91" s="115" t="str">
        <f t="shared" si="7"/>
        <v/>
      </c>
      <c r="F91" s="115" t="str">
        <f t="shared" si="8"/>
        <v/>
      </c>
      <c r="G91" s="116" t="str">
        <f>IF(ISNONTEXT(D91),"",E91-MAX($F$2:F90))</f>
        <v/>
      </c>
      <c r="H91" s="97"/>
      <c r="I91" s="74" t="str">
        <f ca="1">IF(D91="N",COUNTIF(INDIRECT(ADDRESS(MATCH(Plages!$D$19,'Planning annuel mixing coater'!$B:$B),4)):D91,"N"),IF(D91="N1",COUNTIF($D$9:D91,"N1"),""))</f>
        <v/>
      </c>
      <c r="J91" s="96" t="str">
        <f>IF(D91="","",COUNTA(D86:D91)-(COUNTA(D91:D91)-1))</f>
        <v/>
      </c>
    </row>
    <row r="92" spans="1:10" thickBot="1">
      <c r="A92" s="117"/>
      <c r="B92" s="70">
        <f t="shared" si="9"/>
        <v>43884</v>
      </c>
      <c r="C92" s="82" t="str">
        <f t="shared" si="6"/>
        <v>dimanche</v>
      </c>
      <c r="D92" s="87"/>
      <c r="E92" s="115" t="str">
        <f t="shared" si="7"/>
        <v/>
      </c>
      <c r="F92" s="115" t="str">
        <f t="shared" si="8"/>
        <v/>
      </c>
      <c r="G92" s="116" t="str">
        <f>IF(ISNONTEXT(D92),"",E92-MAX($F$2:F91))</f>
        <v/>
      </c>
      <c r="H92" s="98"/>
      <c r="I92" s="74" t="str">
        <f ca="1">IF(D92="N",COUNTIF(INDIRECT(ADDRESS(MATCH(Plages!$D$19,'Planning annuel mixing coater'!$B:$B),4)):D92,"N"),IF(D92="N1",COUNTIF($D$9:D92,"N1"),""))</f>
        <v/>
      </c>
      <c r="J92" s="96" t="str">
        <f>IF(D92="","",COUNTA(D86:D92)-(COUNTA(D92:D92)-1))</f>
        <v/>
      </c>
    </row>
    <row r="93" spans="1:10" thickBot="1">
      <c r="A93" s="117"/>
      <c r="B93" s="70">
        <f t="shared" si="9"/>
        <v>43885</v>
      </c>
      <c r="C93" s="82" t="str">
        <f t="shared" si="6"/>
        <v>lundi</v>
      </c>
      <c r="D93" s="87"/>
      <c r="E93" s="115" t="str">
        <f t="shared" si="7"/>
        <v/>
      </c>
      <c r="F93" s="115" t="str">
        <f t="shared" si="8"/>
        <v/>
      </c>
      <c r="G93" s="116" t="str">
        <f>IF(ISNONTEXT(D93),"",E93-MAX($F$2:F92))</f>
        <v/>
      </c>
      <c r="H93" s="97"/>
      <c r="I93" s="74" t="str">
        <f ca="1">IF(D93="N",COUNTIF(INDIRECT(ADDRESS(MATCH(Plages!$D$19,'Planning annuel mixing coater'!$B:$B),4)):D93,"N"),IF(D93="N1",COUNTIF($D$9:D93,"N1"),""))</f>
        <v/>
      </c>
      <c r="J93" s="96" t="str">
        <f>IF(D93="","",COUNTA(D86:D93)-(COUNTA(D93:D93)-1))</f>
        <v/>
      </c>
    </row>
    <row r="94" spans="1:10" thickBot="1">
      <c r="A94" s="117"/>
      <c r="B94" s="70">
        <f t="shared" si="9"/>
        <v>43886</v>
      </c>
      <c r="C94" s="82" t="str">
        <f t="shared" ref="C94:C157" si="10">IF(B94="","",TEXT(B94,"jjjj"))</f>
        <v>mardi</v>
      </c>
      <c r="D94" s="87"/>
      <c r="E94" s="115" t="str">
        <f t="shared" ref="E94:E157" si="11">IF(D94="","",B94+VLOOKUP(D94,Plageh,2,0))</f>
        <v/>
      </c>
      <c r="F94" s="115" t="str">
        <f t="shared" ref="F94:F157" si="12">IF(D94="","",B94+VLOOKUP(D94,Plageh,3,0))</f>
        <v/>
      </c>
      <c r="G94" s="116" t="str">
        <f>IF(ISNONTEXT(D94),"",E94-MAX($F$2:F93))</f>
        <v/>
      </c>
      <c r="H94" s="97"/>
      <c r="I94" s="74" t="str">
        <f ca="1">IF(D94="N",COUNTIF(INDIRECT(ADDRESS(MATCH(Plages!$D$19,'Planning annuel mixing coater'!$B:$B),4)):D94,"N"),IF(D94="N1",COUNTIF($D$9:D94,"N1"),""))</f>
        <v/>
      </c>
      <c r="J94" s="96" t="str">
        <f>IF(D94="","",COUNTA(D86:D94)-(COUNTA(D94:D94)-1))</f>
        <v/>
      </c>
    </row>
    <row r="95" spans="1:10" thickBot="1">
      <c r="A95" s="117"/>
      <c r="B95" s="70">
        <f t="shared" si="9"/>
        <v>43887</v>
      </c>
      <c r="C95" s="82" t="str">
        <f t="shared" si="10"/>
        <v>mercredi</v>
      </c>
      <c r="D95" s="87"/>
      <c r="E95" s="115" t="str">
        <f t="shared" si="11"/>
        <v/>
      </c>
      <c r="F95" s="115" t="str">
        <f t="shared" si="12"/>
        <v/>
      </c>
      <c r="G95" s="116" t="str">
        <f>IF(ISNONTEXT(D95),"",E95-MAX($F$2:F94))</f>
        <v/>
      </c>
      <c r="H95" s="97"/>
      <c r="I95" s="74" t="str">
        <f ca="1">IF(D95="N",COUNTIF(INDIRECT(ADDRESS(MATCH(Plages!$D$19,'Planning annuel mixing coater'!$B:$B),4)):D95,"N"),IF(D95="N1",COUNTIF($D$9:D95,"N1"),""))</f>
        <v/>
      </c>
      <c r="J95" s="96" t="str">
        <f>IF(D95="","",COUNTA(D86:D95)-(COUNTA(D95:D95)-1))</f>
        <v/>
      </c>
    </row>
    <row r="96" spans="1:10" thickBot="1">
      <c r="A96" s="117"/>
      <c r="B96" s="70">
        <f t="shared" si="9"/>
        <v>43888</v>
      </c>
      <c r="C96" s="82" t="str">
        <f t="shared" si="10"/>
        <v>jeudi</v>
      </c>
      <c r="D96" s="87"/>
      <c r="E96" s="115" t="str">
        <f t="shared" si="11"/>
        <v/>
      </c>
      <c r="F96" s="115" t="str">
        <f t="shared" si="12"/>
        <v/>
      </c>
      <c r="G96" s="116" t="str">
        <f>IF(ISNONTEXT(D96),"",E96-MAX($F$2:F95))</f>
        <v/>
      </c>
      <c r="H96" s="97"/>
      <c r="I96" s="74" t="str">
        <f ca="1">IF(D96="N",COUNTIF(INDIRECT(ADDRESS(MATCH(Plages!$D$19,'Planning annuel mixing coater'!$B:$B),4)):D96,"N"),IF(D96="N1",COUNTIF($D$9:D96,"N1"),""))</f>
        <v/>
      </c>
      <c r="J96" s="96" t="str">
        <f>IF(D96="","",COUNTA(D86:D96)-(COUNTA(D96:D96)-1))</f>
        <v/>
      </c>
    </row>
    <row r="97" spans="1:10" thickBot="1">
      <c r="A97" s="117"/>
      <c r="B97" s="70">
        <f t="shared" si="9"/>
        <v>43889</v>
      </c>
      <c r="C97" s="82" t="str">
        <f t="shared" si="10"/>
        <v>vendredi</v>
      </c>
      <c r="D97" s="87"/>
      <c r="E97" s="115" t="str">
        <f t="shared" si="11"/>
        <v/>
      </c>
      <c r="F97" s="115" t="str">
        <f t="shared" si="12"/>
        <v/>
      </c>
      <c r="G97" s="116" t="str">
        <f>IF(ISNONTEXT(D97),"",E97-MAX($F$2:F96))</f>
        <v/>
      </c>
      <c r="H97" s="97"/>
      <c r="I97" s="74" t="str">
        <f ca="1">IF(D97="N",COUNTIF(INDIRECT(ADDRESS(MATCH(Plages!$D$19,'Planning annuel mixing coater'!$B:$B),4)):D97,"N"),IF(D97="N1",COUNTIF($D$9:D97,"N1"),""))</f>
        <v/>
      </c>
      <c r="J97" s="96" t="str">
        <f>IF(D97="","",COUNTA(D86:D97)-(COUNTA(D97:D97)-1))</f>
        <v/>
      </c>
    </row>
    <row r="98" spans="1:10" thickBot="1">
      <c r="A98" s="117"/>
      <c r="B98" s="70">
        <f t="shared" si="9"/>
        <v>43890</v>
      </c>
      <c r="C98" s="82" t="str">
        <f t="shared" si="10"/>
        <v>samedi</v>
      </c>
      <c r="D98" s="87"/>
      <c r="E98" s="115" t="str">
        <f t="shared" si="11"/>
        <v/>
      </c>
      <c r="F98" s="115" t="str">
        <f t="shared" si="12"/>
        <v/>
      </c>
      <c r="G98" s="116" t="str">
        <f>IF(ISNONTEXT(D98),"",E98-MAX($F$2:F97))</f>
        <v/>
      </c>
      <c r="H98" s="97"/>
      <c r="I98" s="74" t="str">
        <f ca="1">IF(D98="N",COUNTIF(INDIRECT(ADDRESS(MATCH(Plages!$D$19,'Planning annuel mixing coater'!$B:$B),4)):D98,"N"),IF(D98="N1",COUNTIF($D$9:D98,"N1"),""))</f>
        <v/>
      </c>
      <c r="J98" s="96" t="str">
        <f>IF(D98="","",COUNTA(D86:D98)-(COUNTA(D98:D98)-1))</f>
        <v/>
      </c>
    </row>
    <row r="99" spans="1:10" s="77" customFormat="1" thickBot="1">
      <c r="A99" s="117"/>
      <c r="B99" s="75">
        <f t="shared" si="9"/>
        <v>43891</v>
      </c>
      <c r="C99" s="83" t="str">
        <f t="shared" si="10"/>
        <v>dimanche</v>
      </c>
      <c r="D99" s="88"/>
      <c r="E99" s="115" t="str">
        <f t="shared" si="11"/>
        <v/>
      </c>
      <c r="F99" s="115" t="str">
        <f t="shared" si="12"/>
        <v/>
      </c>
      <c r="G99" s="116" t="str">
        <f>IF(ISNONTEXT(D99),"",E99-MAX($F$2:F98))</f>
        <v/>
      </c>
      <c r="H99" s="98"/>
      <c r="I99" s="76" t="str">
        <f ca="1">IF(D99="N",COUNTIF(INDIRECT(ADDRESS(MATCH(Plages!$D$19,'Planning annuel mixing coater'!$B:$B),4)):D99,"N"),IF(D99="N1",COUNTIF($D$9:D99,"N1"),""))</f>
        <v/>
      </c>
      <c r="J99" s="99" t="str">
        <f>IF(D99="","",COUNTA(D86:D99)-(COUNTA(D99:D99)-1))</f>
        <v/>
      </c>
    </row>
    <row r="100" spans="1:10" ht="16.5" thickTop="1" thickBot="1">
      <c r="A100" s="117"/>
      <c r="B100" s="78">
        <f t="shared" si="9"/>
        <v>43892</v>
      </c>
      <c r="C100" s="81" t="str">
        <f t="shared" si="10"/>
        <v>lundi</v>
      </c>
      <c r="D100" s="89"/>
      <c r="E100" s="115" t="str">
        <f t="shared" si="11"/>
        <v/>
      </c>
      <c r="F100" s="115" t="str">
        <f t="shared" si="12"/>
        <v/>
      </c>
      <c r="G100" s="116" t="str">
        <f>IF(ISNONTEXT(D100),"",E100-MAX($F$2:F99))</f>
        <v/>
      </c>
      <c r="H100" s="100"/>
      <c r="I100" s="79" t="str">
        <f ca="1">IF(D100="N",COUNTIF(INDIRECT(ADDRESS(MATCH(Plages!$D$19,'Planning annuel mixing coater'!$B:$B),4)):D100,"N"),IF(D100="N1",COUNTIF($D$9:D100,"N1"),""))</f>
        <v/>
      </c>
      <c r="J100" s="101" t="str">
        <f>IF(D100="","",COUNTA(D100:D100)-(COUNTA(D100:D100)-1))</f>
        <v/>
      </c>
    </row>
    <row r="101" spans="1:10" thickBot="1">
      <c r="A101" s="117"/>
      <c r="B101" s="70">
        <f t="shared" si="9"/>
        <v>43893</v>
      </c>
      <c r="C101" s="82" t="str">
        <f t="shared" si="10"/>
        <v>mardi</v>
      </c>
      <c r="D101" s="87"/>
      <c r="E101" s="115" t="str">
        <f t="shared" si="11"/>
        <v/>
      </c>
      <c r="F101" s="115" t="str">
        <f t="shared" si="12"/>
        <v/>
      </c>
      <c r="G101" s="116" t="str">
        <f>IF(ISNONTEXT(D101),"",E101-MAX($F$2:F100))</f>
        <v/>
      </c>
      <c r="H101" s="97"/>
      <c r="I101" s="74" t="str">
        <f ca="1">IF(D101="N",COUNTIF(INDIRECT(ADDRESS(MATCH(Plages!$D$19,'Planning annuel mixing coater'!$B:$B),4)):D101,"N"),IF(D101="N1",COUNTIF($D$9:D101,"N1"),""))</f>
        <v/>
      </c>
      <c r="J101" s="96" t="str">
        <f>IF(D101="","",COUNTA(D100:D101)-(COUNTA(D101:D101)-1))</f>
        <v/>
      </c>
    </row>
    <row r="102" spans="1:10" thickBot="1">
      <c r="A102" s="117"/>
      <c r="B102" s="70">
        <f t="shared" si="9"/>
        <v>43894</v>
      </c>
      <c r="C102" s="82" t="str">
        <f t="shared" si="10"/>
        <v>mercredi</v>
      </c>
      <c r="D102" s="87"/>
      <c r="E102" s="115" t="str">
        <f t="shared" si="11"/>
        <v/>
      </c>
      <c r="F102" s="115" t="str">
        <f t="shared" si="12"/>
        <v/>
      </c>
      <c r="G102" s="116" t="str">
        <f>IF(ISNONTEXT(D102),"",E102-MAX($F$2:F101))</f>
        <v/>
      </c>
      <c r="H102" s="97"/>
      <c r="I102" s="74" t="str">
        <f ca="1">IF(D102="N",COUNTIF(INDIRECT(ADDRESS(MATCH(Plages!$D$19,'Planning annuel mixing coater'!$B:$B),4)):D102,"N"),IF(D102="N1",COUNTIF($D$9:D102,"N1"),""))</f>
        <v/>
      </c>
      <c r="J102" s="96" t="str">
        <f>IF(D102="","",COUNTA(D100:D102)-(COUNTA(D102:D102)-1))</f>
        <v/>
      </c>
    </row>
    <row r="103" spans="1:10" thickBot="1">
      <c r="A103" s="117"/>
      <c r="B103" s="70">
        <f t="shared" si="9"/>
        <v>43895</v>
      </c>
      <c r="C103" s="82" t="str">
        <f t="shared" si="10"/>
        <v>jeudi</v>
      </c>
      <c r="D103" s="87"/>
      <c r="E103" s="115" t="str">
        <f t="shared" si="11"/>
        <v/>
      </c>
      <c r="F103" s="115" t="str">
        <f t="shared" si="12"/>
        <v/>
      </c>
      <c r="G103" s="116" t="str">
        <f>IF(ISNONTEXT(D103),"",E103-MAX($F$2:F102))</f>
        <v/>
      </c>
      <c r="H103" s="97"/>
      <c r="I103" s="74" t="str">
        <f ca="1">IF(D103="N",COUNTIF(INDIRECT(ADDRESS(MATCH(Plages!$D$19,'Planning annuel mixing coater'!$B:$B),4)):D103,"N"),IF(D103="N1",COUNTIF($D$9:D103,"N1"),""))</f>
        <v/>
      </c>
      <c r="J103" s="96" t="str">
        <f>IF(D103="","",COUNTA(D100:D103)-(COUNTA(D103:D103)-1))</f>
        <v/>
      </c>
    </row>
    <row r="104" spans="1:10" thickBot="1">
      <c r="A104" s="117"/>
      <c r="B104" s="70">
        <f t="shared" si="9"/>
        <v>43896</v>
      </c>
      <c r="C104" s="82" t="str">
        <f t="shared" si="10"/>
        <v>vendredi</v>
      </c>
      <c r="D104" s="87"/>
      <c r="E104" s="115" t="str">
        <f t="shared" si="11"/>
        <v/>
      </c>
      <c r="F104" s="115" t="str">
        <f t="shared" si="12"/>
        <v/>
      </c>
      <c r="G104" s="116" t="str">
        <f>IF(ISNONTEXT(D104),"",E104-MAX($F$2:F103))</f>
        <v/>
      </c>
      <c r="H104" s="97"/>
      <c r="I104" s="74" t="str">
        <f ca="1">IF(D104="N",COUNTIF(INDIRECT(ADDRESS(MATCH(Plages!$D$19,'Planning annuel mixing coater'!$B:$B),4)):D104,"N"),IF(D104="N1",COUNTIF($D$9:D104,"N1"),""))</f>
        <v/>
      </c>
      <c r="J104" s="96" t="str">
        <f>IF(D104="","",COUNTA(D100:D104)-(COUNTA(D104:D104)-1))</f>
        <v/>
      </c>
    </row>
    <row r="105" spans="1:10" thickBot="1">
      <c r="A105" s="117"/>
      <c r="B105" s="70">
        <f t="shared" si="9"/>
        <v>43897</v>
      </c>
      <c r="C105" s="82" t="str">
        <f t="shared" si="10"/>
        <v>samedi</v>
      </c>
      <c r="D105" s="87"/>
      <c r="E105" s="115" t="str">
        <f t="shared" si="11"/>
        <v/>
      </c>
      <c r="F105" s="115" t="str">
        <f t="shared" si="12"/>
        <v/>
      </c>
      <c r="G105" s="116" t="str">
        <f>IF(ISNONTEXT(D105),"",E105-MAX($F$2:F104))</f>
        <v/>
      </c>
      <c r="H105" s="97"/>
      <c r="I105" s="74" t="str">
        <f ca="1">IF(D105="N",COUNTIF(INDIRECT(ADDRESS(MATCH(Plages!$D$19,'Planning annuel mixing coater'!$B:$B),4)):D105,"N"),IF(D105="N1",COUNTIF($D$9:D105,"N1"),""))</f>
        <v/>
      </c>
      <c r="J105" s="96" t="str">
        <f>IF(D105="","",COUNTA(D100:D105)-(COUNTA(D105:D105)-1))</f>
        <v/>
      </c>
    </row>
    <row r="106" spans="1:10" thickBot="1">
      <c r="A106" s="117"/>
      <c r="B106" s="70">
        <f t="shared" si="9"/>
        <v>43898</v>
      </c>
      <c r="C106" s="82" t="str">
        <f t="shared" si="10"/>
        <v>dimanche</v>
      </c>
      <c r="D106" s="87"/>
      <c r="E106" s="115" t="str">
        <f t="shared" si="11"/>
        <v/>
      </c>
      <c r="F106" s="115" t="str">
        <f t="shared" si="12"/>
        <v/>
      </c>
      <c r="G106" s="116" t="str">
        <f>IF(ISNONTEXT(D106),"",E106-MAX($F$2:F105))</f>
        <v/>
      </c>
      <c r="H106" s="98"/>
      <c r="I106" s="74" t="str">
        <f ca="1">IF(D106="N",COUNTIF(INDIRECT(ADDRESS(MATCH(Plages!$D$19,'Planning annuel mixing coater'!$B:$B),4)):D106,"N"),IF(D106="N1",COUNTIF($D$9:D106,"N1"),""))</f>
        <v/>
      </c>
      <c r="J106" s="96" t="str">
        <f>IF(D106="","",COUNTA(D100:D106)-(COUNTA(D106:D106)-1))</f>
        <v/>
      </c>
    </row>
    <row r="107" spans="1:10" thickBot="1">
      <c r="A107" s="117"/>
      <c r="B107" s="70">
        <f t="shared" si="9"/>
        <v>43899</v>
      </c>
      <c r="C107" s="82" t="str">
        <f t="shared" si="10"/>
        <v>lundi</v>
      </c>
      <c r="D107" s="87"/>
      <c r="E107" s="115" t="str">
        <f t="shared" si="11"/>
        <v/>
      </c>
      <c r="F107" s="115" t="str">
        <f t="shared" si="12"/>
        <v/>
      </c>
      <c r="G107" s="116" t="str">
        <f>IF(ISNONTEXT(D107),"",E107-MAX($F$2:F106))</f>
        <v/>
      </c>
      <c r="H107" s="97"/>
      <c r="I107" s="74" t="str">
        <f ca="1">IF(D107="N",COUNTIF(INDIRECT(ADDRESS(MATCH(Plages!$D$19,'Planning annuel mixing coater'!$B:$B),4)):D107,"N"),IF(D107="N1",COUNTIF($D$9:D107,"N1"),""))</f>
        <v/>
      </c>
      <c r="J107" s="96" t="str">
        <f>IF(D107="","",COUNTA(D100:D107)-(COUNTA(D107:D107)-1))</f>
        <v/>
      </c>
    </row>
    <row r="108" spans="1:10" thickBot="1">
      <c r="A108" s="117"/>
      <c r="B108" s="70">
        <f t="shared" si="9"/>
        <v>43900</v>
      </c>
      <c r="C108" s="82" t="str">
        <f t="shared" si="10"/>
        <v>mardi</v>
      </c>
      <c r="D108" s="87"/>
      <c r="E108" s="115" t="str">
        <f t="shared" si="11"/>
        <v/>
      </c>
      <c r="F108" s="115" t="str">
        <f t="shared" si="12"/>
        <v/>
      </c>
      <c r="G108" s="116" t="str">
        <f>IF(ISNONTEXT(D108),"",E108-MAX($F$2:F107))</f>
        <v/>
      </c>
      <c r="H108" s="97"/>
      <c r="I108" s="74" t="str">
        <f ca="1">IF(D108="N",COUNTIF(INDIRECT(ADDRESS(MATCH(Plages!$D$19,'Planning annuel mixing coater'!$B:$B),4)):D108,"N"),IF(D108="N1",COUNTIF($D$9:D108,"N1"),""))</f>
        <v/>
      </c>
      <c r="J108" s="96" t="str">
        <f>IF(D108="","",COUNTA(D100:D108)-(COUNTA(D108:D108)-1))</f>
        <v/>
      </c>
    </row>
    <row r="109" spans="1:10" thickBot="1">
      <c r="A109" s="117"/>
      <c r="B109" s="70">
        <f t="shared" si="9"/>
        <v>43901</v>
      </c>
      <c r="C109" s="82" t="str">
        <f t="shared" si="10"/>
        <v>mercredi</v>
      </c>
      <c r="D109" s="87"/>
      <c r="E109" s="115" t="str">
        <f t="shared" si="11"/>
        <v/>
      </c>
      <c r="F109" s="115" t="str">
        <f t="shared" si="12"/>
        <v/>
      </c>
      <c r="G109" s="116" t="str">
        <f>IF(ISNONTEXT(D109),"",E109-MAX($F$2:F108))</f>
        <v/>
      </c>
      <c r="H109" s="97"/>
      <c r="I109" s="74" t="str">
        <f ca="1">IF(D109="N",COUNTIF(INDIRECT(ADDRESS(MATCH(Plages!$D$19,'Planning annuel mixing coater'!$B:$B),4)):D109,"N"),IF(D109="N1",COUNTIF($D$9:D109,"N1"),""))</f>
        <v/>
      </c>
      <c r="J109" s="96" t="str">
        <f>IF(D109="","",COUNTA(D100:D109)-(COUNTA(D109:D109)-1))</f>
        <v/>
      </c>
    </row>
    <row r="110" spans="1:10" thickBot="1">
      <c r="A110" s="117"/>
      <c r="B110" s="70">
        <f t="shared" si="9"/>
        <v>43902</v>
      </c>
      <c r="C110" s="82" t="str">
        <f t="shared" si="10"/>
        <v>jeudi</v>
      </c>
      <c r="D110" s="87"/>
      <c r="E110" s="115" t="str">
        <f t="shared" si="11"/>
        <v/>
      </c>
      <c r="F110" s="115" t="str">
        <f t="shared" si="12"/>
        <v/>
      </c>
      <c r="G110" s="116" t="str">
        <f>IF(ISNONTEXT(D110),"",E110-MAX($F$2:F109))</f>
        <v/>
      </c>
      <c r="H110" s="97"/>
      <c r="I110" s="74" t="str">
        <f ca="1">IF(D110="N",COUNTIF(INDIRECT(ADDRESS(MATCH(Plages!$D$19,'Planning annuel mixing coater'!$B:$B),4)):D110,"N"),IF(D110="N1",COUNTIF($D$9:D110,"N1"),""))</f>
        <v/>
      </c>
      <c r="J110" s="96" t="str">
        <f>IF(D110="","",COUNTA(D100:D110)-(COUNTA(D110:D110)-1))</f>
        <v/>
      </c>
    </row>
    <row r="111" spans="1:10" thickBot="1">
      <c r="A111" s="117"/>
      <c r="B111" s="70">
        <f t="shared" si="9"/>
        <v>43903</v>
      </c>
      <c r="C111" s="82" t="str">
        <f t="shared" si="10"/>
        <v>vendredi</v>
      </c>
      <c r="D111" s="87"/>
      <c r="E111" s="115" t="str">
        <f t="shared" si="11"/>
        <v/>
      </c>
      <c r="F111" s="115" t="str">
        <f t="shared" si="12"/>
        <v/>
      </c>
      <c r="G111" s="116" t="str">
        <f>IF(ISNONTEXT(D111),"",E111-MAX($F$2:F110))</f>
        <v/>
      </c>
      <c r="H111" s="97"/>
      <c r="I111" s="74" t="str">
        <f ca="1">IF(D111="N",COUNTIF(INDIRECT(ADDRESS(MATCH(Plages!$D$19,'Planning annuel mixing coater'!$B:$B),4)):D111,"N"),IF(D111="N1",COUNTIF($D$9:D111,"N1"),""))</f>
        <v/>
      </c>
      <c r="J111" s="96" t="str">
        <f>IF(D111="","",COUNTA(D100:D111)-(COUNTA(D111:D111)-1))</f>
        <v/>
      </c>
    </row>
    <row r="112" spans="1:10" thickBot="1">
      <c r="A112" s="117"/>
      <c r="B112" s="70">
        <f t="shared" si="9"/>
        <v>43904</v>
      </c>
      <c r="C112" s="82" t="str">
        <f t="shared" si="10"/>
        <v>samedi</v>
      </c>
      <c r="D112" s="87"/>
      <c r="E112" s="115" t="str">
        <f t="shared" si="11"/>
        <v/>
      </c>
      <c r="F112" s="115" t="str">
        <f t="shared" si="12"/>
        <v/>
      </c>
      <c r="G112" s="116" t="str">
        <f>IF(ISNONTEXT(D112),"",E112-MAX($F$2:F111))</f>
        <v/>
      </c>
      <c r="H112" s="97"/>
      <c r="I112" s="74" t="str">
        <f ca="1">IF(D112="N",COUNTIF(INDIRECT(ADDRESS(MATCH(Plages!$D$19,'Planning annuel mixing coater'!$B:$B),4)):D112,"N"),IF(D112="N1",COUNTIF($D$9:D112,"N1"),""))</f>
        <v/>
      </c>
      <c r="J112" s="96" t="str">
        <f>IF(D112="","",COUNTA(D100:D112)-(COUNTA(D112:D112)-1))</f>
        <v/>
      </c>
    </row>
    <row r="113" spans="1:10" s="77" customFormat="1" thickBot="1">
      <c r="A113" s="117"/>
      <c r="B113" s="75">
        <f t="shared" si="9"/>
        <v>43905</v>
      </c>
      <c r="C113" s="83" t="str">
        <f t="shared" si="10"/>
        <v>dimanche</v>
      </c>
      <c r="D113" s="88"/>
      <c r="E113" s="115" t="str">
        <f t="shared" si="11"/>
        <v/>
      </c>
      <c r="F113" s="115" t="str">
        <f t="shared" si="12"/>
        <v/>
      </c>
      <c r="G113" s="116" t="str">
        <f>IF(ISNONTEXT(D113),"",E113-MAX($F$2:F112))</f>
        <v/>
      </c>
      <c r="H113" s="98"/>
      <c r="I113" s="76" t="str">
        <f ca="1">IF(D113="N",COUNTIF(INDIRECT(ADDRESS(MATCH(Plages!$D$19,'Planning annuel mixing coater'!$B:$B),4)):D113,"N"),IF(D113="N1",COUNTIF($D$9:D113,"N1"),""))</f>
        <v/>
      </c>
      <c r="J113" s="99" t="str">
        <f>IF(D113="","",COUNTA(D100:D113)-(COUNTA(D113:D113)-1))</f>
        <v/>
      </c>
    </row>
    <row r="114" spans="1:10" ht="16.5" thickTop="1" thickBot="1">
      <c r="A114" s="117"/>
      <c r="B114" s="78">
        <f t="shared" si="9"/>
        <v>43906</v>
      </c>
      <c r="C114" s="81" t="str">
        <f t="shared" si="10"/>
        <v>lundi</v>
      </c>
      <c r="D114" s="89"/>
      <c r="E114" s="115" t="str">
        <f t="shared" si="11"/>
        <v/>
      </c>
      <c r="F114" s="115" t="str">
        <f t="shared" si="12"/>
        <v/>
      </c>
      <c r="G114" s="116" t="str">
        <f>IF(ISNONTEXT(D114),"",E114-MAX($F$2:F113))</f>
        <v/>
      </c>
      <c r="H114" s="100"/>
      <c r="I114" s="79" t="str">
        <f ca="1">IF(D114="N",COUNTIF(INDIRECT(ADDRESS(MATCH(Plages!$D$19,'Planning annuel mixing coater'!$B:$B),4)):D114,"N"),IF(D114="N1",COUNTIF($D$9:D114,"N1"),""))</f>
        <v/>
      </c>
      <c r="J114" s="101" t="str">
        <f>IF(D114="","",COUNTA(D114:D114)-(COUNTA(D114:D114)-1))</f>
        <v/>
      </c>
    </row>
    <row r="115" spans="1:10" thickBot="1">
      <c r="A115" s="117"/>
      <c r="B115" s="70">
        <f t="shared" si="9"/>
        <v>43907</v>
      </c>
      <c r="C115" s="82" t="str">
        <f t="shared" si="10"/>
        <v>mardi</v>
      </c>
      <c r="D115" s="87"/>
      <c r="E115" s="115" t="str">
        <f t="shared" si="11"/>
        <v/>
      </c>
      <c r="F115" s="115" t="str">
        <f t="shared" si="12"/>
        <v/>
      </c>
      <c r="G115" s="116" t="str">
        <f>IF(ISNONTEXT(D115),"",E115-MAX($F$2:F114))</f>
        <v/>
      </c>
      <c r="H115" s="97"/>
      <c r="I115" s="74" t="str">
        <f ca="1">IF(D115="N",COUNTIF(INDIRECT(ADDRESS(MATCH(Plages!$D$19,'Planning annuel mixing coater'!$B:$B),4)):D115,"N"),IF(D115="N1",COUNTIF($D$9:D115,"N1"),""))</f>
        <v/>
      </c>
      <c r="J115" s="96" t="str">
        <f>IF(D115="","",COUNTA(D114:D115)-(COUNTA(D115:D115)-1))</f>
        <v/>
      </c>
    </row>
    <row r="116" spans="1:10" thickBot="1">
      <c r="A116" s="117"/>
      <c r="B116" s="70">
        <f t="shared" si="9"/>
        <v>43908</v>
      </c>
      <c r="C116" s="82" t="str">
        <f t="shared" si="10"/>
        <v>mercredi</v>
      </c>
      <c r="D116" s="87"/>
      <c r="E116" s="115" t="str">
        <f t="shared" si="11"/>
        <v/>
      </c>
      <c r="F116" s="115" t="str">
        <f t="shared" si="12"/>
        <v/>
      </c>
      <c r="G116" s="116" t="str">
        <f>IF(ISNONTEXT(D116),"",E116-MAX($F$2:F115))</f>
        <v/>
      </c>
      <c r="H116" s="97"/>
      <c r="I116" s="74" t="str">
        <f ca="1">IF(D116="N",COUNTIF(INDIRECT(ADDRESS(MATCH(Plages!$D$19,'Planning annuel mixing coater'!$B:$B),4)):D116,"N"),IF(D116="N1",COUNTIF($D$9:D116,"N1"),""))</f>
        <v/>
      </c>
      <c r="J116" s="96" t="str">
        <f>IF(D116="","",COUNTA(D114:D116)-(COUNTA(D116:D116)-1))</f>
        <v/>
      </c>
    </row>
    <row r="117" spans="1:10" thickBot="1">
      <c r="A117" s="117"/>
      <c r="B117" s="70">
        <f t="shared" si="9"/>
        <v>43909</v>
      </c>
      <c r="C117" s="82" t="str">
        <f t="shared" si="10"/>
        <v>jeudi</v>
      </c>
      <c r="D117" s="87"/>
      <c r="E117" s="115" t="str">
        <f t="shared" si="11"/>
        <v/>
      </c>
      <c r="F117" s="115" t="str">
        <f t="shared" si="12"/>
        <v/>
      </c>
      <c r="G117" s="116" t="str">
        <f>IF(ISNONTEXT(D117),"",E117-MAX($F$2:F116))</f>
        <v/>
      </c>
      <c r="H117" s="97"/>
      <c r="I117" s="74" t="str">
        <f ca="1">IF(D117="N",COUNTIF(INDIRECT(ADDRESS(MATCH(Plages!$D$19,'Planning annuel mixing coater'!$B:$B),4)):D117,"N"),IF(D117="N1",COUNTIF($D$9:D117,"N1"),""))</f>
        <v/>
      </c>
      <c r="J117" s="96" t="str">
        <f>IF(D117="","",COUNTA(D114:D117)-(COUNTA(D117:D117)-1))</f>
        <v/>
      </c>
    </row>
    <row r="118" spans="1:10" thickBot="1">
      <c r="A118" s="117"/>
      <c r="B118" s="70">
        <f t="shared" si="9"/>
        <v>43910</v>
      </c>
      <c r="C118" s="82" t="str">
        <f t="shared" si="10"/>
        <v>vendredi</v>
      </c>
      <c r="D118" s="87"/>
      <c r="E118" s="115" t="str">
        <f t="shared" si="11"/>
        <v/>
      </c>
      <c r="F118" s="115" t="str">
        <f t="shared" si="12"/>
        <v/>
      </c>
      <c r="G118" s="116" t="str">
        <f>IF(ISNONTEXT(D118),"",E118-MAX($F$2:F117))</f>
        <v/>
      </c>
      <c r="H118" s="97"/>
      <c r="I118" s="74" t="str">
        <f ca="1">IF(D118="N",COUNTIF(INDIRECT(ADDRESS(MATCH(Plages!$D$19,'Planning annuel mixing coater'!$B:$B),4)):D118,"N"),IF(D118="N1",COUNTIF($D$9:D118,"N1"),""))</f>
        <v/>
      </c>
      <c r="J118" s="96" t="str">
        <f>IF(D118="","",COUNTA(D114:D118)-(COUNTA(D118:D118)-1))</f>
        <v/>
      </c>
    </row>
    <row r="119" spans="1:10" thickBot="1">
      <c r="A119" s="117"/>
      <c r="B119" s="70">
        <f t="shared" si="9"/>
        <v>43911</v>
      </c>
      <c r="C119" s="82" t="str">
        <f t="shared" si="10"/>
        <v>samedi</v>
      </c>
      <c r="D119" s="87"/>
      <c r="E119" s="115" t="str">
        <f t="shared" si="11"/>
        <v/>
      </c>
      <c r="F119" s="115" t="str">
        <f t="shared" si="12"/>
        <v/>
      </c>
      <c r="G119" s="116" t="str">
        <f>IF(ISNONTEXT(D119),"",E119-MAX($F$2:F118))</f>
        <v/>
      </c>
      <c r="H119" s="97"/>
      <c r="I119" s="74" t="str">
        <f ca="1">IF(D119="N",COUNTIF(INDIRECT(ADDRESS(MATCH(Plages!$D$19,'Planning annuel mixing coater'!$B:$B),4)):D119,"N"),IF(D119="N1",COUNTIF($D$9:D119,"N1"),""))</f>
        <v/>
      </c>
      <c r="J119" s="96" t="str">
        <f>IF(D119="","",COUNTA(D114:D119)-(COUNTA(D119:D119)-1))</f>
        <v/>
      </c>
    </row>
    <row r="120" spans="1:10" thickBot="1">
      <c r="A120" s="117"/>
      <c r="B120" s="70">
        <f t="shared" si="9"/>
        <v>43912</v>
      </c>
      <c r="C120" s="82" t="str">
        <f t="shared" si="10"/>
        <v>dimanche</v>
      </c>
      <c r="D120" s="87"/>
      <c r="E120" s="115" t="str">
        <f t="shared" si="11"/>
        <v/>
      </c>
      <c r="F120" s="115" t="str">
        <f t="shared" si="12"/>
        <v/>
      </c>
      <c r="G120" s="116" t="str">
        <f>IF(ISNONTEXT(D120),"",E120-MAX($F$2:F119))</f>
        <v/>
      </c>
      <c r="H120" s="98"/>
      <c r="I120" s="74" t="str">
        <f ca="1">IF(D120="N",COUNTIF(INDIRECT(ADDRESS(MATCH(Plages!$D$19,'Planning annuel mixing coater'!$B:$B),4)):D120,"N"),IF(D120="N1",COUNTIF($D$9:D120,"N1"),""))</f>
        <v/>
      </c>
      <c r="J120" s="96" t="str">
        <f>IF(D120="","",COUNTA(D114:D120)-(COUNTA(D120:D120)-1))</f>
        <v/>
      </c>
    </row>
    <row r="121" spans="1:10" thickBot="1">
      <c r="A121" s="117"/>
      <c r="B121" s="70">
        <f t="shared" si="9"/>
        <v>43913</v>
      </c>
      <c r="C121" s="82" t="str">
        <f t="shared" si="10"/>
        <v>lundi</v>
      </c>
      <c r="D121" s="87"/>
      <c r="E121" s="115" t="str">
        <f t="shared" si="11"/>
        <v/>
      </c>
      <c r="F121" s="115" t="str">
        <f t="shared" si="12"/>
        <v/>
      </c>
      <c r="G121" s="116" t="str">
        <f>IF(ISNONTEXT(D121),"",E121-MAX($F$2:F120))</f>
        <v/>
      </c>
      <c r="H121" s="97"/>
      <c r="I121" s="74" t="str">
        <f ca="1">IF(D121="N",COUNTIF(INDIRECT(ADDRESS(MATCH(Plages!$D$19,'Planning annuel mixing coater'!$B:$B),4)):D121,"N"),IF(D121="N1",COUNTIF($D$9:D121,"N1"),""))</f>
        <v/>
      </c>
      <c r="J121" s="96" t="str">
        <f>IF(D121="","",COUNTA(D114:D121)-(COUNTA(D121:D121)-1))</f>
        <v/>
      </c>
    </row>
    <row r="122" spans="1:10" thickBot="1">
      <c r="A122" s="117"/>
      <c r="B122" s="70">
        <f t="shared" si="9"/>
        <v>43914</v>
      </c>
      <c r="C122" s="82" t="str">
        <f t="shared" si="10"/>
        <v>mardi</v>
      </c>
      <c r="D122" s="87"/>
      <c r="E122" s="115" t="str">
        <f t="shared" si="11"/>
        <v/>
      </c>
      <c r="F122" s="115" t="str">
        <f t="shared" si="12"/>
        <v/>
      </c>
      <c r="G122" s="116" t="str">
        <f>IF(ISNONTEXT(D122),"",E122-MAX($F$2:F121))</f>
        <v/>
      </c>
      <c r="H122" s="97"/>
      <c r="I122" s="74" t="str">
        <f ca="1">IF(D122="N",COUNTIF(INDIRECT(ADDRESS(MATCH(Plages!$D$19,'Planning annuel mixing coater'!$B:$B),4)):D122,"N"),IF(D122="N1",COUNTIF($D$9:D122,"N1"),""))</f>
        <v/>
      </c>
      <c r="J122" s="96" t="str">
        <f>IF(D122="","",COUNTA(D114:D122)-(COUNTA(D122:D122)-1))</f>
        <v/>
      </c>
    </row>
    <row r="123" spans="1:10" thickBot="1">
      <c r="A123" s="117"/>
      <c r="B123" s="70">
        <f t="shared" si="9"/>
        <v>43915</v>
      </c>
      <c r="C123" s="82" t="str">
        <f t="shared" si="10"/>
        <v>mercredi</v>
      </c>
      <c r="D123" s="87"/>
      <c r="E123" s="115" t="str">
        <f t="shared" si="11"/>
        <v/>
      </c>
      <c r="F123" s="115" t="str">
        <f t="shared" si="12"/>
        <v/>
      </c>
      <c r="G123" s="116" t="str">
        <f>IF(ISNONTEXT(D123),"",E123-MAX($F$2:F122))</f>
        <v/>
      </c>
      <c r="H123" s="97"/>
      <c r="I123" s="74" t="str">
        <f ca="1">IF(D123="N",COUNTIF(INDIRECT(ADDRESS(MATCH(Plages!$D$19,'Planning annuel mixing coater'!$B:$B),4)):D123,"N"),IF(D123="N1",COUNTIF($D$9:D123,"N1"),""))</f>
        <v/>
      </c>
      <c r="J123" s="96" t="str">
        <f>IF(D123="","",COUNTA(D114:D123)-(COUNTA(D123:D123)-1))</f>
        <v/>
      </c>
    </row>
    <row r="124" spans="1:10" thickBot="1">
      <c r="A124" s="117"/>
      <c r="B124" s="70">
        <f t="shared" si="9"/>
        <v>43916</v>
      </c>
      <c r="C124" s="82" t="str">
        <f t="shared" si="10"/>
        <v>jeudi</v>
      </c>
      <c r="D124" s="87"/>
      <c r="E124" s="115" t="str">
        <f t="shared" si="11"/>
        <v/>
      </c>
      <c r="F124" s="115" t="str">
        <f t="shared" si="12"/>
        <v/>
      </c>
      <c r="G124" s="116" t="str">
        <f>IF(ISNONTEXT(D124),"",E124-MAX($F$2:F123))</f>
        <v/>
      </c>
      <c r="H124" s="97"/>
      <c r="I124" s="74" t="str">
        <f ca="1">IF(D124="N",COUNTIF(INDIRECT(ADDRESS(MATCH(Plages!$D$19,'Planning annuel mixing coater'!$B:$B),4)):D124,"N"),IF(D124="N1",COUNTIF($D$9:D124,"N1"),""))</f>
        <v/>
      </c>
      <c r="J124" s="96" t="str">
        <f>IF(D124="","",COUNTA(D114:D124)-(COUNTA(D124:D124)-1))</f>
        <v/>
      </c>
    </row>
    <row r="125" spans="1:10" thickBot="1">
      <c r="A125" s="117"/>
      <c r="B125" s="70">
        <f t="shared" si="9"/>
        <v>43917</v>
      </c>
      <c r="C125" s="82" t="str">
        <f t="shared" si="10"/>
        <v>vendredi</v>
      </c>
      <c r="D125" s="87"/>
      <c r="E125" s="115" t="str">
        <f t="shared" si="11"/>
        <v/>
      </c>
      <c r="F125" s="115" t="str">
        <f t="shared" si="12"/>
        <v/>
      </c>
      <c r="G125" s="116" t="str">
        <f>IF(ISNONTEXT(D125),"",E125-MAX($F$2:F124))</f>
        <v/>
      </c>
      <c r="H125" s="97"/>
      <c r="I125" s="74" t="str">
        <f ca="1">IF(D125="N",COUNTIF(INDIRECT(ADDRESS(MATCH(Plages!$D$19,'Planning annuel mixing coater'!$B:$B),4)):D125,"N"),IF(D125="N1",COUNTIF($D$9:D125,"N1"),""))</f>
        <v/>
      </c>
      <c r="J125" s="96" t="str">
        <f>IF(D125="","",COUNTA(D114:D125)-(COUNTA(D125:D125)-1))</f>
        <v/>
      </c>
    </row>
    <row r="126" spans="1:10" thickBot="1">
      <c r="A126" s="117"/>
      <c r="B126" s="70">
        <f t="shared" si="9"/>
        <v>43918</v>
      </c>
      <c r="C126" s="82" t="str">
        <f t="shared" si="10"/>
        <v>samedi</v>
      </c>
      <c r="D126" s="87"/>
      <c r="E126" s="115" t="str">
        <f t="shared" si="11"/>
        <v/>
      </c>
      <c r="F126" s="115" t="str">
        <f t="shared" si="12"/>
        <v/>
      </c>
      <c r="G126" s="116" t="str">
        <f>IF(ISNONTEXT(D126),"",E126-MAX($F$2:F125))</f>
        <v/>
      </c>
      <c r="H126" s="97"/>
      <c r="I126" s="74" t="str">
        <f ca="1">IF(D126="N",COUNTIF(INDIRECT(ADDRESS(MATCH(Plages!$D$19,'Planning annuel mixing coater'!$B:$B),4)):D126,"N"),IF(D126="N1",COUNTIF($D$9:D126,"N1"),""))</f>
        <v/>
      </c>
      <c r="J126" s="96" t="str">
        <f>IF(D126="","",COUNTA(D114:D126)-(COUNTA(D126:D126)-1))</f>
        <v/>
      </c>
    </row>
    <row r="127" spans="1:10" s="77" customFormat="1" thickBot="1">
      <c r="A127" s="117"/>
      <c r="B127" s="75">
        <f t="shared" si="9"/>
        <v>43919</v>
      </c>
      <c r="C127" s="83" t="str">
        <f t="shared" si="10"/>
        <v>dimanche</v>
      </c>
      <c r="D127" s="88"/>
      <c r="E127" s="115" t="str">
        <f t="shared" si="11"/>
        <v/>
      </c>
      <c r="F127" s="115" t="str">
        <f t="shared" si="12"/>
        <v/>
      </c>
      <c r="G127" s="116" t="str">
        <f>IF(ISNONTEXT(D127),"",E127-MAX($F$2:F126))</f>
        <v/>
      </c>
      <c r="H127" s="98"/>
      <c r="I127" s="76" t="str">
        <f ca="1">IF(D127="N",COUNTIF(INDIRECT(ADDRESS(MATCH(Plages!$D$19,'Planning annuel mixing coater'!$B:$B),4)):D127,"N"),IF(D127="N1",COUNTIF($D$9:D127,"N1"),""))</f>
        <v/>
      </c>
      <c r="J127" s="99" t="str">
        <f>IF(D127="","",COUNTA(D114:D127)-(COUNTA(D127:D127)-1))</f>
        <v/>
      </c>
    </row>
    <row r="128" spans="1:10" ht="16.5" thickTop="1" thickBot="1">
      <c r="A128" s="117"/>
      <c r="B128" s="78">
        <f t="shared" si="9"/>
        <v>43920</v>
      </c>
      <c r="C128" s="81" t="str">
        <f t="shared" si="10"/>
        <v>lundi</v>
      </c>
      <c r="D128" s="89"/>
      <c r="E128" s="115" t="str">
        <f t="shared" si="11"/>
        <v/>
      </c>
      <c r="F128" s="115" t="str">
        <f t="shared" si="12"/>
        <v/>
      </c>
      <c r="G128" s="116" t="str">
        <f>IF(ISNONTEXT(D128),"",E128-MAX($F$2:F127))</f>
        <v/>
      </c>
      <c r="H128" s="100"/>
      <c r="I128" s="79" t="str">
        <f ca="1">IF(D128="N",COUNTIF(INDIRECT(ADDRESS(MATCH(Plages!$D$19,'Planning annuel mixing coater'!$B:$B),4)):D128,"N"),IF(D128="N1",COUNTIF($D$9:D128,"N1"),""))</f>
        <v/>
      </c>
      <c r="J128" s="101" t="str">
        <f>IF(D128="","",COUNTA(D128:D128)-(COUNTA(D128:D128)-1))</f>
        <v/>
      </c>
    </row>
    <row r="129" spans="1:10" thickBot="1">
      <c r="A129" s="117"/>
      <c r="B129" s="70">
        <f t="shared" si="9"/>
        <v>43921</v>
      </c>
      <c r="C129" s="82" t="str">
        <f t="shared" si="10"/>
        <v>mardi</v>
      </c>
      <c r="D129" s="87"/>
      <c r="E129" s="115" t="str">
        <f t="shared" si="11"/>
        <v/>
      </c>
      <c r="F129" s="115" t="str">
        <f t="shared" si="12"/>
        <v/>
      </c>
      <c r="G129" s="116" t="str">
        <f>IF(ISNONTEXT(D129),"",E129-MAX($F$2:F128))</f>
        <v/>
      </c>
      <c r="H129" s="97"/>
      <c r="I129" s="74" t="str">
        <f ca="1">IF(D129="N",COUNTIF(INDIRECT(ADDRESS(MATCH(Plages!$D$19,'Planning annuel mixing coater'!$B:$B),4)):D129,"N"),IF(D129="N1",COUNTIF($D$9:D129,"N1"),""))</f>
        <v/>
      </c>
      <c r="J129" s="96" t="str">
        <f>IF(D129="","",COUNTA(D128:D129)-(COUNTA(D129:D129)-1))</f>
        <v/>
      </c>
    </row>
    <row r="130" spans="1:10" thickBot="1">
      <c r="A130" s="117"/>
      <c r="B130" s="70">
        <f t="shared" si="9"/>
        <v>43922</v>
      </c>
      <c r="C130" s="82" t="str">
        <f t="shared" si="10"/>
        <v>mercredi</v>
      </c>
      <c r="D130" s="87"/>
      <c r="E130" s="115" t="str">
        <f t="shared" si="11"/>
        <v/>
      </c>
      <c r="F130" s="115" t="str">
        <f t="shared" si="12"/>
        <v/>
      </c>
      <c r="G130" s="116" t="str">
        <f>IF(ISNONTEXT(D130),"",E130-MAX($F$2:F129))</f>
        <v/>
      </c>
      <c r="H130" s="97"/>
      <c r="I130" s="74" t="str">
        <f ca="1">IF(D130="N",COUNTIF(INDIRECT(ADDRESS(MATCH(Plages!$D$19,'Planning annuel mixing coater'!$B:$B),4)):D130,"N"),IF(D130="N1",COUNTIF($D$9:D130,"N1"),""))</f>
        <v/>
      </c>
      <c r="J130" s="96" t="str">
        <f>IF(D130="","",COUNTA(D128:D130)-(COUNTA(D130:D130)-1))</f>
        <v/>
      </c>
    </row>
    <row r="131" spans="1:10" thickBot="1">
      <c r="A131" s="117"/>
      <c r="B131" s="70">
        <f t="shared" si="9"/>
        <v>43923</v>
      </c>
      <c r="C131" s="82" t="str">
        <f t="shared" si="10"/>
        <v>jeudi</v>
      </c>
      <c r="D131" s="87"/>
      <c r="E131" s="115" t="str">
        <f t="shared" si="11"/>
        <v/>
      </c>
      <c r="F131" s="115" t="str">
        <f t="shared" si="12"/>
        <v/>
      </c>
      <c r="G131" s="116" t="str">
        <f>IF(ISNONTEXT(D131),"",E131-MAX($F$2:F130))</f>
        <v/>
      </c>
      <c r="H131" s="97"/>
      <c r="I131" s="74" t="str">
        <f ca="1">IF(D131="N",COUNTIF(INDIRECT(ADDRESS(MATCH(Plages!$D$19,'Planning annuel mixing coater'!$B:$B),4)):D131,"N"),IF(D131="N1",COUNTIF($D$9:D131,"N1"),""))</f>
        <v/>
      </c>
      <c r="J131" s="96" t="str">
        <f>IF(D131="","",COUNTA(D128:D131)-(COUNTA(D131:D131)-1))</f>
        <v/>
      </c>
    </row>
    <row r="132" spans="1:10" thickBot="1">
      <c r="A132" s="117"/>
      <c r="B132" s="70">
        <f t="shared" ref="B132:B195" si="13">IF(B131="","",B131+1)</f>
        <v>43924</v>
      </c>
      <c r="C132" s="82" t="str">
        <f t="shared" si="10"/>
        <v>vendredi</v>
      </c>
      <c r="D132" s="87"/>
      <c r="E132" s="115" t="str">
        <f t="shared" si="11"/>
        <v/>
      </c>
      <c r="F132" s="115" t="str">
        <f t="shared" si="12"/>
        <v/>
      </c>
      <c r="G132" s="116" t="str">
        <f>IF(ISNONTEXT(D132),"",E132-MAX($F$2:F131))</f>
        <v/>
      </c>
      <c r="H132" s="97"/>
      <c r="I132" s="74" t="str">
        <f ca="1">IF(D132="N",COUNTIF(INDIRECT(ADDRESS(MATCH(Plages!$D$19,'Planning annuel mixing coater'!$B:$B),4)):D132,"N"),IF(D132="N1",COUNTIF($D$9:D132,"N1"),""))</f>
        <v/>
      </c>
      <c r="J132" s="96" t="str">
        <f>IF(D132="","",COUNTA(D128:D132)-(COUNTA(D132:D132)-1))</f>
        <v/>
      </c>
    </row>
    <row r="133" spans="1:10" thickBot="1">
      <c r="A133" s="117"/>
      <c r="B133" s="70">
        <f t="shared" si="13"/>
        <v>43925</v>
      </c>
      <c r="C133" s="82" t="str">
        <f t="shared" si="10"/>
        <v>samedi</v>
      </c>
      <c r="D133" s="87"/>
      <c r="E133" s="115" t="str">
        <f t="shared" si="11"/>
        <v/>
      </c>
      <c r="F133" s="115" t="str">
        <f t="shared" si="12"/>
        <v/>
      </c>
      <c r="G133" s="116" t="str">
        <f>IF(ISNONTEXT(D133),"",E133-MAX($F$2:F132))</f>
        <v/>
      </c>
      <c r="H133" s="97"/>
      <c r="I133" s="74" t="str">
        <f ca="1">IF(D133="N",COUNTIF(INDIRECT(ADDRESS(MATCH(Plages!$D$19,'Planning annuel mixing coater'!$B:$B),4)):D133,"N"),IF(D133="N1",COUNTIF($D$9:D133,"N1"),""))</f>
        <v/>
      </c>
      <c r="J133" s="96" t="str">
        <f>IF(D133="","",COUNTA(D128:D133)-(COUNTA(D133:D133)-1))</f>
        <v/>
      </c>
    </row>
    <row r="134" spans="1:10" thickBot="1">
      <c r="A134" s="117"/>
      <c r="B134" s="70">
        <f t="shared" si="13"/>
        <v>43926</v>
      </c>
      <c r="C134" s="82" t="str">
        <f t="shared" si="10"/>
        <v>dimanche</v>
      </c>
      <c r="D134" s="87"/>
      <c r="E134" s="115" t="str">
        <f t="shared" si="11"/>
        <v/>
      </c>
      <c r="F134" s="115" t="str">
        <f t="shared" si="12"/>
        <v/>
      </c>
      <c r="G134" s="116" t="str">
        <f>IF(ISNONTEXT(D134),"",E134-MAX($F$2:F133))</f>
        <v/>
      </c>
      <c r="H134" s="98"/>
      <c r="I134" s="74" t="str">
        <f ca="1">IF(D134="N",COUNTIF(INDIRECT(ADDRESS(MATCH(Plages!$D$19,'Planning annuel mixing coater'!$B:$B),4)):D134,"N"),IF(D134="N1",COUNTIF($D$9:D134,"N1"),""))</f>
        <v/>
      </c>
      <c r="J134" s="96" t="str">
        <f>IF(D134="","",COUNTA(D128:D134)-(COUNTA(D134:D134)-1))</f>
        <v/>
      </c>
    </row>
    <row r="135" spans="1:10" thickBot="1">
      <c r="A135" s="117"/>
      <c r="B135" s="70">
        <f t="shared" si="13"/>
        <v>43927</v>
      </c>
      <c r="C135" s="82" t="str">
        <f t="shared" si="10"/>
        <v>lundi</v>
      </c>
      <c r="D135" s="87"/>
      <c r="E135" s="115" t="str">
        <f t="shared" si="11"/>
        <v/>
      </c>
      <c r="F135" s="115" t="str">
        <f t="shared" si="12"/>
        <v/>
      </c>
      <c r="G135" s="116" t="str">
        <f>IF(ISNONTEXT(D135),"",E135-MAX($F$2:F134))</f>
        <v/>
      </c>
      <c r="H135" s="97"/>
      <c r="I135" s="74" t="str">
        <f ca="1">IF(D135="N",COUNTIF(INDIRECT(ADDRESS(MATCH(Plages!$D$19,'Planning annuel mixing coater'!$B:$B),4)):D135,"N"),IF(D135="N1",COUNTIF($D$9:D135,"N1"),""))</f>
        <v/>
      </c>
      <c r="J135" s="96" t="str">
        <f>IF(D135="","",COUNTA(D128:D135)-(COUNTA(D135:D135)-1))</f>
        <v/>
      </c>
    </row>
    <row r="136" spans="1:10" thickBot="1">
      <c r="A136" s="117"/>
      <c r="B136" s="70">
        <f t="shared" si="13"/>
        <v>43928</v>
      </c>
      <c r="C136" s="82" t="str">
        <f t="shared" si="10"/>
        <v>mardi</v>
      </c>
      <c r="D136" s="87"/>
      <c r="E136" s="115" t="str">
        <f t="shared" si="11"/>
        <v/>
      </c>
      <c r="F136" s="115" t="str">
        <f t="shared" si="12"/>
        <v/>
      </c>
      <c r="G136" s="116" t="str">
        <f>IF(ISNONTEXT(D136),"",E136-MAX($F$2:F135))</f>
        <v/>
      </c>
      <c r="H136" s="97"/>
      <c r="I136" s="74" t="str">
        <f ca="1">IF(D136="N",COUNTIF(INDIRECT(ADDRESS(MATCH(Plages!$D$19,'Planning annuel mixing coater'!$B:$B),4)):D136,"N"),IF(D136="N1",COUNTIF($D$9:D136,"N1"),""))</f>
        <v/>
      </c>
      <c r="J136" s="96" t="str">
        <f>IF(D136="","",COUNTA(D128:D136)-(COUNTA(D136:D136)-1))</f>
        <v/>
      </c>
    </row>
    <row r="137" spans="1:10" thickBot="1">
      <c r="A137" s="117"/>
      <c r="B137" s="70">
        <f t="shared" si="13"/>
        <v>43929</v>
      </c>
      <c r="C137" s="82" t="str">
        <f t="shared" si="10"/>
        <v>mercredi</v>
      </c>
      <c r="D137" s="87"/>
      <c r="E137" s="115" t="str">
        <f t="shared" si="11"/>
        <v/>
      </c>
      <c r="F137" s="115" t="str">
        <f t="shared" si="12"/>
        <v/>
      </c>
      <c r="G137" s="116" t="str">
        <f>IF(ISNONTEXT(D137),"",E137-MAX($F$2:F136))</f>
        <v/>
      </c>
      <c r="H137" s="97"/>
      <c r="I137" s="74" t="str">
        <f ca="1">IF(D137="N",COUNTIF(INDIRECT(ADDRESS(MATCH(Plages!$D$19,'Planning annuel mixing coater'!$B:$B),4)):D137,"N"),IF(D137="N1",COUNTIF($D$9:D137,"N1"),""))</f>
        <v/>
      </c>
      <c r="J137" s="96" t="str">
        <f>IF(D137="","",COUNTA(D128:D137)-(COUNTA(D137:D137)-1))</f>
        <v/>
      </c>
    </row>
    <row r="138" spans="1:10" thickBot="1">
      <c r="A138" s="117"/>
      <c r="B138" s="70">
        <f t="shared" si="13"/>
        <v>43930</v>
      </c>
      <c r="C138" s="82" t="str">
        <f t="shared" si="10"/>
        <v>jeudi</v>
      </c>
      <c r="D138" s="87"/>
      <c r="E138" s="115" t="str">
        <f t="shared" si="11"/>
        <v/>
      </c>
      <c r="F138" s="115" t="str">
        <f t="shared" si="12"/>
        <v/>
      </c>
      <c r="G138" s="116" t="str">
        <f>IF(ISNONTEXT(D138),"",E138-MAX($F$2:F137))</f>
        <v/>
      </c>
      <c r="H138" s="97"/>
      <c r="I138" s="74" t="str">
        <f ca="1">IF(D138="N",COUNTIF(INDIRECT(ADDRESS(MATCH(Plages!$D$19,'Planning annuel mixing coater'!$B:$B),4)):D138,"N"),IF(D138="N1",COUNTIF($D$9:D138,"N1"),""))</f>
        <v/>
      </c>
      <c r="J138" s="96" t="str">
        <f>IF(D138="","",COUNTA(D128:D138)-(COUNTA(D138:D138)-1))</f>
        <v/>
      </c>
    </row>
    <row r="139" spans="1:10" thickBot="1">
      <c r="A139" s="117"/>
      <c r="B139" s="70">
        <f t="shared" si="13"/>
        <v>43931</v>
      </c>
      <c r="C139" s="82" t="str">
        <f t="shared" si="10"/>
        <v>vendredi</v>
      </c>
      <c r="D139" s="87"/>
      <c r="E139" s="115" t="str">
        <f t="shared" si="11"/>
        <v/>
      </c>
      <c r="F139" s="115" t="str">
        <f t="shared" si="12"/>
        <v/>
      </c>
      <c r="G139" s="116" t="str">
        <f>IF(ISNONTEXT(D139),"",E139-MAX($F$2:F138))</f>
        <v/>
      </c>
      <c r="H139" s="97"/>
      <c r="I139" s="74" t="str">
        <f ca="1">IF(D139="N",COUNTIF(INDIRECT(ADDRESS(MATCH(Plages!$D$19,'Planning annuel mixing coater'!$B:$B),4)):D139,"N"),IF(D139="N1",COUNTIF($D$9:D139,"N1"),""))</f>
        <v/>
      </c>
      <c r="J139" s="96" t="str">
        <f>IF(D139="","",COUNTA(D128:D139)-(COUNTA(D139:D139)-1))</f>
        <v/>
      </c>
    </row>
    <row r="140" spans="1:10" thickBot="1">
      <c r="A140" s="117"/>
      <c r="B140" s="70">
        <f t="shared" si="13"/>
        <v>43932</v>
      </c>
      <c r="C140" s="82" t="str">
        <f t="shared" si="10"/>
        <v>samedi</v>
      </c>
      <c r="D140" s="87"/>
      <c r="E140" s="115" t="str">
        <f t="shared" si="11"/>
        <v/>
      </c>
      <c r="F140" s="115" t="str">
        <f t="shared" si="12"/>
        <v/>
      </c>
      <c r="G140" s="116" t="str">
        <f>IF(ISNONTEXT(D140),"",E140-MAX($F$2:F139))</f>
        <v/>
      </c>
      <c r="H140" s="97"/>
      <c r="I140" s="74" t="str">
        <f ca="1">IF(D140="N",COUNTIF(INDIRECT(ADDRESS(MATCH(Plages!$D$19,'Planning annuel mixing coater'!$B:$B),4)):D140,"N"),IF(D140="N1",COUNTIF($D$9:D140,"N1"),""))</f>
        <v/>
      </c>
      <c r="J140" s="96" t="str">
        <f>IF(D140="","",COUNTA(D128:D140)-(COUNTA(D140:D140)-1))</f>
        <v/>
      </c>
    </row>
    <row r="141" spans="1:10" s="77" customFormat="1" thickBot="1">
      <c r="A141" s="117"/>
      <c r="B141" s="75">
        <f t="shared" si="13"/>
        <v>43933</v>
      </c>
      <c r="C141" s="83" t="str">
        <f t="shared" si="10"/>
        <v>dimanche</v>
      </c>
      <c r="D141" s="88"/>
      <c r="E141" s="115" t="str">
        <f t="shared" si="11"/>
        <v/>
      </c>
      <c r="F141" s="115" t="str">
        <f t="shared" si="12"/>
        <v/>
      </c>
      <c r="G141" s="116" t="str">
        <f>IF(ISNONTEXT(D141),"",E141-MAX($F$2:F140))</f>
        <v/>
      </c>
      <c r="H141" s="98"/>
      <c r="I141" s="76" t="str">
        <f ca="1">IF(D141="N",COUNTIF(INDIRECT(ADDRESS(MATCH(Plages!$D$19,'Planning annuel mixing coater'!$B:$B),4)):D141,"N"),IF(D141="N1",COUNTIF($D$9:D141,"N1"),""))</f>
        <v/>
      </c>
      <c r="J141" s="99" t="str">
        <f>IF(D141="","",COUNTA(D128:D141)-(COUNTA(D141:D141)-1))</f>
        <v/>
      </c>
    </row>
    <row r="142" spans="1:10" ht="16.5" thickTop="1" thickBot="1">
      <c r="A142" s="117"/>
      <c r="B142" s="78">
        <f t="shared" si="13"/>
        <v>43934</v>
      </c>
      <c r="C142" s="81" t="str">
        <f t="shared" si="10"/>
        <v>lundi</v>
      </c>
      <c r="D142" s="89"/>
      <c r="E142" s="115" t="str">
        <f t="shared" si="11"/>
        <v/>
      </c>
      <c r="F142" s="115" t="str">
        <f t="shared" si="12"/>
        <v/>
      </c>
      <c r="G142" s="116" t="str">
        <f>IF(ISNONTEXT(D142),"",E142-MAX($F$2:F141))</f>
        <v/>
      </c>
      <c r="H142" s="100"/>
      <c r="I142" s="79" t="str">
        <f ca="1">IF(D142="N",COUNTIF(INDIRECT(ADDRESS(MATCH(Plages!$D$19,'Planning annuel mixing coater'!$B:$B),4)):D142,"N"),IF(D142="N1",COUNTIF($D$9:D142,"N1"),""))</f>
        <v/>
      </c>
      <c r="J142" s="101" t="str">
        <f>IF(D142="","",COUNTA(D142:D142)-(COUNTA(D142:D142)-1))</f>
        <v/>
      </c>
    </row>
    <row r="143" spans="1:10" thickBot="1">
      <c r="A143" s="117"/>
      <c r="B143" s="70">
        <f t="shared" si="13"/>
        <v>43935</v>
      </c>
      <c r="C143" s="82" t="str">
        <f t="shared" si="10"/>
        <v>mardi</v>
      </c>
      <c r="D143" s="87"/>
      <c r="E143" s="115" t="str">
        <f t="shared" si="11"/>
        <v/>
      </c>
      <c r="F143" s="115" t="str">
        <f t="shared" si="12"/>
        <v/>
      </c>
      <c r="G143" s="116" t="str">
        <f>IF(ISNONTEXT(D143),"",E143-MAX($F$2:F142))</f>
        <v/>
      </c>
      <c r="H143" s="97"/>
      <c r="I143" s="74" t="str">
        <f ca="1">IF(D143="N",COUNTIF(INDIRECT(ADDRESS(MATCH(Plages!$D$19,'Planning annuel mixing coater'!$B:$B),4)):D143,"N"),IF(D143="N1",COUNTIF($D$9:D143,"N1"),""))</f>
        <v/>
      </c>
      <c r="J143" s="96" t="str">
        <f>IF(D143="","",COUNTA(D142:D143)-(COUNTA(D143:D143)-1))</f>
        <v/>
      </c>
    </row>
    <row r="144" spans="1:10" thickBot="1">
      <c r="A144" s="117"/>
      <c r="B144" s="70">
        <f t="shared" si="13"/>
        <v>43936</v>
      </c>
      <c r="C144" s="82" t="str">
        <f t="shared" si="10"/>
        <v>mercredi</v>
      </c>
      <c r="D144" s="87"/>
      <c r="E144" s="115" t="str">
        <f t="shared" si="11"/>
        <v/>
      </c>
      <c r="F144" s="115" t="str">
        <f t="shared" si="12"/>
        <v/>
      </c>
      <c r="G144" s="116" t="str">
        <f>IF(ISNONTEXT(D144),"",E144-MAX($F$2:F143))</f>
        <v/>
      </c>
      <c r="H144" s="97"/>
      <c r="I144" s="74" t="str">
        <f ca="1">IF(D144="N",COUNTIF(INDIRECT(ADDRESS(MATCH(Plages!$D$19,'Planning annuel mixing coater'!$B:$B),4)):D144,"N"),IF(D144="N1",COUNTIF($D$9:D144,"N1"),""))</f>
        <v/>
      </c>
      <c r="J144" s="96" t="str">
        <f>IF(D144="","",COUNTA(D142:D144)-(COUNTA(D144:D144)-1))</f>
        <v/>
      </c>
    </row>
    <row r="145" spans="1:10" thickBot="1">
      <c r="A145" s="117"/>
      <c r="B145" s="70">
        <f t="shared" si="13"/>
        <v>43937</v>
      </c>
      <c r="C145" s="82" t="str">
        <f t="shared" si="10"/>
        <v>jeudi</v>
      </c>
      <c r="D145" s="87"/>
      <c r="E145" s="115" t="str">
        <f t="shared" si="11"/>
        <v/>
      </c>
      <c r="F145" s="115" t="str">
        <f t="shared" si="12"/>
        <v/>
      </c>
      <c r="G145" s="116" t="str">
        <f>IF(ISNONTEXT(D145),"",E145-MAX($F$2:F144))</f>
        <v/>
      </c>
      <c r="H145" s="97"/>
      <c r="I145" s="74" t="str">
        <f ca="1">IF(D145="N",COUNTIF(INDIRECT(ADDRESS(MATCH(Plages!$D$19,'Planning annuel mixing coater'!$B:$B),4)):D145,"N"),IF(D145="N1",COUNTIF($D$9:D145,"N1"),""))</f>
        <v/>
      </c>
      <c r="J145" s="96" t="str">
        <f>IF(D145="","",COUNTA(D142:D145)-(COUNTA(D145:D145)-1))</f>
        <v/>
      </c>
    </row>
    <row r="146" spans="1:10" thickBot="1">
      <c r="A146" s="117"/>
      <c r="B146" s="70">
        <f t="shared" si="13"/>
        <v>43938</v>
      </c>
      <c r="C146" s="82" t="str">
        <f t="shared" si="10"/>
        <v>vendredi</v>
      </c>
      <c r="D146" s="87"/>
      <c r="E146" s="115" t="str">
        <f t="shared" si="11"/>
        <v/>
      </c>
      <c r="F146" s="115" t="str">
        <f t="shared" si="12"/>
        <v/>
      </c>
      <c r="G146" s="116" t="str">
        <f>IF(ISNONTEXT(D146),"",E146-MAX($F$2:F145))</f>
        <v/>
      </c>
      <c r="H146" s="97"/>
      <c r="I146" s="74" t="str">
        <f ca="1">IF(D146="N",COUNTIF(INDIRECT(ADDRESS(MATCH(Plages!$D$19,'Planning annuel mixing coater'!$B:$B),4)):D146,"N"),IF(D146="N1",COUNTIF($D$9:D146,"N1"),""))</f>
        <v/>
      </c>
      <c r="J146" s="96" t="str">
        <f>IF(D146="","",COUNTA(D142:D146)-(COUNTA(D146:D146)-1))</f>
        <v/>
      </c>
    </row>
    <row r="147" spans="1:10" thickBot="1">
      <c r="A147" s="117"/>
      <c r="B147" s="70">
        <f t="shared" si="13"/>
        <v>43939</v>
      </c>
      <c r="C147" s="82" t="str">
        <f t="shared" si="10"/>
        <v>samedi</v>
      </c>
      <c r="D147" s="87"/>
      <c r="E147" s="115" t="str">
        <f t="shared" si="11"/>
        <v/>
      </c>
      <c r="F147" s="115" t="str">
        <f t="shared" si="12"/>
        <v/>
      </c>
      <c r="G147" s="116" t="str">
        <f>IF(ISNONTEXT(D147),"",E147-MAX($F$2:F146))</f>
        <v/>
      </c>
      <c r="H147" s="97"/>
      <c r="I147" s="74" t="str">
        <f ca="1">IF(D147="N",COUNTIF(INDIRECT(ADDRESS(MATCH(Plages!$D$19,'Planning annuel mixing coater'!$B:$B),4)):D147,"N"),IF(D147="N1",COUNTIF($D$9:D147,"N1"),""))</f>
        <v/>
      </c>
      <c r="J147" s="96" t="str">
        <f>IF(D147="","",COUNTA(D142:D147)-(COUNTA(D147:D147)-1))</f>
        <v/>
      </c>
    </row>
    <row r="148" spans="1:10" thickBot="1">
      <c r="A148" s="117"/>
      <c r="B148" s="70">
        <f t="shared" si="13"/>
        <v>43940</v>
      </c>
      <c r="C148" s="82" t="str">
        <f t="shared" si="10"/>
        <v>dimanche</v>
      </c>
      <c r="D148" s="87"/>
      <c r="E148" s="115" t="str">
        <f t="shared" si="11"/>
        <v/>
      </c>
      <c r="F148" s="115" t="str">
        <f t="shared" si="12"/>
        <v/>
      </c>
      <c r="G148" s="116" t="str">
        <f>IF(ISNONTEXT(D148),"",E148-MAX($F$2:F147))</f>
        <v/>
      </c>
      <c r="H148" s="98"/>
      <c r="I148" s="74" t="str">
        <f ca="1">IF(D148="N",COUNTIF(INDIRECT(ADDRESS(MATCH(Plages!$D$19,'Planning annuel mixing coater'!$B:$B),4)):D148,"N"),IF(D148="N1",COUNTIF($D$9:D148,"N1"),""))</f>
        <v/>
      </c>
      <c r="J148" s="96" t="str">
        <f>IF(D148="","",COUNTA(D142:D148)-(COUNTA(D148:D148)-1))</f>
        <v/>
      </c>
    </row>
    <row r="149" spans="1:10" thickBot="1">
      <c r="A149" s="117"/>
      <c r="B149" s="70">
        <f t="shared" si="13"/>
        <v>43941</v>
      </c>
      <c r="C149" s="82" t="str">
        <f t="shared" si="10"/>
        <v>lundi</v>
      </c>
      <c r="D149" s="87"/>
      <c r="E149" s="115" t="str">
        <f t="shared" si="11"/>
        <v/>
      </c>
      <c r="F149" s="115" t="str">
        <f t="shared" si="12"/>
        <v/>
      </c>
      <c r="G149" s="116" t="str">
        <f>IF(ISNONTEXT(D149),"",E149-MAX($F$2:F148))</f>
        <v/>
      </c>
      <c r="H149" s="97"/>
      <c r="I149" s="74" t="str">
        <f ca="1">IF(D149="N",COUNTIF(INDIRECT(ADDRESS(MATCH(Plages!$D$19,'Planning annuel mixing coater'!$B:$B),4)):D149,"N"),IF(D149="N1",COUNTIF($D$9:D149,"N1"),""))</f>
        <v/>
      </c>
      <c r="J149" s="96" t="str">
        <f>IF(D149="","",COUNTA(D142:D149)-(COUNTA(D149:D149)-1))</f>
        <v/>
      </c>
    </row>
    <row r="150" spans="1:10" thickBot="1">
      <c r="A150" s="117"/>
      <c r="B150" s="70">
        <f t="shared" si="13"/>
        <v>43942</v>
      </c>
      <c r="C150" s="82" t="str">
        <f t="shared" si="10"/>
        <v>mardi</v>
      </c>
      <c r="D150" s="87"/>
      <c r="E150" s="115" t="str">
        <f t="shared" si="11"/>
        <v/>
      </c>
      <c r="F150" s="115" t="str">
        <f t="shared" si="12"/>
        <v/>
      </c>
      <c r="G150" s="116" t="str">
        <f>IF(ISNONTEXT(D150),"",E150-MAX($F$2:F149))</f>
        <v/>
      </c>
      <c r="H150" s="97"/>
      <c r="I150" s="74" t="str">
        <f ca="1">IF(D150="N",COUNTIF(INDIRECT(ADDRESS(MATCH(Plages!$D$19,'Planning annuel mixing coater'!$B:$B),4)):D150,"N"),IF(D150="N1",COUNTIF($D$9:D150,"N1"),""))</f>
        <v/>
      </c>
      <c r="J150" s="96" t="str">
        <f>IF(D150="","",COUNTA(D142:D150)-(COUNTA(D150:D150)-1))</f>
        <v/>
      </c>
    </row>
    <row r="151" spans="1:10" thickBot="1">
      <c r="A151" s="117"/>
      <c r="B151" s="70">
        <f t="shared" si="13"/>
        <v>43943</v>
      </c>
      <c r="C151" s="82" t="str">
        <f t="shared" si="10"/>
        <v>mercredi</v>
      </c>
      <c r="D151" s="87"/>
      <c r="E151" s="115" t="str">
        <f t="shared" si="11"/>
        <v/>
      </c>
      <c r="F151" s="115" t="str">
        <f t="shared" si="12"/>
        <v/>
      </c>
      <c r="G151" s="116" t="str">
        <f>IF(ISNONTEXT(D151),"",E151-MAX($F$2:F150))</f>
        <v/>
      </c>
      <c r="H151" s="97"/>
      <c r="I151" s="74" t="str">
        <f ca="1">IF(D151="N",COUNTIF(INDIRECT(ADDRESS(MATCH(Plages!$D$19,'Planning annuel mixing coater'!$B:$B),4)):D151,"N"),IF(D151="N1",COUNTIF($D$9:D151,"N1"),""))</f>
        <v/>
      </c>
      <c r="J151" s="96" t="str">
        <f>IF(D151="","",COUNTA(D142:D151)-(COUNTA(D151:D151)-1))</f>
        <v/>
      </c>
    </row>
    <row r="152" spans="1:10" thickBot="1">
      <c r="A152" s="117"/>
      <c r="B152" s="70">
        <f t="shared" si="13"/>
        <v>43944</v>
      </c>
      <c r="C152" s="82" t="str">
        <f t="shared" si="10"/>
        <v>jeudi</v>
      </c>
      <c r="D152" s="87"/>
      <c r="E152" s="115" t="str">
        <f t="shared" si="11"/>
        <v/>
      </c>
      <c r="F152" s="115" t="str">
        <f t="shared" si="12"/>
        <v/>
      </c>
      <c r="G152" s="116" t="str">
        <f>IF(ISNONTEXT(D152),"",E152-MAX($F$2:F151))</f>
        <v/>
      </c>
      <c r="H152" s="97"/>
      <c r="I152" s="74" t="str">
        <f ca="1">IF(D152="N",COUNTIF(INDIRECT(ADDRESS(MATCH(Plages!$D$19,'Planning annuel mixing coater'!$B:$B),4)):D152,"N"),IF(D152="N1",COUNTIF($D$9:D152,"N1"),""))</f>
        <v/>
      </c>
      <c r="J152" s="96" t="str">
        <f>IF(D152="","",COUNTA(D142:D152)-(COUNTA(D152:D152)-1))</f>
        <v/>
      </c>
    </row>
    <row r="153" spans="1:10" thickBot="1">
      <c r="A153" s="117"/>
      <c r="B153" s="70">
        <f t="shared" si="13"/>
        <v>43945</v>
      </c>
      <c r="C153" s="82" t="str">
        <f t="shared" si="10"/>
        <v>vendredi</v>
      </c>
      <c r="D153" s="87"/>
      <c r="E153" s="115" t="str">
        <f t="shared" si="11"/>
        <v/>
      </c>
      <c r="F153" s="115" t="str">
        <f t="shared" si="12"/>
        <v/>
      </c>
      <c r="G153" s="116" t="str">
        <f>IF(ISNONTEXT(D153),"",E153-MAX($F$2:F152))</f>
        <v/>
      </c>
      <c r="H153" s="97"/>
      <c r="I153" s="74" t="str">
        <f ca="1">IF(D153="N",COUNTIF(INDIRECT(ADDRESS(MATCH(Plages!$D$19,'Planning annuel mixing coater'!$B:$B),4)):D153,"N"),IF(D153="N1",COUNTIF($D$9:D153,"N1"),""))</f>
        <v/>
      </c>
      <c r="J153" s="96" t="str">
        <f>IF(D153="","",COUNTA(D142:D153)-(COUNTA(D153:D153)-1))</f>
        <v/>
      </c>
    </row>
    <row r="154" spans="1:10" thickBot="1">
      <c r="A154" s="117"/>
      <c r="B154" s="70">
        <f t="shared" si="13"/>
        <v>43946</v>
      </c>
      <c r="C154" s="82" t="str">
        <f t="shared" si="10"/>
        <v>samedi</v>
      </c>
      <c r="D154" s="87"/>
      <c r="E154" s="115" t="str">
        <f t="shared" si="11"/>
        <v/>
      </c>
      <c r="F154" s="115" t="str">
        <f t="shared" si="12"/>
        <v/>
      </c>
      <c r="G154" s="116" t="str">
        <f>IF(ISNONTEXT(D154),"",E154-MAX($F$2:F153))</f>
        <v/>
      </c>
      <c r="H154" s="97"/>
      <c r="I154" s="74" t="str">
        <f ca="1">IF(D154="N",COUNTIF(INDIRECT(ADDRESS(MATCH(Plages!$D$19,'Planning annuel mixing coater'!$B:$B),4)):D154,"N"),IF(D154="N1",COUNTIF($D$9:D154,"N1"),""))</f>
        <v/>
      </c>
      <c r="J154" s="96" t="str">
        <f>IF(D154="","",COUNTA(D142:D154)-(COUNTA(D154:D154)-1))</f>
        <v/>
      </c>
    </row>
    <row r="155" spans="1:10" s="77" customFormat="1" thickBot="1">
      <c r="A155" s="117"/>
      <c r="B155" s="75">
        <f t="shared" si="13"/>
        <v>43947</v>
      </c>
      <c r="C155" s="83" t="str">
        <f t="shared" si="10"/>
        <v>dimanche</v>
      </c>
      <c r="D155" s="88"/>
      <c r="E155" s="115" t="str">
        <f t="shared" si="11"/>
        <v/>
      </c>
      <c r="F155" s="115" t="str">
        <f t="shared" si="12"/>
        <v/>
      </c>
      <c r="G155" s="116" t="str">
        <f>IF(ISNONTEXT(D155),"",E155-MAX($F$2:F154))</f>
        <v/>
      </c>
      <c r="H155" s="98"/>
      <c r="I155" s="76" t="str">
        <f ca="1">IF(D155="N",COUNTIF(INDIRECT(ADDRESS(MATCH(Plages!$D$19,'Planning annuel mixing coater'!$B:$B),4)):D155,"N"),IF(D155="N1",COUNTIF($D$9:D155,"N1"),""))</f>
        <v/>
      </c>
      <c r="J155" s="99" t="str">
        <f>IF(D155="","",COUNTA(D142:D155)-(COUNTA(D155:D155)-1))</f>
        <v/>
      </c>
    </row>
    <row r="156" spans="1:10" ht="16.5" thickTop="1" thickBot="1">
      <c r="A156" s="117"/>
      <c r="B156" s="78">
        <f t="shared" si="13"/>
        <v>43948</v>
      </c>
      <c r="C156" s="81" t="str">
        <f t="shared" si="10"/>
        <v>lundi</v>
      </c>
      <c r="D156" s="89"/>
      <c r="E156" s="115" t="str">
        <f t="shared" si="11"/>
        <v/>
      </c>
      <c r="F156" s="115" t="str">
        <f t="shared" si="12"/>
        <v/>
      </c>
      <c r="G156" s="116" t="str">
        <f>IF(ISNONTEXT(D156),"",E156-MAX($F$2:F155))</f>
        <v/>
      </c>
      <c r="H156" s="100"/>
      <c r="I156" s="79" t="str">
        <f ca="1">IF(D156="N",COUNTIF(INDIRECT(ADDRESS(MATCH(Plages!$D$19,'Planning annuel mixing coater'!$B:$B),4)):D156,"N"),IF(D156="N1",COUNTIF($D$9:D156,"N1"),""))</f>
        <v/>
      </c>
      <c r="J156" s="101" t="str">
        <f>IF(D156="","",COUNTA(D156:D156)-(COUNTA(D156:D156)-1))</f>
        <v/>
      </c>
    </row>
    <row r="157" spans="1:10" thickBot="1">
      <c r="A157" s="117"/>
      <c r="B157" s="70">
        <f t="shared" si="13"/>
        <v>43949</v>
      </c>
      <c r="C157" s="82" t="str">
        <f t="shared" si="10"/>
        <v>mardi</v>
      </c>
      <c r="D157" s="87"/>
      <c r="E157" s="115" t="str">
        <f t="shared" si="11"/>
        <v/>
      </c>
      <c r="F157" s="115" t="str">
        <f t="shared" si="12"/>
        <v/>
      </c>
      <c r="G157" s="116" t="str">
        <f>IF(ISNONTEXT(D157),"",E157-MAX($F$2:F156))</f>
        <v/>
      </c>
      <c r="H157" s="97"/>
      <c r="I157" s="74" t="str">
        <f ca="1">IF(D157="N",COUNTIF(INDIRECT(ADDRESS(MATCH(Plages!$D$19,'Planning annuel mixing coater'!$B:$B),4)):D157,"N"),IF(D157="N1",COUNTIF($D$9:D157,"N1"),""))</f>
        <v/>
      </c>
      <c r="J157" s="96" t="str">
        <f>IF(D157="","",COUNTA(D156:D157)-(COUNTA(D157:D157)-1))</f>
        <v/>
      </c>
    </row>
    <row r="158" spans="1:10" thickBot="1">
      <c r="A158" s="117"/>
      <c r="B158" s="70">
        <f t="shared" si="13"/>
        <v>43950</v>
      </c>
      <c r="C158" s="82" t="str">
        <f t="shared" ref="C158:C221" si="14">IF(B158="","",TEXT(B158,"jjjj"))</f>
        <v>mercredi</v>
      </c>
      <c r="D158" s="87"/>
      <c r="E158" s="115" t="str">
        <f t="shared" ref="E158:E221" si="15">IF(D158="","",B158+VLOOKUP(D158,Plageh,2,0))</f>
        <v/>
      </c>
      <c r="F158" s="115" t="str">
        <f t="shared" ref="F158:F221" si="16">IF(D158="","",B158+VLOOKUP(D158,Plageh,3,0))</f>
        <v/>
      </c>
      <c r="G158" s="116" t="str">
        <f>IF(ISNONTEXT(D158),"",E158-MAX($F$2:F157))</f>
        <v/>
      </c>
      <c r="H158" s="97"/>
      <c r="I158" s="74" t="str">
        <f ca="1">IF(D158="N",COUNTIF(INDIRECT(ADDRESS(MATCH(Plages!$D$19,'Planning annuel mixing coater'!$B:$B),4)):D158,"N"),IF(D158="N1",COUNTIF($D$9:D158,"N1"),""))</f>
        <v/>
      </c>
      <c r="J158" s="96" t="str">
        <f>IF(D158="","",COUNTA(D156:D158)-(COUNTA(D158:D158)-1))</f>
        <v/>
      </c>
    </row>
    <row r="159" spans="1:10" thickBot="1">
      <c r="A159" s="117"/>
      <c r="B159" s="70">
        <f t="shared" si="13"/>
        <v>43951</v>
      </c>
      <c r="C159" s="82" t="str">
        <f t="shared" si="14"/>
        <v>jeudi</v>
      </c>
      <c r="D159" s="87"/>
      <c r="E159" s="115" t="str">
        <f t="shared" si="15"/>
        <v/>
      </c>
      <c r="F159" s="115" t="str">
        <f t="shared" si="16"/>
        <v/>
      </c>
      <c r="G159" s="116" t="str">
        <f>IF(ISNONTEXT(D159),"",E159-MAX($F$2:F158))</f>
        <v/>
      </c>
      <c r="H159" s="97"/>
      <c r="I159" s="74" t="str">
        <f ca="1">IF(D159="N",COUNTIF(INDIRECT(ADDRESS(MATCH(Plages!$D$19,'Planning annuel mixing coater'!$B:$B),4)):D159,"N"),IF(D159="N1",COUNTIF($D$9:D159,"N1"),""))</f>
        <v/>
      </c>
      <c r="J159" s="96" t="str">
        <f>IF(D159="","",COUNTA(D156:D159)-(COUNTA(D159:D159)-1))</f>
        <v/>
      </c>
    </row>
    <row r="160" spans="1:10" thickBot="1">
      <c r="A160" s="117"/>
      <c r="B160" s="70">
        <f t="shared" si="13"/>
        <v>43952</v>
      </c>
      <c r="C160" s="82" t="str">
        <f t="shared" si="14"/>
        <v>vendredi</v>
      </c>
      <c r="D160" s="87"/>
      <c r="E160" s="115" t="str">
        <f t="shared" si="15"/>
        <v/>
      </c>
      <c r="F160" s="115" t="str">
        <f t="shared" si="16"/>
        <v/>
      </c>
      <c r="G160" s="116" t="str">
        <f>IF(ISNONTEXT(D160),"",E160-MAX($F$2:F159))</f>
        <v/>
      </c>
      <c r="H160" s="97"/>
      <c r="I160" s="74" t="str">
        <f ca="1">IF(D160="N",COUNTIF(INDIRECT(ADDRESS(MATCH(Plages!$D$19,'Planning annuel mixing coater'!$B:$B),4)):D160,"N"),IF(D160="N1",COUNTIF($D$9:D160,"N1"),""))</f>
        <v/>
      </c>
      <c r="J160" s="96" t="str">
        <f>IF(D160="","",COUNTA(D156:D160)-(COUNTA(D160:D160)-1))</f>
        <v/>
      </c>
    </row>
    <row r="161" spans="1:10" thickBot="1">
      <c r="A161" s="117"/>
      <c r="B161" s="70">
        <f t="shared" si="13"/>
        <v>43953</v>
      </c>
      <c r="C161" s="82" t="str">
        <f t="shared" si="14"/>
        <v>samedi</v>
      </c>
      <c r="D161" s="87"/>
      <c r="E161" s="115" t="str">
        <f t="shared" si="15"/>
        <v/>
      </c>
      <c r="F161" s="115" t="str">
        <f t="shared" si="16"/>
        <v/>
      </c>
      <c r="G161" s="116" t="str">
        <f>IF(ISNONTEXT(D161),"",E161-MAX($F$2:F160))</f>
        <v/>
      </c>
      <c r="H161" s="97"/>
      <c r="I161" s="74" t="str">
        <f ca="1">IF(D161="N",COUNTIF(INDIRECT(ADDRESS(MATCH(Plages!$D$19,'Planning annuel mixing coater'!$B:$B),4)):D161,"N"),IF(D161="N1",COUNTIF($D$9:D161,"N1"),""))</f>
        <v/>
      </c>
      <c r="J161" s="96" t="str">
        <f>IF(D161="","",COUNTA(D156:D161)-(COUNTA(D161:D161)-1))</f>
        <v/>
      </c>
    </row>
    <row r="162" spans="1:10" thickBot="1">
      <c r="A162" s="117"/>
      <c r="B162" s="70">
        <f t="shared" si="13"/>
        <v>43954</v>
      </c>
      <c r="C162" s="82" t="str">
        <f t="shared" si="14"/>
        <v>dimanche</v>
      </c>
      <c r="D162" s="87"/>
      <c r="E162" s="115" t="str">
        <f t="shared" si="15"/>
        <v/>
      </c>
      <c r="F162" s="115" t="str">
        <f t="shared" si="16"/>
        <v/>
      </c>
      <c r="G162" s="116" t="str">
        <f>IF(ISNONTEXT(D162),"",E162-MAX($F$2:F161))</f>
        <v/>
      </c>
      <c r="H162" s="98"/>
      <c r="I162" s="74" t="str">
        <f ca="1">IF(D162="N",COUNTIF(INDIRECT(ADDRESS(MATCH(Plages!$D$19,'Planning annuel mixing coater'!$B:$B),4)):D162,"N"),IF(D162="N1",COUNTIF($D$9:D162,"N1"),""))</f>
        <v/>
      </c>
      <c r="J162" s="96" t="str">
        <f>IF(D162="","",COUNTA(D156:D162)-(COUNTA(D162:D162)-1))</f>
        <v/>
      </c>
    </row>
    <row r="163" spans="1:10" thickBot="1">
      <c r="A163" s="117"/>
      <c r="B163" s="70">
        <f t="shared" si="13"/>
        <v>43955</v>
      </c>
      <c r="C163" s="82" t="str">
        <f t="shared" si="14"/>
        <v>lundi</v>
      </c>
      <c r="D163" s="87"/>
      <c r="E163" s="115" t="str">
        <f t="shared" si="15"/>
        <v/>
      </c>
      <c r="F163" s="115" t="str">
        <f t="shared" si="16"/>
        <v/>
      </c>
      <c r="G163" s="116" t="str">
        <f>IF(ISNONTEXT(D163),"",E163-MAX($F$2:F162))</f>
        <v/>
      </c>
      <c r="H163" s="97"/>
      <c r="I163" s="74" t="str">
        <f ca="1">IF(D163="N",COUNTIF(INDIRECT(ADDRESS(MATCH(Plages!$D$19,'Planning annuel mixing coater'!$B:$B),4)):D163,"N"),IF(D163="N1",COUNTIF($D$9:D163,"N1"),""))</f>
        <v/>
      </c>
      <c r="J163" s="96" t="str">
        <f>IF(D163="","",COUNTA(D156:D163)-(COUNTA(D163:D163)-1))</f>
        <v/>
      </c>
    </row>
    <row r="164" spans="1:10" thickBot="1">
      <c r="A164" s="117"/>
      <c r="B164" s="70">
        <f t="shared" si="13"/>
        <v>43956</v>
      </c>
      <c r="C164" s="82" t="str">
        <f t="shared" si="14"/>
        <v>mardi</v>
      </c>
      <c r="D164" s="87"/>
      <c r="E164" s="115" t="str">
        <f t="shared" si="15"/>
        <v/>
      </c>
      <c r="F164" s="115" t="str">
        <f t="shared" si="16"/>
        <v/>
      </c>
      <c r="G164" s="116" t="str">
        <f>IF(ISNONTEXT(D164),"",E164-MAX($F$2:F163))</f>
        <v/>
      </c>
      <c r="H164" s="97"/>
      <c r="I164" s="74" t="str">
        <f ca="1">IF(D164="N",COUNTIF(INDIRECT(ADDRESS(MATCH(Plages!$D$19,'Planning annuel mixing coater'!$B:$B),4)):D164,"N"),IF(D164="N1",COUNTIF($D$9:D164,"N1"),""))</f>
        <v/>
      </c>
      <c r="J164" s="96" t="str">
        <f>IF(D164="","",COUNTA(D156:D164)-(COUNTA(D164:D164)-1))</f>
        <v/>
      </c>
    </row>
    <row r="165" spans="1:10" thickBot="1">
      <c r="A165" s="117"/>
      <c r="B165" s="70">
        <f t="shared" si="13"/>
        <v>43957</v>
      </c>
      <c r="C165" s="82" t="str">
        <f t="shared" si="14"/>
        <v>mercredi</v>
      </c>
      <c r="D165" s="87"/>
      <c r="E165" s="115" t="str">
        <f t="shared" si="15"/>
        <v/>
      </c>
      <c r="F165" s="115" t="str">
        <f t="shared" si="16"/>
        <v/>
      </c>
      <c r="G165" s="116" t="str">
        <f>IF(ISNONTEXT(D165),"",E165-MAX($F$2:F164))</f>
        <v/>
      </c>
      <c r="H165" s="97"/>
      <c r="I165" s="74" t="str">
        <f ca="1">IF(D165="N",COUNTIF(INDIRECT(ADDRESS(MATCH(Plages!$D$19,'Planning annuel mixing coater'!$B:$B),4)):D165,"N"),IF(D165="N1",COUNTIF($D$9:D165,"N1"),""))</f>
        <v/>
      </c>
      <c r="J165" s="96" t="str">
        <f>IF(D165="","",COUNTA(D156:D165)-(COUNTA(D165:D165)-1))</f>
        <v/>
      </c>
    </row>
    <row r="166" spans="1:10" thickBot="1">
      <c r="A166" s="117"/>
      <c r="B166" s="70">
        <f t="shared" si="13"/>
        <v>43958</v>
      </c>
      <c r="C166" s="82" t="str">
        <f t="shared" si="14"/>
        <v>jeudi</v>
      </c>
      <c r="D166" s="87"/>
      <c r="E166" s="115" t="str">
        <f t="shared" si="15"/>
        <v/>
      </c>
      <c r="F166" s="115" t="str">
        <f t="shared" si="16"/>
        <v/>
      </c>
      <c r="G166" s="116" t="str">
        <f>IF(ISNONTEXT(D166),"",E166-MAX($F$2:F165))</f>
        <v/>
      </c>
      <c r="H166" s="97"/>
      <c r="I166" s="74" t="str">
        <f ca="1">IF(D166="N",COUNTIF(INDIRECT(ADDRESS(MATCH(Plages!$D$19,'Planning annuel mixing coater'!$B:$B),4)):D166,"N"),IF(D166="N1",COUNTIF($D$9:D166,"N1"),""))</f>
        <v/>
      </c>
      <c r="J166" s="96" t="str">
        <f>IF(D166="","",COUNTA(D156:D166)-(COUNTA(D166:D166)-1))</f>
        <v/>
      </c>
    </row>
    <row r="167" spans="1:10" thickBot="1">
      <c r="A167" s="117"/>
      <c r="B167" s="70">
        <f t="shared" si="13"/>
        <v>43959</v>
      </c>
      <c r="C167" s="82" t="str">
        <f t="shared" si="14"/>
        <v>vendredi</v>
      </c>
      <c r="D167" s="87"/>
      <c r="E167" s="115" t="str">
        <f t="shared" si="15"/>
        <v/>
      </c>
      <c r="F167" s="115" t="str">
        <f t="shared" si="16"/>
        <v/>
      </c>
      <c r="G167" s="116" t="str">
        <f>IF(ISNONTEXT(D167),"",E167-MAX($F$2:F166))</f>
        <v/>
      </c>
      <c r="H167" s="97"/>
      <c r="I167" s="74" t="str">
        <f ca="1">IF(D167="N",COUNTIF(INDIRECT(ADDRESS(MATCH(Plages!$D$19,'Planning annuel mixing coater'!$B:$B),4)):D167,"N"),IF(D167="N1",COUNTIF($D$9:D167,"N1"),""))</f>
        <v/>
      </c>
      <c r="J167" s="96" t="str">
        <f>IF(D167="","",COUNTA(D156:D167)-(COUNTA(D167:D167)-1))</f>
        <v/>
      </c>
    </row>
    <row r="168" spans="1:10" thickBot="1">
      <c r="A168" s="117"/>
      <c r="B168" s="70">
        <f t="shared" si="13"/>
        <v>43960</v>
      </c>
      <c r="C168" s="82" t="str">
        <f t="shared" si="14"/>
        <v>samedi</v>
      </c>
      <c r="D168" s="87"/>
      <c r="E168" s="115" t="str">
        <f t="shared" si="15"/>
        <v/>
      </c>
      <c r="F168" s="115" t="str">
        <f t="shared" si="16"/>
        <v/>
      </c>
      <c r="G168" s="116" t="str">
        <f>IF(ISNONTEXT(D168),"",E168-MAX($F$2:F167))</f>
        <v/>
      </c>
      <c r="H168" s="97"/>
      <c r="I168" s="74" t="str">
        <f ca="1">IF(D168="N",COUNTIF(INDIRECT(ADDRESS(MATCH(Plages!$D$19,'Planning annuel mixing coater'!$B:$B),4)):D168,"N"),IF(D168="N1",COUNTIF($D$9:D168,"N1"),""))</f>
        <v/>
      </c>
      <c r="J168" s="96" t="str">
        <f>IF(D168="","",COUNTA(D156:D168)-(COUNTA(D168:D168)-1))</f>
        <v/>
      </c>
    </row>
    <row r="169" spans="1:10" s="77" customFormat="1" thickBot="1">
      <c r="A169" s="117"/>
      <c r="B169" s="75">
        <f t="shared" si="13"/>
        <v>43961</v>
      </c>
      <c r="C169" s="83" t="str">
        <f t="shared" si="14"/>
        <v>dimanche</v>
      </c>
      <c r="D169" s="88"/>
      <c r="E169" s="115" t="str">
        <f t="shared" si="15"/>
        <v/>
      </c>
      <c r="F169" s="115" t="str">
        <f t="shared" si="16"/>
        <v/>
      </c>
      <c r="G169" s="116" t="str">
        <f>IF(ISNONTEXT(D169),"",E169-MAX($F$2:F168))</f>
        <v/>
      </c>
      <c r="H169" s="98"/>
      <c r="I169" s="76" t="str">
        <f ca="1">IF(D169="N",COUNTIF(INDIRECT(ADDRESS(MATCH(Plages!$D$19,'Planning annuel mixing coater'!$B:$B),4)):D169,"N"),IF(D169="N1",COUNTIF($D$9:D169,"N1"),""))</f>
        <v/>
      </c>
      <c r="J169" s="99" t="str">
        <f>IF(D169="","",COUNTA(D156:D169)-(COUNTA(D169:D169)-1))</f>
        <v/>
      </c>
    </row>
    <row r="170" spans="1:10" ht="16.5" thickTop="1" thickBot="1">
      <c r="A170" s="117"/>
      <c r="B170" s="78">
        <f t="shared" si="13"/>
        <v>43962</v>
      </c>
      <c r="C170" s="81" t="str">
        <f t="shared" si="14"/>
        <v>lundi</v>
      </c>
      <c r="D170" s="89"/>
      <c r="E170" s="115" t="str">
        <f t="shared" si="15"/>
        <v/>
      </c>
      <c r="F170" s="115" t="str">
        <f t="shared" si="16"/>
        <v/>
      </c>
      <c r="G170" s="116" t="str">
        <f>IF(ISNONTEXT(D170),"",E170-MAX($F$2:F169))</f>
        <v/>
      </c>
      <c r="H170" s="100"/>
      <c r="I170" s="79" t="str">
        <f ca="1">IF(D170="N",COUNTIF(INDIRECT(ADDRESS(MATCH(Plages!$D$19,'Planning annuel mixing coater'!$B:$B),4)):D170,"N"),IF(D170="N1",COUNTIF($D$9:D170,"N1"),""))</f>
        <v/>
      </c>
      <c r="J170" s="101" t="str">
        <f>IF(D170="","",COUNTA(D170:D170)-(COUNTA(D170:D170)-1))</f>
        <v/>
      </c>
    </row>
    <row r="171" spans="1:10" thickBot="1">
      <c r="A171" s="117"/>
      <c r="B171" s="70">
        <f t="shared" si="13"/>
        <v>43963</v>
      </c>
      <c r="C171" s="82" t="str">
        <f t="shared" si="14"/>
        <v>mardi</v>
      </c>
      <c r="D171" s="87"/>
      <c r="E171" s="115" t="str">
        <f t="shared" si="15"/>
        <v/>
      </c>
      <c r="F171" s="115" t="str">
        <f t="shared" si="16"/>
        <v/>
      </c>
      <c r="G171" s="116" t="str">
        <f>IF(ISNONTEXT(D171),"",E171-MAX($F$2:F170))</f>
        <v/>
      </c>
      <c r="H171" s="97"/>
      <c r="I171" s="74" t="str">
        <f ca="1">IF(D171="N",COUNTIF(INDIRECT(ADDRESS(MATCH(Plages!$D$19,'Planning annuel mixing coater'!$B:$B),4)):D171,"N"),IF(D171="N1",COUNTIF($D$9:D171,"N1"),""))</f>
        <v/>
      </c>
      <c r="J171" s="96" t="str">
        <f>IF(D171="","",COUNTA(D170:D171)-(COUNTA(D171:D171)-1))</f>
        <v/>
      </c>
    </row>
    <row r="172" spans="1:10" thickBot="1">
      <c r="A172" s="117"/>
      <c r="B172" s="70">
        <f t="shared" si="13"/>
        <v>43964</v>
      </c>
      <c r="C172" s="82" t="str">
        <f t="shared" si="14"/>
        <v>mercredi</v>
      </c>
      <c r="D172" s="87"/>
      <c r="E172" s="115" t="str">
        <f t="shared" si="15"/>
        <v/>
      </c>
      <c r="F172" s="115" t="str">
        <f t="shared" si="16"/>
        <v/>
      </c>
      <c r="G172" s="116" t="str">
        <f>IF(ISNONTEXT(D172),"",E172-MAX($F$2:F171))</f>
        <v/>
      </c>
      <c r="H172" s="97"/>
      <c r="I172" s="74" t="str">
        <f ca="1">IF(D172="N",COUNTIF(INDIRECT(ADDRESS(MATCH(Plages!$D$19,'Planning annuel mixing coater'!$B:$B),4)):D172,"N"),IF(D172="N1",COUNTIF($D$9:D172,"N1"),""))</f>
        <v/>
      </c>
      <c r="J172" s="96" t="str">
        <f>IF(D172="","",COUNTA(D170:D172)-(COUNTA(D172:D172)-1))</f>
        <v/>
      </c>
    </row>
    <row r="173" spans="1:10" thickBot="1">
      <c r="A173" s="117"/>
      <c r="B173" s="70">
        <f t="shared" si="13"/>
        <v>43965</v>
      </c>
      <c r="C173" s="82" t="str">
        <f t="shared" si="14"/>
        <v>jeudi</v>
      </c>
      <c r="D173" s="87"/>
      <c r="E173" s="115" t="str">
        <f t="shared" si="15"/>
        <v/>
      </c>
      <c r="F173" s="115" t="str">
        <f t="shared" si="16"/>
        <v/>
      </c>
      <c r="G173" s="116" t="str">
        <f>IF(ISNONTEXT(D173),"",E173-MAX($F$2:F172))</f>
        <v/>
      </c>
      <c r="H173" s="97"/>
      <c r="I173" s="74" t="str">
        <f ca="1">IF(D173="N",COUNTIF(INDIRECT(ADDRESS(MATCH(Plages!$D$19,'Planning annuel mixing coater'!$B:$B),4)):D173,"N"),IF(D173="N1",COUNTIF($D$9:D173,"N1"),""))</f>
        <v/>
      </c>
      <c r="J173" s="96" t="str">
        <f>IF(D173="","",COUNTA(D170:D173)-(COUNTA(D173:D173)-1))</f>
        <v/>
      </c>
    </row>
    <row r="174" spans="1:10" thickBot="1">
      <c r="A174" s="117"/>
      <c r="B174" s="70">
        <f t="shared" si="13"/>
        <v>43966</v>
      </c>
      <c r="C174" s="82" t="str">
        <f t="shared" si="14"/>
        <v>vendredi</v>
      </c>
      <c r="D174" s="87"/>
      <c r="E174" s="115" t="str">
        <f t="shared" si="15"/>
        <v/>
      </c>
      <c r="F174" s="115" t="str">
        <f t="shared" si="16"/>
        <v/>
      </c>
      <c r="G174" s="116" t="str">
        <f>IF(ISNONTEXT(D174),"",E174-MAX($F$2:F173))</f>
        <v/>
      </c>
      <c r="H174" s="97"/>
      <c r="I174" s="74" t="str">
        <f ca="1">IF(D174="N",COUNTIF(INDIRECT(ADDRESS(MATCH(Plages!$D$19,'Planning annuel mixing coater'!$B:$B),4)):D174,"N"),IF(D174="N1",COUNTIF($D$9:D174,"N1"),""))</f>
        <v/>
      </c>
      <c r="J174" s="96" t="str">
        <f>IF(D174="","",COUNTA(D170:D174)-(COUNTA(D174:D174)-1))</f>
        <v/>
      </c>
    </row>
    <row r="175" spans="1:10" thickBot="1">
      <c r="A175" s="117"/>
      <c r="B175" s="70">
        <f t="shared" si="13"/>
        <v>43967</v>
      </c>
      <c r="C175" s="82" t="str">
        <f t="shared" si="14"/>
        <v>samedi</v>
      </c>
      <c r="D175" s="87"/>
      <c r="E175" s="115" t="str">
        <f t="shared" si="15"/>
        <v/>
      </c>
      <c r="F175" s="115" t="str">
        <f t="shared" si="16"/>
        <v/>
      </c>
      <c r="G175" s="116" t="str">
        <f>IF(ISNONTEXT(D175),"",E175-MAX($F$2:F174))</f>
        <v/>
      </c>
      <c r="H175" s="97"/>
      <c r="I175" s="74" t="str">
        <f ca="1">IF(D175="N",COUNTIF(INDIRECT(ADDRESS(MATCH(Plages!$D$19,'Planning annuel mixing coater'!$B:$B),4)):D175,"N"),IF(D175="N1",COUNTIF($D$9:D175,"N1"),""))</f>
        <v/>
      </c>
      <c r="J175" s="96" t="str">
        <f>IF(D175="","",COUNTA(D170:D175)-(COUNTA(D175:D175)-1))</f>
        <v/>
      </c>
    </row>
    <row r="176" spans="1:10" thickBot="1">
      <c r="A176" s="117"/>
      <c r="B176" s="70">
        <f t="shared" si="13"/>
        <v>43968</v>
      </c>
      <c r="C176" s="82" t="str">
        <f t="shared" si="14"/>
        <v>dimanche</v>
      </c>
      <c r="D176" s="87"/>
      <c r="E176" s="115" t="str">
        <f t="shared" si="15"/>
        <v/>
      </c>
      <c r="F176" s="115" t="str">
        <f t="shared" si="16"/>
        <v/>
      </c>
      <c r="G176" s="116" t="str">
        <f>IF(ISNONTEXT(D176),"",E176-MAX($F$2:F175))</f>
        <v/>
      </c>
      <c r="H176" s="98"/>
      <c r="I176" s="74" t="str">
        <f ca="1">IF(D176="N",COUNTIF(INDIRECT(ADDRESS(MATCH(Plages!$D$19,'Planning annuel mixing coater'!$B:$B),4)):D176,"N"),IF(D176="N1",COUNTIF($D$9:D176,"N1"),""))</f>
        <v/>
      </c>
      <c r="J176" s="96" t="str">
        <f>IF(D176="","",COUNTA(D170:D176)-(COUNTA(D176:D176)-1))</f>
        <v/>
      </c>
    </row>
    <row r="177" spans="1:10" thickBot="1">
      <c r="A177" s="117"/>
      <c r="B177" s="70">
        <f t="shared" si="13"/>
        <v>43969</v>
      </c>
      <c r="C177" s="82" t="str">
        <f t="shared" si="14"/>
        <v>lundi</v>
      </c>
      <c r="D177" s="87"/>
      <c r="E177" s="115" t="str">
        <f t="shared" si="15"/>
        <v/>
      </c>
      <c r="F177" s="115" t="str">
        <f t="shared" si="16"/>
        <v/>
      </c>
      <c r="G177" s="116" t="str">
        <f>IF(ISNONTEXT(D177),"",E177-MAX($F$2:F176))</f>
        <v/>
      </c>
      <c r="H177" s="97"/>
      <c r="I177" s="74" t="str">
        <f ca="1">IF(D177="N",COUNTIF(INDIRECT(ADDRESS(MATCH(Plages!$D$19,'Planning annuel mixing coater'!$B:$B),4)):D177,"N"),IF(D177="N1",COUNTIF($D$9:D177,"N1"),""))</f>
        <v/>
      </c>
      <c r="J177" s="96" t="str">
        <f>IF(D177="","",COUNTA(D170:D177)-(COUNTA(D177:D177)-1))</f>
        <v/>
      </c>
    </row>
    <row r="178" spans="1:10" thickBot="1">
      <c r="A178" s="117"/>
      <c r="B178" s="70">
        <f t="shared" si="13"/>
        <v>43970</v>
      </c>
      <c r="C178" s="82" t="str">
        <f t="shared" si="14"/>
        <v>mardi</v>
      </c>
      <c r="D178" s="87"/>
      <c r="E178" s="115" t="str">
        <f t="shared" si="15"/>
        <v/>
      </c>
      <c r="F178" s="115" t="str">
        <f t="shared" si="16"/>
        <v/>
      </c>
      <c r="G178" s="116" t="str">
        <f>IF(ISNONTEXT(D178),"",E178-MAX($F$2:F177))</f>
        <v/>
      </c>
      <c r="H178" s="97"/>
      <c r="I178" s="74" t="str">
        <f ca="1">IF(D178="N",COUNTIF(INDIRECT(ADDRESS(MATCH(Plages!$D$19,'Planning annuel mixing coater'!$B:$B),4)):D178,"N"),IF(D178="N1",COUNTIF($D$9:D178,"N1"),""))</f>
        <v/>
      </c>
      <c r="J178" s="96" t="str">
        <f>IF(D178="","",COUNTA(D170:D178)-(COUNTA(D178:D178)-1))</f>
        <v/>
      </c>
    </row>
    <row r="179" spans="1:10" thickBot="1">
      <c r="A179" s="117"/>
      <c r="B179" s="70">
        <f t="shared" si="13"/>
        <v>43971</v>
      </c>
      <c r="C179" s="82" t="str">
        <f t="shared" si="14"/>
        <v>mercredi</v>
      </c>
      <c r="D179" s="87"/>
      <c r="E179" s="115" t="str">
        <f t="shared" si="15"/>
        <v/>
      </c>
      <c r="F179" s="115" t="str">
        <f t="shared" si="16"/>
        <v/>
      </c>
      <c r="G179" s="116" t="str">
        <f>IF(ISNONTEXT(D179),"",E179-MAX($F$2:F178))</f>
        <v/>
      </c>
      <c r="H179" s="97"/>
      <c r="I179" s="74" t="str">
        <f ca="1">IF(D179="N",COUNTIF(INDIRECT(ADDRESS(MATCH(Plages!$D$19,'Planning annuel mixing coater'!$B:$B),4)):D179,"N"),IF(D179="N1",COUNTIF($D$9:D179,"N1"),""))</f>
        <v/>
      </c>
      <c r="J179" s="96" t="str">
        <f>IF(D179="","",COUNTA(D170:D179)-(COUNTA(D179:D179)-1))</f>
        <v/>
      </c>
    </row>
    <row r="180" spans="1:10" thickBot="1">
      <c r="A180" s="117"/>
      <c r="B180" s="70">
        <f t="shared" si="13"/>
        <v>43972</v>
      </c>
      <c r="C180" s="82" t="str">
        <f t="shared" si="14"/>
        <v>jeudi</v>
      </c>
      <c r="D180" s="87"/>
      <c r="E180" s="115" t="str">
        <f t="shared" si="15"/>
        <v/>
      </c>
      <c r="F180" s="115" t="str">
        <f t="shared" si="16"/>
        <v/>
      </c>
      <c r="G180" s="116" t="str">
        <f>IF(ISNONTEXT(D180),"",E180-MAX($F$2:F179))</f>
        <v/>
      </c>
      <c r="H180" s="97"/>
      <c r="I180" s="74" t="str">
        <f ca="1">IF(D180="N",COUNTIF(INDIRECT(ADDRESS(MATCH(Plages!$D$19,'Planning annuel mixing coater'!$B:$B),4)):D180,"N"),IF(D180="N1",COUNTIF($D$9:D180,"N1"),""))</f>
        <v/>
      </c>
      <c r="J180" s="96" t="str">
        <f>IF(D180="","",COUNTA(D170:D180)-(COUNTA(D180:D180)-1))</f>
        <v/>
      </c>
    </row>
    <row r="181" spans="1:10" thickBot="1">
      <c r="A181" s="117"/>
      <c r="B181" s="70">
        <f t="shared" si="13"/>
        <v>43973</v>
      </c>
      <c r="C181" s="82" t="str">
        <f t="shared" si="14"/>
        <v>vendredi</v>
      </c>
      <c r="D181" s="87"/>
      <c r="E181" s="115" t="str">
        <f t="shared" si="15"/>
        <v/>
      </c>
      <c r="F181" s="115" t="str">
        <f t="shared" si="16"/>
        <v/>
      </c>
      <c r="G181" s="116" t="str">
        <f>IF(ISNONTEXT(D181),"",E181-MAX($F$2:F180))</f>
        <v/>
      </c>
      <c r="H181" s="97"/>
      <c r="I181" s="74" t="str">
        <f ca="1">IF(D181="N",COUNTIF(INDIRECT(ADDRESS(MATCH(Plages!$D$19,'Planning annuel mixing coater'!$B:$B),4)):D181,"N"),IF(D181="N1",COUNTIF($D$9:D181,"N1"),""))</f>
        <v/>
      </c>
      <c r="J181" s="96" t="str">
        <f>IF(D181="","",COUNTA(D170:D181)-(COUNTA(D181:D181)-1))</f>
        <v/>
      </c>
    </row>
    <row r="182" spans="1:10" thickBot="1">
      <c r="A182" s="117"/>
      <c r="B182" s="70">
        <f t="shared" si="13"/>
        <v>43974</v>
      </c>
      <c r="C182" s="82" t="str">
        <f t="shared" si="14"/>
        <v>samedi</v>
      </c>
      <c r="D182" s="87"/>
      <c r="E182" s="115" t="str">
        <f t="shared" si="15"/>
        <v/>
      </c>
      <c r="F182" s="115" t="str">
        <f t="shared" si="16"/>
        <v/>
      </c>
      <c r="G182" s="116" t="str">
        <f>IF(ISNONTEXT(D182),"",E182-MAX($F$2:F181))</f>
        <v/>
      </c>
      <c r="H182" s="97"/>
      <c r="I182" s="74" t="str">
        <f ca="1">IF(D182="N",COUNTIF(INDIRECT(ADDRESS(MATCH(Plages!$D$19,'Planning annuel mixing coater'!$B:$B),4)):D182,"N"),IF(D182="N1",COUNTIF($D$9:D182,"N1"),""))</f>
        <v/>
      </c>
      <c r="J182" s="96" t="str">
        <f>IF(D182="","",COUNTA(D170:D182)-(COUNTA(D182:D182)-1))</f>
        <v/>
      </c>
    </row>
    <row r="183" spans="1:10" s="77" customFormat="1" thickBot="1">
      <c r="A183" s="117"/>
      <c r="B183" s="75">
        <f t="shared" si="13"/>
        <v>43975</v>
      </c>
      <c r="C183" s="83" t="str">
        <f t="shared" si="14"/>
        <v>dimanche</v>
      </c>
      <c r="D183" s="88"/>
      <c r="E183" s="115" t="str">
        <f t="shared" si="15"/>
        <v/>
      </c>
      <c r="F183" s="115" t="str">
        <f t="shared" si="16"/>
        <v/>
      </c>
      <c r="G183" s="116" t="str">
        <f>IF(ISNONTEXT(D183),"",E183-MAX($F$2:F182))</f>
        <v/>
      </c>
      <c r="H183" s="98"/>
      <c r="I183" s="76" t="str">
        <f ca="1">IF(D183="N",COUNTIF(INDIRECT(ADDRESS(MATCH(Plages!$D$19,'Planning annuel mixing coater'!$B:$B),4)):D183,"N"),IF(D183="N1",COUNTIF($D$9:D183,"N1"),""))</f>
        <v/>
      </c>
      <c r="J183" s="99" t="str">
        <f>IF(D183="","",COUNTA(D170:D183)-(COUNTA(D183:D183)-1))</f>
        <v/>
      </c>
    </row>
    <row r="184" spans="1:10" ht="16.5" thickTop="1" thickBot="1">
      <c r="A184" s="117"/>
      <c r="B184" s="78">
        <f t="shared" si="13"/>
        <v>43976</v>
      </c>
      <c r="C184" s="81" t="str">
        <f t="shared" si="14"/>
        <v>lundi</v>
      </c>
      <c r="D184" s="89"/>
      <c r="E184" s="115" t="str">
        <f t="shared" si="15"/>
        <v/>
      </c>
      <c r="F184" s="115" t="str">
        <f t="shared" si="16"/>
        <v/>
      </c>
      <c r="G184" s="116" t="str">
        <f>IF(ISNONTEXT(D184),"",E184-MAX($F$2:F183))</f>
        <v/>
      </c>
      <c r="H184" s="100"/>
      <c r="I184" s="79" t="str">
        <f ca="1">IF(D184="N",COUNTIF(INDIRECT(ADDRESS(MATCH(Plages!$D$19,'Planning annuel mixing coater'!$B:$B),4)):D184,"N"),IF(D184="N1",COUNTIF($D$9:D184,"N1"),""))</f>
        <v/>
      </c>
      <c r="J184" s="101" t="str">
        <f>IF(D184="","",COUNTA(D184:D184)-(COUNTA(D184:D184)-1))</f>
        <v/>
      </c>
    </row>
    <row r="185" spans="1:10" thickBot="1">
      <c r="A185" s="117"/>
      <c r="B185" s="70">
        <f t="shared" si="13"/>
        <v>43977</v>
      </c>
      <c r="C185" s="82" t="str">
        <f t="shared" si="14"/>
        <v>mardi</v>
      </c>
      <c r="D185" s="87"/>
      <c r="E185" s="115" t="str">
        <f t="shared" si="15"/>
        <v/>
      </c>
      <c r="F185" s="115" t="str">
        <f t="shared" si="16"/>
        <v/>
      </c>
      <c r="G185" s="116" t="str">
        <f>IF(ISNONTEXT(D185),"",E185-MAX($F$2:F184))</f>
        <v/>
      </c>
      <c r="H185" s="97"/>
      <c r="I185" s="74" t="str">
        <f ca="1">IF(D185="N",COUNTIF(INDIRECT(ADDRESS(MATCH(Plages!$D$19,'Planning annuel mixing coater'!$B:$B),4)):D185,"N"),IF(D185="N1",COUNTIF($D$9:D185,"N1"),""))</f>
        <v/>
      </c>
      <c r="J185" s="96" t="str">
        <f>IF(D185="","",COUNTA(D184:D185)-(COUNTA(D185:D185)-1))</f>
        <v/>
      </c>
    </row>
    <row r="186" spans="1:10" thickBot="1">
      <c r="A186" s="117"/>
      <c r="B186" s="70">
        <f t="shared" si="13"/>
        <v>43978</v>
      </c>
      <c r="C186" s="82" t="str">
        <f t="shared" si="14"/>
        <v>mercredi</v>
      </c>
      <c r="D186" s="87"/>
      <c r="E186" s="115" t="str">
        <f t="shared" si="15"/>
        <v/>
      </c>
      <c r="F186" s="115" t="str">
        <f t="shared" si="16"/>
        <v/>
      </c>
      <c r="G186" s="116" t="str">
        <f>IF(ISNONTEXT(D186),"",E186-MAX($F$2:F185))</f>
        <v/>
      </c>
      <c r="H186" s="97"/>
      <c r="I186" s="74" t="str">
        <f ca="1">IF(D186="N",COUNTIF(INDIRECT(ADDRESS(MATCH(Plages!$D$19,'Planning annuel mixing coater'!$B:$B),4)):D186,"N"),IF(D186="N1",COUNTIF($D$9:D186,"N1"),""))</f>
        <v/>
      </c>
      <c r="J186" s="96" t="str">
        <f>IF(D186="","",COUNTA(D184:D186)-(COUNTA(D186:D186)-1))</f>
        <v/>
      </c>
    </row>
    <row r="187" spans="1:10" thickBot="1">
      <c r="A187" s="117"/>
      <c r="B187" s="70">
        <f t="shared" si="13"/>
        <v>43979</v>
      </c>
      <c r="C187" s="82" t="str">
        <f t="shared" si="14"/>
        <v>jeudi</v>
      </c>
      <c r="D187" s="87"/>
      <c r="E187" s="115" t="str">
        <f t="shared" si="15"/>
        <v/>
      </c>
      <c r="F187" s="115" t="str">
        <f t="shared" si="16"/>
        <v/>
      </c>
      <c r="G187" s="116" t="str">
        <f>IF(ISNONTEXT(D187),"",E187-MAX($F$2:F186))</f>
        <v/>
      </c>
      <c r="H187" s="97"/>
      <c r="I187" s="74" t="str">
        <f ca="1">IF(D187="N",COUNTIF(INDIRECT(ADDRESS(MATCH(Plages!$D$19,'Planning annuel mixing coater'!$B:$B),4)):D187,"N"),IF(D187="N1",COUNTIF($D$9:D187,"N1"),""))</f>
        <v/>
      </c>
      <c r="J187" s="96" t="str">
        <f>IF(D187="","",COUNTA(D184:D187)-(COUNTA(D187:D187)-1))</f>
        <v/>
      </c>
    </row>
    <row r="188" spans="1:10" thickBot="1">
      <c r="A188" s="117"/>
      <c r="B188" s="70">
        <f t="shared" si="13"/>
        <v>43980</v>
      </c>
      <c r="C188" s="82" t="str">
        <f t="shared" si="14"/>
        <v>vendredi</v>
      </c>
      <c r="D188" s="87"/>
      <c r="E188" s="115" t="str">
        <f t="shared" si="15"/>
        <v/>
      </c>
      <c r="F188" s="115" t="str">
        <f t="shared" si="16"/>
        <v/>
      </c>
      <c r="G188" s="116" t="str">
        <f>IF(ISNONTEXT(D188),"",E188-MAX($F$2:F187))</f>
        <v/>
      </c>
      <c r="H188" s="97"/>
      <c r="I188" s="74" t="str">
        <f ca="1">IF(D188="N",COUNTIF(INDIRECT(ADDRESS(MATCH(Plages!$D$19,'Planning annuel mixing coater'!$B:$B),4)):D188,"N"),IF(D188="N1",COUNTIF($D$9:D188,"N1"),""))</f>
        <v/>
      </c>
      <c r="J188" s="96" t="str">
        <f>IF(D188="","",COUNTA(D184:D188)-(COUNTA(D188:D188)-1))</f>
        <v/>
      </c>
    </row>
    <row r="189" spans="1:10" thickBot="1">
      <c r="A189" s="117"/>
      <c r="B189" s="70">
        <f t="shared" si="13"/>
        <v>43981</v>
      </c>
      <c r="C189" s="82" t="str">
        <f t="shared" si="14"/>
        <v>samedi</v>
      </c>
      <c r="D189" s="87"/>
      <c r="E189" s="115" t="str">
        <f t="shared" si="15"/>
        <v/>
      </c>
      <c r="F189" s="115" t="str">
        <f t="shared" si="16"/>
        <v/>
      </c>
      <c r="G189" s="116" t="str">
        <f>IF(ISNONTEXT(D189),"",E189-MAX($F$2:F188))</f>
        <v/>
      </c>
      <c r="H189" s="97"/>
      <c r="I189" s="74" t="str">
        <f ca="1">IF(D189="N",COUNTIF(INDIRECT(ADDRESS(MATCH(Plages!$D$19,'Planning annuel mixing coater'!$B:$B),4)):D189,"N"),IF(D189="N1",COUNTIF($D$9:D189,"N1"),""))</f>
        <v/>
      </c>
      <c r="J189" s="96" t="str">
        <f>IF(D189="","",COUNTA(D184:D189)-(COUNTA(D189:D189)-1))</f>
        <v/>
      </c>
    </row>
    <row r="190" spans="1:10" thickBot="1">
      <c r="A190" s="117"/>
      <c r="B190" s="70">
        <f t="shared" si="13"/>
        <v>43982</v>
      </c>
      <c r="C190" s="82" t="str">
        <f t="shared" si="14"/>
        <v>dimanche</v>
      </c>
      <c r="D190" s="87"/>
      <c r="E190" s="115" t="str">
        <f t="shared" si="15"/>
        <v/>
      </c>
      <c r="F190" s="115" t="str">
        <f t="shared" si="16"/>
        <v/>
      </c>
      <c r="G190" s="116" t="str">
        <f>IF(ISNONTEXT(D190),"",E190-MAX($F$2:F189))</f>
        <v/>
      </c>
      <c r="H190" s="98"/>
      <c r="I190" s="74" t="str">
        <f ca="1">IF(D190="N",COUNTIF(INDIRECT(ADDRESS(MATCH(Plages!$D$19,'Planning annuel mixing coater'!$B:$B),4)):D190,"N"),IF(D190="N1",COUNTIF($D$9:D190,"N1"),""))</f>
        <v/>
      </c>
      <c r="J190" s="96" t="str">
        <f>IF(D190="","",COUNTA(D184:D190)-(COUNTA(D190:D190)-1))</f>
        <v/>
      </c>
    </row>
    <row r="191" spans="1:10" thickBot="1">
      <c r="A191" s="117"/>
      <c r="B191" s="70">
        <f t="shared" si="13"/>
        <v>43983</v>
      </c>
      <c r="C191" s="82" t="str">
        <f t="shared" si="14"/>
        <v>lundi</v>
      </c>
      <c r="D191" s="87"/>
      <c r="E191" s="115" t="str">
        <f t="shared" si="15"/>
        <v/>
      </c>
      <c r="F191" s="115" t="str">
        <f t="shared" si="16"/>
        <v/>
      </c>
      <c r="G191" s="116" t="str">
        <f>IF(ISNONTEXT(D191),"",E191-MAX($F$2:F190))</f>
        <v/>
      </c>
      <c r="H191" s="97"/>
      <c r="I191" s="74" t="str">
        <f ca="1">IF(D191="N",COUNTIF(INDIRECT(ADDRESS(MATCH(Plages!$D$19,'Planning annuel mixing coater'!$B:$B),4)):D191,"N"),IF(D191="N1",COUNTIF($D$9:D191,"N1"),""))</f>
        <v/>
      </c>
      <c r="J191" s="96" t="str">
        <f>IF(D191="","",COUNTA(D184:D191)-(COUNTA(D191:D191)-1))</f>
        <v/>
      </c>
    </row>
    <row r="192" spans="1:10" thickBot="1">
      <c r="A192" s="117"/>
      <c r="B192" s="70">
        <f t="shared" si="13"/>
        <v>43984</v>
      </c>
      <c r="C192" s="82" t="str">
        <f t="shared" si="14"/>
        <v>mardi</v>
      </c>
      <c r="D192" s="87"/>
      <c r="E192" s="115" t="str">
        <f t="shared" si="15"/>
        <v/>
      </c>
      <c r="F192" s="115" t="str">
        <f t="shared" si="16"/>
        <v/>
      </c>
      <c r="G192" s="116" t="str">
        <f>IF(ISNONTEXT(D192),"",E192-MAX($F$2:F191))</f>
        <v/>
      </c>
      <c r="H192" s="97"/>
      <c r="I192" s="74" t="str">
        <f ca="1">IF(D192="N",COUNTIF(INDIRECT(ADDRESS(MATCH(Plages!$D$19,'Planning annuel mixing coater'!$B:$B),4)):D192,"N"),IF(D192="N1",COUNTIF($D$9:D192,"N1"),""))</f>
        <v/>
      </c>
      <c r="J192" s="96" t="str">
        <f>IF(D192="","",COUNTA(D184:D192)-(COUNTA(D192:D192)-1))</f>
        <v/>
      </c>
    </row>
    <row r="193" spans="1:10" thickBot="1">
      <c r="A193" s="117"/>
      <c r="B193" s="70">
        <f t="shared" si="13"/>
        <v>43985</v>
      </c>
      <c r="C193" s="82" t="str">
        <f t="shared" si="14"/>
        <v>mercredi</v>
      </c>
      <c r="D193" s="87"/>
      <c r="E193" s="115" t="str">
        <f t="shared" si="15"/>
        <v/>
      </c>
      <c r="F193" s="115" t="str">
        <f t="shared" si="16"/>
        <v/>
      </c>
      <c r="G193" s="116" t="str">
        <f>IF(ISNONTEXT(D193),"",E193-MAX($F$2:F192))</f>
        <v/>
      </c>
      <c r="H193" s="97"/>
      <c r="I193" s="74" t="str">
        <f ca="1">IF(D193="N",COUNTIF(INDIRECT(ADDRESS(MATCH(Plages!$D$19,'Planning annuel mixing coater'!$B:$B),4)):D193,"N"),IF(D193="N1",COUNTIF($D$9:D193,"N1"),""))</f>
        <v/>
      </c>
      <c r="J193" s="96" t="str">
        <f>IF(D193="","",COUNTA(D184:D193)-(COUNTA(D193:D193)-1))</f>
        <v/>
      </c>
    </row>
    <row r="194" spans="1:10" thickBot="1">
      <c r="A194" s="117"/>
      <c r="B194" s="70">
        <f t="shared" si="13"/>
        <v>43986</v>
      </c>
      <c r="C194" s="82" t="str">
        <f t="shared" si="14"/>
        <v>jeudi</v>
      </c>
      <c r="D194" s="87"/>
      <c r="E194" s="115" t="str">
        <f t="shared" si="15"/>
        <v/>
      </c>
      <c r="F194" s="115" t="str">
        <f t="shared" si="16"/>
        <v/>
      </c>
      <c r="G194" s="116" t="str">
        <f>IF(ISNONTEXT(D194),"",E194-MAX($F$2:F193))</f>
        <v/>
      </c>
      <c r="H194" s="97"/>
      <c r="I194" s="74" t="str">
        <f ca="1">IF(D194="N",COUNTIF(INDIRECT(ADDRESS(MATCH(Plages!$D$19,'Planning annuel mixing coater'!$B:$B),4)):D194,"N"),IF(D194="N1",COUNTIF($D$9:D194,"N1"),""))</f>
        <v/>
      </c>
      <c r="J194" s="96" t="str">
        <f>IF(D194="","",COUNTA(D184:D194)-(COUNTA(D194:D194)-1))</f>
        <v/>
      </c>
    </row>
    <row r="195" spans="1:10" thickBot="1">
      <c r="A195" s="117"/>
      <c r="B195" s="70">
        <f t="shared" si="13"/>
        <v>43987</v>
      </c>
      <c r="C195" s="82" t="str">
        <f t="shared" si="14"/>
        <v>vendredi</v>
      </c>
      <c r="D195" s="87"/>
      <c r="E195" s="115" t="str">
        <f t="shared" si="15"/>
        <v/>
      </c>
      <c r="F195" s="115" t="str">
        <f t="shared" si="16"/>
        <v/>
      </c>
      <c r="G195" s="116" t="str">
        <f>IF(ISNONTEXT(D195),"",E195-MAX($F$2:F194))</f>
        <v/>
      </c>
      <c r="H195" s="97"/>
      <c r="I195" s="74" t="str">
        <f ca="1">IF(D195="N",COUNTIF(INDIRECT(ADDRESS(MATCH(Plages!$D$19,'Planning annuel mixing coater'!$B:$B),4)):D195,"N"),IF(D195="N1",COUNTIF($D$9:D195,"N1"),""))</f>
        <v/>
      </c>
      <c r="J195" s="96" t="str">
        <f>IF(D195="","",COUNTA(D184:D195)-(COUNTA(D195:D195)-1))</f>
        <v/>
      </c>
    </row>
    <row r="196" spans="1:10" thickBot="1">
      <c r="A196" s="117"/>
      <c r="B196" s="70">
        <f t="shared" ref="B196:B259" si="17">IF(B195="","",B195+1)</f>
        <v>43988</v>
      </c>
      <c r="C196" s="82" t="str">
        <f t="shared" si="14"/>
        <v>samedi</v>
      </c>
      <c r="D196" s="87"/>
      <c r="E196" s="115" t="str">
        <f t="shared" si="15"/>
        <v/>
      </c>
      <c r="F196" s="115" t="str">
        <f t="shared" si="16"/>
        <v/>
      </c>
      <c r="G196" s="116" t="str">
        <f>IF(ISNONTEXT(D196),"",E196-MAX($F$2:F195))</f>
        <v/>
      </c>
      <c r="H196" s="97"/>
      <c r="I196" s="74" t="str">
        <f ca="1">IF(D196="N",COUNTIF(INDIRECT(ADDRESS(MATCH(Plages!$D$19,'Planning annuel mixing coater'!$B:$B),4)):D196,"N"),IF(D196="N1",COUNTIF($D$9:D196,"N1"),""))</f>
        <v/>
      </c>
      <c r="J196" s="96" t="str">
        <f>IF(D196="","",COUNTA(D184:D196)-(COUNTA(D196:D196)-1))</f>
        <v/>
      </c>
    </row>
    <row r="197" spans="1:10" s="77" customFormat="1" thickBot="1">
      <c r="A197" s="117"/>
      <c r="B197" s="75">
        <f t="shared" si="17"/>
        <v>43989</v>
      </c>
      <c r="C197" s="83" t="str">
        <f t="shared" si="14"/>
        <v>dimanche</v>
      </c>
      <c r="D197" s="88"/>
      <c r="E197" s="115" t="str">
        <f t="shared" si="15"/>
        <v/>
      </c>
      <c r="F197" s="115" t="str">
        <f t="shared" si="16"/>
        <v/>
      </c>
      <c r="G197" s="116" t="str">
        <f>IF(ISNONTEXT(D197),"",E197-MAX($F$2:F196))</f>
        <v/>
      </c>
      <c r="H197" s="98"/>
      <c r="I197" s="76" t="str">
        <f ca="1">IF(D197="N",COUNTIF(INDIRECT(ADDRESS(MATCH(Plages!$D$19,'Planning annuel mixing coater'!$B:$B),4)):D197,"N"),IF(D197="N1",COUNTIF($D$9:D197,"N1"),""))</f>
        <v/>
      </c>
      <c r="J197" s="99" t="str">
        <f>IF(D197="","",COUNTA(D184:D197)-(COUNTA(D197:D197)-1))</f>
        <v/>
      </c>
    </row>
    <row r="198" spans="1:10" ht="16.5" thickTop="1" thickBot="1">
      <c r="A198" s="117"/>
      <c r="B198" s="78">
        <f t="shared" si="17"/>
        <v>43990</v>
      </c>
      <c r="C198" s="81" t="str">
        <f t="shared" si="14"/>
        <v>lundi</v>
      </c>
      <c r="D198" s="89"/>
      <c r="E198" s="115" t="str">
        <f t="shared" si="15"/>
        <v/>
      </c>
      <c r="F198" s="115" t="str">
        <f t="shared" si="16"/>
        <v/>
      </c>
      <c r="G198" s="116" t="str">
        <f>IF(ISNONTEXT(D198),"",E198-MAX($F$2:F197))</f>
        <v/>
      </c>
      <c r="H198" s="100"/>
      <c r="I198" s="79" t="str">
        <f ca="1">IF(D198="N",COUNTIF(INDIRECT(ADDRESS(MATCH(Plages!$D$19,'Planning annuel mixing coater'!$B:$B),4)):D198,"N"),IF(D198="N1",COUNTIF($D$9:D198,"N1"),""))</f>
        <v/>
      </c>
      <c r="J198" s="101" t="str">
        <f>IF(D198="","",COUNTA(D198:D198)-(COUNTA(D198:D198)-1))</f>
        <v/>
      </c>
    </row>
    <row r="199" spans="1:10" thickBot="1">
      <c r="A199" s="117"/>
      <c r="B199" s="70">
        <f t="shared" si="17"/>
        <v>43991</v>
      </c>
      <c r="C199" s="82" t="str">
        <f t="shared" si="14"/>
        <v>mardi</v>
      </c>
      <c r="D199" s="87"/>
      <c r="E199" s="115" t="str">
        <f t="shared" si="15"/>
        <v/>
      </c>
      <c r="F199" s="115" t="str">
        <f t="shared" si="16"/>
        <v/>
      </c>
      <c r="G199" s="116" t="str">
        <f>IF(ISNONTEXT(D199),"",E199-MAX($F$2:F198))</f>
        <v/>
      </c>
      <c r="H199" s="97"/>
      <c r="I199" s="74" t="str">
        <f ca="1">IF(D199="N",COUNTIF(INDIRECT(ADDRESS(MATCH(Plages!$D$19,'Planning annuel mixing coater'!$B:$B),4)):D199,"N"),IF(D199="N1",COUNTIF($D$9:D199,"N1"),""))</f>
        <v/>
      </c>
      <c r="J199" s="96" t="str">
        <f>IF(D199="","",COUNTA(D198:D199)-(COUNTA(D199:D199)-1))</f>
        <v/>
      </c>
    </row>
    <row r="200" spans="1:10" thickBot="1">
      <c r="A200" s="117"/>
      <c r="B200" s="70">
        <f t="shared" si="17"/>
        <v>43992</v>
      </c>
      <c r="C200" s="82" t="str">
        <f t="shared" si="14"/>
        <v>mercredi</v>
      </c>
      <c r="D200" s="87"/>
      <c r="E200" s="115" t="str">
        <f t="shared" si="15"/>
        <v/>
      </c>
      <c r="F200" s="115" t="str">
        <f t="shared" si="16"/>
        <v/>
      </c>
      <c r="G200" s="116" t="str">
        <f>IF(ISNONTEXT(D200),"",E200-MAX($F$2:F199))</f>
        <v/>
      </c>
      <c r="H200" s="97"/>
      <c r="I200" s="74" t="str">
        <f ca="1">IF(D200="N",COUNTIF(INDIRECT(ADDRESS(MATCH(Plages!$D$19,'Planning annuel mixing coater'!$B:$B),4)):D200,"N"),IF(D200="N1",COUNTIF($D$9:D200,"N1"),""))</f>
        <v/>
      </c>
      <c r="J200" s="96" t="str">
        <f>IF(D200="","",COUNTA(D198:D200)-(COUNTA(D200:D200)-1))</f>
        <v/>
      </c>
    </row>
    <row r="201" spans="1:10" thickBot="1">
      <c r="A201" s="117"/>
      <c r="B201" s="70">
        <f t="shared" si="17"/>
        <v>43993</v>
      </c>
      <c r="C201" s="82" t="str">
        <f t="shared" si="14"/>
        <v>jeudi</v>
      </c>
      <c r="D201" s="87"/>
      <c r="E201" s="115" t="str">
        <f t="shared" si="15"/>
        <v/>
      </c>
      <c r="F201" s="115" t="str">
        <f t="shared" si="16"/>
        <v/>
      </c>
      <c r="G201" s="116" t="str">
        <f>IF(ISNONTEXT(D201),"",E201-MAX($F$2:F200))</f>
        <v/>
      </c>
      <c r="H201" s="97"/>
      <c r="I201" s="74" t="str">
        <f ca="1">IF(D201="N",COUNTIF(INDIRECT(ADDRESS(MATCH(Plages!$D$19,'Planning annuel mixing coater'!$B:$B),4)):D201,"N"),IF(D201="N1",COUNTIF($D$9:D201,"N1"),""))</f>
        <v/>
      </c>
      <c r="J201" s="96" t="str">
        <f>IF(D201="","",COUNTA(D198:D201)-(COUNTA(D201:D201)-1))</f>
        <v/>
      </c>
    </row>
    <row r="202" spans="1:10" thickBot="1">
      <c r="A202" s="117"/>
      <c r="B202" s="70">
        <f t="shared" si="17"/>
        <v>43994</v>
      </c>
      <c r="C202" s="82" t="str">
        <f t="shared" si="14"/>
        <v>vendredi</v>
      </c>
      <c r="D202" s="87"/>
      <c r="E202" s="115" t="str">
        <f t="shared" si="15"/>
        <v/>
      </c>
      <c r="F202" s="115" t="str">
        <f t="shared" si="16"/>
        <v/>
      </c>
      <c r="G202" s="116" t="str">
        <f>IF(ISNONTEXT(D202),"",E202-MAX($F$2:F201))</f>
        <v/>
      </c>
      <c r="H202" s="97"/>
      <c r="I202" s="74" t="str">
        <f ca="1">IF(D202="N",COUNTIF(INDIRECT(ADDRESS(MATCH(Plages!$D$19,'Planning annuel mixing coater'!$B:$B),4)):D202,"N"),IF(D202="N1",COUNTIF($D$9:D202,"N1"),""))</f>
        <v/>
      </c>
      <c r="J202" s="96" t="str">
        <f>IF(D202="","",COUNTA(D198:D202)-(COUNTA(D202:D202)-1))</f>
        <v/>
      </c>
    </row>
    <row r="203" spans="1:10" thickBot="1">
      <c r="A203" s="117"/>
      <c r="B203" s="70">
        <f t="shared" si="17"/>
        <v>43995</v>
      </c>
      <c r="C203" s="82" t="str">
        <f t="shared" si="14"/>
        <v>samedi</v>
      </c>
      <c r="D203" s="87"/>
      <c r="E203" s="115" t="str">
        <f t="shared" si="15"/>
        <v/>
      </c>
      <c r="F203" s="115" t="str">
        <f t="shared" si="16"/>
        <v/>
      </c>
      <c r="G203" s="116" t="str">
        <f>IF(ISNONTEXT(D203),"",E203-MAX($F$2:F202))</f>
        <v/>
      </c>
      <c r="H203" s="97"/>
      <c r="I203" s="74" t="str">
        <f ca="1">IF(D203="N",COUNTIF(INDIRECT(ADDRESS(MATCH(Plages!$D$19,'Planning annuel mixing coater'!$B:$B),4)):D203,"N"),IF(D203="N1",COUNTIF($D$9:D203,"N1"),""))</f>
        <v/>
      </c>
      <c r="J203" s="96" t="str">
        <f>IF(D203="","",COUNTA(D198:D203)-(COUNTA(D203:D203)-1))</f>
        <v/>
      </c>
    </row>
    <row r="204" spans="1:10" thickBot="1">
      <c r="A204" s="117"/>
      <c r="B204" s="70">
        <f t="shared" si="17"/>
        <v>43996</v>
      </c>
      <c r="C204" s="82" t="str">
        <f t="shared" si="14"/>
        <v>dimanche</v>
      </c>
      <c r="D204" s="87"/>
      <c r="E204" s="115" t="str">
        <f t="shared" si="15"/>
        <v/>
      </c>
      <c r="F204" s="115" t="str">
        <f t="shared" si="16"/>
        <v/>
      </c>
      <c r="G204" s="116" t="str">
        <f>IF(ISNONTEXT(D204),"",E204-MAX($F$2:F203))</f>
        <v/>
      </c>
      <c r="H204" s="98"/>
      <c r="I204" s="74" t="str">
        <f ca="1">IF(D204="N",COUNTIF(INDIRECT(ADDRESS(MATCH(Plages!$D$19,'Planning annuel mixing coater'!$B:$B),4)):D204,"N"),IF(D204="N1",COUNTIF($D$9:D204,"N1"),""))</f>
        <v/>
      </c>
      <c r="J204" s="96" t="str">
        <f>IF(D204="","",COUNTA(D198:D204)-(COUNTA(D204:D204)-1))</f>
        <v/>
      </c>
    </row>
    <row r="205" spans="1:10" thickBot="1">
      <c r="A205" s="117"/>
      <c r="B205" s="70">
        <f t="shared" si="17"/>
        <v>43997</v>
      </c>
      <c r="C205" s="82" t="str">
        <f t="shared" si="14"/>
        <v>lundi</v>
      </c>
      <c r="D205" s="87"/>
      <c r="E205" s="115" t="str">
        <f t="shared" si="15"/>
        <v/>
      </c>
      <c r="F205" s="115" t="str">
        <f t="shared" si="16"/>
        <v/>
      </c>
      <c r="G205" s="116" t="str">
        <f>IF(ISNONTEXT(D205),"",E205-MAX($F$2:F204))</f>
        <v/>
      </c>
      <c r="H205" s="97"/>
      <c r="I205" s="74" t="str">
        <f ca="1">IF(D205="N",COUNTIF(INDIRECT(ADDRESS(MATCH(Plages!$D$19,'Planning annuel mixing coater'!$B:$B),4)):D205,"N"),IF(D205="N1",COUNTIF($D$9:D205,"N1"),""))</f>
        <v/>
      </c>
      <c r="J205" s="96" t="str">
        <f>IF(D205="","",COUNTA(D198:D205)-(COUNTA(D205:D205)-1))</f>
        <v/>
      </c>
    </row>
    <row r="206" spans="1:10" thickBot="1">
      <c r="A206" s="117"/>
      <c r="B206" s="70">
        <f t="shared" si="17"/>
        <v>43998</v>
      </c>
      <c r="C206" s="82" t="str">
        <f t="shared" si="14"/>
        <v>mardi</v>
      </c>
      <c r="D206" s="87"/>
      <c r="E206" s="115" t="str">
        <f t="shared" si="15"/>
        <v/>
      </c>
      <c r="F206" s="115" t="str">
        <f t="shared" si="16"/>
        <v/>
      </c>
      <c r="G206" s="116" t="str">
        <f>IF(ISNONTEXT(D206),"",E206-MAX($F$2:F205))</f>
        <v/>
      </c>
      <c r="H206" s="97"/>
      <c r="I206" s="74" t="str">
        <f ca="1">IF(D206="N",COUNTIF(INDIRECT(ADDRESS(MATCH(Plages!$D$19,'Planning annuel mixing coater'!$B:$B),4)):D206,"N"),IF(D206="N1",COUNTIF($D$9:D206,"N1"),""))</f>
        <v/>
      </c>
      <c r="J206" s="96" t="str">
        <f>IF(D206="","",COUNTA(D198:D206)-(COUNTA(D206:D206)-1))</f>
        <v/>
      </c>
    </row>
    <row r="207" spans="1:10" thickBot="1">
      <c r="A207" s="117"/>
      <c r="B207" s="70">
        <f t="shared" si="17"/>
        <v>43999</v>
      </c>
      <c r="C207" s="82" t="str">
        <f t="shared" si="14"/>
        <v>mercredi</v>
      </c>
      <c r="D207" s="87"/>
      <c r="E207" s="115" t="str">
        <f t="shared" si="15"/>
        <v/>
      </c>
      <c r="F207" s="115" t="str">
        <f t="shared" si="16"/>
        <v/>
      </c>
      <c r="G207" s="116" t="str">
        <f>IF(ISNONTEXT(D207),"",E207-MAX($F$2:F206))</f>
        <v/>
      </c>
      <c r="H207" s="97"/>
      <c r="I207" s="74" t="str">
        <f ca="1">IF(D207="N",COUNTIF(INDIRECT(ADDRESS(MATCH(Plages!$D$19,'Planning annuel mixing coater'!$B:$B),4)):D207,"N"),IF(D207="N1",COUNTIF($D$9:D207,"N1"),""))</f>
        <v/>
      </c>
      <c r="J207" s="96" t="str">
        <f>IF(D207="","",COUNTA(D198:D207)-(COUNTA(D207:D207)-1))</f>
        <v/>
      </c>
    </row>
    <row r="208" spans="1:10" thickBot="1">
      <c r="A208" s="117"/>
      <c r="B208" s="70">
        <f t="shared" si="17"/>
        <v>44000</v>
      </c>
      <c r="C208" s="82" t="str">
        <f t="shared" si="14"/>
        <v>jeudi</v>
      </c>
      <c r="D208" s="87"/>
      <c r="E208" s="115" t="str">
        <f t="shared" si="15"/>
        <v/>
      </c>
      <c r="F208" s="115" t="str">
        <f t="shared" si="16"/>
        <v/>
      </c>
      <c r="G208" s="116" t="str">
        <f>IF(ISNONTEXT(D208),"",E208-MAX($F$2:F207))</f>
        <v/>
      </c>
      <c r="H208" s="97"/>
      <c r="I208" s="74" t="str">
        <f ca="1">IF(D208="N",COUNTIF(INDIRECT(ADDRESS(MATCH(Plages!$D$19,'Planning annuel mixing coater'!$B:$B),4)):D208,"N"),IF(D208="N1",COUNTIF($D$9:D208,"N1"),""))</f>
        <v/>
      </c>
      <c r="J208" s="96" t="str">
        <f>IF(D208="","",COUNTA(D198:D208)-(COUNTA(D208:D208)-1))</f>
        <v/>
      </c>
    </row>
    <row r="209" spans="1:10" thickBot="1">
      <c r="A209" s="117"/>
      <c r="B209" s="70">
        <f t="shared" si="17"/>
        <v>44001</v>
      </c>
      <c r="C209" s="82" t="str">
        <f t="shared" si="14"/>
        <v>vendredi</v>
      </c>
      <c r="D209" s="87"/>
      <c r="E209" s="115" t="str">
        <f t="shared" si="15"/>
        <v/>
      </c>
      <c r="F209" s="115" t="str">
        <f t="shared" si="16"/>
        <v/>
      </c>
      <c r="G209" s="116" t="str">
        <f>IF(ISNONTEXT(D209),"",E209-MAX($F$2:F208))</f>
        <v/>
      </c>
      <c r="H209" s="97"/>
      <c r="I209" s="74" t="str">
        <f ca="1">IF(D209="N",COUNTIF(INDIRECT(ADDRESS(MATCH(Plages!$D$19,'Planning annuel mixing coater'!$B:$B),4)):D209,"N"),IF(D209="N1",COUNTIF($D$9:D209,"N1"),""))</f>
        <v/>
      </c>
      <c r="J209" s="96" t="str">
        <f>IF(D209="","",COUNTA(D198:D209)-(COUNTA(D209:D209)-1))</f>
        <v/>
      </c>
    </row>
    <row r="210" spans="1:10" thickBot="1">
      <c r="A210" s="117"/>
      <c r="B210" s="70">
        <f t="shared" si="17"/>
        <v>44002</v>
      </c>
      <c r="C210" s="82" t="str">
        <f t="shared" si="14"/>
        <v>samedi</v>
      </c>
      <c r="D210" s="87"/>
      <c r="E210" s="115" t="str">
        <f t="shared" si="15"/>
        <v/>
      </c>
      <c r="F210" s="115" t="str">
        <f t="shared" si="16"/>
        <v/>
      </c>
      <c r="G210" s="116" t="str">
        <f>IF(ISNONTEXT(D210),"",E210-MAX($F$2:F209))</f>
        <v/>
      </c>
      <c r="H210" s="97"/>
      <c r="I210" s="74" t="str">
        <f ca="1">IF(D210="N",COUNTIF(INDIRECT(ADDRESS(MATCH(Plages!$D$19,'Planning annuel mixing coater'!$B:$B),4)):D210,"N"),IF(D210="N1",COUNTIF($D$9:D210,"N1"),""))</f>
        <v/>
      </c>
      <c r="J210" s="96" t="str">
        <f>IF(D210="","",COUNTA(D198:D210)-(COUNTA(D210:D210)-1))</f>
        <v/>
      </c>
    </row>
    <row r="211" spans="1:10" s="77" customFormat="1" thickBot="1">
      <c r="A211" s="117"/>
      <c r="B211" s="75">
        <f t="shared" si="17"/>
        <v>44003</v>
      </c>
      <c r="C211" s="83" t="str">
        <f t="shared" si="14"/>
        <v>dimanche</v>
      </c>
      <c r="D211" s="88"/>
      <c r="E211" s="115" t="str">
        <f t="shared" si="15"/>
        <v/>
      </c>
      <c r="F211" s="115" t="str">
        <f t="shared" si="16"/>
        <v/>
      </c>
      <c r="G211" s="116" t="str">
        <f>IF(ISNONTEXT(D211),"",E211-MAX($F$2:F210))</f>
        <v/>
      </c>
      <c r="H211" s="98"/>
      <c r="I211" s="76" t="str">
        <f ca="1">IF(D211="N",COUNTIF(INDIRECT(ADDRESS(MATCH(Plages!$D$19,'Planning annuel mixing coater'!$B:$B),4)):D211,"N"),IF(D211="N1",COUNTIF($D$9:D211,"N1"),""))</f>
        <v/>
      </c>
      <c r="J211" s="99" t="str">
        <f>IF(D211="","",COUNTA(D198:D211)-(COUNTA(D211:D211)-1))</f>
        <v/>
      </c>
    </row>
    <row r="212" spans="1:10" ht="16.5" thickTop="1" thickBot="1">
      <c r="A212" s="117"/>
      <c r="B212" s="78">
        <f t="shared" si="17"/>
        <v>44004</v>
      </c>
      <c r="C212" s="81" t="str">
        <f t="shared" si="14"/>
        <v>lundi</v>
      </c>
      <c r="D212" s="89"/>
      <c r="E212" s="115" t="str">
        <f t="shared" si="15"/>
        <v/>
      </c>
      <c r="F212" s="115" t="str">
        <f t="shared" si="16"/>
        <v/>
      </c>
      <c r="G212" s="116" t="str">
        <f>IF(ISNONTEXT(D212),"",E212-MAX($F$2:F211))</f>
        <v/>
      </c>
      <c r="H212" s="100"/>
      <c r="I212" s="79" t="str">
        <f ca="1">IF(D212="N",COUNTIF(INDIRECT(ADDRESS(MATCH(Plages!$D$19,'Planning annuel mixing coater'!$B:$B),4)):D212,"N"),IF(D212="N1",COUNTIF($D$9:D212,"N1"),""))</f>
        <v/>
      </c>
      <c r="J212" s="101" t="str">
        <f>IF(D212="","",COUNTA(D212:D212)-(COUNTA(D212:D212)-1))</f>
        <v/>
      </c>
    </row>
    <row r="213" spans="1:10" thickBot="1">
      <c r="A213" s="117"/>
      <c r="B213" s="70">
        <f t="shared" si="17"/>
        <v>44005</v>
      </c>
      <c r="C213" s="82" t="str">
        <f t="shared" si="14"/>
        <v>mardi</v>
      </c>
      <c r="D213" s="87"/>
      <c r="E213" s="115" t="str">
        <f t="shared" si="15"/>
        <v/>
      </c>
      <c r="F213" s="115" t="str">
        <f t="shared" si="16"/>
        <v/>
      </c>
      <c r="G213" s="116" t="str">
        <f>IF(ISNONTEXT(D213),"",E213-MAX($F$2:F212))</f>
        <v/>
      </c>
      <c r="H213" s="97"/>
      <c r="I213" s="74" t="str">
        <f ca="1">IF(D213="N",COUNTIF(INDIRECT(ADDRESS(MATCH(Plages!$D$19,'Planning annuel mixing coater'!$B:$B),4)):D213,"N"),IF(D213="N1",COUNTIF($D$9:D213,"N1"),""))</f>
        <v/>
      </c>
      <c r="J213" s="96" t="str">
        <f>IF(D213="","",COUNTA(D212:D213)-(COUNTA(D213:D213)-1))</f>
        <v/>
      </c>
    </row>
    <row r="214" spans="1:10" thickBot="1">
      <c r="A214" s="117"/>
      <c r="B214" s="70">
        <f t="shared" si="17"/>
        <v>44006</v>
      </c>
      <c r="C214" s="82" t="str">
        <f t="shared" si="14"/>
        <v>mercredi</v>
      </c>
      <c r="D214" s="87"/>
      <c r="E214" s="115" t="str">
        <f t="shared" si="15"/>
        <v/>
      </c>
      <c r="F214" s="115" t="str">
        <f t="shared" si="16"/>
        <v/>
      </c>
      <c r="G214" s="116" t="str">
        <f>IF(ISNONTEXT(D214),"",E214-MAX($F$2:F213))</f>
        <v/>
      </c>
      <c r="H214" s="97"/>
      <c r="I214" s="74" t="str">
        <f ca="1">IF(D214="N",COUNTIF(INDIRECT(ADDRESS(MATCH(Plages!$D$19,'Planning annuel mixing coater'!$B:$B),4)):D214,"N"),IF(D214="N1",COUNTIF($D$9:D214,"N1"),""))</f>
        <v/>
      </c>
      <c r="J214" s="96" t="str">
        <f>IF(D214="","",COUNTA(D212:D214)-(COUNTA(D214:D214)-1))</f>
        <v/>
      </c>
    </row>
    <row r="215" spans="1:10" thickBot="1">
      <c r="A215" s="117"/>
      <c r="B215" s="70">
        <f t="shared" si="17"/>
        <v>44007</v>
      </c>
      <c r="C215" s="82" t="str">
        <f t="shared" si="14"/>
        <v>jeudi</v>
      </c>
      <c r="D215" s="87"/>
      <c r="E215" s="115" t="str">
        <f t="shared" si="15"/>
        <v/>
      </c>
      <c r="F215" s="115" t="str">
        <f t="shared" si="16"/>
        <v/>
      </c>
      <c r="G215" s="116" t="str">
        <f>IF(ISNONTEXT(D215),"",E215-MAX($F$2:F214))</f>
        <v/>
      </c>
      <c r="H215" s="97"/>
      <c r="I215" s="74" t="str">
        <f ca="1">IF(D215="N",COUNTIF(INDIRECT(ADDRESS(MATCH(Plages!$D$19,'Planning annuel mixing coater'!$B:$B),4)):D215,"N"),IF(D215="N1",COUNTIF($D$9:D215,"N1"),""))</f>
        <v/>
      </c>
      <c r="J215" s="96" t="str">
        <f>IF(D215="","",COUNTA(D212:D215)-(COUNTA(D215:D215)-1))</f>
        <v/>
      </c>
    </row>
    <row r="216" spans="1:10" thickBot="1">
      <c r="A216" s="117"/>
      <c r="B216" s="70">
        <f t="shared" si="17"/>
        <v>44008</v>
      </c>
      <c r="C216" s="82" t="str">
        <f t="shared" si="14"/>
        <v>vendredi</v>
      </c>
      <c r="D216" s="87"/>
      <c r="E216" s="115" t="str">
        <f t="shared" si="15"/>
        <v/>
      </c>
      <c r="F216" s="115" t="str">
        <f t="shared" si="16"/>
        <v/>
      </c>
      <c r="G216" s="116" t="str">
        <f>IF(ISNONTEXT(D216),"",E216-MAX($F$2:F215))</f>
        <v/>
      </c>
      <c r="H216" s="97"/>
      <c r="I216" s="74" t="str">
        <f ca="1">IF(D216="N",COUNTIF(INDIRECT(ADDRESS(MATCH(Plages!$D$19,'Planning annuel mixing coater'!$B:$B),4)):D216,"N"),IF(D216="N1",COUNTIF($D$9:D216,"N1"),""))</f>
        <v/>
      </c>
      <c r="J216" s="96" t="str">
        <f>IF(D216="","",COUNTA(D212:D216)-(COUNTA(D216:D216)-1))</f>
        <v/>
      </c>
    </row>
    <row r="217" spans="1:10" thickBot="1">
      <c r="A217" s="117"/>
      <c r="B217" s="70">
        <f t="shared" si="17"/>
        <v>44009</v>
      </c>
      <c r="C217" s="82" t="str">
        <f t="shared" si="14"/>
        <v>samedi</v>
      </c>
      <c r="D217" s="87"/>
      <c r="E217" s="115" t="str">
        <f t="shared" si="15"/>
        <v/>
      </c>
      <c r="F217" s="115" t="str">
        <f t="shared" si="16"/>
        <v/>
      </c>
      <c r="G217" s="116" t="str">
        <f>IF(ISNONTEXT(D217),"",E217-MAX($F$2:F216))</f>
        <v/>
      </c>
      <c r="H217" s="97"/>
      <c r="I217" s="74" t="str">
        <f ca="1">IF(D217="N",COUNTIF(INDIRECT(ADDRESS(MATCH(Plages!$D$19,'Planning annuel mixing coater'!$B:$B),4)):D217,"N"),IF(D217="N1",COUNTIF($D$9:D217,"N1"),""))</f>
        <v/>
      </c>
      <c r="J217" s="96" t="str">
        <f>IF(D217="","",COUNTA(D212:D217)-(COUNTA(D217:D217)-1))</f>
        <v/>
      </c>
    </row>
    <row r="218" spans="1:10" thickBot="1">
      <c r="A218" s="117"/>
      <c r="B218" s="70">
        <f t="shared" si="17"/>
        <v>44010</v>
      </c>
      <c r="C218" s="82" t="str">
        <f t="shared" si="14"/>
        <v>dimanche</v>
      </c>
      <c r="D218" s="87"/>
      <c r="E218" s="115" t="str">
        <f t="shared" si="15"/>
        <v/>
      </c>
      <c r="F218" s="115" t="str">
        <f t="shared" si="16"/>
        <v/>
      </c>
      <c r="G218" s="116" t="str">
        <f>IF(ISNONTEXT(D218),"",E218-MAX($F$2:F217))</f>
        <v/>
      </c>
      <c r="H218" s="98"/>
      <c r="I218" s="74" t="str">
        <f ca="1">IF(D218="N",COUNTIF(INDIRECT(ADDRESS(MATCH(Plages!$D$19,'Planning annuel mixing coater'!$B:$B),4)):D218,"N"),IF(D218="N1",COUNTIF($D$9:D218,"N1"),""))</f>
        <v/>
      </c>
      <c r="J218" s="96" t="str">
        <f>IF(D218="","",COUNTA(D212:D218)-(COUNTA(D218:D218)-1))</f>
        <v/>
      </c>
    </row>
    <row r="219" spans="1:10" thickBot="1">
      <c r="A219" s="117"/>
      <c r="B219" s="70">
        <f t="shared" si="17"/>
        <v>44011</v>
      </c>
      <c r="C219" s="82" t="str">
        <f t="shared" si="14"/>
        <v>lundi</v>
      </c>
      <c r="D219" s="87"/>
      <c r="E219" s="115" t="str">
        <f t="shared" si="15"/>
        <v/>
      </c>
      <c r="F219" s="115" t="str">
        <f t="shared" si="16"/>
        <v/>
      </c>
      <c r="G219" s="116" t="str">
        <f>IF(ISNONTEXT(D219),"",E219-MAX($F$2:F218))</f>
        <v/>
      </c>
      <c r="H219" s="97"/>
      <c r="I219" s="74" t="str">
        <f ca="1">IF(D219="N",COUNTIF(INDIRECT(ADDRESS(MATCH(Plages!$D$19,'Planning annuel mixing coater'!$B:$B),4)):D219,"N"),IF(D219="N1",COUNTIF($D$9:D219,"N1"),""))</f>
        <v/>
      </c>
      <c r="J219" s="96" t="str">
        <f>IF(D219="","",COUNTA(D212:D219)-(COUNTA(D219:D219)-1))</f>
        <v/>
      </c>
    </row>
    <row r="220" spans="1:10" thickBot="1">
      <c r="A220" s="117"/>
      <c r="B220" s="70">
        <f t="shared" si="17"/>
        <v>44012</v>
      </c>
      <c r="C220" s="82" t="str">
        <f t="shared" si="14"/>
        <v>mardi</v>
      </c>
      <c r="D220" s="87"/>
      <c r="E220" s="115" t="str">
        <f t="shared" si="15"/>
        <v/>
      </c>
      <c r="F220" s="115" t="str">
        <f t="shared" si="16"/>
        <v/>
      </c>
      <c r="G220" s="116" t="str">
        <f>IF(ISNONTEXT(D220),"",E220-MAX($F$2:F219))</f>
        <v/>
      </c>
      <c r="H220" s="97"/>
      <c r="I220" s="74" t="str">
        <f ca="1">IF(D220="N",COUNTIF(INDIRECT(ADDRESS(MATCH(Plages!$D$19,'Planning annuel mixing coater'!$B:$B),4)):D220,"N"),IF(D220="N1",COUNTIF($D$9:D220,"N1"),""))</f>
        <v/>
      </c>
      <c r="J220" s="96" t="str">
        <f>IF(D220="","",COUNTA(D212:D220)-(COUNTA(D220:D220)-1))</f>
        <v/>
      </c>
    </row>
    <row r="221" spans="1:10" thickBot="1">
      <c r="A221" s="117"/>
      <c r="B221" s="70">
        <f t="shared" si="17"/>
        <v>44013</v>
      </c>
      <c r="C221" s="82" t="str">
        <f t="shared" si="14"/>
        <v>mercredi</v>
      </c>
      <c r="D221" s="87"/>
      <c r="E221" s="115" t="str">
        <f t="shared" si="15"/>
        <v/>
      </c>
      <c r="F221" s="115" t="str">
        <f t="shared" si="16"/>
        <v/>
      </c>
      <c r="G221" s="116" t="str">
        <f>IF(ISNONTEXT(D221),"",E221-MAX($F$2:F220))</f>
        <v/>
      </c>
      <c r="H221" s="97"/>
      <c r="I221" s="74" t="str">
        <f ca="1">IF(D221="N",COUNTIF(INDIRECT(ADDRESS(MATCH(Plages!$D$19,'Planning annuel mixing coater'!$B:$B),4)):D221,"N"),IF(D221="N1",COUNTIF($D$9:D221,"N1"),""))</f>
        <v/>
      </c>
      <c r="J221" s="96" t="str">
        <f>IF(D221="","",COUNTA(D212:D221)-(COUNTA(D221:D221)-1))</f>
        <v/>
      </c>
    </row>
    <row r="222" spans="1:10" thickBot="1">
      <c r="A222" s="117"/>
      <c r="B222" s="70">
        <f t="shared" si="17"/>
        <v>44014</v>
      </c>
      <c r="C222" s="82" t="str">
        <f t="shared" ref="C222:C285" si="18">IF(B222="","",TEXT(B222,"jjjj"))</f>
        <v>jeudi</v>
      </c>
      <c r="D222" s="87"/>
      <c r="E222" s="115" t="str">
        <f t="shared" ref="E222:E285" si="19">IF(D222="","",B222+VLOOKUP(D222,Plageh,2,0))</f>
        <v/>
      </c>
      <c r="F222" s="115" t="str">
        <f t="shared" ref="F222:F285" si="20">IF(D222="","",B222+VLOOKUP(D222,Plageh,3,0))</f>
        <v/>
      </c>
      <c r="G222" s="116" t="str">
        <f>IF(ISNONTEXT(D222),"",E222-MAX($F$2:F221))</f>
        <v/>
      </c>
      <c r="H222" s="97"/>
      <c r="I222" s="74" t="str">
        <f ca="1">IF(D222="N",COUNTIF(INDIRECT(ADDRESS(MATCH(Plages!$D$19,'Planning annuel mixing coater'!$B:$B),4)):D222,"N"),IF(D222="N1",COUNTIF($D$9:D222,"N1"),""))</f>
        <v/>
      </c>
      <c r="J222" s="96" t="str">
        <f>IF(D222="","",COUNTA(D212:D222)-(COUNTA(D222:D222)-1))</f>
        <v/>
      </c>
    </row>
    <row r="223" spans="1:10" thickBot="1">
      <c r="A223" s="117"/>
      <c r="B223" s="70">
        <f t="shared" si="17"/>
        <v>44015</v>
      </c>
      <c r="C223" s="82" t="str">
        <f t="shared" si="18"/>
        <v>vendredi</v>
      </c>
      <c r="D223" s="87"/>
      <c r="E223" s="115" t="str">
        <f t="shared" si="19"/>
        <v/>
      </c>
      <c r="F223" s="115" t="str">
        <f t="shared" si="20"/>
        <v/>
      </c>
      <c r="G223" s="116" t="str">
        <f>IF(ISNONTEXT(D223),"",E223-MAX($F$2:F222))</f>
        <v/>
      </c>
      <c r="H223" s="97"/>
      <c r="I223" s="74" t="str">
        <f ca="1">IF(D223="N",COUNTIF(INDIRECT(ADDRESS(MATCH(Plages!$D$19,'Planning annuel mixing coater'!$B:$B),4)):D223,"N"),IF(D223="N1",COUNTIF($D$9:D223,"N1"),""))</f>
        <v/>
      </c>
      <c r="J223" s="96" t="str">
        <f>IF(D223="","",COUNTA(D212:D223)-(COUNTA(D223:D223)-1))</f>
        <v/>
      </c>
    </row>
    <row r="224" spans="1:10" thickBot="1">
      <c r="A224" s="117"/>
      <c r="B224" s="70">
        <f t="shared" si="17"/>
        <v>44016</v>
      </c>
      <c r="C224" s="82" t="str">
        <f t="shared" si="18"/>
        <v>samedi</v>
      </c>
      <c r="D224" s="87"/>
      <c r="E224" s="115" t="str">
        <f t="shared" si="19"/>
        <v/>
      </c>
      <c r="F224" s="115" t="str">
        <f t="shared" si="20"/>
        <v/>
      </c>
      <c r="G224" s="116" t="str">
        <f>IF(ISNONTEXT(D224),"",E224-MAX($F$2:F223))</f>
        <v/>
      </c>
      <c r="H224" s="97"/>
      <c r="I224" s="74" t="str">
        <f ca="1">IF(D224="N",COUNTIF(INDIRECT(ADDRESS(MATCH(Plages!$D$19,'Planning annuel mixing coater'!$B:$B),4)):D224,"N"),IF(D224="N1",COUNTIF($D$9:D224,"N1"),""))</f>
        <v/>
      </c>
      <c r="J224" s="96" t="str">
        <f>IF(D224="","",COUNTA(D212:D224)-(COUNTA(D224:D224)-1))</f>
        <v/>
      </c>
    </row>
    <row r="225" spans="1:10" s="77" customFormat="1" thickBot="1">
      <c r="A225" s="117"/>
      <c r="B225" s="75">
        <f t="shared" si="17"/>
        <v>44017</v>
      </c>
      <c r="C225" s="83" t="str">
        <f t="shared" si="18"/>
        <v>dimanche</v>
      </c>
      <c r="D225" s="88"/>
      <c r="E225" s="115" t="str">
        <f t="shared" si="19"/>
        <v/>
      </c>
      <c r="F225" s="115" t="str">
        <f t="shared" si="20"/>
        <v/>
      </c>
      <c r="G225" s="116" t="str">
        <f>IF(ISNONTEXT(D225),"",E225-MAX($F$2:F224))</f>
        <v/>
      </c>
      <c r="H225" s="98"/>
      <c r="I225" s="76" t="str">
        <f ca="1">IF(D225="N",COUNTIF(INDIRECT(ADDRESS(MATCH(Plages!$D$19,'Planning annuel mixing coater'!$B:$B),4)):D225,"N"),IF(D225="N1",COUNTIF($D$9:D225,"N1"),""))</f>
        <v/>
      </c>
      <c r="J225" s="99" t="str">
        <f>IF(D225="","",COUNTA(D212:D225)-(COUNTA(D225:D225)-1))</f>
        <v/>
      </c>
    </row>
    <row r="226" spans="1:10" ht="16.5" thickTop="1" thickBot="1">
      <c r="A226" s="117"/>
      <c r="B226" s="78">
        <f t="shared" si="17"/>
        <v>44018</v>
      </c>
      <c r="C226" s="81" t="str">
        <f t="shared" si="18"/>
        <v>lundi</v>
      </c>
      <c r="D226" s="89"/>
      <c r="E226" s="115" t="str">
        <f t="shared" si="19"/>
        <v/>
      </c>
      <c r="F226" s="115" t="str">
        <f t="shared" si="20"/>
        <v/>
      </c>
      <c r="G226" s="116" t="str">
        <f>IF(ISNONTEXT(D226),"",E226-MAX($F$2:F225))</f>
        <v/>
      </c>
      <c r="H226" s="100"/>
      <c r="I226" s="79" t="str">
        <f ca="1">IF(D226="N",COUNTIF(INDIRECT(ADDRESS(MATCH(Plages!$D$19,'Planning annuel mixing coater'!$B:$B),4)):D226,"N"),IF(D226="N1",COUNTIF($D$9:D226,"N1"),""))</f>
        <v/>
      </c>
      <c r="J226" s="101" t="str">
        <f>IF(D226="","",COUNTA(D226:D226)-(COUNTA(D226:D226)-1))</f>
        <v/>
      </c>
    </row>
    <row r="227" spans="1:10" thickBot="1">
      <c r="A227" s="117"/>
      <c r="B227" s="70">
        <f t="shared" si="17"/>
        <v>44019</v>
      </c>
      <c r="C227" s="82" t="str">
        <f t="shared" si="18"/>
        <v>mardi</v>
      </c>
      <c r="D227" s="87"/>
      <c r="E227" s="115" t="str">
        <f t="shared" si="19"/>
        <v/>
      </c>
      <c r="F227" s="115" t="str">
        <f t="shared" si="20"/>
        <v/>
      </c>
      <c r="G227" s="116" t="str">
        <f>IF(ISNONTEXT(D227),"",E227-MAX($F$2:F226))</f>
        <v/>
      </c>
      <c r="H227" s="97"/>
      <c r="I227" s="74" t="str">
        <f ca="1">IF(D227="N",COUNTIF(INDIRECT(ADDRESS(MATCH(Plages!$D$19,'Planning annuel mixing coater'!$B:$B),4)):D227,"N"),IF(D227="N1",COUNTIF($D$9:D227,"N1"),""))</f>
        <v/>
      </c>
      <c r="J227" s="96" t="str">
        <f>IF(D227="","",COUNTA(D226:D227)-(COUNTA(D227:D227)-1))</f>
        <v/>
      </c>
    </row>
    <row r="228" spans="1:10" thickBot="1">
      <c r="A228" s="117"/>
      <c r="B228" s="70">
        <f t="shared" si="17"/>
        <v>44020</v>
      </c>
      <c r="C228" s="82" t="str">
        <f t="shared" si="18"/>
        <v>mercredi</v>
      </c>
      <c r="D228" s="87"/>
      <c r="E228" s="115" t="str">
        <f t="shared" si="19"/>
        <v/>
      </c>
      <c r="F228" s="115" t="str">
        <f t="shared" si="20"/>
        <v/>
      </c>
      <c r="G228" s="116" t="str">
        <f>IF(ISNONTEXT(D228),"",E228-MAX($F$2:F227))</f>
        <v/>
      </c>
      <c r="H228" s="97"/>
      <c r="I228" s="74" t="str">
        <f ca="1">IF(D228="N",COUNTIF(INDIRECT(ADDRESS(MATCH(Plages!$D$19,'Planning annuel mixing coater'!$B:$B),4)):D228,"N"),IF(D228="N1",COUNTIF($D$9:D228,"N1"),""))</f>
        <v/>
      </c>
      <c r="J228" s="96" t="str">
        <f>IF(D228="","",COUNTA(D226:D228)-(COUNTA(D228:D228)-1))</f>
        <v/>
      </c>
    </row>
    <row r="229" spans="1:10" thickBot="1">
      <c r="A229" s="117"/>
      <c r="B229" s="70">
        <f t="shared" si="17"/>
        <v>44021</v>
      </c>
      <c r="C229" s="82" t="str">
        <f t="shared" si="18"/>
        <v>jeudi</v>
      </c>
      <c r="D229" s="87"/>
      <c r="E229" s="115" t="str">
        <f t="shared" si="19"/>
        <v/>
      </c>
      <c r="F229" s="115" t="str">
        <f t="shared" si="20"/>
        <v/>
      </c>
      <c r="G229" s="116" t="str">
        <f>IF(ISNONTEXT(D229),"",E229-MAX($F$2:F228))</f>
        <v/>
      </c>
      <c r="H229" s="97"/>
      <c r="I229" s="74" t="str">
        <f ca="1">IF(D229="N",COUNTIF(INDIRECT(ADDRESS(MATCH(Plages!$D$19,'Planning annuel mixing coater'!$B:$B),4)):D229,"N"),IF(D229="N1",COUNTIF($D$9:D229,"N1"),""))</f>
        <v/>
      </c>
      <c r="J229" s="96" t="str">
        <f>IF(D229="","",COUNTA(D226:D229)-(COUNTA(D229:D229)-1))</f>
        <v/>
      </c>
    </row>
    <row r="230" spans="1:10" thickBot="1">
      <c r="A230" s="117"/>
      <c r="B230" s="70">
        <f t="shared" si="17"/>
        <v>44022</v>
      </c>
      <c r="C230" s="82" t="str">
        <f t="shared" si="18"/>
        <v>vendredi</v>
      </c>
      <c r="D230" s="87"/>
      <c r="E230" s="115" t="str">
        <f t="shared" si="19"/>
        <v/>
      </c>
      <c r="F230" s="115" t="str">
        <f t="shared" si="20"/>
        <v/>
      </c>
      <c r="G230" s="116" t="str">
        <f>IF(ISNONTEXT(D230),"",E230-MAX($F$2:F229))</f>
        <v/>
      </c>
      <c r="H230" s="97"/>
      <c r="I230" s="74" t="str">
        <f ca="1">IF(D230="N",COUNTIF(INDIRECT(ADDRESS(MATCH(Plages!$D$19,'Planning annuel mixing coater'!$B:$B),4)):D230,"N"),IF(D230="N1",COUNTIF($D$9:D230,"N1"),""))</f>
        <v/>
      </c>
      <c r="J230" s="96" t="str">
        <f>IF(D230="","",COUNTA(D226:D230)-(COUNTA(D230:D230)-1))</f>
        <v/>
      </c>
    </row>
    <row r="231" spans="1:10" thickBot="1">
      <c r="A231" s="117"/>
      <c r="B231" s="70">
        <f t="shared" si="17"/>
        <v>44023</v>
      </c>
      <c r="C231" s="82" t="str">
        <f t="shared" si="18"/>
        <v>samedi</v>
      </c>
      <c r="D231" s="87"/>
      <c r="E231" s="115" t="str">
        <f t="shared" si="19"/>
        <v/>
      </c>
      <c r="F231" s="115" t="str">
        <f t="shared" si="20"/>
        <v/>
      </c>
      <c r="G231" s="116" t="str">
        <f>IF(ISNONTEXT(D231),"",E231-MAX($F$2:F230))</f>
        <v/>
      </c>
      <c r="H231" s="97"/>
      <c r="I231" s="74" t="str">
        <f ca="1">IF(D231="N",COUNTIF(INDIRECT(ADDRESS(MATCH(Plages!$D$19,'Planning annuel mixing coater'!$B:$B),4)):D231,"N"),IF(D231="N1",COUNTIF($D$9:D231,"N1"),""))</f>
        <v/>
      </c>
      <c r="J231" s="96" t="str">
        <f>IF(D231="","",COUNTA(D226:D231)-(COUNTA(D231:D231)-1))</f>
        <v/>
      </c>
    </row>
    <row r="232" spans="1:10" thickBot="1">
      <c r="A232" s="117"/>
      <c r="B232" s="70">
        <f t="shared" si="17"/>
        <v>44024</v>
      </c>
      <c r="C232" s="82" t="str">
        <f t="shared" si="18"/>
        <v>dimanche</v>
      </c>
      <c r="D232" s="87"/>
      <c r="E232" s="115" t="str">
        <f t="shared" si="19"/>
        <v/>
      </c>
      <c r="F232" s="115" t="str">
        <f t="shared" si="20"/>
        <v/>
      </c>
      <c r="G232" s="116" t="str">
        <f>IF(ISNONTEXT(D232),"",E232-MAX($F$2:F231))</f>
        <v/>
      </c>
      <c r="H232" s="98"/>
      <c r="I232" s="74" t="str">
        <f ca="1">IF(D232="N",COUNTIF(INDIRECT(ADDRESS(MATCH(Plages!$D$19,'Planning annuel mixing coater'!$B:$B),4)):D232,"N"),IF(D232="N1",COUNTIF($D$9:D232,"N1"),""))</f>
        <v/>
      </c>
      <c r="J232" s="96" t="str">
        <f>IF(D232="","",COUNTA(D226:D232)-(COUNTA(D232:D232)-1))</f>
        <v/>
      </c>
    </row>
    <row r="233" spans="1:10" thickBot="1">
      <c r="A233" s="117"/>
      <c r="B233" s="70">
        <f t="shared" si="17"/>
        <v>44025</v>
      </c>
      <c r="C233" s="82" t="str">
        <f t="shared" si="18"/>
        <v>lundi</v>
      </c>
      <c r="D233" s="87"/>
      <c r="E233" s="115" t="str">
        <f t="shared" si="19"/>
        <v/>
      </c>
      <c r="F233" s="115" t="str">
        <f t="shared" si="20"/>
        <v/>
      </c>
      <c r="G233" s="116" t="str">
        <f>IF(ISNONTEXT(D233),"",E233-MAX($F$2:F232))</f>
        <v/>
      </c>
      <c r="H233" s="97"/>
      <c r="I233" s="74" t="str">
        <f ca="1">IF(D233="N",COUNTIF(INDIRECT(ADDRESS(MATCH(Plages!$D$19,'Planning annuel mixing coater'!$B:$B),4)):D233,"N"),IF(D233="N1",COUNTIF($D$9:D233,"N1"),""))</f>
        <v/>
      </c>
      <c r="J233" s="96" t="str">
        <f>IF(D233="","",COUNTA(D226:D233)-(COUNTA(D233:D233)-1))</f>
        <v/>
      </c>
    </row>
    <row r="234" spans="1:10" thickBot="1">
      <c r="A234" s="117"/>
      <c r="B234" s="70">
        <f t="shared" si="17"/>
        <v>44026</v>
      </c>
      <c r="C234" s="82" t="str">
        <f t="shared" si="18"/>
        <v>mardi</v>
      </c>
      <c r="D234" s="87"/>
      <c r="E234" s="115" t="str">
        <f t="shared" si="19"/>
        <v/>
      </c>
      <c r="F234" s="115" t="str">
        <f t="shared" si="20"/>
        <v/>
      </c>
      <c r="G234" s="116" t="str">
        <f>IF(ISNONTEXT(D234),"",E234-MAX($F$2:F233))</f>
        <v/>
      </c>
      <c r="H234" s="97"/>
      <c r="I234" s="74" t="str">
        <f ca="1">IF(D234="N",COUNTIF(INDIRECT(ADDRESS(MATCH(Plages!$D$19,'Planning annuel mixing coater'!$B:$B),4)):D234,"N"),IF(D234="N1",COUNTIF($D$9:D234,"N1"),""))</f>
        <v/>
      </c>
      <c r="J234" s="96" t="str">
        <f>IF(D234="","",COUNTA(D226:D234)-(COUNTA(D234:D234)-1))</f>
        <v/>
      </c>
    </row>
    <row r="235" spans="1:10" thickBot="1">
      <c r="A235" s="117"/>
      <c r="B235" s="70">
        <f t="shared" si="17"/>
        <v>44027</v>
      </c>
      <c r="C235" s="82" t="str">
        <f t="shared" si="18"/>
        <v>mercredi</v>
      </c>
      <c r="D235" s="87"/>
      <c r="E235" s="115" t="str">
        <f t="shared" si="19"/>
        <v/>
      </c>
      <c r="F235" s="115" t="str">
        <f t="shared" si="20"/>
        <v/>
      </c>
      <c r="G235" s="116" t="str">
        <f>IF(ISNONTEXT(D235),"",E235-MAX($F$2:F234))</f>
        <v/>
      </c>
      <c r="H235" s="97"/>
      <c r="I235" s="74" t="str">
        <f ca="1">IF(D235="N",COUNTIF(INDIRECT(ADDRESS(MATCH(Plages!$D$19,'Planning annuel mixing coater'!$B:$B),4)):D235,"N"),IF(D235="N1",COUNTIF($D$9:D235,"N1"),""))</f>
        <v/>
      </c>
      <c r="J235" s="96" t="str">
        <f>IF(D235="","",COUNTA(D226:D235)-(COUNTA(D235:D235)-1))</f>
        <v/>
      </c>
    </row>
    <row r="236" spans="1:10" thickBot="1">
      <c r="A236" s="117"/>
      <c r="B236" s="70">
        <f t="shared" si="17"/>
        <v>44028</v>
      </c>
      <c r="C236" s="82" t="str">
        <f t="shared" si="18"/>
        <v>jeudi</v>
      </c>
      <c r="D236" s="87"/>
      <c r="E236" s="115" t="str">
        <f t="shared" si="19"/>
        <v/>
      </c>
      <c r="F236" s="115" t="str">
        <f t="shared" si="20"/>
        <v/>
      </c>
      <c r="G236" s="116" t="str">
        <f>IF(ISNONTEXT(D236),"",E236-MAX($F$2:F235))</f>
        <v/>
      </c>
      <c r="H236" s="97"/>
      <c r="I236" s="74" t="str">
        <f ca="1">IF(D236="N",COUNTIF(INDIRECT(ADDRESS(MATCH(Plages!$D$19,'Planning annuel mixing coater'!$B:$B),4)):D236,"N"),IF(D236="N1",COUNTIF($D$9:D236,"N1"),""))</f>
        <v/>
      </c>
      <c r="J236" s="96" t="str">
        <f>IF(D236="","",COUNTA(D226:D236)-(COUNTA(D236:D236)-1))</f>
        <v/>
      </c>
    </row>
    <row r="237" spans="1:10" thickBot="1">
      <c r="A237" s="117"/>
      <c r="B237" s="70">
        <f t="shared" si="17"/>
        <v>44029</v>
      </c>
      <c r="C237" s="82" t="str">
        <f t="shared" si="18"/>
        <v>vendredi</v>
      </c>
      <c r="D237" s="87"/>
      <c r="E237" s="115" t="str">
        <f t="shared" si="19"/>
        <v/>
      </c>
      <c r="F237" s="115" t="str">
        <f t="shared" si="20"/>
        <v/>
      </c>
      <c r="G237" s="116" t="str">
        <f>IF(ISNONTEXT(D237),"",E237-MAX($F$2:F236))</f>
        <v/>
      </c>
      <c r="H237" s="97"/>
      <c r="I237" s="74" t="str">
        <f ca="1">IF(D237="N",COUNTIF(INDIRECT(ADDRESS(MATCH(Plages!$D$19,'Planning annuel mixing coater'!$B:$B),4)):D237,"N"),IF(D237="N1",COUNTIF($D$9:D237,"N1"),""))</f>
        <v/>
      </c>
      <c r="J237" s="96" t="str">
        <f>IF(D237="","",COUNTA(D226:D237)-(COUNTA(D237:D237)-1))</f>
        <v/>
      </c>
    </row>
    <row r="238" spans="1:10" thickBot="1">
      <c r="A238" s="117"/>
      <c r="B238" s="70">
        <f t="shared" si="17"/>
        <v>44030</v>
      </c>
      <c r="C238" s="82" t="str">
        <f t="shared" si="18"/>
        <v>samedi</v>
      </c>
      <c r="D238" s="87"/>
      <c r="E238" s="115" t="str">
        <f t="shared" si="19"/>
        <v/>
      </c>
      <c r="F238" s="115" t="str">
        <f t="shared" si="20"/>
        <v/>
      </c>
      <c r="G238" s="116" t="str">
        <f>IF(ISNONTEXT(D238),"",E238-MAX($F$2:F237))</f>
        <v/>
      </c>
      <c r="H238" s="97"/>
      <c r="I238" s="74" t="str">
        <f ca="1">IF(D238="N",COUNTIF(INDIRECT(ADDRESS(MATCH(Plages!$D$19,'Planning annuel mixing coater'!$B:$B),4)):D238,"N"),IF(D238="N1",COUNTIF($D$9:D238,"N1"),""))</f>
        <v/>
      </c>
      <c r="J238" s="96" t="str">
        <f>IF(D238="","",COUNTA(D226:D238)-(COUNTA(D238:D238)-1))</f>
        <v/>
      </c>
    </row>
    <row r="239" spans="1:10" s="77" customFormat="1" thickBot="1">
      <c r="A239" s="117"/>
      <c r="B239" s="75">
        <f t="shared" si="17"/>
        <v>44031</v>
      </c>
      <c r="C239" s="83" t="str">
        <f t="shared" si="18"/>
        <v>dimanche</v>
      </c>
      <c r="D239" s="88"/>
      <c r="E239" s="115" t="str">
        <f t="shared" si="19"/>
        <v/>
      </c>
      <c r="F239" s="115" t="str">
        <f t="shared" si="20"/>
        <v/>
      </c>
      <c r="G239" s="116" t="str">
        <f>IF(ISNONTEXT(D239),"",E239-MAX($F$2:F238))</f>
        <v/>
      </c>
      <c r="H239" s="98"/>
      <c r="I239" s="76" t="str">
        <f ca="1">IF(D239="N",COUNTIF(INDIRECT(ADDRESS(MATCH(Plages!$D$19,'Planning annuel mixing coater'!$B:$B),4)):D239,"N"),IF(D239="N1",COUNTIF($D$9:D239,"N1"),""))</f>
        <v/>
      </c>
      <c r="J239" s="99" t="str">
        <f>IF(D239="","",COUNTA(D226:D239)-(COUNTA(D239:D239)-1))</f>
        <v/>
      </c>
    </row>
    <row r="240" spans="1:10" ht="16.5" thickTop="1" thickBot="1">
      <c r="A240" s="117"/>
      <c r="B240" s="78">
        <f t="shared" si="17"/>
        <v>44032</v>
      </c>
      <c r="C240" s="81" t="str">
        <f t="shared" si="18"/>
        <v>lundi</v>
      </c>
      <c r="D240" s="89"/>
      <c r="E240" s="115" t="str">
        <f t="shared" si="19"/>
        <v/>
      </c>
      <c r="F240" s="115" t="str">
        <f t="shared" si="20"/>
        <v/>
      </c>
      <c r="G240" s="116" t="str">
        <f>IF(ISNONTEXT(D240),"",E240-MAX($F$2:F239))</f>
        <v/>
      </c>
      <c r="H240" s="100"/>
      <c r="I240" s="79" t="str">
        <f ca="1">IF(D240="N",COUNTIF(INDIRECT(ADDRESS(MATCH(Plages!$D$19,'Planning annuel mixing coater'!$B:$B),4)):D240,"N"),IF(D240="N1",COUNTIF($D$9:D240,"N1"),""))</f>
        <v/>
      </c>
      <c r="J240" s="101" t="str">
        <f>IF(D240="","",COUNTA(D240:D240)-(COUNTA(D240:D240)-1))</f>
        <v/>
      </c>
    </row>
    <row r="241" spans="1:10" thickBot="1">
      <c r="A241" s="117"/>
      <c r="B241" s="70">
        <f t="shared" si="17"/>
        <v>44033</v>
      </c>
      <c r="C241" s="82" t="str">
        <f t="shared" si="18"/>
        <v>mardi</v>
      </c>
      <c r="D241" s="87"/>
      <c r="E241" s="115" t="str">
        <f t="shared" si="19"/>
        <v/>
      </c>
      <c r="F241" s="115" t="str">
        <f t="shared" si="20"/>
        <v/>
      </c>
      <c r="G241" s="116" t="str">
        <f>IF(ISNONTEXT(D241),"",E241-MAX($F$2:F240))</f>
        <v/>
      </c>
      <c r="H241" s="97"/>
      <c r="I241" s="74" t="str">
        <f ca="1">IF(D241="N",COUNTIF(INDIRECT(ADDRESS(MATCH(Plages!$D$19,'Planning annuel mixing coater'!$B:$B),4)):D241,"N"),IF(D241="N1",COUNTIF($D$9:D241,"N1"),""))</f>
        <v/>
      </c>
      <c r="J241" s="96" t="str">
        <f>IF(D241="","",COUNTA(D240:D241)-(COUNTA(D241:D241)-1))</f>
        <v/>
      </c>
    </row>
    <row r="242" spans="1:10" thickBot="1">
      <c r="A242" s="117"/>
      <c r="B242" s="70">
        <f t="shared" si="17"/>
        <v>44034</v>
      </c>
      <c r="C242" s="82" t="str">
        <f t="shared" si="18"/>
        <v>mercredi</v>
      </c>
      <c r="D242" s="87"/>
      <c r="E242" s="115" t="str">
        <f t="shared" si="19"/>
        <v/>
      </c>
      <c r="F242" s="115" t="str">
        <f t="shared" si="20"/>
        <v/>
      </c>
      <c r="G242" s="116" t="str">
        <f>IF(ISNONTEXT(D242),"",E242-MAX($F$2:F241))</f>
        <v/>
      </c>
      <c r="H242" s="97"/>
      <c r="I242" s="74" t="str">
        <f ca="1">IF(D242="N",COUNTIF(INDIRECT(ADDRESS(MATCH(Plages!$D$19,'Planning annuel mixing coater'!$B:$B),4)):D242,"N"),IF(D242="N1",COUNTIF($D$9:D242,"N1"),""))</f>
        <v/>
      </c>
      <c r="J242" s="96" t="str">
        <f>IF(D242="","",COUNTA(D240:D242)-(COUNTA(D242:D242)-1))</f>
        <v/>
      </c>
    </row>
    <row r="243" spans="1:10" thickBot="1">
      <c r="A243" s="117"/>
      <c r="B243" s="70">
        <f t="shared" si="17"/>
        <v>44035</v>
      </c>
      <c r="C243" s="82" t="str">
        <f t="shared" si="18"/>
        <v>jeudi</v>
      </c>
      <c r="D243" s="87"/>
      <c r="E243" s="115" t="str">
        <f t="shared" si="19"/>
        <v/>
      </c>
      <c r="F243" s="115" t="str">
        <f t="shared" si="20"/>
        <v/>
      </c>
      <c r="G243" s="116" t="str">
        <f>IF(ISNONTEXT(D243),"",E243-MAX($F$2:F242))</f>
        <v/>
      </c>
      <c r="H243" s="97"/>
      <c r="I243" s="74" t="str">
        <f ca="1">IF(D243="N",COUNTIF(INDIRECT(ADDRESS(MATCH(Plages!$D$19,'Planning annuel mixing coater'!$B:$B),4)):D243,"N"),IF(D243="N1",COUNTIF($D$9:D243,"N1"),""))</f>
        <v/>
      </c>
      <c r="J243" s="96" t="str">
        <f>IF(D243="","",COUNTA(D240:D243)-(COUNTA(D243:D243)-1))</f>
        <v/>
      </c>
    </row>
    <row r="244" spans="1:10" thickBot="1">
      <c r="A244" s="117"/>
      <c r="B244" s="70">
        <f t="shared" si="17"/>
        <v>44036</v>
      </c>
      <c r="C244" s="82" t="str">
        <f t="shared" si="18"/>
        <v>vendredi</v>
      </c>
      <c r="D244" s="87"/>
      <c r="E244" s="115" t="str">
        <f t="shared" si="19"/>
        <v/>
      </c>
      <c r="F244" s="115" t="str">
        <f t="shared" si="20"/>
        <v/>
      </c>
      <c r="G244" s="116" t="str">
        <f>IF(ISNONTEXT(D244),"",E244-MAX($F$2:F243))</f>
        <v/>
      </c>
      <c r="H244" s="97"/>
      <c r="I244" s="74" t="str">
        <f ca="1">IF(D244="N",COUNTIF(INDIRECT(ADDRESS(MATCH(Plages!$D$19,'Planning annuel mixing coater'!$B:$B),4)):D244,"N"),IF(D244="N1",COUNTIF($D$9:D244,"N1"),""))</f>
        <v/>
      </c>
      <c r="J244" s="96" t="str">
        <f>IF(D244="","",COUNTA(D240:D244)-(COUNTA(D244:D244)-1))</f>
        <v/>
      </c>
    </row>
    <row r="245" spans="1:10" thickBot="1">
      <c r="A245" s="117"/>
      <c r="B245" s="70">
        <f t="shared" si="17"/>
        <v>44037</v>
      </c>
      <c r="C245" s="82" t="str">
        <f t="shared" si="18"/>
        <v>samedi</v>
      </c>
      <c r="D245" s="87"/>
      <c r="E245" s="115" t="str">
        <f t="shared" si="19"/>
        <v/>
      </c>
      <c r="F245" s="115" t="str">
        <f t="shared" si="20"/>
        <v/>
      </c>
      <c r="G245" s="116" t="str">
        <f>IF(ISNONTEXT(D245),"",E245-MAX($F$2:F244))</f>
        <v/>
      </c>
      <c r="H245" s="97"/>
      <c r="I245" s="74" t="str">
        <f ca="1">IF(D245="N",COUNTIF(INDIRECT(ADDRESS(MATCH(Plages!$D$19,'Planning annuel mixing coater'!$B:$B),4)):D245,"N"),IF(D245="N1",COUNTIF($D$9:D245,"N1"),""))</f>
        <v/>
      </c>
      <c r="J245" s="96" t="str">
        <f>IF(D245="","",COUNTA(D240:D245)-(COUNTA(D245:D245)-1))</f>
        <v/>
      </c>
    </row>
    <row r="246" spans="1:10" thickBot="1">
      <c r="A246" s="117"/>
      <c r="B246" s="70">
        <f t="shared" si="17"/>
        <v>44038</v>
      </c>
      <c r="C246" s="82" t="str">
        <f t="shared" si="18"/>
        <v>dimanche</v>
      </c>
      <c r="D246" s="87"/>
      <c r="E246" s="115" t="str">
        <f t="shared" si="19"/>
        <v/>
      </c>
      <c r="F246" s="115" t="str">
        <f t="shared" si="20"/>
        <v/>
      </c>
      <c r="G246" s="116" t="str">
        <f>IF(ISNONTEXT(D246),"",E246-MAX($F$2:F245))</f>
        <v/>
      </c>
      <c r="H246" s="98"/>
      <c r="I246" s="74" t="str">
        <f ca="1">IF(D246="N",COUNTIF(INDIRECT(ADDRESS(MATCH(Plages!$D$19,'Planning annuel mixing coater'!$B:$B),4)):D246,"N"),IF(D246="N1",COUNTIF($D$9:D246,"N1"),""))</f>
        <v/>
      </c>
      <c r="J246" s="96" t="str">
        <f>IF(D246="","",COUNTA(D240:D246)-(COUNTA(D246:D246)-1))</f>
        <v/>
      </c>
    </row>
    <row r="247" spans="1:10" thickBot="1">
      <c r="A247" s="117"/>
      <c r="B247" s="70">
        <f t="shared" si="17"/>
        <v>44039</v>
      </c>
      <c r="C247" s="82" t="str">
        <f t="shared" si="18"/>
        <v>lundi</v>
      </c>
      <c r="D247" s="87"/>
      <c r="E247" s="115" t="str">
        <f t="shared" si="19"/>
        <v/>
      </c>
      <c r="F247" s="115" t="str">
        <f t="shared" si="20"/>
        <v/>
      </c>
      <c r="G247" s="116" t="str">
        <f>IF(ISNONTEXT(D247),"",E247-MAX($F$2:F246))</f>
        <v/>
      </c>
      <c r="H247" s="97"/>
      <c r="I247" s="74" t="str">
        <f ca="1">IF(D247="N",COUNTIF(INDIRECT(ADDRESS(MATCH(Plages!$D$19,'Planning annuel mixing coater'!$B:$B),4)):D247,"N"),IF(D247="N1",COUNTIF($D$9:D247,"N1"),""))</f>
        <v/>
      </c>
      <c r="J247" s="96" t="str">
        <f>IF(D247="","",COUNTA(D240:D247)-(COUNTA(D247:D247)-1))</f>
        <v/>
      </c>
    </row>
    <row r="248" spans="1:10" thickBot="1">
      <c r="A248" s="117"/>
      <c r="B248" s="70">
        <f t="shared" si="17"/>
        <v>44040</v>
      </c>
      <c r="C248" s="82" t="str">
        <f t="shared" si="18"/>
        <v>mardi</v>
      </c>
      <c r="D248" s="87"/>
      <c r="E248" s="115" t="str">
        <f t="shared" si="19"/>
        <v/>
      </c>
      <c r="F248" s="115" t="str">
        <f t="shared" si="20"/>
        <v/>
      </c>
      <c r="G248" s="116" t="str">
        <f>IF(ISNONTEXT(D248),"",E248-MAX($F$2:F247))</f>
        <v/>
      </c>
      <c r="H248" s="97"/>
      <c r="I248" s="74" t="str">
        <f ca="1">IF(D248="N",COUNTIF(INDIRECT(ADDRESS(MATCH(Plages!$D$19,'Planning annuel mixing coater'!$B:$B),4)):D248,"N"),IF(D248="N1",COUNTIF($D$9:D248,"N1"),""))</f>
        <v/>
      </c>
      <c r="J248" s="96" t="str">
        <f>IF(D248="","",COUNTA(D240:D248)-(COUNTA(D248:D248)-1))</f>
        <v/>
      </c>
    </row>
    <row r="249" spans="1:10" thickBot="1">
      <c r="A249" s="117"/>
      <c r="B249" s="70">
        <f t="shared" si="17"/>
        <v>44041</v>
      </c>
      <c r="C249" s="82" t="str">
        <f t="shared" si="18"/>
        <v>mercredi</v>
      </c>
      <c r="D249" s="87"/>
      <c r="E249" s="115" t="str">
        <f t="shared" si="19"/>
        <v/>
      </c>
      <c r="F249" s="115" t="str">
        <f t="shared" si="20"/>
        <v/>
      </c>
      <c r="G249" s="116" t="str">
        <f>IF(ISNONTEXT(D249),"",E249-MAX($F$2:F248))</f>
        <v/>
      </c>
      <c r="H249" s="97"/>
      <c r="I249" s="74" t="str">
        <f ca="1">IF(D249="N",COUNTIF(INDIRECT(ADDRESS(MATCH(Plages!$D$19,'Planning annuel mixing coater'!$B:$B),4)):D249,"N"),IF(D249="N1",COUNTIF($D$9:D249,"N1"),""))</f>
        <v/>
      </c>
      <c r="J249" s="96" t="str">
        <f>IF(D249="","",COUNTA(D240:D249)-(COUNTA(D249:D249)-1))</f>
        <v/>
      </c>
    </row>
    <row r="250" spans="1:10" thickBot="1">
      <c r="A250" s="117"/>
      <c r="B250" s="70">
        <f t="shared" si="17"/>
        <v>44042</v>
      </c>
      <c r="C250" s="82" t="str">
        <f t="shared" si="18"/>
        <v>jeudi</v>
      </c>
      <c r="D250" s="87"/>
      <c r="E250" s="115" t="str">
        <f t="shared" si="19"/>
        <v/>
      </c>
      <c r="F250" s="115" t="str">
        <f t="shared" si="20"/>
        <v/>
      </c>
      <c r="G250" s="116" t="str">
        <f>IF(ISNONTEXT(D250),"",E250-MAX($F$2:F249))</f>
        <v/>
      </c>
      <c r="H250" s="97"/>
      <c r="I250" s="74" t="str">
        <f ca="1">IF(D250="N",COUNTIF(INDIRECT(ADDRESS(MATCH(Plages!$D$19,'Planning annuel mixing coater'!$B:$B),4)):D250,"N"),IF(D250="N1",COUNTIF($D$9:D250,"N1"),""))</f>
        <v/>
      </c>
      <c r="J250" s="96" t="str">
        <f>IF(D250="","",COUNTA(D240:D250)-(COUNTA(D250:D250)-1))</f>
        <v/>
      </c>
    </row>
    <row r="251" spans="1:10" thickBot="1">
      <c r="A251" s="117"/>
      <c r="B251" s="70">
        <f t="shared" si="17"/>
        <v>44043</v>
      </c>
      <c r="C251" s="82" t="str">
        <f t="shared" si="18"/>
        <v>vendredi</v>
      </c>
      <c r="D251" s="87"/>
      <c r="E251" s="115" t="str">
        <f t="shared" si="19"/>
        <v/>
      </c>
      <c r="F251" s="115" t="str">
        <f t="shared" si="20"/>
        <v/>
      </c>
      <c r="G251" s="116" t="str">
        <f>IF(ISNONTEXT(D251),"",E251-MAX($F$2:F250))</f>
        <v/>
      </c>
      <c r="H251" s="97"/>
      <c r="I251" s="74" t="str">
        <f ca="1">IF(D251="N",COUNTIF(INDIRECT(ADDRESS(MATCH(Plages!$D$19,'Planning annuel mixing coater'!$B:$B),4)):D251,"N"),IF(D251="N1",COUNTIF($D$9:D251,"N1"),""))</f>
        <v/>
      </c>
      <c r="J251" s="96" t="str">
        <f>IF(D251="","",COUNTA(D240:D251)-(COUNTA(D251:D251)-1))</f>
        <v/>
      </c>
    </row>
    <row r="252" spans="1:10" thickBot="1">
      <c r="A252" s="117"/>
      <c r="B252" s="70">
        <f t="shared" si="17"/>
        <v>44044</v>
      </c>
      <c r="C252" s="82" t="str">
        <f t="shared" si="18"/>
        <v>samedi</v>
      </c>
      <c r="D252" s="87"/>
      <c r="E252" s="115" t="str">
        <f t="shared" si="19"/>
        <v/>
      </c>
      <c r="F252" s="115" t="str">
        <f t="shared" si="20"/>
        <v/>
      </c>
      <c r="G252" s="116" t="str">
        <f>IF(ISNONTEXT(D252),"",E252-MAX($F$2:F251))</f>
        <v/>
      </c>
      <c r="H252" s="97"/>
      <c r="I252" s="74" t="str">
        <f ca="1">IF(D252="N",COUNTIF(INDIRECT(ADDRESS(MATCH(Plages!$D$19,'Planning annuel mixing coater'!$B:$B),4)):D252,"N"),IF(D252="N1",COUNTIF($D$9:D252,"N1"),""))</f>
        <v/>
      </c>
      <c r="J252" s="96" t="str">
        <f>IF(D252="","",COUNTA(D240:D252)-(COUNTA(D252:D252)-1))</f>
        <v/>
      </c>
    </row>
    <row r="253" spans="1:10" s="77" customFormat="1" thickBot="1">
      <c r="A253" s="117"/>
      <c r="B253" s="75">
        <f t="shared" si="17"/>
        <v>44045</v>
      </c>
      <c r="C253" s="83" t="str">
        <f t="shared" si="18"/>
        <v>dimanche</v>
      </c>
      <c r="D253" s="88"/>
      <c r="E253" s="115" t="str">
        <f t="shared" si="19"/>
        <v/>
      </c>
      <c r="F253" s="115" t="str">
        <f t="shared" si="20"/>
        <v/>
      </c>
      <c r="G253" s="116" t="str">
        <f>IF(ISNONTEXT(D253),"",E253-MAX($F$2:F252))</f>
        <v/>
      </c>
      <c r="H253" s="98"/>
      <c r="I253" s="76" t="str">
        <f ca="1">IF(D253="N",COUNTIF(INDIRECT(ADDRESS(MATCH(Plages!$D$19,'Planning annuel mixing coater'!$B:$B),4)):D253,"N"),IF(D253="N1",COUNTIF($D$9:D253,"N1"),""))</f>
        <v/>
      </c>
      <c r="J253" s="99" t="str">
        <f>IF(D253="","",COUNTA(D240:D253)-(COUNTA(D253:D253)-1))</f>
        <v/>
      </c>
    </row>
    <row r="254" spans="1:10" ht="16.5" thickTop="1" thickBot="1">
      <c r="A254" s="117"/>
      <c r="B254" s="78">
        <f t="shared" si="17"/>
        <v>44046</v>
      </c>
      <c r="C254" s="81" t="str">
        <f t="shared" si="18"/>
        <v>lundi</v>
      </c>
      <c r="D254" s="89"/>
      <c r="E254" s="115" t="str">
        <f t="shared" si="19"/>
        <v/>
      </c>
      <c r="F254" s="115" t="str">
        <f t="shared" si="20"/>
        <v/>
      </c>
      <c r="G254" s="116" t="str">
        <f>IF(ISNONTEXT(D254),"",E254-MAX($F$2:F253))</f>
        <v/>
      </c>
      <c r="H254" s="100"/>
      <c r="I254" s="79" t="str">
        <f ca="1">IF(D254="N",COUNTIF(INDIRECT(ADDRESS(MATCH(Plages!$D$19,'Planning annuel mixing coater'!$B:$B),4)):D254,"N"),IF(D254="N1",COUNTIF($D$9:D254,"N1"),""))</f>
        <v/>
      </c>
      <c r="J254" s="101" t="str">
        <f>IF(D254="","",COUNTA(D254:D254)-(COUNTA(D254:D254)-1))</f>
        <v/>
      </c>
    </row>
    <row r="255" spans="1:10" thickBot="1">
      <c r="A255" s="117"/>
      <c r="B255" s="70">
        <f t="shared" si="17"/>
        <v>44047</v>
      </c>
      <c r="C255" s="82" t="str">
        <f t="shared" si="18"/>
        <v>mardi</v>
      </c>
      <c r="D255" s="87"/>
      <c r="E255" s="115" t="str">
        <f t="shared" si="19"/>
        <v/>
      </c>
      <c r="F255" s="115" t="str">
        <f t="shared" si="20"/>
        <v/>
      </c>
      <c r="G255" s="116" t="str">
        <f>IF(ISNONTEXT(D255),"",E255-MAX($F$2:F254))</f>
        <v/>
      </c>
      <c r="H255" s="97"/>
      <c r="I255" s="74" t="str">
        <f ca="1">IF(D255="N",COUNTIF(INDIRECT(ADDRESS(MATCH(Plages!$D$19,'Planning annuel mixing coater'!$B:$B),4)):D255,"N"),IF(D255="N1",COUNTIF($D$9:D255,"N1"),""))</f>
        <v/>
      </c>
      <c r="J255" s="96" t="str">
        <f>IF(D255="","",COUNTA(D254:D255)-(COUNTA(D255:D255)-1))</f>
        <v/>
      </c>
    </row>
    <row r="256" spans="1:10" thickBot="1">
      <c r="A256" s="117"/>
      <c r="B256" s="70">
        <f t="shared" si="17"/>
        <v>44048</v>
      </c>
      <c r="C256" s="82" t="str">
        <f t="shared" si="18"/>
        <v>mercredi</v>
      </c>
      <c r="D256" s="87"/>
      <c r="E256" s="115" t="str">
        <f t="shared" si="19"/>
        <v/>
      </c>
      <c r="F256" s="115" t="str">
        <f t="shared" si="20"/>
        <v/>
      </c>
      <c r="G256" s="116" t="str">
        <f>IF(ISNONTEXT(D256),"",E256-MAX($F$2:F255))</f>
        <v/>
      </c>
      <c r="H256" s="97"/>
      <c r="I256" s="74" t="str">
        <f ca="1">IF(D256="N",COUNTIF(INDIRECT(ADDRESS(MATCH(Plages!$D$19,'Planning annuel mixing coater'!$B:$B),4)):D256,"N"),IF(D256="N1",COUNTIF($D$9:D256,"N1"),""))</f>
        <v/>
      </c>
      <c r="J256" s="96" t="str">
        <f>IF(D256="","",COUNTA(D254:D256)-(COUNTA(D256:D256)-1))</f>
        <v/>
      </c>
    </row>
    <row r="257" spans="1:10" thickBot="1">
      <c r="A257" s="117"/>
      <c r="B257" s="70">
        <f t="shared" si="17"/>
        <v>44049</v>
      </c>
      <c r="C257" s="82" t="str">
        <f t="shared" si="18"/>
        <v>jeudi</v>
      </c>
      <c r="D257" s="87"/>
      <c r="E257" s="115" t="str">
        <f t="shared" si="19"/>
        <v/>
      </c>
      <c r="F257" s="115" t="str">
        <f t="shared" si="20"/>
        <v/>
      </c>
      <c r="G257" s="116" t="str">
        <f>IF(ISNONTEXT(D257),"",E257-MAX($F$2:F256))</f>
        <v/>
      </c>
      <c r="H257" s="97"/>
      <c r="I257" s="74" t="str">
        <f ca="1">IF(D257="N",COUNTIF(INDIRECT(ADDRESS(MATCH(Plages!$D$19,'Planning annuel mixing coater'!$B:$B),4)):D257,"N"),IF(D257="N1",COUNTIF($D$9:D257,"N1"),""))</f>
        <v/>
      </c>
      <c r="J257" s="96" t="str">
        <f>IF(D257="","",COUNTA(D254:D257)-(COUNTA(D257:D257)-1))</f>
        <v/>
      </c>
    </row>
    <row r="258" spans="1:10" thickBot="1">
      <c r="A258" s="117"/>
      <c r="B258" s="70">
        <f t="shared" si="17"/>
        <v>44050</v>
      </c>
      <c r="C258" s="82" t="str">
        <f t="shared" si="18"/>
        <v>vendredi</v>
      </c>
      <c r="D258" s="87"/>
      <c r="E258" s="115" t="str">
        <f t="shared" si="19"/>
        <v/>
      </c>
      <c r="F258" s="115" t="str">
        <f t="shared" si="20"/>
        <v/>
      </c>
      <c r="G258" s="116" t="str">
        <f>IF(ISNONTEXT(D258),"",E258-MAX($F$2:F257))</f>
        <v/>
      </c>
      <c r="H258" s="97"/>
      <c r="I258" s="74" t="str">
        <f ca="1">IF(D258="N",COUNTIF(INDIRECT(ADDRESS(MATCH(Plages!$D$19,'Planning annuel mixing coater'!$B:$B),4)):D258,"N"),IF(D258="N1",COUNTIF($D$9:D258,"N1"),""))</f>
        <v/>
      </c>
      <c r="J258" s="96" t="str">
        <f>IF(D258="","",COUNTA(D254:D258)-(COUNTA(D258:D258)-1))</f>
        <v/>
      </c>
    </row>
    <row r="259" spans="1:10" thickBot="1">
      <c r="A259" s="117"/>
      <c r="B259" s="70">
        <f t="shared" si="17"/>
        <v>44051</v>
      </c>
      <c r="C259" s="82" t="str">
        <f t="shared" si="18"/>
        <v>samedi</v>
      </c>
      <c r="D259" s="87"/>
      <c r="E259" s="115" t="str">
        <f t="shared" si="19"/>
        <v/>
      </c>
      <c r="F259" s="115" t="str">
        <f t="shared" si="20"/>
        <v/>
      </c>
      <c r="G259" s="116" t="str">
        <f>IF(ISNONTEXT(D259),"",E259-MAX($F$2:F258))</f>
        <v/>
      </c>
      <c r="H259" s="97"/>
      <c r="I259" s="74" t="str">
        <f ca="1">IF(D259="N",COUNTIF(INDIRECT(ADDRESS(MATCH(Plages!$D$19,'Planning annuel mixing coater'!$B:$B),4)):D259,"N"),IF(D259="N1",COUNTIF($D$9:D259,"N1"),""))</f>
        <v/>
      </c>
      <c r="J259" s="96" t="str">
        <f>IF(D259="","",COUNTA(D254:D259)-(COUNTA(D259:D259)-1))</f>
        <v/>
      </c>
    </row>
    <row r="260" spans="1:10" thickBot="1">
      <c r="A260" s="117"/>
      <c r="B260" s="70">
        <f t="shared" ref="B260:B323" si="21">IF(B259="","",B259+1)</f>
        <v>44052</v>
      </c>
      <c r="C260" s="82" t="str">
        <f t="shared" si="18"/>
        <v>dimanche</v>
      </c>
      <c r="D260" s="87"/>
      <c r="E260" s="115" t="str">
        <f t="shared" si="19"/>
        <v/>
      </c>
      <c r="F260" s="115" t="str">
        <f t="shared" si="20"/>
        <v/>
      </c>
      <c r="G260" s="116" t="str">
        <f>IF(ISNONTEXT(D260),"",E260-MAX($F$2:F259))</f>
        <v/>
      </c>
      <c r="H260" s="98"/>
      <c r="I260" s="74" t="str">
        <f ca="1">IF(D260="N",COUNTIF(INDIRECT(ADDRESS(MATCH(Plages!$D$19,'Planning annuel mixing coater'!$B:$B),4)):D260,"N"),IF(D260="N1",COUNTIF($D$9:D260,"N1"),""))</f>
        <v/>
      </c>
      <c r="J260" s="96" t="str">
        <f>IF(D260="","",COUNTA(D254:D260)-(COUNTA(D260:D260)-1))</f>
        <v/>
      </c>
    </row>
    <row r="261" spans="1:10" thickBot="1">
      <c r="A261" s="117"/>
      <c r="B261" s="70">
        <f t="shared" si="21"/>
        <v>44053</v>
      </c>
      <c r="C261" s="82" t="str">
        <f t="shared" si="18"/>
        <v>lundi</v>
      </c>
      <c r="D261" s="87"/>
      <c r="E261" s="115" t="str">
        <f t="shared" si="19"/>
        <v/>
      </c>
      <c r="F261" s="115" t="str">
        <f t="shared" si="20"/>
        <v/>
      </c>
      <c r="G261" s="116" t="str">
        <f>IF(ISNONTEXT(D261),"",E261-MAX($F$2:F260))</f>
        <v/>
      </c>
      <c r="H261" s="97"/>
      <c r="I261" s="74" t="str">
        <f ca="1">IF(D261="N",COUNTIF(INDIRECT(ADDRESS(MATCH(Plages!$D$19,'Planning annuel mixing coater'!$B:$B),4)):D261,"N"),IF(D261="N1",COUNTIF($D$9:D261,"N1"),""))</f>
        <v/>
      </c>
      <c r="J261" s="96" t="str">
        <f>IF(D261="","",COUNTA(D254:D261)-(COUNTA(D261:D261)-1))</f>
        <v/>
      </c>
    </row>
    <row r="262" spans="1:10" thickBot="1">
      <c r="A262" s="117"/>
      <c r="B262" s="70">
        <f t="shared" si="21"/>
        <v>44054</v>
      </c>
      <c r="C262" s="82" t="str">
        <f t="shared" si="18"/>
        <v>mardi</v>
      </c>
      <c r="D262" s="87"/>
      <c r="E262" s="115" t="str">
        <f t="shared" si="19"/>
        <v/>
      </c>
      <c r="F262" s="115" t="str">
        <f t="shared" si="20"/>
        <v/>
      </c>
      <c r="G262" s="116" t="str">
        <f>IF(ISNONTEXT(D262),"",E262-MAX($F$2:F261))</f>
        <v/>
      </c>
      <c r="H262" s="97"/>
      <c r="I262" s="74" t="str">
        <f ca="1">IF(D262="N",COUNTIF(INDIRECT(ADDRESS(MATCH(Plages!$D$19,'Planning annuel mixing coater'!$B:$B),4)):D262,"N"),IF(D262="N1",COUNTIF($D$9:D262,"N1"),""))</f>
        <v/>
      </c>
      <c r="J262" s="96" t="str">
        <f>IF(D262="","",COUNTA(D254:D262)-(COUNTA(D262:D262)-1))</f>
        <v/>
      </c>
    </row>
    <row r="263" spans="1:10" thickBot="1">
      <c r="A263" s="117"/>
      <c r="B263" s="70">
        <f t="shared" si="21"/>
        <v>44055</v>
      </c>
      <c r="C263" s="82" t="str">
        <f t="shared" si="18"/>
        <v>mercredi</v>
      </c>
      <c r="D263" s="87"/>
      <c r="E263" s="115" t="str">
        <f t="shared" si="19"/>
        <v/>
      </c>
      <c r="F263" s="115" t="str">
        <f t="shared" si="20"/>
        <v/>
      </c>
      <c r="G263" s="116" t="str">
        <f>IF(ISNONTEXT(D263),"",E263-MAX($F$2:F262))</f>
        <v/>
      </c>
      <c r="H263" s="97"/>
      <c r="I263" s="74" t="str">
        <f ca="1">IF(D263="N",COUNTIF(INDIRECT(ADDRESS(MATCH(Plages!$D$19,'Planning annuel mixing coater'!$B:$B),4)):D263,"N"),IF(D263="N1",COUNTIF($D$9:D263,"N1"),""))</f>
        <v/>
      </c>
      <c r="J263" s="96" t="str">
        <f>IF(D263="","",COUNTA(D254:D263)-(COUNTA(D263:D263)-1))</f>
        <v/>
      </c>
    </row>
    <row r="264" spans="1:10" thickBot="1">
      <c r="A264" s="117"/>
      <c r="B264" s="70">
        <f t="shared" si="21"/>
        <v>44056</v>
      </c>
      <c r="C264" s="82" t="str">
        <f t="shared" si="18"/>
        <v>jeudi</v>
      </c>
      <c r="D264" s="87"/>
      <c r="E264" s="115" t="str">
        <f t="shared" si="19"/>
        <v/>
      </c>
      <c r="F264" s="115" t="str">
        <f t="shared" si="20"/>
        <v/>
      </c>
      <c r="G264" s="116" t="str">
        <f>IF(ISNONTEXT(D264),"",E264-MAX($F$2:F263))</f>
        <v/>
      </c>
      <c r="H264" s="97"/>
      <c r="I264" s="74" t="str">
        <f ca="1">IF(D264="N",COUNTIF(INDIRECT(ADDRESS(MATCH(Plages!$D$19,'Planning annuel mixing coater'!$B:$B),4)):D264,"N"),IF(D264="N1",COUNTIF($D$9:D264,"N1"),""))</f>
        <v/>
      </c>
      <c r="J264" s="96" t="str">
        <f>IF(D264="","",COUNTA(D254:D264)-(COUNTA(D264:D264)-1))</f>
        <v/>
      </c>
    </row>
    <row r="265" spans="1:10" thickBot="1">
      <c r="A265" s="117"/>
      <c r="B265" s="70">
        <f t="shared" si="21"/>
        <v>44057</v>
      </c>
      <c r="C265" s="82" t="str">
        <f t="shared" si="18"/>
        <v>vendredi</v>
      </c>
      <c r="D265" s="87"/>
      <c r="E265" s="115" t="str">
        <f t="shared" si="19"/>
        <v/>
      </c>
      <c r="F265" s="115" t="str">
        <f t="shared" si="20"/>
        <v/>
      </c>
      <c r="G265" s="116" t="str">
        <f>IF(ISNONTEXT(D265),"",E265-MAX($F$2:F264))</f>
        <v/>
      </c>
      <c r="H265" s="97"/>
      <c r="I265" s="74" t="str">
        <f ca="1">IF(D265="N",COUNTIF(INDIRECT(ADDRESS(MATCH(Plages!$D$19,'Planning annuel mixing coater'!$B:$B),4)):D265,"N"),IF(D265="N1",COUNTIF($D$9:D265,"N1"),""))</f>
        <v/>
      </c>
      <c r="J265" s="96" t="str">
        <f>IF(D265="","",COUNTA(D254:D265)-(COUNTA(D265:D265)-1))</f>
        <v/>
      </c>
    </row>
    <row r="266" spans="1:10" thickBot="1">
      <c r="A266" s="117"/>
      <c r="B266" s="70">
        <f t="shared" si="21"/>
        <v>44058</v>
      </c>
      <c r="C266" s="82" t="str">
        <f t="shared" si="18"/>
        <v>samedi</v>
      </c>
      <c r="D266" s="87"/>
      <c r="E266" s="115" t="str">
        <f t="shared" si="19"/>
        <v/>
      </c>
      <c r="F266" s="115" t="str">
        <f t="shared" si="20"/>
        <v/>
      </c>
      <c r="G266" s="116" t="str">
        <f>IF(ISNONTEXT(D266),"",E266-MAX($F$2:F265))</f>
        <v/>
      </c>
      <c r="H266" s="97"/>
      <c r="I266" s="74" t="str">
        <f ca="1">IF(D266="N",COUNTIF(INDIRECT(ADDRESS(MATCH(Plages!$D$19,'Planning annuel mixing coater'!$B:$B),4)):D266,"N"),IF(D266="N1",COUNTIF($D$9:D266,"N1"),""))</f>
        <v/>
      </c>
      <c r="J266" s="96" t="str">
        <f>IF(D266="","",COUNTA(D254:D266)-(COUNTA(D266:D266)-1))</f>
        <v/>
      </c>
    </row>
    <row r="267" spans="1:10" s="77" customFormat="1" thickBot="1">
      <c r="A267" s="117"/>
      <c r="B267" s="75">
        <f t="shared" si="21"/>
        <v>44059</v>
      </c>
      <c r="C267" s="83" t="str">
        <f t="shared" si="18"/>
        <v>dimanche</v>
      </c>
      <c r="D267" s="88"/>
      <c r="E267" s="115" t="str">
        <f t="shared" si="19"/>
        <v/>
      </c>
      <c r="F267" s="115" t="str">
        <f t="shared" si="20"/>
        <v/>
      </c>
      <c r="G267" s="116" t="str">
        <f>IF(ISNONTEXT(D267),"",E267-MAX($F$2:F266))</f>
        <v/>
      </c>
      <c r="H267" s="98"/>
      <c r="I267" s="76" t="str">
        <f ca="1">IF(D267="N",COUNTIF(INDIRECT(ADDRESS(MATCH(Plages!$D$19,'Planning annuel mixing coater'!$B:$B),4)):D267,"N"),IF(D267="N1",COUNTIF($D$9:D267,"N1"),""))</f>
        <v/>
      </c>
      <c r="J267" s="99" t="str">
        <f>IF(D267="","",COUNTA(D254:D267)-(COUNTA(D267:D267)-1))</f>
        <v/>
      </c>
    </row>
    <row r="268" spans="1:10" ht="16.5" thickTop="1" thickBot="1">
      <c r="A268" s="117"/>
      <c r="B268" s="78">
        <f t="shared" si="21"/>
        <v>44060</v>
      </c>
      <c r="C268" s="81" t="str">
        <f t="shared" si="18"/>
        <v>lundi</v>
      </c>
      <c r="D268" s="89"/>
      <c r="E268" s="115" t="str">
        <f t="shared" si="19"/>
        <v/>
      </c>
      <c r="F268" s="115" t="str">
        <f t="shared" si="20"/>
        <v/>
      </c>
      <c r="G268" s="116" t="str">
        <f>IF(ISNONTEXT(D268),"",E268-MAX($F$2:F267))</f>
        <v/>
      </c>
      <c r="H268" s="100"/>
      <c r="I268" s="79" t="str">
        <f ca="1">IF(D268="N",COUNTIF(INDIRECT(ADDRESS(MATCH(Plages!$D$19,'Planning annuel mixing coater'!$B:$B),4)):D268,"N"),IF(D268="N1",COUNTIF($D$9:D268,"N1"),""))</f>
        <v/>
      </c>
      <c r="J268" s="101" t="str">
        <f>IF(D268="","",COUNTA(D268:D268)-(COUNTA(D268:D268)-1))</f>
        <v/>
      </c>
    </row>
    <row r="269" spans="1:10" thickBot="1">
      <c r="A269" s="117"/>
      <c r="B269" s="70">
        <f t="shared" si="21"/>
        <v>44061</v>
      </c>
      <c r="C269" s="82" t="str">
        <f t="shared" si="18"/>
        <v>mardi</v>
      </c>
      <c r="D269" s="87"/>
      <c r="E269" s="115" t="str">
        <f t="shared" si="19"/>
        <v/>
      </c>
      <c r="F269" s="115" t="str">
        <f t="shared" si="20"/>
        <v/>
      </c>
      <c r="G269" s="116" t="str">
        <f>IF(ISNONTEXT(D269),"",E269-MAX($F$2:F268))</f>
        <v/>
      </c>
      <c r="H269" s="97"/>
      <c r="I269" s="74" t="str">
        <f ca="1">IF(D269="N",COUNTIF(INDIRECT(ADDRESS(MATCH(Plages!$D$19,'Planning annuel mixing coater'!$B:$B),4)):D269,"N"),IF(D269="N1",COUNTIF($D$9:D269,"N1"),""))</f>
        <v/>
      </c>
      <c r="J269" s="96" t="str">
        <f>IF(D269="","",COUNTA(D268:D269)-(COUNTA(D269:D269)-1))</f>
        <v/>
      </c>
    </row>
    <row r="270" spans="1:10" thickBot="1">
      <c r="A270" s="117"/>
      <c r="B270" s="70">
        <f t="shared" si="21"/>
        <v>44062</v>
      </c>
      <c r="C270" s="82" t="str">
        <f t="shared" si="18"/>
        <v>mercredi</v>
      </c>
      <c r="D270" s="87"/>
      <c r="E270" s="115" t="str">
        <f t="shared" si="19"/>
        <v/>
      </c>
      <c r="F270" s="115" t="str">
        <f t="shared" si="20"/>
        <v/>
      </c>
      <c r="G270" s="116" t="str">
        <f>IF(ISNONTEXT(D270),"",E270-MAX($F$2:F269))</f>
        <v/>
      </c>
      <c r="H270" s="97"/>
      <c r="I270" s="74" t="str">
        <f ca="1">IF(D270="N",COUNTIF(INDIRECT(ADDRESS(MATCH(Plages!$D$19,'Planning annuel mixing coater'!$B:$B),4)):D270,"N"),IF(D270="N1",COUNTIF($D$9:D270,"N1"),""))</f>
        <v/>
      </c>
      <c r="J270" s="96" t="str">
        <f>IF(D270="","",COUNTA(D268:D270)-(COUNTA(D270:D270)-1))</f>
        <v/>
      </c>
    </row>
    <row r="271" spans="1:10" thickBot="1">
      <c r="A271" s="117"/>
      <c r="B271" s="70">
        <f t="shared" si="21"/>
        <v>44063</v>
      </c>
      <c r="C271" s="82" t="str">
        <f t="shared" si="18"/>
        <v>jeudi</v>
      </c>
      <c r="D271" s="87"/>
      <c r="E271" s="115" t="str">
        <f t="shared" si="19"/>
        <v/>
      </c>
      <c r="F271" s="115" t="str">
        <f t="shared" si="20"/>
        <v/>
      </c>
      <c r="G271" s="116" t="str">
        <f>IF(ISNONTEXT(D271),"",E271-MAX($F$2:F270))</f>
        <v/>
      </c>
      <c r="H271" s="97"/>
      <c r="I271" s="74" t="str">
        <f ca="1">IF(D271="N",COUNTIF(INDIRECT(ADDRESS(MATCH(Plages!$D$19,'Planning annuel mixing coater'!$B:$B),4)):D271,"N"),IF(D271="N1",COUNTIF($D$9:D271,"N1"),""))</f>
        <v/>
      </c>
      <c r="J271" s="96" t="str">
        <f>IF(D271="","",COUNTA(D268:D271)-(COUNTA(D271:D271)-1))</f>
        <v/>
      </c>
    </row>
    <row r="272" spans="1:10" thickBot="1">
      <c r="A272" s="117"/>
      <c r="B272" s="70">
        <f t="shared" si="21"/>
        <v>44064</v>
      </c>
      <c r="C272" s="82" t="str">
        <f t="shared" si="18"/>
        <v>vendredi</v>
      </c>
      <c r="D272" s="87"/>
      <c r="E272" s="115" t="str">
        <f t="shared" si="19"/>
        <v/>
      </c>
      <c r="F272" s="115" t="str">
        <f t="shared" si="20"/>
        <v/>
      </c>
      <c r="G272" s="116" t="str">
        <f>IF(ISNONTEXT(D272),"",E272-MAX($F$2:F271))</f>
        <v/>
      </c>
      <c r="H272" s="97"/>
      <c r="I272" s="74" t="str">
        <f ca="1">IF(D272="N",COUNTIF(INDIRECT(ADDRESS(MATCH(Plages!$D$19,'Planning annuel mixing coater'!$B:$B),4)):D272,"N"),IF(D272="N1",COUNTIF($D$9:D272,"N1"),""))</f>
        <v/>
      </c>
      <c r="J272" s="96" t="str">
        <f>IF(D272="","",COUNTA(D268:D272)-(COUNTA(D272:D272)-1))</f>
        <v/>
      </c>
    </row>
    <row r="273" spans="1:10" thickBot="1">
      <c r="A273" s="117"/>
      <c r="B273" s="70">
        <f t="shared" si="21"/>
        <v>44065</v>
      </c>
      <c r="C273" s="82" t="str">
        <f t="shared" si="18"/>
        <v>samedi</v>
      </c>
      <c r="D273" s="87"/>
      <c r="E273" s="115" t="str">
        <f t="shared" si="19"/>
        <v/>
      </c>
      <c r="F273" s="115" t="str">
        <f t="shared" si="20"/>
        <v/>
      </c>
      <c r="G273" s="116" t="str">
        <f>IF(ISNONTEXT(D273),"",E273-MAX($F$2:F272))</f>
        <v/>
      </c>
      <c r="H273" s="97"/>
      <c r="I273" s="74" t="str">
        <f ca="1">IF(D273="N",COUNTIF(INDIRECT(ADDRESS(MATCH(Plages!$D$19,'Planning annuel mixing coater'!$B:$B),4)):D273,"N"),IF(D273="N1",COUNTIF($D$9:D273,"N1"),""))</f>
        <v/>
      </c>
      <c r="J273" s="96" t="str">
        <f>IF(D273="","",COUNTA(D268:D273)-(COUNTA(D273:D273)-1))</f>
        <v/>
      </c>
    </row>
    <row r="274" spans="1:10" thickBot="1">
      <c r="A274" s="117"/>
      <c r="B274" s="70">
        <f t="shared" si="21"/>
        <v>44066</v>
      </c>
      <c r="C274" s="82" t="str">
        <f t="shared" si="18"/>
        <v>dimanche</v>
      </c>
      <c r="D274" s="87"/>
      <c r="E274" s="115" t="str">
        <f t="shared" si="19"/>
        <v/>
      </c>
      <c r="F274" s="115" t="str">
        <f t="shared" si="20"/>
        <v/>
      </c>
      <c r="G274" s="116" t="str">
        <f>IF(ISNONTEXT(D274),"",E274-MAX($F$2:F273))</f>
        <v/>
      </c>
      <c r="H274" s="98"/>
      <c r="I274" s="74" t="str">
        <f ca="1">IF(D274="N",COUNTIF(INDIRECT(ADDRESS(MATCH(Plages!$D$19,'Planning annuel mixing coater'!$B:$B),4)):D274,"N"),IF(D274="N1",COUNTIF($D$9:D274,"N1"),""))</f>
        <v/>
      </c>
      <c r="J274" s="96" t="str">
        <f>IF(D274="","",COUNTA(D268:D274)-(COUNTA(D274:D274)-1))</f>
        <v/>
      </c>
    </row>
    <row r="275" spans="1:10" thickBot="1">
      <c r="A275" s="117"/>
      <c r="B275" s="70">
        <f t="shared" si="21"/>
        <v>44067</v>
      </c>
      <c r="C275" s="82" t="str">
        <f t="shared" si="18"/>
        <v>lundi</v>
      </c>
      <c r="D275" s="87"/>
      <c r="E275" s="115" t="str">
        <f t="shared" si="19"/>
        <v/>
      </c>
      <c r="F275" s="115" t="str">
        <f t="shared" si="20"/>
        <v/>
      </c>
      <c r="G275" s="116" t="str">
        <f>IF(ISNONTEXT(D275),"",E275-MAX($F$2:F274))</f>
        <v/>
      </c>
      <c r="H275" s="97"/>
      <c r="I275" s="74" t="str">
        <f ca="1">IF(D275="N",COUNTIF(INDIRECT(ADDRESS(MATCH(Plages!$D$19,'Planning annuel mixing coater'!$B:$B),4)):D275,"N"),IF(D275="N1",COUNTIF($D$9:D275,"N1"),""))</f>
        <v/>
      </c>
      <c r="J275" s="96" t="str">
        <f>IF(D275="","",COUNTA(D268:D275)-(COUNTA(D275:D275)-1))</f>
        <v/>
      </c>
    </row>
    <row r="276" spans="1:10" thickBot="1">
      <c r="A276" s="117"/>
      <c r="B276" s="70">
        <f t="shared" si="21"/>
        <v>44068</v>
      </c>
      <c r="C276" s="82" t="str">
        <f t="shared" si="18"/>
        <v>mardi</v>
      </c>
      <c r="D276" s="87"/>
      <c r="E276" s="115" t="str">
        <f t="shared" si="19"/>
        <v/>
      </c>
      <c r="F276" s="115" t="str">
        <f t="shared" si="20"/>
        <v/>
      </c>
      <c r="G276" s="116" t="str">
        <f>IF(ISNONTEXT(D276),"",E276-MAX($F$2:F275))</f>
        <v/>
      </c>
      <c r="H276" s="97"/>
      <c r="I276" s="74" t="str">
        <f ca="1">IF(D276="N",COUNTIF(INDIRECT(ADDRESS(MATCH(Plages!$D$19,'Planning annuel mixing coater'!$B:$B),4)):D276,"N"),IF(D276="N1",COUNTIF($D$9:D276,"N1"),""))</f>
        <v/>
      </c>
      <c r="J276" s="96" t="str">
        <f>IF(D276="","",COUNTA(D268:D276)-(COUNTA(D276:D276)-1))</f>
        <v/>
      </c>
    </row>
    <row r="277" spans="1:10" thickBot="1">
      <c r="A277" s="117"/>
      <c r="B277" s="70">
        <f t="shared" si="21"/>
        <v>44069</v>
      </c>
      <c r="C277" s="82" t="str">
        <f t="shared" si="18"/>
        <v>mercredi</v>
      </c>
      <c r="D277" s="87"/>
      <c r="E277" s="115" t="str">
        <f t="shared" si="19"/>
        <v/>
      </c>
      <c r="F277" s="115" t="str">
        <f t="shared" si="20"/>
        <v/>
      </c>
      <c r="G277" s="116" t="str">
        <f>IF(ISNONTEXT(D277),"",E277-MAX($F$2:F276))</f>
        <v/>
      </c>
      <c r="H277" s="97"/>
      <c r="I277" s="74" t="str">
        <f ca="1">IF(D277="N",COUNTIF(INDIRECT(ADDRESS(MATCH(Plages!$D$19,'Planning annuel mixing coater'!$B:$B),4)):D277,"N"),IF(D277="N1",COUNTIF($D$9:D277,"N1"),""))</f>
        <v/>
      </c>
      <c r="J277" s="96" t="str">
        <f>IF(D277="","",COUNTA(D268:D277)-(COUNTA(D277:D277)-1))</f>
        <v/>
      </c>
    </row>
    <row r="278" spans="1:10" thickBot="1">
      <c r="A278" s="117"/>
      <c r="B278" s="70">
        <f t="shared" si="21"/>
        <v>44070</v>
      </c>
      <c r="C278" s="82" t="str">
        <f t="shared" si="18"/>
        <v>jeudi</v>
      </c>
      <c r="D278" s="87"/>
      <c r="E278" s="115" t="str">
        <f t="shared" si="19"/>
        <v/>
      </c>
      <c r="F278" s="115" t="str">
        <f t="shared" si="20"/>
        <v/>
      </c>
      <c r="G278" s="116" t="str">
        <f>IF(ISNONTEXT(D278),"",E278-MAX($F$2:F277))</f>
        <v/>
      </c>
      <c r="H278" s="97"/>
      <c r="I278" s="74" t="str">
        <f ca="1">IF(D278="N",COUNTIF(INDIRECT(ADDRESS(MATCH(Plages!$D$19,'Planning annuel mixing coater'!$B:$B),4)):D278,"N"),IF(D278="N1",COUNTIF($D$9:D278,"N1"),""))</f>
        <v/>
      </c>
      <c r="J278" s="96" t="str">
        <f>IF(D278="","",COUNTA(D268:D278)-(COUNTA(D278:D278)-1))</f>
        <v/>
      </c>
    </row>
    <row r="279" spans="1:10" thickBot="1">
      <c r="A279" s="117"/>
      <c r="B279" s="70">
        <f t="shared" si="21"/>
        <v>44071</v>
      </c>
      <c r="C279" s="82" t="str">
        <f t="shared" si="18"/>
        <v>vendredi</v>
      </c>
      <c r="D279" s="87"/>
      <c r="E279" s="115" t="str">
        <f t="shared" si="19"/>
        <v/>
      </c>
      <c r="F279" s="115" t="str">
        <f t="shared" si="20"/>
        <v/>
      </c>
      <c r="G279" s="116" t="str">
        <f>IF(ISNONTEXT(D279),"",E279-MAX($F$2:F278))</f>
        <v/>
      </c>
      <c r="H279" s="97"/>
      <c r="I279" s="74" t="str">
        <f ca="1">IF(D279="N",COUNTIF(INDIRECT(ADDRESS(MATCH(Plages!$D$19,'Planning annuel mixing coater'!$B:$B),4)):D279,"N"),IF(D279="N1",COUNTIF($D$9:D279,"N1"),""))</f>
        <v/>
      </c>
      <c r="J279" s="96" t="str">
        <f>IF(D279="","",COUNTA(D268:D279)-(COUNTA(D279:D279)-1))</f>
        <v/>
      </c>
    </row>
    <row r="280" spans="1:10" thickBot="1">
      <c r="A280" s="117"/>
      <c r="B280" s="70">
        <f t="shared" si="21"/>
        <v>44072</v>
      </c>
      <c r="C280" s="82" t="str">
        <f t="shared" si="18"/>
        <v>samedi</v>
      </c>
      <c r="D280" s="87"/>
      <c r="E280" s="115" t="str">
        <f t="shared" si="19"/>
        <v/>
      </c>
      <c r="F280" s="115" t="str">
        <f t="shared" si="20"/>
        <v/>
      </c>
      <c r="G280" s="116" t="str">
        <f>IF(ISNONTEXT(D280),"",E280-MAX($F$2:F279))</f>
        <v/>
      </c>
      <c r="H280" s="97"/>
      <c r="I280" s="74" t="str">
        <f ca="1">IF(D280="N",COUNTIF(INDIRECT(ADDRESS(MATCH(Plages!$D$19,'Planning annuel mixing coater'!$B:$B),4)):D280,"N"),IF(D280="N1",COUNTIF($D$9:D280,"N1"),""))</f>
        <v/>
      </c>
      <c r="J280" s="96" t="str">
        <f>IF(D280="","",COUNTA(D268:D280)-(COUNTA(D280:D280)-1))</f>
        <v/>
      </c>
    </row>
    <row r="281" spans="1:10" s="77" customFormat="1" thickBot="1">
      <c r="A281" s="117"/>
      <c r="B281" s="75">
        <f t="shared" si="21"/>
        <v>44073</v>
      </c>
      <c r="C281" s="83" t="str">
        <f t="shared" si="18"/>
        <v>dimanche</v>
      </c>
      <c r="D281" s="88"/>
      <c r="E281" s="115" t="str">
        <f t="shared" si="19"/>
        <v/>
      </c>
      <c r="F281" s="115" t="str">
        <f t="shared" si="20"/>
        <v/>
      </c>
      <c r="G281" s="116" t="str">
        <f>IF(ISNONTEXT(D281),"",E281-MAX($F$2:F280))</f>
        <v/>
      </c>
      <c r="H281" s="98"/>
      <c r="I281" s="76" t="str">
        <f ca="1">IF(D281="N",COUNTIF(INDIRECT(ADDRESS(MATCH(Plages!$D$19,'Planning annuel mixing coater'!$B:$B),4)):D281,"N"),IF(D281="N1",COUNTIF($D$9:D281,"N1"),""))</f>
        <v/>
      </c>
      <c r="J281" s="99" t="str">
        <f>IF(D281="","",COUNTA(D268:D281)-(COUNTA(D281:D281)-1))</f>
        <v/>
      </c>
    </row>
    <row r="282" spans="1:10" ht="16.5" thickTop="1" thickBot="1">
      <c r="A282" s="117"/>
      <c r="B282" s="78">
        <f t="shared" si="21"/>
        <v>44074</v>
      </c>
      <c r="C282" s="81" t="str">
        <f t="shared" si="18"/>
        <v>lundi</v>
      </c>
      <c r="D282" s="89"/>
      <c r="E282" s="115" t="str">
        <f t="shared" si="19"/>
        <v/>
      </c>
      <c r="F282" s="115" t="str">
        <f t="shared" si="20"/>
        <v/>
      </c>
      <c r="G282" s="116" t="str">
        <f>IF(ISNONTEXT(D282),"",E282-MAX($F$2:F281))</f>
        <v/>
      </c>
      <c r="H282" s="100"/>
      <c r="I282" s="79" t="str">
        <f ca="1">IF(D282="N",COUNTIF(INDIRECT(ADDRESS(MATCH(Plages!$D$19,'Planning annuel mixing coater'!$B:$B),4)):D282,"N"),IF(D282="N1",COUNTIF($D$9:D282,"N1"),""))</f>
        <v/>
      </c>
      <c r="J282" s="101" t="str">
        <f>IF(D282="","",COUNTA(D282:D282)-(COUNTA(D282:D282)-1))</f>
        <v/>
      </c>
    </row>
    <row r="283" spans="1:10" thickBot="1">
      <c r="A283" s="117"/>
      <c r="B283" s="70">
        <f t="shared" si="21"/>
        <v>44075</v>
      </c>
      <c r="C283" s="82" t="str">
        <f t="shared" si="18"/>
        <v>mardi</v>
      </c>
      <c r="D283" s="87"/>
      <c r="E283" s="115" t="str">
        <f t="shared" si="19"/>
        <v/>
      </c>
      <c r="F283" s="115" t="str">
        <f t="shared" si="20"/>
        <v/>
      </c>
      <c r="G283" s="116" t="str">
        <f>IF(ISNONTEXT(D283),"",E283-MAX($F$2:F282))</f>
        <v/>
      </c>
      <c r="H283" s="97"/>
      <c r="I283" s="74" t="str">
        <f ca="1">IF(D283="N",COUNTIF(INDIRECT(ADDRESS(MATCH(Plages!$D$19,'Planning annuel mixing coater'!$B:$B),4)):D283,"N"),IF(D283="N1",COUNTIF($D$9:D283,"N1"),""))</f>
        <v/>
      </c>
      <c r="J283" s="96" t="str">
        <f>IF(D283="","",COUNTA(D282:D283)-(COUNTA(D283:D283)-1))</f>
        <v/>
      </c>
    </row>
    <row r="284" spans="1:10" thickBot="1">
      <c r="A284" s="117"/>
      <c r="B284" s="70">
        <f t="shared" si="21"/>
        <v>44076</v>
      </c>
      <c r="C284" s="82" t="str">
        <f t="shared" si="18"/>
        <v>mercredi</v>
      </c>
      <c r="D284" s="87"/>
      <c r="E284" s="115" t="str">
        <f t="shared" si="19"/>
        <v/>
      </c>
      <c r="F284" s="115" t="str">
        <f t="shared" si="20"/>
        <v/>
      </c>
      <c r="G284" s="116" t="str">
        <f>IF(ISNONTEXT(D284),"",E284-MAX($F$2:F283))</f>
        <v/>
      </c>
      <c r="H284" s="97"/>
      <c r="I284" s="74" t="str">
        <f ca="1">IF(D284="N",COUNTIF(INDIRECT(ADDRESS(MATCH(Plages!$D$19,'Planning annuel mixing coater'!$B:$B),4)):D284,"N"),IF(D284="N1",COUNTIF($D$9:D284,"N1"),""))</f>
        <v/>
      </c>
      <c r="J284" s="96" t="str">
        <f>IF(D284="","",COUNTA(D282:D284)-(COUNTA(D284:D284)-1))</f>
        <v/>
      </c>
    </row>
    <row r="285" spans="1:10" thickBot="1">
      <c r="A285" s="117"/>
      <c r="B285" s="70">
        <f t="shared" si="21"/>
        <v>44077</v>
      </c>
      <c r="C285" s="82" t="str">
        <f t="shared" si="18"/>
        <v>jeudi</v>
      </c>
      <c r="D285" s="87"/>
      <c r="E285" s="115" t="str">
        <f t="shared" si="19"/>
        <v/>
      </c>
      <c r="F285" s="115" t="str">
        <f t="shared" si="20"/>
        <v/>
      </c>
      <c r="G285" s="116" t="str">
        <f>IF(ISNONTEXT(D285),"",E285-MAX($F$2:F284))</f>
        <v/>
      </c>
      <c r="H285" s="97"/>
      <c r="I285" s="74" t="str">
        <f ca="1">IF(D285="N",COUNTIF(INDIRECT(ADDRESS(MATCH(Plages!$D$19,'Planning annuel mixing coater'!$B:$B),4)):D285,"N"),IF(D285="N1",COUNTIF($D$9:D285,"N1"),""))</f>
        <v/>
      </c>
      <c r="J285" s="96" t="str">
        <f>IF(D285="","",COUNTA(D282:D285)-(COUNTA(D285:D285)-1))</f>
        <v/>
      </c>
    </row>
    <row r="286" spans="1:10" thickBot="1">
      <c r="A286" s="117"/>
      <c r="B286" s="70">
        <f t="shared" si="21"/>
        <v>44078</v>
      </c>
      <c r="C286" s="82" t="str">
        <f t="shared" ref="C286:C349" si="22">IF(B286="","",TEXT(B286,"jjjj"))</f>
        <v>vendredi</v>
      </c>
      <c r="D286" s="87"/>
      <c r="E286" s="115" t="str">
        <f t="shared" ref="E286:E349" si="23">IF(D286="","",B286+VLOOKUP(D286,Plageh,2,0))</f>
        <v/>
      </c>
      <c r="F286" s="115" t="str">
        <f t="shared" ref="F286:F349" si="24">IF(D286="","",B286+VLOOKUP(D286,Plageh,3,0))</f>
        <v/>
      </c>
      <c r="G286" s="116" t="str">
        <f>IF(ISNONTEXT(D286),"",E286-MAX($F$2:F285))</f>
        <v/>
      </c>
      <c r="H286" s="97"/>
      <c r="I286" s="74" t="str">
        <f ca="1">IF(D286="N",COUNTIF(INDIRECT(ADDRESS(MATCH(Plages!$D$19,'Planning annuel mixing coater'!$B:$B),4)):D286,"N"),IF(D286="N1",COUNTIF($D$9:D286,"N1"),""))</f>
        <v/>
      </c>
      <c r="J286" s="96" t="str">
        <f>IF(D286="","",COUNTA(D282:D286)-(COUNTA(D286:D286)-1))</f>
        <v/>
      </c>
    </row>
    <row r="287" spans="1:10" thickBot="1">
      <c r="A287" s="117"/>
      <c r="B287" s="70">
        <f t="shared" si="21"/>
        <v>44079</v>
      </c>
      <c r="C287" s="82" t="str">
        <f t="shared" si="22"/>
        <v>samedi</v>
      </c>
      <c r="D287" s="87"/>
      <c r="E287" s="115" t="str">
        <f t="shared" si="23"/>
        <v/>
      </c>
      <c r="F287" s="115" t="str">
        <f t="shared" si="24"/>
        <v/>
      </c>
      <c r="G287" s="116" t="str">
        <f>IF(ISNONTEXT(D287),"",E287-MAX($F$2:F286))</f>
        <v/>
      </c>
      <c r="H287" s="97"/>
      <c r="I287" s="74" t="str">
        <f ca="1">IF(D287="N",COUNTIF(INDIRECT(ADDRESS(MATCH(Plages!$D$19,'Planning annuel mixing coater'!$B:$B),4)):D287,"N"),IF(D287="N1",COUNTIF($D$9:D287,"N1"),""))</f>
        <v/>
      </c>
      <c r="J287" s="96" t="str">
        <f>IF(D287="","",COUNTA(D282:D287)-(COUNTA(D287:D287)-1))</f>
        <v/>
      </c>
    </row>
    <row r="288" spans="1:10" thickBot="1">
      <c r="A288" s="117"/>
      <c r="B288" s="70">
        <f t="shared" si="21"/>
        <v>44080</v>
      </c>
      <c r="C288" s="82" t="str">
        <f t="shared" si="22"/>
        <v>dimanche</v>
      </c>
      <c r="D288" s="87"/>
      <c r="E288" s="115" t="str">
        <f t="shared" si="23"/>
        <v/>
      </c>
      <c r="F288" s="115" t="str">
        <f t="shared" si="24"/>
        <v/>
      </c>
      <c r="G288" s="116" t="str">
        <f>IF(ISNONTEXT(D288),"",E288-MAX($F$2:F287))</f>
        <v/>
      </c>
      <c r="H288" s="98"/>
      <c r="I288" s="74" t="str">
        <f ca="1">IF(D288="N",COUNTIF(INDIRECT(ADDRESS(MATCH(Plages!$D$19,'Planning annuel mixing coater'!$B:$B),4)):D288,"N"),IF(D288="N1",COUNTIF($D$9:D288,"N1"),""))</f>
        <v/>
      </c>
      <c r="J288" s="96" t="str">
        <f>IF(D288="","",COUNTA(D282:D288)-(COUNTA(D288:D288)-1))</f>
        <v/>
      </c>
    </row>
    <row r="289" spans="1:10" thickBot="1">
      <c r="A289" s="117"/>
      <c r="B289" s="70">
        <f t="shared" si="21"/>
        <v>44081</v>
      </c>
      <c r="C289" s="82" t="str">
        <f t="shared" si="22"/>
        <v>lundi</v>
      </c>
      <c r="D289" s="87"/>
      <c r="E289" s="115" t="str">
        <f t="shared" si="23"/>
        <v/>
      </c>
      <c r="F289" s="115" t="str">
        <f t="shared" si="24"/>
        <v/>
      </c>
      <c r="G289" s="116" t="str">
        <f>IF(ISNONTEXT(D289),"",E289-MAX($F$2:F288))</f>
        <v/>
      </c>
      <c r="H289" s="97"/>
      <c r="I289" s="74" t="str">
        <f ca="1">IF(D289="N",COUNTIF(INDIRECT(ADDRESS(MATCH(Plages!$D$19,'Planning annuel mixing coater'!$B:$B),4)):D289,"N"),IF(D289="N1",COUNTIF($D$9:D289,"N1"),""))</f>
        <v/>
      </c>
      <c r="J289" s="96" t="str">
        <f>IF(D289="","",COUNTA(D282:D289)-(COUNTA(D289:D289)-1))</f>
        <v/>
      </c>
    </row>
    <row r="290" spans="1:10" thickBot="1">
      <c r="A290" s="117"/>
      <c r="B290" s="70">
        <f t="shared" si="21"/>
        <v>44082</v>
      </c>
      <c r="C290" s="82" t="str">
        <f t="shared" si="22"/>
        <v>mardi</v>
      </c>
      <c r="D290" s="87"/>
      <c r="E290" s="115" t="str">
        <f t="shared" si="23"/>
        <v/>
      </c>
      <c r="F290" s="115" t="str">
        <f t="shared" si="24"/>
        <v/>
      </c>
      <c r="G290" s="116" t="str">
        <f>IF(ISNONTEXT(D290),"",E290-MAX($F$2:F289))</f>
        <v/>
      </c>
      <c r="H290" s="97"/>
      <c r="I290" s="74" t="str">
        <f ca="1">IF(D290="N",COUNTIF(INDIRECT(ADDRESS(MATCH(Plages!$D$19,'Planning annuel mixing coater'!$B:$B),4)):D290,"N"),IF(D290="N1",COUNTIF($D$9:D290,"N1"),""))</f>
        <v/>
      </c>
      <c r="J290" s="96" t="str">
        <f>IF(D290="","",COUNTA(D282:D290)-(COUNTA(D290:D290)-1))</f>
        <v/>
      </c>
    </row>
    <row r="291" spans="1:10" thickBot="1">
      <c r="A291" s="117"/>
      <c r="B291" s="70">
        <f t="shared" si="21"/>
        <v>44083</v>
      </c>
      <c r="C291" s="82" t="str">
        <f t="shared" si="22"/>
        <v>mercredi</v>
      </c>
      <c r="D291" s="87"/>
      <c r="E291" s="115" t="str">
        <f t="shared" si="23"/>
        <v/>
      </c>
      <c r="F291" s="115" t="str">
        <f t="shared" si="24"/>
        <v/>
      </c>
      <c r="G291" s="116" t="str">
        <f>IF(ISNONTEXT(D291),"",E291-MAX($F$2:F290))</f>
        <v/>
      </c>
      <c r="H291" s="97"/>
      <c r="I291" s="74" t="str">
        <f ca="1">IF(D291="N",COUNTIF(INDIRECT(ADDRESS(MATCH(Plages!$D$19,'Planning annuel mixing coater'!$B:$B),4)):D291,"N"),IF(D291="N1",COUNTIF($D$9:D291,"N1"),""))</f>
        <v/>
      </c>
      <c r="J291" s="96" t="str">
        <f>IF(D291="","",COUNTA(D282:D291)-(COUNTA(D291:D291)-1))</f>
        <v/>
      </c>
    </row>
    <row r="292" spans="1:10" thickBot="1">
      <c r="A292" s="117"/>
      <c r="B292" s="70">
        <f t="shared" si="21"/>
        <v>44084</v>
      </c>
      <c r="C292" s="82" t="str">
        <f t="shared" si="22"/>
        <v>jeudi</v>
      </c>
      <c r="D292" s="87"/>
      <c r="E292" s="115" t="str">
        <f t="shared" si="23"/>
        <v/>
      </c>
      <c r="F292" s="115" t="str">
        <f t="shared" si="24"/>
        <v/>
      </c>
      <c r="G292" s="116" t="str">
        <f>IF(ISNONTEXT(D292),"",E292-MAX($F$2:F291))</f>
        <v/>
      </c>
      <c r="H292" s="97"/>
      <c r="I292" s="74" t="str">
        <f ca="1">IF(D292="N",COUNTIF(INDIRECT(ADDRESS(MATCH(Plages!$D$19,'Planning annuel mixing coater'!$B:$B),4)):D292,"N"),IF(D292="N1",COUNTIF($D$9:D292,"N1"),""))</f>
        <v/>
      </c>
      <c r="J292" s="96" t="str">
        <f>IF(D292="","",COUNTA(D282:D292)-(COUNTA(D292:D292)-1))</f>
        <v/>
      </c>
    </row>
    <row r="293" spans="1:10" thickBot="1">
      <c r="A293" s="117"/>
      <c r="B293" s="70">
        <f t="shared" si="21"/>
        <v>44085</v>
      </c>
      <c r="C293" s="82" t="str">
        <f t="shared" si="22"/>
        <v>vendredi</v>
      </c>
      <c r="D293" s="87"/>
      <c r="E293" s="115" t="str">
        <f t="shared" si="23"/>
        <v/>
      </c>
      <c r="F293" s="115" t="str">
        <f t="shared" si="24"/>
        <v/>
      </c>
      <c r="G293" s="116" t="str">
        <f>IF(ISNONTEXT(D293),"",E293-MAX($F$2:F292))</f>
        <v/>
      </c>
      <c r="H293" s="97"/>
      <c r="I293" s="74" t="str">
        <f ca="1">IF(D293="N",COUNTIF(INDIRECT(ADDRESS(MATCH(Plages!$D$19,'Planning annuel mixing coater'!$B:$B),4)):D293,"N"),IF(D293="N1",COUNTIF($D$9:D293,"N1"),""))</f>
        <v/>
      </c>
      <c r="J293" s="96" t="str">
        <f>IF(D293="","",COUNTA(D282:D293)-(COUNTA(D293:D293)-1))</f>
        <v/>
      </c>
    </row>
    <row r="294" spans="1:10" thickBot="1">
      <c r="A294" s="117"/>
      <c r="B294" s="70">
        <f t="shared" si="21"/>
        <v>44086</v>
      </c>
      <c r="C294" s="82" t="str">
        <f t="shared" si="22"/>
        <v>samedi</v>
      </c>
      <c r="D294" s="87"/>
      <c r="E294" s="115" t="str">
        <f t="shared" si="23"/>
        <v/>
      </c>
      <c r="F294" s="115" t="str">
        <f t="shared" si="24"/>
        <v/>
      </c>
      <c r="G294" s="116" t="str">
        <f>IF(ISNONTEXT(D294),"",E294-MAX($F$2:F293))</f>
        <v/>
      </c>
      <c r="H294" s="97"/>
      <c r="I294" s="74" t="str">
        <f ca="1">IF(D294="N",COUNTIF(INDIRECT(ADDRESS(MATCH(Plages!$D$19,'Planning annuel mixing coater'!$B:$B),4)):D294,"N"),IF(D294="N1",COUNTIF($D$9:D294,"N1"),""))</f>
        <v/>
      </c>
      <c r="J294" s="96" t="str">
        <f>IF(D294="","",COUNTA(D282:D294)-(COUNTA(D294:D294)-1))</f>
        <v/>
      </c>
    </row>
    <row r="295" spans="1:10" s="77" customFormat="1" thickBot="1">
      <c r="A295" s="117"/>
      <c r="B295" s="75">
        <f t="shared" si="21"/>
        <v>44087</v>
      </c>
      <c r="C295" s="83" t="str">
        <f t="shared" si="22"/>
        <v>dimanche</v>
      </c>
      <c r="D295" s="88"/>
      <c r="E295" s="115" t="str">
        <f t="shared" si="23"/>
        <v/>
      </c>
      <c r="F295" s="115" t="str">
        <f t="shared" si="24"/>
        <v/>
      </c>
      <c r="G295" s="116" t="str">
        <f>IF(ISNONTEXT(D295),"",E295-MAX($F$2:F294))</f>
        <v/>
      </c>
      <c r="H295" s="98"/>
      <c r="I295" s="76" t="str">
        <f ca="1">IF(D295="N",COUNTIF(INDIRECT(ADDRESS(MATCH(Plages!$D$19,'Planning annuel mixing coater'!$B:$B),4)):D295,"N"),IF(D295="N1",COUNTIF($D$9:D295,"N1"),""))</f>
        <v/>
      </c>
      <c r="J295" s="99" t="str">
        <f>IF(D295="","",COUNTA(D282:D295)-(COUNTA(D295:D295)-1))</f>
        <v/>
      </c>
    </row>
    <row r="296" spans="1:10" ht="16.5" thickTop="1" thickBot="1">
      <c r="A296" s="117"/>
      <c r="B296" s="78">
        <f t="shared" si="21"/>
        <v>44088</v>
      </c>
      <c r="C296" s="81" t="str">
        <f t="shared" si="22"/>
        <v>lundi</v>
      </c>
      <c r="D296" s="89"/>
      <c r="E296" s="115" t="str">
        <f t="shared" si="23"/>
        <v/>
      </c>
      <c r="F296" s="115" t="str">
        <f t="shared" si="24"/>
        <v/>
      </c>
      <c r="G296" s="116" t="str">
        <f>IF(ISNONTEXT(D296),"",E296-MAX($F$2:F295))</f>
        <v/>
      </c>
      <c r="H296" s="100"/>
      <c r="I296" s="79" t="str">
        <f ca="1">IF(D296="N",COUNTIF(INDIRECT(ADDRESS(MATCH(Plages!$D$19,'Planning annuel mixing coater'!$B:$B),4)):D296,"N"),IF(D296="N1",COUNTIF($D$9:D296,"N1"),""))</f>
        <v/>
      </c>
      <c r="J296" s="101" t="str">
        <f>IF(D296="","",COUNTA(D296:D296)-(COUNTA(D296:D296)-1))</f>
        <v/>
      </c>
    </row>
    <row r="297" spans="1:10" thickBot="1">
      <c r="A297" s="117"/>
      <c r="B297" s="70">
        <f t="shared" si="21"/>
        <v>44089</v>
      </c>
      <c r="C297" s="82" t="str">
        <f t="shared" si="22"/>
        <v>mardi</v>
      </c>
      <c r="D297" s="87"/>
      <c r="E297" s="115" t="str">
        <f t="shared" si="23"/>
        <v/>
      </c>
      <c r="F297" s="115" t="str">
        <f t="shared" si="24"/>
        <v/>
      </c>
      <c r="G297" s="116" t="str">
        <f>IF(ISNONTEXT(D297),"",E297-MAX($F$2:F296))</f>
        <v/>
      </c>
      <c r="H297" s="97"/>
      <c r="I297" s="74" t="str">
        <f ca="1">IF(D297="N",COUNTIF(INDIRECT(ADDRESS(MATCH(Plages!$D$19,'Planning annuel mixing coater'!$B:$B),4)):D297,"N"),IF(D297="N1",COUNTIF($D$9:D297,"N1"),""))</f>
        <v/>
      </c>
      <c r="J297" s="96" t="str">
        <f>IF(D297="","",COUNTA(D296:D297)-(COUNTA(D297:D297)-1))</f>
        <v/>
      </c>
    </row>
    <row r="298" spans="1:10" thickBot="1">
      <c r="A298" s="117"/>
      <c r="B298" s="70">
        <f t="shared" si="21"/>
        <v>44090</v>
      </c>
      <c r="C298" s="82" t="str">
        <f t="shared" si="22"/>
        <v>mercredi</v>
      </c>
      <c r="D298" s="87"/>
      <c r="E298" s="115" t="str">
        <f t="shared" si="23"/>
        <v/>
      </c>
      <c r="F298" s="115" t="str">
        <f t="shared" si="24"/>
        <v/>
      </c>
      <c r="G298" s="116" t="str">
        <f>IF(ISNONTEXT(D298),"",E298-MAX($F$2:F297))</f>
        <v/>
      </c>
      <c r="H298" s="97"/>
      <c r="I298" s="74" t="str">
        <f ca="1">IF(D298="N",COUNTIF(INDIRECT(ADDRESS(MATCH(Plages!$D$19,'Planning annuel mixing coater'!$B:$B),4)):D298,"N"),IF(D298="N1",COUNTIF($D$9:D298,"N1"),""))</f>
        <v/>
      </c>
      <c r="J298" s="96" t="str">
        <f>IF(D298="","",COUNTA(D296:D298)-(COUNTA(D298:D298)-1))</f>
        <v/>
      </c>
    </row>
    <row r="299" spans="1:10" thickBot="1">
      <c r="A299" s="117"/>
      <c r="B299" s="70">
        <f t="shared" si="21"/>
        <v>44091</v>
      </c>
      <c r="C299" s="82" t="str">
        <f t="shared" si="22"/>
        <v>jeudi</v>
      </c>
      <c r="D299" s="87"/>
      <c r="E299" s="115" t="str">
        <f t="shared" si="23"/>
        <v/>
      </c>
      <c r="F299" s="115" t="str">
        <f t="shared" si="24"/>
        <v/>
      </c>
      <c r="G299" s="116" t="str">
        <f>IF(ISNONTEXT(D299),"",E299-MAX($F$2:F298))</f>
        <v/>
      </c>
      <c r="H299" s="97"/>
      <c r="I299" s="74" t="str">
        <f ca="1">IF(D299="N",COUNTIF(INDIRECT(ADDRESS(MATCH(Plages!$D$19,'Planning annuel mixing coater'!$B:$B),4)):D299,"N"),IF(D299="N1",COUNTIF($D$9:D299,"N1"),""))</f>
        <v/>
      </c>
      <c r="J299" s="96" t="str">
        <f>IF(D299="","",COUNTA(D296:D299)-(COUNTA(D299:D299)-1))</f>
        <v/>
      </c>
    </row>
    <row r="300" spans="1:10" thickBot="1">
      <c r="A300" s="117"/>
      <c r="B300" s="70">
        <f t="shared" si="21"/>
        <v>44092</v>
      </c>
      <c r="C300" s="82" t="str">
        <f t="shared" si="22"/>
        <v>vendredi</v>
      </c>
      <c r="D300" s="87"/>
      <c r="E300" s="115" t="str">
        <f t="shared" si="23"/>
        <v/>
      </c>
      <c r="F300" s="115" t="str">
        <f t="shared" si="24"/>
        <v/>
      </c>
      <c r="G300" s="116" t="str">
        <f>IF(ISNONTEXT(D300),"",E300-MAX($F$2:F299))</f>
        <v/>
      </c>
      <c r="H300" s="97"/>
      <c r="I300" s="74" t="str">
        <f ca="1">IF(D300="N",COUNTIF(INDIRECT(ADDRESS(MATCH(Plages!$D$19,'Planning annuel mixing coater'!$B:$B),4)):D300,"N"),IF(D300="N1",COUNTIF($D$9:D300,"N1"),""))</f>
        <v/>
      </c>
      <c r="J300" s="96" t="str">
        <f>IF(D300="","",COUNTA(D296:D300)-(COUNTA(D300:D300)-1))</f>
        <v/>
      </c>
    </row>
    <row r="301" spans="1:10" thickBot="1">
      <c r="A301" s="117"/>
      <c r="B301" s="70">
        <f t="shared" si="21"/>
        <v>44093</v>
      </c>
      <c r="C301" s="82" t="str">
        <f t="shared" si="22"/>
        <v>samedi</v>
      </c>
      <c r="D301" s="87"/>
      <c r="E301" s="115" t="str">
        <f t="shared" si="23"/>
        <v/>
      </c>
      <c r="F301" s="115" t="str">
        <f t="shared" si="24"/>
        <v/>
      </c>
      <c r="G301" s="116" t="str">
        <f>IF(ISNONTEXT(D301),"",E301-MAX($F$2:F300))</f>
        <v/>
      </c>
      <c r="H301" s="97"/>
      <c r="I301" s="74" t="str">
        <f ca="1">IF(D301="N",COUNTIF(INDIRECT(ADDRESS(MATCH(Plages!$D$19,'Planning annuel mixing coater'!$B:$B),4)):D301,"N"),IF(D301="N1",COUNTIF($D$9:D301,"N1"),""))</f>
        <v/>
      </c>
      <c r="J301" s="96" t="str">
        <f>IF(D301="","",COUNTA(D296:D301)-(COUNTA(D301:D301)-1))</f>
        <v/>
      </c>
    </row>
    <row r="302" spans="1:10" thickBot="1">
      <c r="A302" s="117"/>
      <c r="B302" s="70">
        <f t="shared" si="21"/>
        <v>44094</v>
      </c>
      <c r="C302" s="82" t="str">
        <f t="shared" si="22"/>
        <v>dimanche</v>
      </c>
      <c r="D302" s="87"/>
      <c r="E302" s="115" t="str">
        <f t="shared" si="23"/>
        <v/>
      </c>
      <c r="F302" s="115" t="str">
        <f t="shared" si="24"/>
        <v/>
      </c>
      <c r="G302" s="116" t="str">
        <f>IF(ISNONTEXT(D302),"",E302-MAX($F$2:F301))</f>
        <v/>
      </c>
      <c r="H302" s="98"/>
      <c r="I302" s="74" t="str">
        <f ca="1">IF(D302="N",COUNTIF(INDIRECT(ADDRESS(MATCH(Plages!$D$19,'Planning annuel mixing coater'!$B:$B),4)):D302,"N"),IF(D302="N1",COUNTIF($D$9:D302,"N1"),""))</f>
        <v/>
      </c>
      <c r="J302" s="96" t="str">
        <f>IF(D302="","",COUNTA(D296:D302)-(COUNTA(D302:D302)-1))</f>
        <v/>
      </c>
    </row>
    <row r="303" spans="1:10" thickBot="1">
      <c r="A303" s="117"/>
      <c r="B303" s="70">
        <f t="shared" si="21"/>
        <v>44095</v>
      </c>
      <c r="C303" s="82" t="str">
        <f t="shared" si="22"/>
        <v>lundi</v>
      </c>
      <c r="D303" s="87"/>
      <c r="E303" s="115" t="str">
        <f t="shared" si="23"/>
        <v/>
      </c>
      <c r="F303" s="115" t="str">
        <f t="shared" si="24"/>
        <v/>
      </c>
      <c r="G303" s="116" t="str">
        <f>IF(ISNONTEXT(D303),"",E303-MAX($F$2:F302))</f>
        <v/>
      </c>
      <c r="H303" s="97"/>
      <c r="I303" s="74" t="str">
        <f ca="1">IF(D303="N",COUNTIF(INDIRECT(ADDRESS(MATCH(Plages!$D$19,'Planning annuel mixing coater'!$B:$B),4)):D303,"N"),IF(D303="N1",COUNTIF($D$9:D303,"N1"),""))</f>
        <v/>
      </c>
      <c r="J303" s="96" t="str">
        <f>IF(D303="","",COUNTA(D296:D303)-(COUNTA(D303:D303)-1))</f>
        <v/>
      </c>
    </row>
    <row r="304" spans="1:10" thickBot="1">
      <c r="A304" s="117"/>
      <c r="B304" s="70">
        <f t="shared" si="21"/>
        <v>44096</v>
      </c>
      <c r="C304" s="82" t="str">
        <f t="shared" si="22"/>
        <v>mardi</v>
      </c>
      <c r="D304" s="87"/>
      <c r="E304" s="115" t="str">
        <f t="shared" si="23"/>
        <v/>
      </c>
      <c r="F304" s="115" t="str">
        <f t="shared" si="24"/>
        <v/>
      </c>
      <c r="G304" s="116" t="str">
        <f>IF(ISNONTEXT(D304),"",E304-MAX($F$2:F303))</f>
        <v/>
      </c>
      <c r="H304" s="97"/>
      <c r="I304" s="74" t="str">
        <f ca="1">IF(D304="N",COUNTIF(INDIRECT(ADDRESS(MATCH(Plages!$D$19,'Planning annuel mixing coater'!$B:$B),4)):D304,"N"),IF(D304="N1",COUNTIF($D$9:D304,"N1"),""))</f>
        <v/>
      </c>
      <c r="J304" s="96" t="str">
        <f>IF(D304="","",COUNTA(D296:D304)-(COUNTA(D304:D304)-1))</f>
        <v/>
      </c>
    </row>
    <row r="305" spans="1:10" thickBot="1">
      <c r="A305" s="117"/>
      <c r="B305" s="70">
        <f t="shared" si="21"/>
        <v>44097</v>
      </c>
      <c r="C305" s="82" t="str">
        <f t="shared" si="22"/>
        <v>mercredi</v>
      </c>
      <c r="D305" s="87"/>
      <c r="E305" s="115" t="str">
        <f t="shared" si="23"/>
        <v/>
      </c>
      <c r="F305" s="115" t="str">
        <f t="shared" si="24"/>
        <v/>
      </c>
      <c r="G305" s="116" t="str">
        <f>IF(ISNONTEXT(D305),"",E305-MAX($F$2:F304))</f>
        <v/>
      </c>
      <c r="H305" s="97"/>
      <c r="I305" s="74" t="str">
        <f ca="1">IF(D305="N",COUNTIF(INDIRECT(ADDRESS(MATCH(Plages!$D$19,'Planning annuel mixing coater'!$B:$B),4)):D305,"N"),IF(D305="N1",COUNTIF($D$9:D305,"N1"),""))</f>
        <v/>
      </c>
      <c r="J305" s="96" t="str">
        <f>IF(D305="","",COUNTA(D296:D305)-(COUNTA(D305:D305)-1))</f>
        <v/>
      </c>
    </row>
    <row r="306" spans="1:10" thickBot="1">
      <c r="A306" s="117"/>
      <c r="B306" s="70">
        <f t="shared" si="21"/>
        <v>44098</v>
      </c>
      <c r="C306" s="82" t="str">
        <f t="shared" si="22"/>
        <v>jeudi</v>
      </c>
      <c r="D306" s="87"/>
      <c r="E306" s="115" t="str">
        <f t="shared" si="23"/>
        <v/>
      </c>
      <c r="F306" s="115" t="str">
        <f t="shared" si="24"/>
        <v/>
      </c>
      <c r="G306" s="116" t="str">
        <f>IF(ISNONTEXT(D306),"",E306-MAX($F$2:F305))</f>
        <v/>
      </c>
      <c r="H306" s="97"/>
      <c r="I306" s="74" t="str">
        <f ca="1">IF(D306="N",COUNTIF(INDIRECT(ADDRESS(MATCH(Plages!$D$19,'Planning annuel mixing coater'!$B:$B),4)):D306,"N"),IF(D306="N1",COUNTIF($D$9:D306,"N1"),""))</f>
        <v/>
      </c>
      <c r="J306" s="96" t="str">
        <f>IF(D306="","",COUNTA(D296:D306)-(COUNTA(D306:D306)-1))</f>
        <v/>
      </c>
    </row>
    <row r="307" spans="1:10" thickBot="1">
      <c r="A307" s="117"/>
      <c r="B307" s="70">
        <f t="shared" si="21"/>
        <v>44099</v>
      </c>
      <c r="C307" s="82" t="str">
        <f t="shared" si="22"/>
        <v>vendredi</v>
      </c>
      <c r="D307" s="87"/>
      <c r="E307" s="115" t="str">
        <f t="shared" si="23"/>
        <v/>
      </c>
      <c r="F307" s="115" t="str">
        <f t="shared" si="24"/>
        <v/>
      </c>
      <c r="G307" s="116" t="str">
        <f>IF(ISNONTEXT(D307),"",E307-MAX($F$2:F306))</f>
        <v/>
      </c>
      <c r="H307" s="97"/>
      <c r="I307" s="74" t="str">
        <f ca="1">IF(D307="N",COUNTIF(INDIRECT(ADDRESS(MATCH(Plages!$D$19,'Planning annuel mixing coater'!$B:$B),4)):D307,"N"),IF(D307="N1",COUNTIF($D$9:D307,"N1"),""))</f>
        <v/>
      </c>
      <c r="J307" s="96" t="str">
        <f>IF(D307="","",COUNTA(D296:D307)-(COUNTA(D307:D307)-1))</f>
        <v/>
      </c>
    </row>
    <row r="308" spans="1:10" thickBot="1">
      <c r="A308" s="117"/>
      <c r="B308" s="70">
        <f t="shared" si="21"/>
        <v>44100</v>
      </c>
      <c r="C308" s="82" t="str">
        <f t="shared" si="22"/>
        <v>samedi</v>
      </c>
      <c r="D308" s="87"/>
      <c r="E308" s="115" t="str">
        <f t="shared" si="23"/>
        <v/>
      </c>
      <c r="F308" s="115" t="str">
        <f t="shared" si="24"/>
        <v/>
      </c>
      <c r="G308" s="116" t="str">
        <f>IF(ISNONTEXT(D308),"",E308-MAX($F$2:F307))</f>
        <v/>
      </c>
      <c r="H308" s="97"/>
      <c r="I308" s="74" t="str">
        <f ca="1">IF(D308="N",COUNTIF(INDIRECT(ADDRESS(MATCH(Plages!$D$19,'Planning annuel mixing coater'!$B:$B),4)):D308,"N"),IF(D308="N1",COUNTIF($D$9:D308,"N1"),""))</f>
        <v/>
      </c>
      <c r="J308" s="96" t="str">
        <f>IF(D308="","",COUNTA(D296:D308)-(COUNTA(D308:D308)-1))</f>
        <v/>
      </c>
    </row>
    <row r="309" spans="1:10" s="77" customFormat="1" thickBot="1">
      <c r="A309" s="117"/>
      <c r="B309" s="75">
        <f t="shared" si="21"/>
        <v>44101</v>
      </c>
      <c r="C309" s="83" t="str">
        <f t="shared" si="22"/>
        <v>dimanche</v>
      </c>
      <c r="D309" s="88"/>
      <c r="E309" s="115" t="str">
        <f t="shared" si="23"/>
        <v/>
      </c>
      <c r="F309" s="115" t="str">
        <f t="shared" si="24"/>
        <v/>
      </c>
      <c r="G309" s="116" t="str">
        <f>IF(ISNONTEXT(D309),"",E309-MAX($F$2:F308))</f>
        <v/>
      </c>
      <c r="H309" s="98"/>
      <c r="I309" s="76" t="str">
        <f ca="1">IF(D309="N",COUNTIF(INDIRECT(ADDRESS(MATCH(Plages!$D$19,'Planning annuel mixing coater'!$B:$B),4)):D309,"N"),IF(D309="N1",COUNTIF($D$9:D309,"N1"),""))</f>
        <v/>
      </c>
      <c r="J309" s="99" t="str">
        <f>IF(D309="","",COUNTA(D296:D309)-(COUNTA(D309:D309)-1))</f>
        <v/>
      </c>
    </row>
    <row r="310" spans="1:10" ht="16.5" thickTop="1" thickBot="1">
      <c r="A310" s="117"/>
      <c r="B310" s="78">
        <f t="shared" si="21"/>
        <v>44102</v>
      </c>
      <c r="C310" s="81" t="str">
        <f t="shared" si="22"/>
        <v>lundi</v>
      </c>
      <c r="D310" s="89"/>
      <c r="E310" s="115" t="str">
        <f t="shared" si="23"/>
        <v/>
      </c>
      <c r="F310" s="115" t="str">
        <f t="shared" si="24"/>
        <v/>
      </c>
      <c r="G310" s="116" t="str">
        <f>IF(ISNONTEXT(D310),"",E310-MAX($F$2:F309))</f>
        <v/>
      </c>
      <c r="H310" s="100"/>
      <c r="I310" s="79" t="str">
        <f ca="1">IF(D310="N",COUNTIF(INDIRECT(ADDRESS(MATCH(Plages!$D$19,'Planning annuel mixing coater'!$B:$B),4)):D310,"N"),IF(D310="N1",COUNTIF($D$9:D310,"N1"),""))</f>
        <v/>
      </c>
      <c r="J310" s="101" t="str">
        <f>IF(D310="","",COUNTA(D310:D310)-(COUNTA(D310:D310)-1))</f>
        <v/>
      </c>
    </row>
    <row r="311" spans="1:10" thickBot="1">
      <c r="A311" s="117"/>
      <c r="B311" s="70">
        <f t="shared" si="21"/>
        <v>44103</v>
      </c>
      <c r="C311" s="82" t="str">
        <f t="shared" si="22"/>
        <v>mardi</v>
      </c>
      <c r="D311" s="87"/>
      <c r="E311" s="115" t="str">
        <f t="shared" si="23"/>
        <v/>
      </c>
      <c r="F311" s="115" t="str">
        <f t="shared" si="24"/>
        <v/>
      </c>
      <c r="G311" s="116" t="str">
        <f>IF(ISNONTEXT(D311),"",E311-MAX($F$2:F310))</f>
        <v/>
      </c>
      <c r="H311" s="97"/>
      <c r="I311" s="74" t="str">
        <f ca="1">IF(D311="N",COUNTIF(INDIRECT(ADDRESS(MATCH(Plages!$D$19,'Planning annuel mixing coater'!$B:$B),4)):D311,"N"),IF(D311="N1",COUNTIF($D$9:D311,"N1"),""))</f>
        <v/>
      </c>
      <c r="J311" s="96" t="str">
        <f>IF(D311="","",COUNTA(D310:D311)-(COUNTA(D311:D311)-1))</f>
        <v/>
      </c>
    </row>
    <row r="312" spans="1:10" thickBot="1">
      <c r="A312" s="117"/>
      <c r="B312" s="70">
        <f t="shared" si="21"/>
        <v>44104</v>
      </c>
      <c r="C312" s="82" t="str">
        <f t="shared" si="22"/>
        <v>mercredi</v>
      </c>
      <c r="D312" s="87"/>
      <c r="E312" s="115" t="str">
        <f t="shared" si="23"/>
        <v/>
      </c>
      <c r="F312" s="115" t="str">
        <f t="shared" si="24"/>
        <v/>
      </c>
      <c r="G312" s="116" t="str">
        <f>IF(ISNONTEXT(D312),"",E312-MAX($F$2:F311))</f>
        <v/>
      </c>
      <c r="H312" s="97"/>
      <c r="I312" s="74" t="str">
        <f ca="1">IF(D312="N",COUNTIF(INDIRECT(ADDRESS(MATCH(Plages!$D$19,'Planning annuel mixing coater'!$B:$B),4)):D312,"N"),IF(D312="N1",COUNTIF($D$9:D312,"N1"),""))</f>
        <v/>
      </c>
      <c r="J312" s="96" t="str">
        <f>IF(D312="","",COUNTA(D310:D312)-(COUNTA(D312:D312)-1))</f>
        <v/>
      </c>
    </row>
    <row r="313" spans="1:10" thickBot="1">
      <c r="A313" s="117"/>
      <c r="B313" s="70">
        <f t="shared" si="21"/>
        <v>44105</v>
      </c>
      <c r="C313" s="82" t="str">
        <f t="shared" si="22"/>
        <v>jeudi</v>
      </c>
      <c r="D313" s="87"/>
      <c r="E313" s="115" t="str">
        <f t="shared" si="23"/>
        <v/>
      </c>
      <c r="F313" s="115" t="str">
        <f t="shared" si="24"/>
        <v/>
      </c>
      <c r="G313" s="116" t="str">
        <f>IF(ISNONTEXT(D313),"",E313-MAX($F$2:F312))</f>
        <v/>
      </c>
      <c r="H313" s="97"/>
      <c r="I313" s="74" t="str">
        <f ca="1">IF(D313="N",COUNTIF(INDIRECT(ADDRESS(MATCH(Plages!$D$19,'Planning annuel mixing coater'!$B:$B),4)):D313,"N"),IF(D313="N1",COUNTIF($D$9:D313,"N1"),""))</f>
        <v/>
      </c>
      <c r="J313" s="96" t="str">
        <f>IF(D313="","",COUNTA(D310:D313)-(COUNTA(D313:D313)-1))</f>
        <v/>
      </c>
    </row>
    <row r="314" spans="1:10" thickBot="1">
      <c r="A314" s="117"/>
      <c r="B314" s="70">
        <f t="shared" si="21"/>
        <v>44106</v>
      </c>
      <c r="C314" s="82" t="str">
        <f t="shared" si="22"/>
        <v>vendredi</v>
      </c>
      <c r="D314" s="87"/>
      <c r="E314" s="115" t="str">
        <f t="shared" si="23"/>
        <v/>
      </c>
      <c r="F314" s="115" t="str">
        <f t="shared" si="24"/>
        <v/>
      </c>
      <c r="G314" s="116" t="str">
        <f>IF(ISNONTEXT(D314),"",E314-MAX($F$2:F313))</f>
        <v/>
      </c>
      <c r="H314" s="97"/>
      <c r="I314" s="74" t="str">
        <f ca="1">IF(D314="N",COUNTIF(INDIRECT(ADDRESS(MATCH(Plages!$D$19,'Planning annuel mixing coater'!$B:$B),4)):D314,"N"),IF(D314="N1",COUNTIF($D$9:D314,"N1"),""))</f>
        <v/>
      </c>
      <c r="J314" s="96" t="str">
        <f>IF(D314="","",COUNTA(D310:D314)-(COUNTA(D314:D314)-1))</f>
        <v/>
      </c>
    </row>
    <row r="315" spans="1:10" thickBot="1">
      <c r="A315" s="117"/>
      <c r="B315" s="70">
        <f t="shared" si="21"/>
        <v>44107</v>
      </c>
      <c r="C315" s="82" t="str">
        <f t="shared" si="22"/>
        <v>samedi</v>
      </c>
      <c r="D315" s="87"/>
      <c r="E315" s="115" t="str">
        <f t="shared" si="23"/>
        <v/>
      </c>
      <c r="F315" s="115" t="str">
        <f t="shared" si="24"/>
        <v/>
      </c>
      <c r="G315" s="116" t="str">
        <f>IF(ISNONTEXT(D315),"",E315-MAX($F$2:F314))</f>
        <v/>
      </c>
      <c r="H315" s="97"/>
      <c r="I315" s="74" t="str">
        <f ca="1">IF(D315="N",COUNTIF(INDIRECT(ADDRESS(MATCH(Plages!$D$19,'Planning annuel mixing coater'!$B:$B),4)):D315,"N"),IF(D315="N1",COUNTIF($D$9:D315,"N1"),""))</f>
        <v/>
      </c>
      <c r="J315" s="96" t="str">
        <f>IF(D315="","",COUNTA(D310:D315)-(COUNTA(D315:D315)-1))</f>
        <v/>
      </c>
    </row>
    <row r="316" spans="1:10" thickBot="1">
      <c r="A316" s="117"/>
      <c r="B316" s="70">
        <f t="shared" si="21"/>
        <v>44108</v>
      </c>
      <c r="C316" s="82" t="str">
        <f t="shared" si="22"/>
        <v>dimanche</v>
      </c>
      <c r="D316" s="87"/>
      <c r="E316" s="115" t="str">
        <f t="shared" si="23"/>
        <v/>
      </c>
      <c r="F316" s="115" t="str">
        <f t="shared" si="24"/>
        <v/>
      </c>
      <c r="G316" s="116" t="str">
        <f>IF(ISNONTEXT(D316),"",E316-MAX($F$2:F315))</f>
        <v/>
      </c>
      <c r="H316" s="98"/>
      <c r="I316" s="74" t="str">
        <f ca="1">IF(D316="N",COUNTIF(INDIRECT(ADDRESS(MATCH(Plages!$D$19,'Planning annuel mixing coater'!$B:$B),4)):D316,"N"),IF(D316="N1",COUNTIF($D$9:D316,"N1"),""))</f>
        <v/>
      </c>
      <c r="J316" s="96" t="str">
        <f>IF(D316="","",COUNTA(D310:D316)-(COUNTA(D316:D316)-1))</f>
        <v/>
      </c>
    </row>
    <row r="317" spans="1:10" thickBot="1">
      <c r="A317" s="117"/>
      <c r="B317" s="70">
        <f t="shared" si="21"/>
        <v>44109</v>
      </c>
      <c r="C317" s="82" t="str">
        <f t="shared" si="22"/>
        <v>lundi</v>
      </c>
      <c r="D317" s="87"/>
      <c r="E317" s="115" t="str">
        <f t="shared" si="23"/>
        <v/>
      </c>
      <c r="F317" s="115" t="str">
        <f t="shared" si="24"/>
        <v/>
      </c>
      <c r="G317" s="116" t="str">
        <f>IF(ISNONTEXT(D317),"",E317-MAX($F$2:F316))</f>
        <v/>
      </c>
      <c r="H317" s="97"/>
      <c r="I317" s="74" t="str">
        <f ca="1">IF(D317="N",COUNTIF(INDIRECT(ADDRESS(MATCH(Plages!$D$19,'Planning annuel mixing coater'!$B:$B),4)):D317,"N"),IF(D317="N1",COUNTIF($D$9:D317,"N1"),""))</f>
        <v/>
      </c>
      <c r="J317" s="96" t="str">
        <f>IF(D317="","",COUNTA(D310:D317)-(COUNTA(D317:D317)-1))</f>
        <v/>
      </c>
    </row>
    <row r="318" spans="1:10" thickBot="1">
      <c r="A318" s="117"/>
      <c r="B318" s="70">
        <f t="shared" si="21"/>
        <v>44110</v>
      </c>
      <c r="C318" s="82" t="str">
        <f t="shared" si="22"/>
        <v>mardi</v>
      </c>
      <c r="D318" s="87"/>
      <c r="E318" s="115" t="str">
        <f t="shared" si="23"/>
        <v/>
      </c>
      <c r="F318" s="115" t="str">
        <f t="shared" si="24"/>
        <v/>
      </c>
      <c r="G318" s="116" t="str">
        <f>IF(ISNONTEXT(D318),"",E318-MAX($F$2:F317))</f>
        <v/>
      </c>
      <c r="H318" s="97"/>
      <c r="I318" s="74" t="str">
        <f ca="1">IF(D318="N",COUNTIF(INDIRECT(ADDRESS(MATCH(Plages!$D$19,'Planning annuel mixing coater'!$B:$B),4)):D318,"N"),IF(D318="N1",COUNTIF($D$9:D318,"N1"),""))</f>
        <v/>
      </c>
      <c r="J318" s="96" t="str">
        <f>IF(D318="","",COUNTA(D310:D318)-(COUNTA(D318:D318)-1))</f>
        <v/>
      </c>
    </row>
    <row r="319" spans="1:10" thickBot="1">
      <c r="A319" s="117"/>
      <c r="B319" s="70">
        <f t="shared" si="21"/>
        <v>44111</v>
      </c>
      <c r="C319" s="82" t="str">
        <f t="shared" si="22"/>
        <v>mercredi</v>
      </c>
      <c r="D319" s="87"/>
      <c r="E319" s="115" t="str">
        <f t="shared" si="23"/>
        <v/>
      </c>
      <c r="F319" s="115" t="str">
        <f t="shared" si="24"/>
        <v/>
      </c>
      <c r="G319" s="116" t="str">
        <f>IF(ISNONTEXT(D319),"",E319-MAX($F$2:F318))</f>
        <v/>
      </c>
      <c r="H319" s="97"/>
      <c r="I319" s="74" t="str">
        <f ca="1">IF(D319="N",COUNTIF(INDIRECT(ADDRESS(MATCH(Plages!$D$19,'Planning annuel mixing coater'!$B:$B),4)):D319,"N"),IF(D319="N1",COUNTIF($D$9:D319,"N1"),""))</f>
        <v/>
      </c>
      <c r="J319" s="96" t="str">
        <f>IF(D319="","",COUNTA(D310:D319)-(COUNTA(D319:D319)-1))</f>
        <v/>
      </c>
    </row>
    <row r="320" spans="1:10" thickBot="1">
      <c r="A320" s="117"/>
      <c r="B320" s="70">
        <f t="shared" si="21"/>
        <v>44112</v>
      </c>
      <c r="C320" s="82" t="str">
        <f t="shared" si="22"/>
        <v>jeudi</v>
      </c>
      <c r="D320" s="87"/>
      <c r="E320" s="115" t="str">
        <f t="shared" si="23"/>
        <v/>
      </c>
      <c r="F320" s="115" t="str">
        <f t="shared" si="24"/>
        <v/>
      </c>
      <c r="G320" s="116" t="str">
        <f>IF(ISNONTEXT(D320),"",E320-MAX($F$2:F319))</f>
        <v/>
      </c>
      <c r="H320" s="97"/>
      <c r="I320" s="74" t="str">
        <f ca="1">IF(D320="N",COUNTIF(INDIRECT(ADDRESS(MATCH(Plages!$D$19,'Planning annuel mixing coater'!$B:$B),4)):D320,"N"),IF(D320="N1",COUNTIF($D$9:D320,"N1"),""))</f>
        <v/>
      </c>
      <c r="J320" s="96" t="str">
        <f>IF(D320="","",COUNTA(D310:D320)-(COUNTA(D320:D320)-1))</f>
        <v/>
      </c>
    </row>
    <row r="321" spans="1:10" thickBot="1">
      <c r="A321" s="117"/>
      <c r="B321" s="70">
        <f t="shared" si="21"/>
        <v>44113</v>
      </c>
      <c r="C321" s="82" t="str">
        <f t="shared" si="22"/>
        <v>vendredi</v>
      </c>
      <c r="D321" s="87"/>
      <c r="E321" s="115" t="str">
        <f t="shared" si="23"/>
        <v/>
      </c>
      <c r="F321" s="115" t="str">
        <f t="shared" si="24"/>
        <v/>
      </c>
      <c r="G321" s="116" t="str">
        <f>IF(ISNONTEXT(D321),"",E321-MAX($F$2:F320))</f>
        <v/>
      </c>
      <c r="H321" s="97"/>
      <c r="I321" s="74" t="str">
        <f ca="1">IF(D321="N",COUNTIF(INDIRECT(ADDRESS(MATCH(Plages!$D$19,'Planning annuel mixing coater'!$B:$B),4)):D321,"N"),IF(D321="N1",COUNTIF($D$9:D321,"N1"),""))</f>
        <v/>
      </c>
      <c r="J321" s="96" t="str">
        <f>IF(D321="","",COUNTA(D310:D321)-(COUNTA(D321:D321)-1))</f>
        <v/>
      </c>
    </row>
    <row r="322" spans="1:10" thickBot="1">
      <c r="A322" s="117"/>
      <c r="B322" s="70">
        <f t="shared" si="21"/>
        <v>44114</v>
      </c>
      <c r="C322" s="82" t="str">
        <f t="shared" si="22"/>
        <v>samedi</v>
      </c>
      <c r="D322" s="87"/>
      <c r="E322" s="115" t="str">
        <f t="shared" si="23"/>
        <v/>
      </c>
      <c r="F322" s="115" t="str">
        <f t="shared" si="24"/>
        <v/>
      </c>
      <c r="G322" s="116" t="str">
        <f>IF(ISNONTEXT(D322),"",E322-MAX($F$2:F321))</f>
        <v/>
      </c>
      <c r="H322" s="97"/>
      <c r="I322" s="74" t="str">
        <f ca="1">IF(D322="N",COUNTIF(INDIRECT(ADDRESS(MATCH(Plages!$D$19,'Planning annuel mixing coater'!$B:$B),4)):D322,"N"),IF(D322="N1",COUNTIF($D$9:D322,"N1"),""))</f>
        <v/>
      </c>
      <c r="J322" s="96" t="str">
        <f>IF(D322="","",COUNTA(D310:D322)-(COUNTA(D322:D322)-1))</f>
        <v/>
      </c>
    </row>
    <row r="323" spans="1:10" s="77" customFormat="1" thickBot="1">
      <c r="A323" s="117"/>
      <c r="B323" s="75">
        <f t="shared" si="21"/>
        <v>44115</v>
      </c>
      <c r="C323" s="83" t="str">
        <f t="shared" si="22"/>
        <v>dimanche</v>
      </c>
      <c r="D323" s="88"/>
      <c r="E323" s="115" t="str">
        <f t="shared" si="23"/>
        <v/>
      </c>
      <c r="F323" s="115" t="str">
        <f t="shared" si="24"/>
        <v/>
      </c>
      <c r="G323" s="116" t="str">
        <f>IF(ISNONTEXT(D323),"",E323-MAX($F$2:F322))</f>
        <v/>
      </c>
      <c r="H323" s="98"/>
      <c r="I323" s="76" t="str">
        <f ca="1">IF(D323="N",COUNTIF(INDIRECT(ADDRESS(MATCH(Plages!$D$19,'Planning annuel mixing coater'!$B:$B),4)):D323,"N"),IF(D323="N1",COUNTIF($D$9:D323,"N1"),""))</f>
        <v/>
      </c>
      <c r="J323" s="99" t="str">
        <f>IF(D323="","",COUNTA(D310:D323)-(COUNTA(D323:D323)-1))</f>
        <v/>
      </c>
    </row>
    <row r="324" spans="1:10" ht="16.5" thickTop="1" thickBot="1">
      <c r="A324" s="117"/>
      <c r="B324" s="78">
        <f t="shared" ref="B324:B387" si="25">IF(B323="","",B323+1)</f>
        <v>44116</v>
      </c>
      <c r="C324" s="81" t="str">
        <f t="shared" si="22"/>
        <v>lundi</v>
      </c>
      <c r="D324" s="89"/>
      <c r="E324" s="115" t="str">
        <f t="shared" si="23"/>
        <v/>
      </c>
      <c r="F324" s="115" t="str">
        <f t="shared" si="24"/>
        <v/>
      </c>
      <c r="G324" s="116" t="str">
        <f>IF(ISNONTEXT(D324),"",E324-MAX($F$2:F323))</f>
        <v/>
      </c>
      <c r="H324" s="100"/>
      <c r="I324" s="79" t="str">
        <f ca="1">IF(D324="N",COUNTIF(INDIRECT(ADDRESS(MATCH(Plages!$D$19,'Planning annuel mixing coater'!$B:$B),4)):D324,"N"),IF(D324="N1",COUNTIF($D$9:D324,"N1"),""))</f>
        <v/>
      </c>
      <c r="J324" s="101" t="str">
        <f>IF(D324="","",COUNTA(D324:D324)-(COUNTA(D324:D324)-1))</f>
        <v/>
      </c>
    </row>
    <row r="325" spans="1:10" thickBot="1">
      <c r="A325" s="117"/>
      <c r="B325" s="70">
        <f t="shared" si="25"/>
        <v>44117</v>
      </c>
      <c r="C325" s="82" t="str">
        <f t="shared" si="22"/>
        <v>mardi</v>
      </c>
      <c r="D325" s="87"/>
      <c r="E325" s="115" t="str">
        <f t="shared" si="23"/>
        <v/>
      </c>
      <c r="F325" s="115" t="str">
        <f t="shared" si="24"/>
        <v/>
      </c>
      <c r="G325" s="116" t="str">
        <f>IF(ISNONTEXT(D325),"",E325-MAX($F$2:F324))</f>
        <v/>
      </c>
      <c r="H325" s="97"/>
      <c r="I325" s="74" t="str">
        <f ca="1">IF(D325="N",COUNTIF(INDIRECT(ADDRESS(MATCH(Plages!$D$19,'Planning annuel mixing coater'!$B:$B),4)):D325,"N"),IF(D325="N1",COUNTIF($D$9:D325,"N1"),""))</f>
        <v/>
      </c>
      <c r="J325" s="96" t="str">
        <f>IF(D325="","",COUNTA(D324:D325)-(COUNTA(D325:D325)-1))</f>
        <v/>
      </c>
    </row>
    <row r="326" spans="1:10" thickBot="1">
      <c r="A326" s="117"/>
      <c r="B326" s="70">
        <f t="shared" si="25"/>
        <v>44118</v>
      </c>
      <c r="C326" s="82" t="str">
        <f t="shared" si="22"/>
        <v>mercredi</v>
      </c>
      <c r="D326" s="87"/>
      <c r="E326" s="115" t="str">
        <f t="shared" si="23"/>
        <v/>
      </c>
      <c r="F326" s="115" t="str">
        <f t="shared" si="24"/>
        <v/>
      </c>
      <c r="G326" s="116" t="str">
        <f>IF(ISNONTEXT(D326),"",E326-MAX($F$2:F325))</f>
        <v/>
      </c>
      <c r="H326" s="97"/>
      <c r="I326" s="74" t="str">
        <f ca="1">IF(D326="N",COUNTIF(INDIRECT(ADDRESS(MATCH(Plages!$D$19,'Planning annuel mixing coater'!$B:$B),4)):D326,"N"),IF(D326="N1",COUNTIF($D$9:D326,"N1"),""))</f>
        <v/>
      </c>
      <c r="J326" s="96" t="str">
        <f>IF(D326="","",COUNTA(D324:D326)-(COUNTA(D326:D326)-1))</f>
        <v/>
      </c>
    </row>
    <row r="327" spans="1:10" thickBot="1">
      <c r="A327" s="117"/>
      <c r="B327" s="70">
        <f t="shared" si="25"/>
        <v>44119</v>
      </c>
      <c r="C327" s="82" t="str">
        <f t="shared" si="22"/>
        <v>jeudi</v>
      </c>
      <c r="D327" s="87"/>
      <c r="E327" s="115" t="str">
        <f t="shared" si="23"/>
        <v/>
      </c>
      <c r="F327" s="115" t="str">
        <f t="shared" si="24"/>
        <v/>
      </c>
      <c r="G327" s="116" t="str">
        <f>IF(ISNONTEXT(D327),"",E327-MAX($F$2:F326))</f>
        <v/>
      </c>
      <c r="H327" s="97"/>
      <c r="I327" s="74" t="str">
        <f ca="1">IF(D327="N",COUNTIF(INDIRECT(ADDRESS(MATCH(Plages!$D$19,'Planning annuel mixing coater'!$B:$B),4)):D327,"N"),IF(D327="N1",COUNTIF($D$9:D327,"N1"),""))</f>
        <v/>
      </c>
      <c r="J327" s="96" t="str">
        <f>IF(D327="","",COUNTA(D324:D327)-(COUNTA(D327:D327)-1))</f>
        <v/>
      </c>
    </row>
    <row r="328" spans="1:10" thickBot="1">
      <c r="A328" s="117"/>
      <c r="B328" s="70">
        <f t="shared" si="25"/>
        <v>44120</v>
      </c>
      <c r="C328" s="82" t="str">
        <f t="shared" si="22"/>
        <v>vendredi</v>
      </c>
      <c r="D328" s="87"/>
      <c r="E328" s="115" t="str">
        <f t="shared" si="23"/>
        <v/>
      </c>
      <c r="F328" s="115" t="str">
        <f t="shared" si="24"/>
        <v/>
      </c>
      <c r="G328" s="116" t="str">
        <f>IF(ISNONTEXT(D328),"",E328-MAX($F$2:F327))</f>
        <v/>
      </c>
      <c r="H328" s="97"/>
      <c r="I328" s="74" t="str">
        <f ca="1">IF(D328="N",COUNTIF(INDIRECT(ADDRESS(MATCH(Plages!$D$19,'Planning annuel mixing coater'!$B:$B),4)):D328,"N"),IF(D328="N1",COUNTIF($D$9:D328,"N1"),""))</f>
        <v/>
      </c>
      <c r="J328" s="96" t="str">
        <f>IF(D328="","",COUNTA(D324:D328)-(COUNTA(D328:D328)-1))</f>
        <v/>
      </c>
    </row>
    <row r="329" spans="1:10" thickBot="1">
      <c r="A329" s="117"/>
      <c r="B329" s="70">
        <f t="shared" si="25"/>
        <v>44121</v>
      </c>
      <c r="C329" s="82" t="str">
        <f t="shared" si="22"/>
        <v>samedi</v>
      </c>
      <c r="D329" s="87"/>
      <c r="E329" s="115" t="str">
        <f t="shared" si="23"/>
        <v/>
      </c>
      <c r="F329" s="115" t="str">
        <f t="shared" si="24"/>
        <v/>
      </c>
      <c r="G329" s="116" t="str">
        <f>IF(ISNONTEXT(D329),"",E329-MAX($F$2:F328))</f>
        <v/>
      </c>
      <c r="H329" s="97"/>
      <c r="I329" s="74" t="str">
        <f ca="1">IF(D329="N",COUNTIF(INDIRECT(ADDRESS(MATCH(Plages!$D$19,'Planning annuel mixing coater'!$B:$B),4)):D329,"N"),IF(D329="N1",COUNTIF($D$9:D329,"N1"),""))</f>
        <v/>
      </c>
      <c r="J329" s="96" t="str">
        <f>IF(D329="","",COUNTA(D324:D329)-(COUNTA(D329:D329)-1))</f>
        <v/>
      </c>
    </row>
    <row r="330" spans="1:10" thickBot="1">
      <c r="A330" s="117"/>
      <c r="B330" s="70">
        <f t="shared" si="25"/>
        <v>44122</v>
      </c>
      <c r="C330" s="82" t="str">
        <f t="shared" si="22"/>
        <v>dimanche</v>
      </c>
      <c r="D330" s="87"/>
      <c r="E330" s="115" t="str">
        <f t="shared" si="23"/>
        <v/>
      </c>
      <c r="F330" s="115" t="str">
        <f t="shared" si="24"/>
        <v/>
      </c>
      <c r="G330" s="116" t="str">
        <f>IF(ISNONTEXT(D330),"",E330-MAX($F$2:F329))</f>
        <v/>
      </c>
      <c r="H330" s="98"/>
      <c r="I330" s="74" t="str">
        <f ca="1">IF(D330="N",COUNTIF(INDIRECT(ADDRESS(MATCH(Plages!$D$19,'Planning annuel mixing coater'!$B:$B),4)):D330,"N"),IF(D330="N1",COUNTIF($D$9:D330,"N1"),""))</f>
        <v/>
      </c>
      <c r="J330" s="96" t="str">
        <f>IF(D330="","",COUNTA(D324:D330)-(COUNTA(D330:D330)-1))</f>
        <v/>
      </c>
    </row>
    <row r="331" spans="1:10" thickBot="1">
      <c r="A331" s="117"/>
      <c r="B331" s="70">
        <f t="shared" si="25"/>
        <v>44123</v>
      </c>
      <c r="C331" s="82" t="str">
        <f t="shared" si="22"/>
        <v>lundi</v>
      </c>
      <c r="D331" s="87"/>
      <c r="E331" s="115" t="str">
        <f t="shared" si="23"/>
        <v/>
      </c>
      <c r="F331" s="115" t="str">
        <f t="shared" si="24"/>
        <v/>
      </c>
      <c r="G331" s="116" t="str">
        <f>IF(ISNONTEXT(D331),"",E331-MAX($F$2:F330))</f>
        <v/>
      </c>
      <c r="H331" s="97"/>
      <c r="I331" s="74" t="str">
        <f ca="1">IF(D331="N",COUNTIF(INDIRECT(ADDRESS(MATCH(Plages!$D$19,'Planning annuel mixing coater'!$B:$B),4)):D331,"N"),IF(D331="N1",COUNTIF($D$9:D331,"N1"),""))</f>
        <v/>
      </c>
      <c r="J331" s="96" t="str">
        <f>IF(D331="","",COUNTA(D324:D331)-(COUNTA(D331:D331)-1))</f>
        <v/>
      </c>
    </row>
    <row r="332" spans="1:10" thickBot="1">
      <c r="A332" s="117"/>
      <c r="B332" s="70">
        <f t="shared" si="25"/>
        <v>44124</v>
      </c>
      <c r="C332" s="82" t="str">
        <f t="shared" si="22"/>
        <v>mardi</v>
      </c>
      <c r="D332" s="87"/>
      <c r="E332" s="115" t="str">
        <f t="shared" si="23"/>
        <v/>
      </c>
      <c r="F332" s="115" t="str">
        <f t="shared" si="24"/>
        <v/>
      </c>
      <c r="G332" s="116" t="str">
        <f>IF(ISNONTEXT(D332),"",E332-MAX($F$2:F331))</f>
        <v/>
      </c>
      <c r="H332" s="97"/>
      <c r="I332" s="74" t="str">
        <f ca="1">IF(D332="N",COUNTIF(INDIRECT(ADDRESS(MATCH(Plages!$D$19,'Planning annuel mixing coater'!$B:$B),4)):D332,"N"),IF(D332="N1",COUNTIF($D$9:D332,"N1"),""))</f>
        <v/>
      </c>
      <c r="J332" s="96" t="str">
        <f>IF(D332="","",COUNTA(D324:D332)-(COUNTA(D332:D332)-1))</f>
        <v/>
      </c>
    </row>
    <row r="333" spans="1:10" thickBot="1">
      <c r="A333" s="117"/>
      <c r="B333" s="70">
        <f t="shared" si="25"/>
        <v>44125</v>
      </c>
      <c r="C333" s="82" t="str">
        <f t="shared" si="22"/>
        <v>mercredi</v>
      </c>
      <c r="D333" s="87"/>
      <c r="E333" s="115" t="str">
        <f t="shared" si="23"/>
        <v/>
      </c>
      <c r="F333" s="115" t="str">
        <f t="shared" si="24"/>
        <v/>
      </c>
      <c r="G333" s="116" t="str">
        <f>IF(ISNONTEXT(D333),"",E333-MAX($F$2:F332))</f>
        <v/>
      </c>
      <c r="H333" s="97"/>
      <c r="I333" s="74" t="str">
        <f ca="1">IF(D333="N",COUNTIF(INDIRECT(ADDRESS(MATCH(Plages!$D$19,'Planning annuel mixing coater'!$B:$B),4)):D333,"N"),IF(D333="N1",COUNTIF($D$9:D333,"N1"),""))</f>
        <v/>
      </c>
      <c r="J333" s="96" t="str">
        <f>IF(D333="","",COUNTA(D324:D333)-(COUNTA(D333:D333)-1))</f>
        <v/>
      </c>
    </row>
    <row r="334" spans="1:10" thickBot="1">
      <c r="A334" s="117"/>
      <c r="B334" s="70">
        <f t="shared" si="25"/>
        <v>44126</v>
      </c>
      <c r="C334" s="82" t="str">
        <f t="shared" si="22"/>
        <v>jeudi</v>
      </c>
      <c r="D334" s="87"/>
      <c r="E334" s="115" t="str">
        <f t="shared" si="23"/>
        <v/>
      </c>
      <c r="F334" s="115" t="str">
        <f t="shared" si="24"/>
        <v/>
      </c>
      <c r="G334" s="116" t="str">
        <f>IF(ISNONTEXT(D334),"",E334-MAX($F$2:F333))</f>
        <v/>
      </c>
      <c r="H334" s="97"/>
      <c r="I334" s="74" t="str">
        <f ca="1">IF(D334="N",COUNTIF(INDIRECT(ADDRESS(MATCH(Plages!$D$19,'Planning annuel mixing coater'!$B:$B),4)):D334,"N"),IF(D334="N1",COUNTIF($D$9:D334,"N1"),""))</f>
        <v/>
      </c>
      <c r="J334" s="96" t="str">
        <f>IF(D334="","",COUNTA(D324:D334)-(COUNTA(D334:D334)-1))</f>
        <v/>
      </c>
    </row>
    <row r="335" spans="1:10" thickBot="1">
      <c r="A335" s="117"/>
      <c r="B335" s="70">
        <f t="shared" si="25"/>
        <v>44127</v>
      </c>
      <c r="C335" s="82" t="str">
        <f t="shared" si="22"/>
        <v>vendredi</v>
      </c>
      <c r="D335" s="87"/>
      <c r="E335" s="115" t="str">
        <f t="shared" si="23"/>
        <v/>
      </c>
      <c r="F335" s="115" t="str">
        <f t="shared" si="24"/>
        <v/>
      </c>
      <c r="G335" s="116" t="str">
        <f>IF(ISNONTEXT(D335),"",E335-MAX($F$2:F334))</f>
        <v/>
      </c>
      <c r="H335" s="97"/>
      <c r="I335" s="74" t="str">
        <f ca="1">IF(D335="N",COUNTIF(INDIRECT(ADDRESS(MATCH(Plages!$D$19,'Planning annuel mixing coater'!$B:$B),4)):D335,"N"),IF(D335="N1",COUNTIF($D$9:D335,"N1"),""))</f>
        <v/>
      </c>
      <c r="J335" s="96" t="str">
        <f>IF(D335="","",COUNTA(D324:D335)-(COUNTA(D335:D335)-1))</f>
        <v/>
      </c>
    </row>
    <row r="336" spans="1:10" thickBot="1">
      <c r="A336" s="117"/>
      <c r="B336" s="70">
        <f t="shared" si="25"/>
        <v>44128</v>
      </c>
      <c r="C336" s="82" t="str">
        <f t="shared" si="22"/>
        <v>samedi</v>
      </c>
      <c r="D336" s="87"/>
      <c r="E336" s="115" t="str">
        <f t="shared" si="23"/>
        <v/>
      </c>
      <c r="F336" s="115" t="str">
        <f t="shared" si="24"/>
        <v/>
      </c>
      <c r="G336" s="116" t="str">
        <f>IF(ISNONTEXT(D336),"",E336-MAX($F$2:F335))</f>
        <v/>
      </c>
      <c r="H336" s="97"/>
      <c r="I336" s="74" t="str">
        <f ca="1">IF(D336="N",COUNTIF(INDIRECT(ADDRESS(MATCH(Plages!$D$19,'Planning annuel mixing coater'!$B:$B),4)):D336,"N"),IF(D336="N1",COUNTIF($D$9:D336,"N1"),""))</f>
        <v/>
      </c>
      <c r="J336" s="96" t="str">
        <f>IF(D336="","",COUNTA(D324:D336)-(COUNTA(D336:D336)-1))</f>
        <v/>
      </c>
    </row>
    <row r="337" spans="1:10" s="77" customFormat="1" thickBot="1">
      <c r="A337" s="117"/>
      <c r="B337" s="75">
        <f t="shared" si="25"/>
        <v>44129</v>
      </c>
      <c r="C337" s="83" t="str">
        <f t="shared" si="22"/>
        <v>dimanche</v>
      </c>
      <c r="D337" s="88"/>
      <c r="E337" s="115" t="str">
        <f t="shared" si="23"/>
        <v/>
      </c>
      <c r="F337" s="115" t="str">
        <f t="shared" si="24"/>
        <v/>
      </c>
      <c r="G337" s="116" t="str">
        <f>IF(ISNONTEXT(D337),"",E337-MAX($F$2:F336))</f>
        <v/>
      </c>
      <c r="H337" s="98"/>
      <c r="I337" s="76" t="str">
        <f ca="1">IF(D337="N",COUNTIF(INDIRECT(ADDRESS(MATCH(Plages!$D$19,'Planning annuel mixing coater'!$B:$B),4)):D337,"N"),IF(D337="N1",COUNTIF($D$9:D337,"N1"),""))</f>
        <v/>
      </c>
      <c r="J337" s="99" t="str">
        <f>IF(D337="","",COUNTA(D324:D337)-(COUNTA(D337:D337)-1))</f>
        <v/>
      </c>
    </row>
    <row r="338" spans="1:10" ht="16.5" thickTop="1" thickBot="1">
      <c r="A338" s="117"/>
      <c r="B338" s="78">
        <f t="shared" si="25"/>
        <v>44130</v>
      </c>
      <c r="C338" s="81" t="str">
        <f t="shared" si="22"/>
        <v>lundi</v>
      </c>
      <c r="D338" s="89"/>
      <c r="E338" s="115" t="str">
        <f t="shared" si="23"/>
        <v/>
      </c>
      <c r="F338" s="115" t="str">
        <f t="shared" si="24"/>
        <v/>
      </c>
      <c r="G338" s="116" t="str">
        <f>IF(ISNONTEXT(D338),"",E338-MAX($F$2:F337))</f>
        <v/>
      </c>
      <c r="H338" s="100"/>
      <c r="I338" s="79" t="str">
        <f ca="1">IF(D338="N",COUNTIF(INDIRECT(ADDRESS(MATCH(Plages!$D$19,'Planning annuel mixing coater'!$B:$B),4)):D338,"N"),IF(D338="N1",COUNTIF($D$9:D338,"N1"),""))</f>
        <v/>
      </c>
      <c r="J338" s="101" t="str">
        <f>IF(D338="","",COUNTA(D338:D338)-(COUNTA(D338:D338)-1))</f>
        <v/>
      </c>
    </row>
    <row r="339" spans="1:10" thickBot="1">
      <c r="A339" s="117"/>
      <c r="B339" s="70">
        <f t="shared" si="25"/>
        <v>44131</v>
      </c>
      <c r="C339" s="82" t="str">
        <f t="shared" si="22"/>
        <v>mardi</v>
      </c>
      <c r="D339" s="87"/>
      <c r="E339" s="115" t="str">
        <f t="shared" si="23"/>
        <v/>
      </c>
      <c r="F339" s="115" t="str">
        <f t="shared" si="24"/>
        <v/>
      </c>
      <c r="G339" s="116" t="str">
        <f>IF(ISNONTEXT(D339),"",E339-MAX($F$2:F338))</f>
        <v/>
      </c>
      <c r="H339" s="97"/>
      <c r="I339" s="74" t="str">
        <f ca="1">IF(D339="N",COUNTIF(INDIRECT(ADDRESS(MATCH(Plages!$D$19,'Planning annuel mixing coater'!$B:$B),4)):D339,"N"),IF(D339="N1",COUNTIF($D$9:D339,"N1"),""))</f>
        <v/>
      </c>
      <c r="J339" s="96" t="str">
        <f>IF(D339="","",COUNTA(D338:D339)-(COUNTA(D339:D339)-1))</f>
        <v/>
      </c>
    </row>
    <row r="340" spans="1:10" thickBot="1">
      <c r="A340" s="117"/>
      <c r="B340" s="70">
        <f t="shared" si="25"/>
        <v>44132</v>
      </c>
      <c r="C340" s="82" t="str">
        <f t="shared" si="22"/>
        <v>mercredi</v>
      </c>
      <c r="D340" s="87"/>
      <c r="E340" s="115" t="str">
        <f t="shared" si="23"/>
        <v/>
      </c>
      <c r="F340" s="115" t="str">
        <f t="shared" si="24"/>
        <v/>
      </c>
      <c r="G340" s="116" t="str">
        <f>IF(ISNONTEXT(D340),"",E340-MAX($F$2:F339))</f>
        <v/>
      </c>
      <c r="H340" s="97"/>
      <c r="I340" s="74" t="str">
        <f ca="1">IF(D340="N",COUNTIF(INDIRECT(ADDRESS(MATCH(Plages!$D$19,'Planning annuel mixing coater'!$B:$B),4)):D340,"N"),IF(D340="N1",COUNTIF($D$9:D340,"N1"),""))</f>
        <v/>
      </c>
      <c r="J340" s="96" t="str">
        <f>IF(D340="","",COUNTA(D338:D340)-(COUNTA(D340:D340)-1))</f>
        <v/>
      </c>
    </row>
    <row r="341" spans="1:10" thickBot="1">
      <c r="A341" s="117"/>
      <c r="B341" s="70">
        <f t="shared" si="25"/>
        <v>44133</v>
      </c>
      <c r="C341" s="82" t="str">
        <f t="shared" si="22"/>
        <v>jeudi</v>
      </c>
      <c r="D341" s="87"/>
      <c r="E341" s="115" t="str">
        <f t="shared" si="23"/>
        <v/>
      </c>
      <c r="F341" s="115" t="str">
        <f t="shared" si="24"/>
        <v/>
      </c>
      <c r="G341" s="116" t="str">
        <f>IF(ISNONTEXT(D341),"",E341-MAX($F$2:F340))</f>
        <v/>
      </c>
      <c r="H341" s="97"/>
      <c r="I341" s="74" t="str">
        <f ca="1">IF(D341="N",COUNTIF(INDIRECT(ADDRESS(MATCH(Plages!$D$19,'Planning annuel mixing coater'!$B:$B),4)):D341,"N"),IF(D341="N1",COUNTIF($D$9:D341,"N1"),""))</f>
        <v/>
      </c>
      <c r="J341" s="96" t="str">
        <f>IF(D341="","",COUNTA(D338:D341)-(COUNTA(D341:D341)-1))</f>
        <v/>
      </c>
    </row>
    <row r="342" spans="1:10" thickBot="1">
      <c r="A342" s="117"/>
      <c r="B342" s="70">
        <f t="shared" si="25"/>
        <v>44134</v>
      </c>
      <c r="C342" s="82" t="str">
        <f t="shared" si="22"/>
        <v>vendredi</v>
      </c>
      <c r="D342" s="87"/>
      <c r="E342" s="115" t="str">
        <f t="shared" si="23"/>
        <v/>
      </c>
      <c r="F342" s="115" t="str">
        <f t="shared" si="24"/>
        <v/>
      </c>
      <c r="G342" s="116" t="str">
        <f>IF(ISNONTEXT(D342),"",E342-MAX($F$2:F341))</f>
        <v/>
      </c>
      <c r="H342" s="97"/>
      <c r="I342" s="74" t="str">
        <f ca="1">IF(D342="N",COUNTIF(INDIRECT(ADDRESS(MATCH(Plages!$D$19,'Planning annuel mixing coater'!$B:$B),4)):D342,"N"),IF(D342="N1",COUNTIF($D$9:D342,"N1"),""))</f>
        <v/>
      </c>
      <c r="J342" s="96" t="str">
        <f>IF(D342="","",COUNTA(D338:D342)-(COUNTA(D342:D342)-1))</f>
        <v/>
      </c>
    </row>
    <row r="343" spans="1:10" thickBot="1">
      <c r="A343" s="117"/>
      <c r="B343" s="70">
        <f t="shared" si="25"/>
        <v>44135</v>
      </c>
      <c r="C343" s="82" t="str">
        <f t="shared" si="22"/>
        <v>samedi</v>
      </c>
      <c r="D343" s="87"/>
      <c r="E343" s="115" t="str">
        <f t="shared" si="23"/>
        <v/>
      </c>
      <c r="F343" s="115" t="str">
        <f t="shared" si="24"/>
        <v/>
      </c>
      <c r="G343" s="116" t="str">
        <f>IF(ISNONTEXT(D343),"",E343-MAX($F$2:F342))</f>
        <v/>
      </c>
      <c r="H343" s="97"/>
      <c r="I343" s="74" t="str">
        <f ca="1">IF(D343="N",COUNTIF(INDIRECT(ADDRESS(MATCH(Plages!$D$19,'Planning annuel mixing coater'!$B:$B),4)):D343,"N"),IF(D343="N1",COUNTIF($D$9:D343,"N1"),""))</f>
        <v/>
      </c>
      <c r="J343" s="96" t="str">
        <f>IF(D343="","",COUNTA(D338:D343)-(COUNTA(D343:D343)-1))</f>
        <v/>
      </c>
    </row>
    <row r="344" spans="1:10" thickBot="1">
      <c r="A344" s="117"/>
      <c r="B344" s="70">
        <f t="shared" si="25"/>
        <v>44136</v>
      </c>
      <c r="C344" s="82" t="str">
        <f t="shared" si="22"/>
        <v>dimanche</v>
      </c>
      <c r="D344" s="87"/>
      <c r="E344" s="115" t="str">
        <f t="shared" si="23"/>
        <v/>
      </c>
      <c r="F344" s="115" t="str">
        <f t="shared" si="24"/>
        <v/>
      </c>
      <c r="G344" s="116" t="str">
        <f>IF(ISNONTEXT(D344),"",E344-MAX($F$2:F343))</f>
        <v/>
      </c>
      <c r="H344" s="98"/>
      <c r="I344" s="74" t="str">
        <f ca="1">IF(D344="N",COUNTIF(INDIRECT(ADDRESS(MATCH(Plages!$D$19,'Planning annuel mixing coater'!$B:$B),4)):D344,"N"),IF(D344="N1",COUNTIF($D$9:D344,"N1"),""))</f>
        <v/>
      </c>
      <c r="J344" s="96" t="str">
        <f>IF(D344="","",COUNTA(D338:D344)-(COUNTA(D344:D344)-1))</f>
        <v/>
      </c>
    </row>
    <row r="345" spans="1:10" thickBot="1">
      <c r="A345" s="117"/>
      <c r="B345" s="70">
        <f t="shared" si="25"/>
        <v>44137</v>
      </c>
      <c r="C345" s="82" t="str">
        <f t="shared" si="22"/>
        <v>lundi</v>
      </c>
      <c r="D345" s="87"/>
      <c r="E345" s="115" t="str">
        <f t="shared" si="23"/>
        <v/>
      </c>
      <c r="F345" s="115" t="str">
        <f t="shared" si="24"/>
        <v/>
      </c>
      <c r="G345" s="116" t="str">
        <f>IF(ISNONTEXT(D345),"",E345-MAX($F$2:F344))</f>
        <v/>
      </c>
      <c r="H345" s="97"/>
      <c r="I345" s="74" t="str">
        <f ca="1">IF(D345="N",COUNTIF(INDIRECT(ADDRESS(MATCH(Plages!$D$19,'Planning annuel mixing coater'!$B:$B),4)):D345,"N"),IF(D345="N1",COUNTIF($D$9:D345,"N1"),""))</f>
        <v/>
      </c>
      <c r="J345" s="96" t="str">
        <f>IF(D345="","",COUNTA(D338:D345)-(COUNTA(D345:D345)-1))</f>
        <v/>
      </c>
    </row>
    <row r="346" spans="1:10" thickBot="1">
      <c r="A346" s="117"/>
      <c r="B346" s="70">
        <f t="shared" si="25"/>
        <v>44138</v>
      </c>
      <c r="C346" s="82" t="str">
        <f t="shared" si="22"/>
        <v>mardi</v>
      </c>
      <c r="D346" s="87"/>
      <c r="E346" s="115" t="str">
        <f t="shared" si="23"/>
        <v/>
      </c>
      <c r="F346" s="115" t="str">
        <f t="shared" si="24"/>
        <v/>
      </c>
      <c r="G346" s="116" t="str">
        <f>IF(ISNONTEXT(D346),"",E346-MAX($F$2:F345))</f>
        <v/>
      </c>
      <c r="H346" s="97"/>
      <c r="I346" s="74" t="str">
        <f ca="1">IF(D346="N",COUNTIF(INDIRECT(ADDRESS(MATCH(Plages!$D$19,'Planning annuel mixing coater'!$B:$B),4)):D346,"N"),IF(D346="N1",COUNTIF($D$9:D346,"N1"),""))</f>
        <v/>
      </c>
      <c r="J346" s="96" t="str">
        <f>IF(D346="","",COUNTA(D338:D346)-(COUNTA(D346:D346)-1))</f>
        <v/>
      </c>
    </row>
    <row r="347" spans="1:10" thickBot="1">
      <c r="A347" s="117"/>
      <c r="B347" s="70">
        <f t="shared" si="25"/>
        <v>44139</v>
      </c>
      <c r="C347" s="82" t="str">
        <f t="shared" si="22"/>
        <v>mercredi</v>
      </c>
      <c r="D347" s="87"/>
      <c r="E347" s="115" t="str">
        <f t="shared" si="23"/>
        <v/>
      </c>
      <c r="F347" s="115" t="str">
        <f t="shared" si="24"/>
        <v/>
      </c>
      <c r="G347" s="116" t="str">
        <f>IF(ISNONTEXT(D347),"",E347-MAX($F$2:F346))</f>
        <v/>
      </c>
      <c r="H347" s="97"/>
      <c r="I347" s="74" t="str">
        <f ca="1">IF(D347="N",COUNTIF(INDIRECT(ADDRESS(MATCH(Plages!$D$19,'Planning annuel mixing coater'!$B:$B),4)):D347,"N"),IF(D347="N1",COUNTIF($D$9:D347,"N1"),""))</f>
        <v/>
      </c>
      <c r="J347" s="96" t="str">
        <f>IF(D347="","",COUNTA(D338:D347)-(COUNTA(D347:D347)-1))</f>
        <v/>
      </c>
    </row>
    <row r="348" spans="1:10" thickBot="1">
      <c r="A348" s="117"/>
      <c r="B348" s="70">
        <f t="shared" si="25"/>
        <v>44140</v>
      </c>
      <c r="C348" s="82" t="str">
        <f t="shared" si="22"/>
        <v>jeudi</v>
      </c>
      <c r="D348" s="87"/>
      <c r="E348" s="115" t="str">
        <f t="shared" si="23"/>
        <v/>
      </c>
      <c r="F348" s="115" t="str">
        <f t="shared" si="24"/>
        <v/>
      </c>
      <c r="G348" s="116" t="str">
        <f>IF(ISNONTEXT(D348),"",E348-MAX($F$2:F347))</f>
        <v/>
      </c>
      <c r="H348" s="97"/>
      <c r="I348" s="74" t="str">
        <f ca="1">IF(D348="N",COUNTIF(INDIRECT(ADDRESS(MATCH(Plages!$D$19,'Planning annuel mixing coater'!$B:$B),4)):D348,"N"),IF(D348="N1",COUNTIF($D$9:D348,"N1"),""))</f>
        <v/>
      </c>
      <c r="J348" s="96" t="str">
        <f>IF(D348="","",COUNTA(D338:D348)-(COUNTA(D348:D348)-1))</f>
        <v/>
      </c>
    </row>
    <row r="349" spans="1:10" thickBot="1">
      <c r="A349" s="117"/>
      <c r="B349" s="70">
        <f t="shared" si="25"/>
        <v>44141</v>
      </c>
      <c r="C349" s="82" t="str">
        <f t="shared" si="22"/>
        <v>vendredi</v>
      </c>
      <c r="D349" s="87"/>
      <c r="E349" s="115" t="str">
        <f t="shared" si="23"/>
        <v/>
      </c>
      <c r="F349" s="115" t="str">
        <f t="shared" si="24"/>
        <v/>
      </c>
      <c r="G349" s="116" t="str">
        <f>IF(ISNONTEXT(D349),"",E349-MAX($F$2:F348))</f>
        <v/>
      </c>
      <c r="H349" s="97"/>
      <c r="I349" s="74" t="str">
        <f ca="1">IF(D349="N",COUNTIF(INDIRECT(ADDRESS(MATCH(Plages!$D$19,'Planning annuel mixing coater'!$B:$B),4)):D349,"N"),IF(D349="N1",COUNTIF($D$9:D349,"N1"),""))</f>
        <v/>
      </c>
      <c r="J349" s="96" t="str">
        <f>IF(D349="","",COUNTA(D338:D349)-(COUNTA(D349:D349)-1))</f>
        <v/>
      </c>
    </row>
    <row r="350" spans="1:10" thickBot="1">
      <c r="A350" s="117"/>
      <c r="B350" s="70">
        <f t="shared" si="25"/>
        <v>44142</v>
      </c>
      <c r="C350" s="82" t="str">
        <f t="shared" ref="C350:C413" si="26">IF(B350="","",TEXT(B350,"jjjj"))</f>
        <v>samedi</v>
      </c>
      <c r="D350" s="87"/>
      <c r="E350" s="115" t="str">
        <f t="shared" ref="E350:E413" si="27">IF(D350="","",B350+VLOOKUP(D350,Plageh,2,0))</f>
        <v/>
      </c>
      <c r="F350" s="115" t="str">
        <f t="shared" ref="F350:F413" si="28">IF(D350="","",B350+VLOOKUP(D350,Plageh,3,0))</f>
        <v/>
      </c>
      <c r="G350" s="116" t="str">
        <f>IF(ISNONTEXT(D350),"",E350-MAX($F$2:F349))</f>
        <v/>
      </c>
      <c r="H350" s="97"/>
      <c r="I350" s="74" t="str">
        <f ca="1">IF(D350="N",COUNTIF(INDIRECT(ADDRESS(MATCH(Plages!$D$19,'Planning annuel mixing coater'!$B:$B),4)):D350,"N"),IF(D350="N1",COUNTIF($D$9:D350,"N1"),""))</f>
        <v/>
      </c>
      <c r="J350" s="96" t="str">
        <f>IF(D350="","",COUNTA(D338:D350)-(COUNTA(D350:D350)-1))</f>
        <v/>
      </c>
    </row>
    <row r="351" spans="1:10" s="77" customFormat="1" thickBot="1">
      <c r="A351" s="117"/>
      <c r="B351" s="75">
        <f t="shared" si="25"/>
        <v>44143</v>
      </c>
      <c r="C351" s="83" t="str">
        <f t="shared" si="26"/>
        <v>dimanche</v>
      </c>
      <c r="D351" s="88"/>
      <c r="E351" s="115" t="str">
        <f t="shared" si="27"/>
        <v/>
      </c>
      <c r="F351" s="115" t="str">
        <f t="shared" si="28"/>
        <v/>
      </c>
      <c r="G351" s="116" t="str">
        <f>IF(ISNONTEXT(D351),"",E351-MAX($F$2:F350))</f>
        <v/>
      </c>
      <c r="H351" s="98"/>
      <c r="I351" s="76" t="str">
        <f ca="1">IF(D351="N",COUNTIF(INDIRECT(ADDRESS(MATCH(Plages!$D$19,'Planning annuel mixing coater'!$B:$B),4)):D351,"N"),IF(D351="N1",COUNTIF($D$9:D351,"N1"),""))</f>
        <v/>
      </c>
      <c r="J351" s="99" t="str">
        <f>IF(D351="","",COUNTA(D338:D351)-(COUNTA(D351:D351)-1))</f>
        <v/>
      </c>
    </row>
    <row r="352" spans="1:10" ht="16.5" thickTop="1" thickBot="1">
      <c r="A352" s="117"/>
      <c r="B352" s="78">
        <f t="shared" si="25"/>
        <v>44144</v>
      </c>
      <c r="C352" s="81" t="str">
        <f t="shared" si="26"/>
        <v>lundi</v>
      </c>
      <c r="D352" s="89"/>
      <c r="E352" s="115" t="str">
        <f t="shared" si="27"/>
        <v/>
      </c>
      <c r="F352" s="115" t="str">
        <f t="shared" si="28"/>
        <v/>
      </c>
      <c r="G352" s="116" t="str">
        <f>IF(ISNONTEXT(D352),"",E352-MAX($F$2:F351))</f>
        <v/>
      </c>
      <c r="H352" s="100"/>
      <c r="I352" s="79" t="str">
        <f ca="1">IF(D352="N",COUNTIF(INDIRECT(ADDRESS(MATCH(Plages!$D$19,'Planning annuel mixing coater'!$B:$B),4)):D352,"N"),IF(D352="N1",COUNTIF($D$9:D352,"N1"),""))</f>
        <v/>
      </c>
      <c r="J352" s="101" t="str">
        <f>IF(D352="","",COUNTA(D352:D352)-(COUNTA(D352:D352)-1))</f>
        <v/>
      </c>
    </row>
    <row r="353" spans="1:10" thickBot="1">
      <c r="A353" s="117"/>
      <c r="B353" s="70">
        <f t="shared" si="25"/>
        <v>44145</v>
      </c>
      <c r="C353" s="82" t="str">
        <f t="shared" si="26"/>
        <v>mardi</v>
      </c>
      <c r="D353" s="87"/>
      <c r="E353" s="115" t="str">
        <f t="shared" si="27"/>
        <v/>
      </c>
      <c r="F353" s="115" t="str">
        <f t="shared" si="28"/>
        <v/>
      </c>
      <c r="G353" s="116" t="str">
        <f>IF(ISNONTEXT(D353),"",E353-MAX($F$2:F352))</f>
        <v/>
      </c>
      <c r="H353" s="97"/>
      <c r="I353" s="74" t="str">
        <f ca="1">IF(D353="N",COUNTIF(INDIRECT(ADDRESS(MATCH(Plages!$D$19,'Planning annuel mixing coater'!$B:$B),4)):D353,"N"),IF(D353="N1",COUNTIF($D$9:D353,"N1"),""))</f>
        <v/>
      </c>
      <c r="J353" s="96" t="str">
        <f>IF(D353="","",COUNTA(D352:D353)-(COUNTA(D353:D353)-1))</f>
        <v/>
      </c>
    </row>
    <row r="354" spans="1:10" thickBot="1">
      <c r="A354" s="117"/>
      <c r="B354" s="70">
        <f t="shared" si="25"/>
        <v>44146</v>
      </c>
      <c r="C354" s="82" t="str">
        <f t="shared" si="26"/>
        <v>mercredi</v>
      </c>
      <c r="D354" s="87"/>
      <c r="E354" s="115" t="str">
        <f t="shared" si="27"/>
        <v/>
      </c>
      <c r="F354" s="115" t="str">
        <f t="shared" si="28"/>
        <v/>
      </c>
      <c r="G354" s="116" t="str">
        <f>IF(ISNONTEXT(D354),"",E354-MAX($F$2:F353))</f>
        <v/>
      </c>
      <c r="H354" s="97"/>
      <c r="I354" s="74" t="str">
        <f ca="1">IF(D354="N",COUNTIF(INDIRECT(ADDRESS(MATCH(Plages!$D$19,'Planning annuel mixing coater'!$B:$B),4)):D354,"N"),IF(D354="N1",COUNTIF($D$9:D354,"N1"),""))</f>
        <v/>
      </c>
      <c r="J354" s="96" t="str">
        <f>IF(D354="","",COUNTA(D352:D354)-(COUNTA(D354:D354)-1))</f>
        <v/>
      </c>
    </row>
    <row r="355" spans="1:10" thickBot="1">
      <c r="A355" s="117"/>
      <c r="B355" s="70">
        <f t="shared" si="25"/>
        <v>44147</v>
      </c>
      <c r="C355" s="82" t="str">
        <f t="shared" si="26"/>
        <v>jeudi</v>
      </c>
      <c r="D355" s="87"/>
      <c r="E355" s="115" t="str">
        <f t="shared" si="27"/>
        <v/>
      </c>
      <c r="F355" s="115" t="str">
        <f t="shared" si="28"/>
        <v/>
      </c>
      <c r="G355" s="116" t="str">
        <f>IF(ISNONTEXT(D355),"",E355-MAX($F$2:F354))</f>
        <v/>
      </c>
      <c r="H355" s="97"/>
      <c r="I355" s="74" t="str">
        <f ca="1">IF(D355="N",COUNTIF(INDIRECT(ADDRESS(MATCH(Plages!$D$19,'Planning annuel mixing coater'!$B:$B),4)):D355,"N"),IF(D355="N1",COUNTIF($D$9:D355,"N1"),""))</f>
        <v/>
      </c>
      <c r="J355" s="96" t="str">
        <f>IF(D355="","",COUNTA(D352:D355)-(COUNTA(D355:D355)-1))</f>
        <v/>
      </c>
    </row>
    <row r="356" spans="1:10" thickBot="1">
      <c r="A356" s="117"/>
      <c r="B356" s="70">
        <f t="shared" si="25"/>
        <v>44148</v>
      </c>
      <c r="C356" s="82" t="str">
        <f t="shared" si="26"/>
        <v>vendredi</v>
      </c>
      <c r="D356" s="87"/>
      <c r="E356" s="115" t="str">
        <f t="shared" si="27"/>
        <v/>
      </c>
      <c r="F356" s="115" t="str">
        <f t="shared" si="28"/>
        <v/>
      </c>
      <c r="G356" s="116" t="str">
        <f>IF(ISNONTEXT(D356),"",E356-MAX($F$2:F355))</f>
        <v/>
      </c>
      <c r="H356" s="97"/>
      <c r="I356" s="74" t="str">
        <f ca="1">IF(D356="N",COUNTIF(INDIRECT(ADDRESS(MATCH(Plages!$D$19,'Planning annuel mixing coater'!$B:$B),4)):D356,"N"),IF(D356="N1",COUNTIF($D$9:D356,"N1"),""))</f>
        <v/>
      </c>
      <c r="J356" s="96" t="str">
        <f>IF(D356="","",COUNTA(D352:D356)-(COUNTA(D356:D356)-1))</f>
        <v/>
      </c>
    </row>
    <row r="357" spans="1:10" thickBot="1">
      <c r="A357" s="117"/>
      <c r="B357" s="70">
        <f t="shared" si="25"/>
        <v>44149</v>
      </c>
      <c r="C357" s="82" t="str">
        <f t="shared" si="26"/>
        <v>samedi</v>
      </c>
      <c r="D357" s="87"/>
      <c r="E357" s="115" t="str">
        <f t="shared" si="27"/>
        <v/>
      </c>
      <c r="F357" s="115" t="str">
        <f t="shared" si="28"/>
        <v/>
      </c>
      <c r="G357" s="116" t="str">
        <f>IF(ISNONTEXT(D357),"",E357-MAX($F$2:F356))</f>
        <v/>
      </c>
      <c r="H357" s="97"/>
      <c r="I357" s="74" t="str">
        <f ca="1">IF(D357="N",COUNTIF(INDIRECT(ADDRESS(MATCH(Plages!$D$19,'Planning annuel mixing coater'!$B:$B),4)):D357,"N"),IF(D357="N1",COUNTIF($D$9:D357,"N1"),""))</f>
        <v/>
      </c>
      <c r="J357" s="96" t="str">
        <f>IF(D357="","",COUNTA(D352:D357)-(COUNTA(D357:D357)-1))</f>
        <v/>
      </c>
    </row>
    <row r="358" spans="1:10" thickBot="1">
      <c r="A358" s="117"/>
      <c r="B358" s="70">
        <f t="shared" si="25"/>
        <v>44150</v>
      </c>
      <c r="C358" s="82" t="str">
        <f t="shared" si="26"/>
        <v>dimanche</v>
      </c>
      <c r="D358" s="87"/>
      <c r="E358" s="115" t="str">
        <f t="shared" si="27"/>
        <v/>
      </c>
      <c r="F358" s="115" t="str">
        <f t="shared" si="28"/>
        <v/>
      </c>
      <c r="G358" s="116" t="str">
        <f>IF(ISNONTEXT(D358),"",E358-MAX($F$2:F357))</f>
        <v/>
      </c>
      <c r="H358" s="98"/>
      <c r="I358" s="74" t="str">
        <f ca="1">IF(D358="N",COUNTIF(INDIRECT(ADDRESS(MATCH(Plages!$D$19,'Planning annuel mixing coater'!$B:$B),4)):D358,"N"),IF(D358="N1",COUNTIF($D$9:D358,"N1"),""))</f>
        <v/>
      </c>
      <c r="J358" s="96" t="str">
        <f>IF(D358="","",COUNTA(D352:D358)-(COUNTA(D358:D358)-1))</f>
        <v/>
      </c>
    </row>
    <row r="359" spans="1:10" thickBot="1">
      <c r="A359" s="117"/>
      <c r="B359" s="70">
        <f t="shared" si="25"/>
        <v>44151</v>
      </c>
      <c r="C359" s="82" t="str">
        <f t="shared" si="26"/>
        <v>lundi</v>
      </c>
      <c r="D359" s="87"/>
      <c r="E359" s="115" t="str">
        <f t="shared" si="27"/>
        <v/>
      </c>
      <c r="F359" s="115" t="str">
        <f t="shared" si="28"/>
        <v/>
      </c>
      <c r="G359" s="116" t="str">
        <f>IF(ISNONTEXT(D359),"",E359-MAX($F$2:F358))</f>
        <v/>
      </c>
      <c r="H359" s="97"/>
      <c r="I359" s="74" t="str">
        <f ca="1">IF(D359="N",COUNTIF(INDIRECT(ADDRESS(MATCH(Plages!$D$19,'Planning annuel mixing coater'!$B:$B),4)):D359,"N"),IF(D359="N1",COUNTIF($D$9:D359,"N1"),""))</f>
        <v/>
      </c>
      <c r="J359" s="96" t="str">
        <f>IF(D359="","",COUNTA(D352:D359)-(COUNTA(D359:D359)-1))</f>
        <v/>
      </c>
    </row>
    <row r="360" spans="1:10" thickBot="1">
      <c r="A360" s="117"/>
      <c r="B360" s="70">
        <f t="shared" si="25"/>
        <v>44152</v>
      </c>
      <c r="C360" s="82" t="str">
        <f t="shared" si="26"/>
        <v>mardi</v>
      </c>
      <c r="D360" s="87"/>
      <c r="E360" s="115" t="str">
        <f t="shared" si="27"/>
        <v/>
      </c>
      <c r="F360" s="115" t="str">
        <f t="shared" si="28"/>
        <v/>
      </c>
      <c r="G360" s="116" t="str">
        <f>IF(ISNONTEXT(D360),"",E360-MAX($F$2:F359))</f>
        <v/>
      </c>
      <c r="H360" s="97"/>
      <c r="I360" s="74" t="str">
        <f ca="1">IF(D360="N",COUNTIF(INDIRECT(ADDRESS(MATCH(Plages!$D$19,'Planning annuel mixing coater'!$B:$B),4)):D360,"N"),IF(D360="N1",COUNTIF($D$9:D360,"N1"),""))</f>
        <v/>
      </c>
      <c r="J360" s="96" t="str">
        <f>IF(D360="","",COUNTA(D352:D360)-(COUNTA(D360:D360)-1))</f>
        <v/>
      </c>
    </row>
    <row r="361" spans="1:10" thickBot="1">
      <c r="A361" s="117"/>
      <c r="B361" s="70">
        <f t="shared" si="25"/>
        <v>44153</v>
      </c>
      <c r="C361" s="82" t="str">
        <f t="shared" si="26"/>
        <v>mercredi</v>
      </c>
      <c r="D361" s="87"/>
      <c r="E361" s="115" t="str">
        <f t="shared" si="27"/>
        <v/>
      </c>
      <c r="F361" s="115" t="str">
        <f t="shared" si="28"/>
        <v/>
      </c>
      <c r="G361" s="116" t="str">
        <f>IF(ISNONTEXT(D361),"",E361-MAX($F$2:F360))</f>
        <v/>
      </c>
      <c r="H361" s="97"/>
      <c r="I361" s="74" t="str">
        <f ca="1">IF(D361="N",COUNTIF(INDIRECT(ADDRESS(MATCH(Plages!$D$19,'Planning annuel mixing coater'!$B:$B),4)):D361,"N"),IF(D361="N1",COUNTIF($D$9:D361,"N1"),""))</f>
        <v/>
      </c>
      <c r="J361" s="96" t="str">
        <f>IF(D361="","",COUNTA(D352:D361)-(COUNTA(D361:D361)-1))</f>
        <v/>
      </c>
    </row>
    <row r="362" spans="1:10" thickBot="1">
      <c r="A362" s="117"/>
      <c r="B362" s="70">
        <f t="shared" si="25"/>
        <v>44154</v>
      </c>
      <c r="C362" s="82" t="str">
        <f t="shared" si="26"/>
        <v>jeudi</v>
      </c>
      <c r="D362" s="87"/>
      <c r="E362" s="115" t="str">
        <f t="shared" si="27"/>
        <v/>
      </c>
      <c r="F362" s="115" t="str">
        <f t="shared" si="28"/>
        <v/>
      </c>
      <c r="G362" s="116" t="str">
        <f>IF(ISNONTEXT(D362),"",E362-MAX($F$2:F361))</f>
        <v/>
      </c>
      <c r="H362" s="97"/>
      <c r="I362" s="74" t="str">
        <f ca="1">IF(D362="N",COUNTIF(INDIRECT(ADDRESS(MATCH(Plages!$D$19,'Planning annuel mixing coater'!$B:$B),4)):D362,"N"),IF(D362="N1",COUNTIF($D$9:D362,"N1"),""))</f>
        <v/>
      </c>
      <c r="J362" s="96" t="str">
        <f>IF(D362="","",COUNTA(D352:D362)-(COUNTA(D362:D362)-1))</f>
        <v/>
      </c>
    </row>
    <row r="363" spans="1:10" thickBot="1">
      <c r="A363" s="117"/>
      <c r="B363" s="70">
        <f t="shared" si="25"/>
        <v>44155</v>
      </c>
      <c r="C363" s="82" t="str">
        <f t="shared" si="26"/>
        <v>vendredi</v>
      </c>
      <c r="D363" s="87"/>
      <c r="E363" s="115" t="str">
        <f t="shared" si="27"/>
        <v/>
      </c>
      <c r="F363" s="115" t="str">
        <f t="shared" si="28"/>
        <v/>
      </c>
      <c r="G363" s="116" t="str">
        <f>IF(ISNONTEXT(D363),"",E363-MAX($F$2:F362))</f>
        <v/>
      </c>
      <c r="H363" s="97"/>
      <c r="I363" s="74" t="str">
        <f ca="1">IF(D363="N",COUNTIF(INDIRECT(ADDRESS(MATCH(Plages!$D$19,'Planning annuel mixing coater'!$B:$B),4)):D363,"N"),IF(D363="N1",COUNTIF($D$9:D363,"N1"),""))</f>
        <v/>
      </c>
      <c r="J363" s="96" t="str">
        <f>IF(D363="","",COUNTA(D352:D363)-(COUNTA(D363:D363)-1))</f>
        <v/>
      </c>
    </row>
    <row r="364" spans="1:10" thickBot="1">
      <c r="A364" s="117"/>
      <c r="B364" s="70">
        <f t="shared" si="25"/>
        <v>44156</v>
      </c>
      <c r="C364" s="82" t="str">
        <f t="shared" si="26"/>
        <v>samedi</v>
      </c>
      <c r="D364" s="87"/>
      <c r="E364" s="115" t="str">
        <f t="shared" si="27"/>
        <v/>
      </c>
      <c r="F364" s="115" t="str">
        <f t="shared" si="28"/>
        <v/>
      </c>
      <c r="G364" s="116" t="str">
        <f>IF(ISNONTEXT(D364),"",E364-MAX($F$2:F363))</f>
        <v/>
      </c>
      <c r="H364" s="97"/>
      <c r="I364" s="74" t="str">
        <f ca="1">IF(D364="N",COUNTIF(INDIRECT(ADDRESS(MATCH(Plages!$D$19,'Planning annuel mixing coater'!$B:$B),4)):D364,"N"),IF(D364="N1",COUNTIF($D$9:D364,"N1"),""))</f>
        <v/>
      </c>
      <c r="J364" s="96" t="str">
        <f>IF(D364="","",COUNTA(D352:D364)-(COUNTA(D364:D364)-1))</f>
        <v/>
      </c>
    </row>
    <row r="365" spans="1:10" s="77" customFormat="1" thickBot="1">
      <c r="A365" s="117"/>
      <c r="B365" s="75">
        <f t="shared" si="25"/>
        <v>44157</v>
      </c>
      <c r="C365" s="83" t="str">
        <f t="shared" si="26"/>
        <v>dimanche</v>
      </c>
      <c r="D365" s="88"/>
      <c r="E365" s="115" t="str">
        <f t="shared" si="27"/>
        <v/>
      </c>
      <c r="F365" s="115" t="str">
        <f t="shared" si="28"/>
        <v/>
      </c>
      <c r="G365" s="116" t="str">
        <f>IF(ISNONTEXT(D365),"",E365-MAX($F$2:F364))</f>
        <v/>
      </c>
      <c r="H365" s="98"/>
      <c r="I365" s="76" t="str">
        <f ca="1">IF(D365="N",COUNTIF(INDIRECT(ADDRESS(MATCH(Plages!$D$19,'Planning annuel mixing coater'!$B:$B),4)):D365,"N"),IF(D365="N1",COUNTIF($D$9:D365,"N1"),""))</f>
        <v/>
      </c>
      <c r="J365" s="99" t="str">
        <f>IF(D365="","",COUNTA(D352:D365)-(COUNTA(D365:D365)-1))</f>
        <v/>
      </c>
    </row>
    <row r="366" spans="1:10" ht="16.5" thickTop="1" thickBot="1">
      <c r="A366" s="117"/>
      <c r="B366" s="78">
        <f t="shared" si="25"/>
        <v>44158</v>
      </c>
      <c r="C366" s="81" t="str">
        <f t="shared" si="26"/>
        <v>lundi</v>
      </c>
      <c r="D366" s="89"/>
      <c r="E366" s="115" t="str">
        <f t="shared" si="27"/>
        <v/>
      </c>
      <c r="F366" s="115" t="str">
        <f t="shared" si="28"/>
        <v/>
      </c>
      <c r="G366" s="116" t="str">
        <f>IF(ISNONTEXT(D366),"",E366-MAX($F$2:F365))</f>
        <v/>
      </c>
      <c r="H366" s="100"/>
      <c r="I366" s="79" t="str">
        <f ca="1">IF(D366="N",COUNTIF(INDIRECT(ADDRESS(MATCH(Plages!$D$19,'Planning annuel mixing coater'!$B:$B),4)):D366,"N"),IF(D366="N1",COUNTIF($D$9:D366,"N1"),""))</f>
        <v/>
      </c>
      <c r="J366" s="101" t="str">
        <f>IF(D366="","",COUNTA(D366:D366)-(COUNTA(D366:D366)-1))</f>
        <v/>
      </c>
    </row>
    <row r="367" spans="1:10" thickBot="1">
      <c r="A367" s="117"/>
      <c r="B367" s="70">
        <f t="shared" si="25"/>
        <v>44159</v>
      </c>
      <c r="C367" s="82" t="str">
        <f t="shared" si="26"/>
        <v>mardi</v>
      </c>
      <c r="D367" s="87"/>
      <c r="E367" s="115" t="str">
        <f t="shared" si="27"/>
        <v/>
      </c>
      <c r="F367" s="115" t="str">
        <f t="shared" si="28"/>
        <v/>
      </c>
      <c r="G367" s="116" t="str">
        <f>IF(ISNONTEXT(D367),"",E367-MAX($F$2:F366))</f>
        <v/>
      </c>
      <c r="H367" s="97"/>
      <c r="I367" s="74" t="str">
        <f ca="1">IF(D367="N",COUNTIF(INDIRECT(ADDRESS(MATCH(Plages!$D$19,'Planning annuel mixing coater'!$B:$B),4)):D367,"N"),IF(D367="N1",COUNTIF($D$9:D367,"N1"),""))</f>
        <v/>
      </c>
      <c r="J367" s="96" t="str">
        <f>IF(D367="","",COUNTA(D366:D367)-(COUNTA(D367:D367)-1))</f>
        <v/>
      </c>
    </row>
    <row r="368" spans="1:10" thickBot="1">
      <c r="A368" s="117"/>
      <c r="B368" s="70">
        <f t="shared" si="25"/>
        <v>44160</v>
      </c>
      <c r="C368" s="82" t="str">
        <f t="shared" si="26"/>
        <v>mercredi</v>
      </c>
      <c r="D368" s="87"/>
      <c r="E368" s="115" t="str">
        <f t="shared" si="27"/>
        <v/>
      </c>
      <c r="F368" s="115" t="str">
        <f t="shared" si="28"/>
        <v/>
      </c>
      <c r="G368" s="116" t="str">
        <f>IF(ISNONTEXT(D368),"",E368-MAX($F$2:F367))</f>
        <v/>
      </c>
      <c r="H368" s="97"/>
      <c r="I368" s="74" t="str">
        <f ca="1">IF(D368="N",COUNTIF(INDIRECT(ADDRESS(MATCH(Plages!$D$19,'Planning annuel mixing coater'!$B:$B),4)):D368,"N"),IF(D368="N1",COUNTIF($D$9:D368,"N1"),""))</f>
        <v/>
      </c>
      <c r="J368" s="96" t="str">
        <f>IF(D368="","",COUNTA(D366:D368)-(COUNTA(D368:D368)-1))</f>
        <v/>
      </c>
    </row>
    <row r="369" spans="1:10" thickBot="1">
      <c r="A369" s="117"/>
      <c r="B369" s="70">
        <f t="shared" si="25"/>
        <v>44161</v>
      </c>
      <c r="C369" s="82" t="str">
        <f t="shared" si="26"/>
        <v>jeudi</v>
      </c>
      <c r="D369" s="87"/>
      <c r="E369" s="115" t="str">
        <f t="shared" si="27"/>
        <v/>
      </c>
      <c r="F369" s="115" t="str">
        <f t="shared" si="28"/>
        <v/>
      </c>
      <c r="G369" s="116" t="str">
        <f>IF(ISNONTEXT(D369),"",E369-MAX($F$2:F368))</f>
        <v/>
      </c>
      <c r="H369" s="97"/>
      <c r="I369" s="74" t="str">
        <f ca="1">IF(D369="N",COUNTIF(INDIRECT(ADDRESS(MATCH(Plages!$D$19,'Planning annuel mixing coater'!$B:$B),4)):D369,"N"),IF(D369="N1",COUNTIF($D$9:D369,"N1"),""))</f>
        <v/>
      </c>
      <c r="J369" s="96" t="str">
        <f>IF(D369="","",COUNTA(D366:D369)-(COUNTA(D369:D369)-1))</f>
        <v/>
      </c>
    </row>
    <row r="370" spans="1:10" thickBot="1">
      <c r="A370" s="117"/>
      <c r="B370" s="70">
        <f t="shared" si="25"/>
        <v>44162</v>
      </c>
      <c r="C370" s="82" t="str">
        <f t="shared" si="26"/>
        <v>vendredi</v>
      </c>
      <c r="D370" s="87"/>
      <c r="E370" s="115" t="str">
        <f t="shared" si="27"/>
        <v/>
      </c>
      <c r="F370" s="115" t="str">
        <f t="shared" si="28"/>
        <v/>
      </c>
      <c r="G370" s="116" t="str">
        <f>IF(ISNONTEXT(D370),"",E370-MAX($F$2:F369))</f>
        <v/>
      </c>
      <c r="H370" s="97"/>
      <c r="I370" s="74" t="str">
        <f ca="1">IF(D370="N",COUNTIF(INDIRECT(ADDRESS(MATCH(Plages!$D$19,'Planning annuel mixing coater'!$B:$B),4)):D370,"N"),IF(D370="N1",COUNTIF($D$9:D370,"N1"),""))</f>
        <v/>
      </c>
      <c r="J370" s="96" t="str">
        <f>IF(D370="","",COUNTA(D366:D370)-(COUNTA(D370:D370)-1))</f>
        <v/>
      </c>
    </row>
    <row r="371" spans="1:10" thickBot="1">
      <c r="A371" s="117"/>
      <c r="B371" s="70">
        <f t="shared" si="25"/>
        <v>44163</v>
      </c>
      <c r="C371" s="82" t="str">
        <f t="shared" si="26"/>
        <v>samedi</v>
      </c>
      <c r="D371" s="87"/>
      <c r="E371" s="115" t="str">
        <f t="shared" si="27"/>
        <v/>
      </c>
      <c r="F371" s="115" t="str">
        <f t="shared" si="28"/>
        <v/>
      </c>
      <c r="G371" s="116" t="str">
        <f>IF(ISNONTEXT(D371),"",E371-MAX($F$2:F370))</f>
        <v/>
      </c>
      <c r="H371" s="97"/>
      <c r="I371" s="74" t="str">
        <f ca="1">IF(D371="N",COUNTIF(INDIRECT(ADDRESS(MATCH(Plages!$D$19,'Planning annuel mixing coater'!$B:$B),4)):D371,"N"),IF(D371="N1",COUNTIF($D$9:D371,"N1"),""))</f>
        <v/>
      </c>
      <c r="J371" s="96" t="str">
        <f>IF(D371="","",COUNTA(D366:D371)-(COUNTA(D371:D371)-1))</f>
        <v/>
      </c>
    </row>
    <row r="372" spans="1:10" thickBot="1">
      <c r="A372" s="117"/>
      <c r="B372" s="70">
        <f t="shared" si="25"/>
        <v>44164</v>
      </c>
      <c r="C372" s="82" t="str">
        <f t="shared" si="26"/>
        <v>dimanche</v>
      </c>
      <c r="D372" s="87"/>
      <c r="E372" s="115" t="str">
        <f t="shared" si="27"/>
        <v/>
      </c>
      <c r="F372" s="115" t="str">
        <f t="shared" si="28"/>
        <v/>
      </c>
      <c r="G372" s="116" t="str">
        <f>IF(ISNONTEXT(D372),"",E372-MAX($F$2:F371))</f>
        <v/>
      </c>
      <c r="H372" s="98"/>
      <c r="I372" s="74" t="str">
        <f ca="1">IF(D372="N",COUNTIF(INDIRECT(ADDRESS(MATCH(Plages!$D$19,'Planning annuel mixing coater'!$B:$B),4)):D372,"N"),IF(D372="N1",COUNTIF($D$9:D372,"N1"),""))</f>
        <v/>
      </c>
      <c r="J372" s="96" t="str">
        <f>IF(D372="","",COUNTA(D366:D372)-(COUNTA(D372:D372)-1))</f>
        <v/>
      </c>
    </row>
    <row r="373" spans="1:10" thickBot="1">
      <c r="A373" s="117"/>
      <c r="B373" s="70">
        <f t="shared" si="25"/>
        <v>44165</v>
      </c>
      <c r="C373" s="82" t="str">
        <f t="shared" si="26"/>
        <v>lundi</v>
      </c>
      <c r="D373" s="87"/>
      <c r="E373" s="115" t="str">
        <f t="shared" si="27"/>
        <v/>
      </c>
      <c r="F373" s="115" t="str">
        <f t="shared" si="28"/>
        <v/>
      </c>
      <c r="G373" s="116" t="str">
        <f>IF(ISNONTEXT(D373),"",E373-MAX($F$2:F372))</f>
        <v/>
      </c>
      <c r="H373" s="97"/>
      <c r="I373" s="74" t="str">
        <f ca="1">IF(D373="N",COUNTIF(INDIRECT(ADDRESS(MATCH(Plages!$D$19,'Planning annuel mixing coater'!$B:$B),4)):D373,"N"),IF(D373="N1",COUNTIF($D$9:D373,"N1"),""))</f>
        <v/>
      </c>
      <c r="J373" s="96" t="str">
        <f>IF(D373="","",COUNTA(D366:D373)-(COUNTA(D373:D373)-1))</f>
        <v/>
      </c>
    </row>
    <row r="374" spans="1:10" thickBot="1">
      <c r="A374" s="117"/>
      <c r="B374" s="70">
        <f t="shared" si="25"/>
        <v>44166</v>
      </c>
      <c r="C374" s="82" t="str">
        <f t="shared" si="26"/>
        <v>mardi</v>
      </c>
      <c r="D374" s="87"/>
      <c r="E374" s="115" t="str">
        <f t="shared" si="27"/>
        <v/>
      </c>
      <c r="F374" s="115" t="str">
        <f t="shared" si="28"/>
        <v/>
      </c>
      <c r="G374" s="116" t="str">
        <f>IF(ISNONTEXT(D374),"",E374-MAX($F$2:F373))</f>
        <v/>
      </c>
      <c r="H374" s="97"/>
      <c r="I374" s="74" t="str">
        <f ca="1">IF(D374="N",COUNTIF(INDIRECT(ADDRESS(MATCH(Plages!$D$19,'Planning annuel mixing coater'!$B:$B),4)):D374,"N"),IF(D374="N1",COUNTIF($D$9:D374,"N1"),""))</f>
        <v/>
      </c>
      <c r="J374" s="96" t="str">
        <f>IF(D374="","",COUNTA(D366:D374)-(COUNTA(D374:D374)-1))</f>
        <v/>
      </c>
    </row>
    <row r="375" spans="1:10" thickBot="1">
      <c r="A375" s="117"/>
      <c r="B375" s="70">
        <f t="shared" si="25"/>
        <v>44167</v>
      </c>
      <c r="C375" s="82" t="str">
        <f t="shared" si="26"/>
        <v>mercredi</v>
      </c>
      <c r="D375" s="87"/>
      <c r="E375" s="115" t="str">
        <f t="shared" si="27"/>
        <v/>
      </c>
      <c r="F375" s="115" t="str">
        <f t="shared" si="28"/>
        <v/>
      </c>
      <c r="G375" s="116" t="str">
        <f>IF(ISNONTEXT(D375),"",E375-MAX($F$2:F374))</f>
        <v/>
      </c>
      <c r="H375" s="97"/>
      <c r="I375" s="74" t="str">
        <f ca="1">IF(D375="N",COUNTIF(INDIRECT(ADDRESS(MATCH(Plages!$D$19,'Planning annuel mixing coater'!$B:$B),4)):D375,"N"),IF(D375="N1",COUNTIF($D$9:D375,"N1"),""))</f>
        <v/>
      </c>
      <c r="J375" s="96" t="str">
        <f>IF(D375="","",COUNTA(D366:D375)-(COUNTA(D375:D375)-1))</f>
        <v/>
      </c>
    </row>
    <row r="376" spans="1:10" thickBot="1">
      <c r="A376" s="117"/>
      <c r="B376" s="70">
        <f t="shared" si="25"/>
        <v>44168</v>
      </c>
      <c r="C376" s="82" t="str">
        <f t="shared" si="26"/>
        <v>jeudi</v>
      </c>
      <c r="D376" s="87"/>
      <c r="E376" s="115" t="str">
        <f t="shared" si="27"/>
        <v/>
      </c>
      <c r="F376" s="115" t="str">
        <f t="shared" si="28"/>
        <v/>
      </c>
      <c r="G376" s="116" t="str">
        <f>IF(ISNONTEXT(D376),"",E376-MAX($F$2:F375))</f>
        <v/>
      </c>
      <c r="H376" s="97"/>
      <c r="I376" s="74" t="str">
        <f ca="1">IF(D376="N",COUNTIF(INDIRECT(ADDRESS(MATCH(Plages!$D$19,'Planning annuel mixing coater'!$B:$B),4)):D376,"N"),IF(D376="N1",COUNTIF($D$9:D376,"N1"),""))</f>
        <v/>
      </c>
      <c r="J376" s="96" t="str">
        <f>IF(D376="","",COUNTA(D366:D376)-(COUNTA(D376:D376)-1))</f>
        <v/>
      </c>
    </row>
    <row r="377" spans="1:10" thickBot="1">
      <c r="A377" s="117"/>
      <c r="B377" s="70">
        <f t="shared" si="25"/>
        <v>44169</v>
      </c>
      <c r="C377" s="82" t="str">
        <f t="shared" si="26"/>
        <v>vendredi</v>
      </c>
      <c r="D377" s="87"/>
      <c r="E377" s="115" t="str">
        <f t="shared" si="27"/>
        <v/>
      </c>
      <c r="F377" s="115" t="str">
        <f t="shared" si="28"/>
        <v/>
      </c>
      <c r="G377" s="116" t="str">
        <f>IF(ISNONTEXT(D377),"",E377-MAX($F$2:F376))</f>
        <v/>
      </c>
      <c r="H377" s="97"/>
      <c r="I377" s="74" t="str">
        <f ca="1">IF(D377="N",COUNTIF(INDIRECT(ADDRESS(MATCH(Plages!$D$19,'Planning annuel mixing coater'!$B:$B),4)):D377,"N"),IF(D377="N1",COUNTIF($D$9:D377,"N1"),""))</f>
        <v/>
      </c>
      <c r="J377" s="96" t="str">
        <f>IF(D377="","",COUNTA(D366:D377)-(COUNTA(D377:D377)-1))</f>
        <v/>
      </c>
    </row>
    <row r="378" spans="1:10" thickBot="1">
      <c r="A378" s="117"/>
      <c r="B378" s="70">
        <f t="shared" si="25"/>
        <v>44170</v>
      </c>
      <c r="C378" s="82" t="str">
        <f t="shared" si="26"/>
        <v>samedi</v>
      </c>
      <c r="D378" s="87"/>
      <c r="E378" s="115" t="str">
        <f t="shared" si="27"/>
        <v/>
      </c>
      <c r="F378" s="115" t="str">
        <f t="shared" si="28"/>
        <v/>
      </c>
      <c r="G378" s="116" t="str">
        <f>IF(ISNONTEXT(D378),"",E378-MAX($F$2:F377))</f>
        <v/>
      </c>
      <c r="H378" s="97"/>
      <c r="I378" s="74" t="str">
        <f ca="1">IF(D378="N",COUNTIF(INDIRECT(ADDRESS(MATCH(Plages!$D$19,'Planning annuel mixing coater'!$B:$B),4)):D378,"N"),IF(D378="N1",COUNTIF($D$9:D378,"N1"),""))</f>
        <v/>
      </c>
      <c r="J378" s="96" t="str">
        <f>IF(D378="","",COUNTA(D366:D378)-(COUNTA(D378:D378)-1))</f>
        <v/>
      </c>
    </row>
    <row r="379" spans="1:10" s="77" customFormat="1" thickBot="1">
      <c r="A379" s="117"/>
      <c r="B379" s="75">
        <f t="shared" si="25"/>
        <v>44171</v>
      </c>
      <c r="C379" s="83" t="str">
        <f t="shared" si="26"/>
        <v>dimanche</v>
      </c>
      <c r="D379" s="88"/>
      <c r="E379" s="115" t="str">
        <f t="shared" si="27"/>
        <v/>
      </c>
      <c r="F379" s="115" t="str">
        <f t="shared" si="28"/>
        <v/>
      </c>
      <c r="G379" s="116" t="str">
        <f>IF(ISNONTEXT(D379),"",E379-MAX($F$2:F378))</f>
        <v/>
      </c>
      <c r="H379" s="98"/>
      <c r="I379" s="76" t="str">
        <f ca="1">IF(D379="N",COUNTIF(INDIRECT(ADDRESS(MATCH(Plages!$D$19,'Planning annuel mixing coater'!$B:$B),4)):D379,"N"),IF(D379="N1",COUNTIF($D$9:D379,"N1"),""))</f>
        <v/>
      </c>
      <c r="J379" s="99" t="str">
        <f>IF(D379="","",COUNTA(D366:D379)-(COUNTA(D379:D379)-1))</f>
        <v/>
      </c>
    </row>
    <row r="380" spans="1:10" ht="16.5" thickTop="1" thickBot="1">
      <c r="A380" s="117"/>
      <c r="B380" s="78">
        <f t="shared" si="25"/>
        <v>44172</v>
      </c>
      <c r="C380" s="81" t="str">
        <f t="shared" si="26"/>
        <v>lundi</v>
      </c>
      <c r="D380" s="89"/>
      <c r="E380" s="115" t="str">
        <f t="shared" si="27"/>
        <v/>
      </c>
      <c r="F380" s="115" t="str">
        <f t="shared" si="28"/>
        <v/>
      </c>
      <c r="G380" s="116" t="str">
        <f>IF(ISNONTEXT(D380),"",E380-MAX($F$2:F379))</f>
        <v/>
      </c>
      <c r="H380" s="100"/>
      <c r="I380" s="79" t="str">
        <f ca="1">IF(D380="N",COUNTIF(INDIRECT(ADDRESS(MATCH(Plages!$D$19,'Planning annuel mixing coater'!$B:$B),4)):D380,"N"),IF(D380="N1",COUNTIF($D$9:D380,"N1"),""))</f>
        <v/>
      </c>
      <c r="J380" s="101" t="str">
        <f>IF(D380="","",COUNTA(D380:D380)-(COUNTA(D380:D380)-1))</f>
        <v/>
      </c>
    </row>
    <row r="381" spans="1:10" thickBot="1">
      <c r="A381" s="117"/>
      <c r="B381" s="70">
        <f t="shared" si="25"/>
        <v>44173</v>
      </c>
      <c r="C381" s="82" t="str">
        <f t="shared" si="26"/>
        <v>mardi</v>
      </c>
      <c r="D381" s="87"/>
      <c r="E381" s="115" t="str">
        <f t="shared" si="27"/>
        <v/>
      </c>
      <c r="F381" s="115" t="str">
        <f t="shared" si="28"/>
        <v/>
      </c>
      <c r="G381" s="116" t="str">
        <f>IF(ISNONTEXT(D381),"",E381-MAX($F$2:F380))</f>
        <v/>
      </c>
      <c r="H381" s="97"/>
      <c r="I381" s="74" t="str">
        <f ca="1">IF(D381="N",COUNTIF(INDIRECT(ADDRESS(MATCH(Plages!$D$19,'Planning annuel mixing coater'!$B:$B),4)):D381,"N"),IF(D381="N1",COUNTIF($D$9:D381,"N1"),""))</f>
        <v/>
      </c>
      <c r="J381" s="96" t="str">
        <f>IF(D381="","",COUNTA(D380:D381)-(COUNTA(D381:D381)-1))</f>
        <v/>
      </c>
    </row>
    <row r="382" spans="1:10" thickBot="1">
      <c r="A382" s="117"/>
      <c r="B382" s="70">
        <f t="shared" si="25"/>
        <v>44174</v>
      </c>
      <c r="C382" s="82" t="str">
        <f t="shared" si="26"/>
        <v>mercredi</v>
      </c>
      <c r="D382" s="87"/>
      <c r="E382" s="115" t="str">
        <f t="shared" si="27"/>
        <v/>
      </c>
      <c r="F382" s="115" t="str">
        <f t="shared" si="28"/>
        <v/>
      </c>
      <c r="G382" s="116" t="str">
        <f>IF(ISNONTEXT(D382),"",E382-MAX($F$2:F381))</f>
        <v/>
      </c>
      <c r="H382" s="97"/>
      <c r="I382" s="74" t="str">
        <f ca="1">IF(D382="N",COUNTIF(INDIRECT(ADDRESS(MATCH(Plages!$D$19,'Planning annuel mixing coater'!$B:$B),4)):D382,"N"),IF(D382="N1",COUNTIF($D$9:D382,"N1"),""))</f>
        <v/>
      </c>
      <c r="J382" s="96" t="str">
        <f>IF(D382="","",COUNTA(D380:D382)-(COUNTA(D382:D382)-1))</f>
        <v/>
      </c>
    </row>
    <row r="383" spans="1:10" thickBot="1">
      <c r="A383" s="117"/>
      <c r="B383" s="70">
        <f t="shared" si="25"/>
        <v>44175</v>
      </c>
      <c r="C383" s="82" t="str">
        <f t="shared" si="26"/>
        <v>jeudi</v>
      </c>
      <c r="D383" s="87"/>
      <c r="E383" s="115" t="str">
        <f t="shared" si="27"/>
        <v/>
      </c>
      <c r="F383" s="115" t="str">
        <f t="shared" si="28"/>
        <v/>
      </c>
      <c r="G383" s="116" t="str">
        <f>IF(ISNONTEXT(D383),"",E383-MAX($F$2:F382))</f>
        <v/>
      </c>
      <c r="H383" s="97"/>
      <c r="I383" s="74" t="str">
        <f ca="1">IF(D383="N",COUNTIF(INDIRECT(ADDRESS(MATCH(Plages!$D$19,'Planning annuel mixing coater'!$B:$B),4)):D383,"N"),IF(D383="N1",COUNTIF($D$9:D383,"N1"),""))</f>
        <v/>
      </c>
      <c r="J383" s="96" t="str">
        <f>IF(D383="","",COUNTA(D380:D383)-(COUNTA(D383:D383)-1))</f>
        <v/>
      </c>
    </row>
    <row r="384" spans="1:10" thickBot="1">
      <c r="A384" s="117"/>
      <c r="B384" s="70">
        <f t="shared" si="25"/>
        <v>44176</v>
      </c>
      <c r="C384" s="82" t="str">
        <f t="shared" si="26"/>
        <v>vendredi</v>
      </c>
      <c r="D384" s="87"/>
      <c r="E384" s="115" t="str">
        <f t="shared" si="27"/>
        <v/>
      </c>
      <c r="F384" s="115" t="str">
        <f t="shared" si="28"/>
        <v/>
      </c>
      <c r="G384" s="116" t="str">
        <f>IF(ISNONTEXT(D384),"",E384-MAX($F$2:F383))</f>
        <v/>
      </c>
      <c r="H384" s="97"/>
      <c r="I384" s="74" t="str">
        <f ca="1">IF(D384="N",COUNTIF(INDIRECT(ADDRESS(MATCH(Plages!$D$19,'Planning annuel mixing coater'!$B:$B),4)):D384,"N"),IF(D384="N1",COUNTIF($D$9:D384,"N1"),""))</f>
        <v/>
      </c>
      <c r="J384" s="96" t="str">
        <f>IF(D384="","",COUNTA(D380:D384)-(COUNTA(D384:D384)-1))</f>
        <v/>
      </c>
    </row>
    <row r="385" spans="1:10" thickBot="1">
      <c r="A385" s="117"/>
      <c r="B385" s="70">
        <f t="shared" si="25"/>
        <v>44177</v>
      </c>
      <c r="C385" s="82" t="str">
        <f t="shared" si="26"/>
        <v>samedi</v>
      </c>
      <c r="D385" s="87"/>
      <c r="E385" s="115" t="str">
        <f t="shared" si="27"/>
        <v/>
      </c>
      <c r="F385" s="115" t="str">
        <f t="shared" si="28"/>
        <v/>
      </c>
      <c r="G385" s="116" t="str">
        <f>IF(ISNONTEXT(D385),"",E385-MAX($F$2:F384))</f>
        <v/>
      </c>
      <c r="H385" s="97"/>
      <c r="I385" s="74" t="str">
        <f ca="1">IF(D385="N",COUNTIF(INDIRECT(ADDRESS(MATCH(Plages!$D$19,'Planning annuel mixing coater'!$B:$B),4)):D385,"N"),IF(D385="N1",COUNTIF($D$9:D385,"N1"),""))</f>
        <v/>
      </c>
      <c r="J385" s="96" t="str">
        <f>IF(D385="","",COUNTA(D380:D385)-(COUNTA(D385:D385)-1))</f>
        <v/>
      </c>
    </row>
    <row r="386" spans="1:10" thickBot="1">
      <c r="A386" s="117"/>
      <c r="B386" s="70">
        <f t="shared" si="25"/>
        <v>44178</v>
      </c>
      <c r="C386" s="82" t="str">
        <f t="shared" si="26"/>
        <v>dimanche</v>
      </c>
      <c r="D386" s="87"/>
      <c r="E386" s="115" t="str">
        <f t="shared" si="27"/>
        <v/>
      </c>
      <c r="F386" s="115" t="str">
        <f t="shared" si="28"/>
        <v/>
      </c>
      <c r="G386" s="116" t="str">
        <f>IF(ISNONTEXT(D386),"",E386-MAX($F$2:F385))</f>
        <v/>
      </c>
      <c r="H386" s="98"/>
      <c r="I386" s="74" t="str">
        <f ca="1">IF(D386="N",COUNTIF(INDIRECT(ADDRESS(MATCH(Plages!$D$19,'Planning annuel mixing coater'!$B:$B),4)):D386,"N"),IF(D386="N1",COUNTIF($D$9:D386,"N1"),""))</f>
        <v/>
      </c>
      <c r="J386" s="96" t="str">
        <f>IF(D386="","",COUNTA(D380:D386)-(COUNTA(D386:D386)-1))</f>
        <v/>
      </c>
    </row>
    <row r="387" spans="1:10" thickBot="1">
      <c r="A387" s="117"/>
      <c r="B387" s="70">
        <f t="shared" si="25"/>
        <v>44179</v>
      </c>
      <c r="C387" s="82" t="str">
        <f t="shared" si="26"/>
        <v>lundi</v>
      </c>
      <c r="D387" s="87"/>
      <c r="E387" s="115" t="str">
        <f t="shared" si="27"/>
        <v/>
      </c>
      <c r="F387" s="115" t="str">
        <f t="shared" si="28"/>
        <v/>
      </c>
      <c r="G387" s="116" t="str">
        <f>IF(ISNONTEXT(D387),"",E387-MAX($F$2:F386))</f>
        <v/>
      </c>
      <c r="H387" s="97"/>
      <c r="I387" s="74" t="str">
        <f ca="1">IF(D387="N",COUNTIF(INDIRECT(ADDRESS(MATCH(Plages!$D$19,'Planning annuel mixing coater'!$B:$B),4)):D387,"N"),IF(D387="N1",COUNTIF($D$9:D387,"N1"),""))</f>
        <v/>
      </c>
      <c r="J387" s="96" t="str">
        <f>IF(D387="","",COUNTA(D380:D387)-(COUNTA(D387:D387)-1))</f>
        <v/>
      </c>
    </row>
    <row r="388" spans="1:10" thickBot="1">
      <c r="A388" s="117"/>
      <c r="B388" s="70">
        <f t="shared" ref="B388:B451" si="29">IF(B387="","",B387+1)</f>
        <v>44180</v>
      </c>
      <c r="C388" s="82" t="str">
        <f t="shared" si="26"/>
        <v>mardi</v>
      </c>
      <c r="D388" s="87"/>
      <c r="E388" s="115" t="str">
        <f t="shared" si="27"/>
        <v/>
      </c>
      <c r="F388" s="115" t="str">
        <f t="shared" si="28"/>
        <v/>
      </c>
      <c r="G388" s="116" t="str">
        <f>IF(ISNONTEXT(D388),"",E388-MAX($F$2:F387))</f>
        <v/>
      </c>
      <c r="H388" s="97"/>
      <c r="I388" s="74" t="str">
        <f ca="1">IF(D388="N",COUNTIF(INDIRECT(ADDRESS(MATCH(Plages!$D$19,'Planning annuel mixing coater'!$B:$B),4)):D388,"N"),IF(D388="N1",COUNTIF($D$9:D388,"N1"),""))</f>
        <v/>
      </c>
      <c r="J388" s="96" t="str">
        <f>IF(D388="","",COUNTA(D380:D388)-(COUNTA(D388:D388)-1))</f>
        <v/>
      </c>
    </row>
    <row r="389" spans="1:10" thickBot="1">
      <c r="A389" s="117"/>
      <c r="B389" s="70">
        <f t="shared" si="29"/>
        <v>44181</v>
      </c>
      <c r="C389" s="82" t="str">
        <f t="shared" si="26"/>
        <v>mercredi</v>
      </c>
      <c r="D389" s="87"/>
      <c r="E389" s="115" t="str">
        <f t="shared" si="27"/>
        <v/>
      </c>
      <c r="F389" s="115" t="str">
        <f t="shared" si="28"/>
        <v/>
      </c>
      <c r="G389" s="116" t="str">
        <f>IF(ISNONTEXT(D389),"",E389-MAX($F$2:F388))</f>
        <v/>
      </c>
      <c r="H389" s="97"/>
      <c r="I389" s="74" t="str">
        <f ca="1">IF(D389="N",COUNTIF(INDIRECT(ADDRESS(MATCH(Plages!$D$19,'Planning annuel mixing coater'!$B:$B),4)):D389,"N"),IF(D389="N1",COUNTIF($D$9:D389,"N1"),""))</f>
        <v/>
      </c>
      <c r="J389" s="96" t="str">
        <f>IF(D389="","",COUNTA(D380:D389)-(COUNTA(D389:D389)-1))</f>
        <v/>
      </c>
    </row>
    <row r="390" spans="1:10" thickBot="1">
      <c r="A390" s="117"/>
      <c r="B390" s="70">
        <f t="shared" si="29"/>
        <v>44182</v>
      </c>
      <c r="C390" s="82" t="str">
        <f t="shared" si="26"/>
        <v>jeudi</v>
      </c>
      <c r="D390" s="87"/>
      <c r="E390" s="115" t="str">
        <f t="shared" si="27"/>
        <v/>
      </c>
      <c r="F390" s="115" t="str">
        <f t="shared" si="28"/>
        <v/>
      </c>
      <c r="G390" s="116" t="str">
        <f>IF(ISNONTEXT(D390),"",E390-MAX($F$2:F389))</f>
        <v/>
      </c>
      <c r="H390" s="97"/>
      <c r="I390" s="74" t="str">
        <f ca="1">IF(D390="N",COUNTIF(INDIRECT(ADDRESS(MATCH(Plages!$D$19,'Planning annuel mixing coater'!$B:$B),4)):D390,"N"),IF(D390="N1",COUNTIF($D$9:D390,"N1"),""))</f>
        <v/>
      </c>
      <c r="J390" s="96" t="str">
        <f>IF(D390="","",COUNTA(D380:D390)-(COUNTA(D390:D390)-1))</f>
        <v/>
      </c>
    </row>
    <row r="391" spans="1:10" thickBot="1">
      <c r="A391" s="117"/>
      <c r="B391" s="70">
        <f t="shared" si="29"/>
        <v>44183</v>
      </c>
      <c r="C391" s="82" t="str">
        <f t="shared" si="26"/>
        <v>vendredi</v>
      </c>
      <c r="D391" s="87"/>
      <c r="E391" s="115" t="str">
        <f t="shared" si="27"/>
        <v/>
      </c>
      <c r="F391" s="115" t="str">
        <f t="shared" si="28"/>
        <v/>
      </c>
      <c r="G391" s="116" t="str">
        <f>IF(ISNONTEXT(D391),"",E391-MAX($F$2:F390))</f>
        <v/>
      </c>
      <c r="H391" s="97"/>
      <c r="I391" s="74" t="str">
        <f ca="1">IF(D391="N",COUNTIF(INDIRECT(ADDRESS(MATCH(Plages!$D$19,'Planning annuel mixing coater'!$B:$B),4)):D391,"N"),IF(D391="N1",COUNTIF($D$9:D391,"N1"),""))</f>
        <v/>
      </c>
      <c r="J391" s="96" t="str">
        <f>IF(D391="","",COUNTA(D380:D391)-(COUNTA(D391:D391)-1))</f>
        <v/>
      </c>
    </row>
    <row r="392" spans="1:10" thickBot="1">
      <c r="A392" s="117"/>
      <c r="B392" s="70">
        <f t="shared" si="29"/>
        <v>44184</v>
      </c>
      <c r="C392" s="82" t="str">
        <f t="shared" si="26"/>
        <v>samedi</v>
      </c>
      <c r="D392" s="87"/>
      <c r="E392" s="115" t="str">
        <f t="shared" si="27"/>
        <v/>
      </c>
      <c r="F392" s="115" t="str">
        <f t="shared" si="28"/>
        <v/>
      </c>
      <c r="G392" s="116" t="str">
        <f>IF(ISNONTEXT(D392),"",E392-MAX($F$2:F391))</f>
        <v/>
      </c>
      <c r="H392" s="97"/>
      <c r="I392" s="74" t="str">
        <f ca="1">IF(D392="N",COUNTIF(INDIRECT(ADDRESS(MATCH(Plages!$D$19,'Planning annuel mixing coater'!$B:$B),4)):D392,"N"),IF(D392="N1",COUNTIF($D$9:D392,"N1"),""))</f>
        <v/>
      </c>
      <c r="J392" s="96" t="str">
        <f>IF(D392="","",COUNTA(D380:D392)-(COUNTA(D392:D392)-1))</f>
        <v/>
      </c>
    </row>
    <row r="393" spans="1:10" s="77" customFormat="1" thickBot="1">
      <c r="A393" s="117"/>
      <c r="B393" s="75">
        <f t="shared" si="29"/>
        <v>44185</v>
      </c>
      <c r="C393" s="83" t="str">
        <f t="shared" si="26"/>
        <v>dimanche</v>
      </c>
      <c r="D393" s="88"/>
      <c r="E393" s="115" t="str">
        <f t="shared" si="27"/>
        <v/>
      </c>
      <c r="F393" s="115" t="str">
        <f t="shared" si="28"/>
        <v/>
      </c>
      <c r="G393" s="116" t="str">
        <f>IF(ISNONTEXT(D393),"",E393-MAX($F$2:F392))</f>
        <v/>
      </c>
      <c r="H393" s="98"/>
      <c r="I393" s="76" t="str">
        <f ca="1">IF(D393="N",COUNTIF(INDIRECT(ADDRESS(MATCH(Plages!$D$19,'Planning annuel mixing coater'!$B:$B),4)):D393,"N"),IF(D393="N1",COUNTIF($D$9:D393,"N1"),""))</f>
        <v/>
      </c>
      <c r="J393" s="99" t="str">
        <f>IF(D393="","",COUNTA(D380:D393)-(COUNTA(D393:D393)-1))</f>
        <v/>
      </c>
    </row>
    <row r="394" spans="1:10" ht="16.5" thickTop="1" thickBot="1">
      <c r="A394" s="117"/>
      <c r="B394" s="78">
        <f t="shared" si="29"/>
        <v>44186</v>
      </c>
      <c r="C394" s="81" t="str">
        <f t="shared" si="26"/>
        <v>lundi</v>
      </c>
      <c r="D394" s="89"/>
      <c r="E394" s="115" t="str">
        <f t="shared" si="27"/>
        <v/>
      </c>
      <c r="F394" s="115" t="str">
        <f t="shared" si="28"/>
        <v/>
      </c>
      <c r="G394" s="116" t="str">
        <f>IF(ISNONTEXT(D394),"",E394-MAX($F$2:F393))</f>
        <v/>
      </c>
      <c r="H394" s="100"/>
      <c r="I394" s="79" t="str">
        <f ca="1">IF(D394="N",COUNTIF(INDIRECT(ADDRESS(MATCH(Plages!$D$19,'Planning annuel mixing coater'!$B:$B),4)):D394,"N"),IF(D394="N1",COUNTIF($D$9:D394,"N1"),""))</f>
        <v/>
      </c>
      <c r="J394" s="101" t="str">
        <f>IF(D394="","",COUNTA(D394:D394)-(COUNTA(D394:D394)-1))</f>
        <v/>
      </c>
    </row>
    <row r="395" spans="1:10" thickBot="1">
      <c r="A395" s="117"/>
      <c r="B395" s="70">
        <f t="shared" si="29"/>
        <v>44187</v>
      </c>
      <c r="C395" s="82" t="str">
        <f t="shared" si="26"/>
        <v>mardi</v>
      </c>
      <c r="D395" s="87"/>
      <c r="E395" s="115" t="str">
        <f t="shared" si="27"/>
        <v/>
      </c>
      <c r="F395" s="115" t="str">
        <f t="shared" si="28"/>
        <v/>
      </c>
      <c r="G395" s="116" t="str">
        <f>IF(ISNONTEXT(D395),"",E395-MAX($F$2:F394))</f>
        <v/>
      </c>
      <c r="H395" s="97"/>
      <c r="I395" s="74" t="str">
        <f ca="1">IF(D395="N",COUNTIF(INDIRECT(ADDRESS(MATCH(Plages!$D$19,'Planning annuel mixing coater'!$B:$B),4)):D395,"N"),IF(D395="N1",COUNTIF($D$9:D395,"N1"),""))</f>
        <v/>
      </c>
      <c r="J395" s="96" t="str">
        <f>IF(D395="","",COUNTA(D394:D395)-(COUNTA(D395:D395)-1))</f>
        <v/>
      </c>
    </row>
    <row r="396" spans="1:10" thickBot="1">
      <c r="A396" s="117"/>
      <c r="B396" s="70">
        <f t="shared" si="29"/>
        <v>44188</v>
      </c>
      <c r="C396" s="82" t="str">
        <f t="shared" si="26"/>
        <v>mercredi</v>
      </c>
      <c r="D396" s="87"/>
      <c r="E396" s="115" t="str">
        <f t="shared" si="27"/>
        <v/>
      </c>
      <c r="F396" s="115" t="str">
        <f t="shared" si="28"/>
        <v/>
      </c>
      <c r="G396" s="116" t="str">
        <f>IF(ISNONTEXT(D396),"",E396-MAX($F$2:F395))</f>
        <v/>
      </c>
      <c r="H396" s="97"/>
      <c r="I396" s="74" t="str">
        <f ca="1">IF(D396="N",COUNTIF(INDIRECT(ADDRESS(MATCH(Plages!$D$19,'Planning annuel mixing coater'!$B:$B),4)):D396,"N"),IF(D396="N1",COUNTIF($D$9:D396,"N1"),""))</f>
        <v/>
      </c>
      <c r="J396" s="96" t="str">
        <f>IF(D396="","",COUNTA(D394:D396)-(COUNTA(D396:D396)-1))</f>
        <v/>
      </c>
    </row>
    <row r="397" spans="1:10" thickBot="1">
      <c r="A397" s="117"/>
      <c r="B397" s="70">
        <f t="shared" si="29"/>
        <v>44189</v>
      </c>
      <c r="C397" s="82" t="str">
        <f t="shared" si="26"/>
        <v>jeudi</v>
      </c>
      <c r="D397" s="87"/>
      <c r="E397" s="115" t="str">
        <f t="shared" si="27"/>
        <v/>
      </c>
      <c r="F397" s="115" t="str">
        <f t="shared" si="28"/>
        <v/>
      </c>
      <c r="G397" s="116" t="str">
        <f>IF(ISNONTEXT(D397),"",E397-MAX($F$2:F396))</f>
        <v/>
      </c>
      <c r="H397" s="97"/>
      <c r="I397" s="74" t="str">
        <f ca="1">IF(D397="N",COUNTIF(INDIRECT(ADDRESS(MATCH(Plages!$D$19,'Planning annuel mixing coater'!$B:$B),4)):D397,"N"),IF(D397="N1",COUNTIF($D$9:D397,"N1"),""))</f>
        <v/>
      </c>
      <c r="J397" s="96" t="str">
        <f>IF(D397="","",COUNTA(D394:D397)-(COUNTA(D397:D397)-1))</f>
        <v/>
      </c>
    </row>
    <row r="398" spans="1:10" thickBot="1">
      <c r="A398" s="117"/>
      <c r="B398" s="70">
        <f t="shared" si="29"/>
        <v>44190</v>
      </c>
      <c r="C398" s="82" t="str">
        <f t="shared" si="26"/>
        <v>vendredi</v>
      </c>
      <c r="D398" s="87"/>
      <c r="E398" s="115" t="str">
        <f t="shared" si="27"/>
        <v/>
      </c>
      <c r="F398" s="115" t="str">
        <f t="shared" si="28"/>
        <v/>
      </c>
      <c r="G398" s="116" t="str">
        <f>IF(ISNONTEXT(D398),"",E398-MAX($F$2:F397))</f>
        <v/>
      </c>
      <c r="H398" s="97"/>
      <c r="I398" s="74" t="str">
        <f ca="1">IF(D398="N",COUNTIF(INDIRECT(ADDRESS(MATCH(Plages!$D$19,'Planning annuel mixing coater'!$B:$B),4)):D398,"N"),IF(D398="N1",COUNTIF($D$9:D398,"N1"),""))</f>
        <v/>
      </c>
      <c r="J398" s="96" t="str">
        <f>IF(D398="","",COUNTA(D394:D398)-(COUNTA(D398:D398)-1))</f>
        <v/>
      </c>
    </row>
    <row r="399" spans="1:10" thickBot="1">
      <c r="A399" s="117"/>
      <c r="B399" s="70">
        <f t="shared" si="29"/>
        <v>44191</v>
      </c>
      <c r="C399" s="82" t="str">
        <f t="shared" si="26"/>
        <v>samedi</v>
      </c>
      <c r="D399" s="87"/>
      <c r="E399" s="115" t="str">
        <f t="shared" si="27"/>
        <v/>
      </c>
      <c r="F399" s="115" t="str">
        <f t="shared" si="28"/>
        <v/>
      </c>
      <c r="G399" s="116" t="str">
        <f>IF(ISNONTEXT(D399),"",E399-MAX($F$2:F398))</f>
        <v/>
      </c>
      <c r="H399" s="97"/>
      <c r="I399" s="74" t="str">
        <f ca="1">IF(D399="N",COUNTIF(INDIRECT(ADDRESS(MATCH(Plages!$D$19,'Planning annuel mixing coater'!$B:$B),4)):D399,"N"),IF(D399="N1",COUNTIF($D$9:D399,"N1"),""))</f>
        <v/>
      </c>
      <c r="J399" s="96" t="str">
        <f>IF(D399="","",COUNTA(D394:D399)-(COUNTA(D399:D399)-1))</f>
        <v/>
      </c>
    </row>
    <row r="400" spans="1:10" thickBot="1">
      <c r="A400" s="117"/>
      <c r="B400" s="70">
        <f t="shared" si="29"/>
        <v>44192</v>
      </c>
      <c r="C400" s="82" t="str">
        <f t="shared" si="26"/>
        <v>dimanche</v>
      </c>
      <c r="D400" s="87"/>
      <c r="E400" s="115" t="str">
        <f t="shared" si="27"/>
        <v/>
      </c>
      <c r="F400" s="115" t="str">
        <f t="shared" si="28"/>
        <v/>
      </c>
      <c r="G400" s="116" t="str">
        <f>IF(ISNONTEXT(D400),"",E400-MAX($F$2:F399))</f>
        <v/>
      </c>
      <c r="H400" s="98"/>
      <c r="I400" s="74" t="str">
        <f ca="1">IF(D400="N",COUNTIF(INDIRECT(ADDRESS(MATCH(Plages!$D$19,'Planning annuel mixing coater'!$B:$B),4)):D400,"N"),IF(D400="N1",COUNTIF($D$9:D400,"N1"),""))</f>
        <v/>
      </c>
      <c r="J400" s="96" t="str">
        <f>IF(D400="","",COUNTA(D394:D400)-(COUNTA(D400:D400)-1))</f>
        <v/>
      </c>
    </row>
    <row r="401" spans="1:10" thickBot="1">
      <c r="A401" s="117"/>
      <c r="B401" s="70">
        <f t="shared" si="29"/>
        <v>44193</v>
      </c>
      <c r="C401" s="82" t="str">
        <f t="shared" si="26"/>
        <v>lundi</v>
      </c>
      <c r="D401" s="87"/>
      <c r="E401" s="115" t="str">
        <f t="shared" si="27"/>
        <v/>
      </c>
      <c r="F401" s="115" t="str">
        <f t="shared" si="28"/>
        <v/>
      </c>
      <c r="G401" s="116" t="str">
        <f>IF(ISNONTEXT(D401),"",E401-MAX($F$2:F400))</f>
        <v/>
      </c>
      <c r="H401" s="97"/>
      <c r="I401" s="74" t="str">
        <f ca="1">IF(D401="N",COUNTIF(INDIRECT(ADDRESS(MATCH(Plages!$D$19,'Planning annuel mixing coater'!$B:$B),4)):D401,"N"),IF(D401="N1",COUNTIF($D$9:D401,"N1"),""))</f>
        <v/>
      </c>
      <c r="J401" s="96" t="str">
        <f>IF(D401="","",COUNTA(D394:D401)-(COUNTA(D401:D401)-1))</f>
        <v/>
      </c>
    </row>
    <row r="402" spans="1:10" thickBot="1">
      <c r="A402" s="117"/>
      <c r="B402" s="70">
        <f t="shared" si="29"/>
        <v>44194</v>
      </c>
      <c r="C402" s="82" t="str">
        <f t="shared" si="26"/>
        <v>mardi</v>
      </c>
      <c r="D402" s="87"/>
      <c r="E402" s="115" t="str">
        <f t="shared" si="27"/>
        <v/>
      </c>
      <c r="F402" s="115" t="str">
        <f t="shared" si="28"/>
        <v/>
      </c>
      <c r="G402" s="116" t="str">
        <f>IF(ISNONTEXT(D402),"",E402-MAX($F$2:F401))</f>
        <v/>
      </c>
      <c r="H402" s="97"/>
      <c r="I402" s="74" t="str">
        <f ca="1">IF(D402="N",COUNTIF(INDIRECT(ADDRESS(MATCH(Plages!$D$19,'Planning annuel mixing coater'!$B:$B),4)):D402,"N"),IF(D402="N1",COUNTIF($D$9:D402,"N1"),""))</f>
        <v/>
      </c>
      <c r="J402" s="96" t="str">
        <f>IF(D402="","",COUNTA(D394:D402)-(COUNTA(D402:D402)-1))</f>
        <v/>
      </c>
    </row>
    <row r="403" spans="1:10" thickBot="1">
      <c r="A403" s="117"/>
      <c r="B403" s="70">
        <f t="shared" si="29"/>
        <v>44195</v>
      </c>
      <c r="C403" s="82" t="str">
        <f t="shared" si="26"/>
        <v>mercredi</v>
      </c>
      <c r="D403" s="87"/>
      <c r="E403" s="115" t="str">
        <f t="shared" si="27"/>
        <v/>
      </c>
      <c r="F403" s="115" t="str">
        <f t="shared" si="28"/>
        <v/>
      </c>
      <c r="G403" s="116" t="str">
        <f>IF(ISNONTEXT(D403),"",E403-MAX($F$2:F402))</f>
        <v/>
      </c>
      <c r="H403" s="97"/>
      <c r="I403" s="74" t="str">
        <f ca="1">IF(D403="N",COUNTIF(INDIRECT(ADDRESS(MATCH(Plages!$D$19,'Planning annuel mixing coater'!$B:$B),4)):D403,"N"),IF(D403="N1",COUNTIF($D$9:D403,"N1"),""))</f>
        <v/>
      </c>
      <c r="J403" s="96" t="str">
        <f>IF(D403="","",COUNTA(D394:D403)-(COUNTA(D403:D403)-1))</f>
        <v/>
      </c>
    </row>
    <row r="404" spans="1:10" thickBot="1">
      <c r="A404" s="117"/>
      <c r="B404" s="70">
        <f t="shared" si="29"/>
        <v>44196</v>
      </c>
      <c r="C404" s="82" t="str">
        <f t="shared" si="26"/>
        <v>jeudi</v>
      </c>
      <c r="D404" s="87"/>
      <c r="E404" s="115" t="str">
        <f t="shared" si="27"/>
        <v/>
      </c>
      <c r="F404" s="115" t="str">
        <f t="shared" si="28"/>
        <v/>
      </c>
      <c r="G404" s="116" t="str">
        <f>IF(ISNONTEXT(D404),"",E404-MAX($F$2:F403))</f>
        <v/>
      </c>
      <c r="H404" s="97"/>
      <c r="I404" s="74" t="str">
        <f ca="1">IF(D404="N",COUNTIF(INDIRECT(ADDRESS(MATCH(Plages!$D$19,'Planning annuel mixing coater'!$B:$B),4)):D404,"N"),IF(D404="N1",COUNTIF($D$9:D404,"N1"),""))</f>
        <v/>
      </c>
      <c r="J404" s="96" t="str">
        <f>IF(D404="","",COUNTA(D394:D404)-(COUNTA(D404:D404)-1))</f>
        <v/>
      </c>
    </row>
    <row r="405" spans="1:10" thickBot="1">
      <c r="A405" s="117"/>
      <c r="B405" s="70">
        <f t="shared" si="29"/>
        <v>44197</v>
      </c>
      <c r="C405" s="82" t="str">
        <f t="shared" si="26"/>
        <v>vendredi</v>
      </c>
      <c r="D405" s="87"/>
      <c r="E405" s="115" t="str">
        <f t="shared" si="27"/>
        <v/>
      </c>
      <c r="F405" s="115" t="str">
        <f t="shared" si="28"/>
        <v/>
      </c>
      <c r="G405" s="116" t="str">
        <f>IF(ISNONTEXT(D405),"",E405-MAX($F$2:F404))</f>
        <v/>
      </c>
      <c r="H405" s="97"/>
      <c r="I405" s="74" t="str">
        <f ca="1">IF(D405="N",COUNTIF(INDIRECT(ADDRESS(MATCH(Plages!$D$19,'Planning annuel mixing coater'!$B:$B),4)):D405,"N"),IF(D405="N1",COUNTIF($D$9:D405,"N1"),""))</f>
        <v/>
      </c>
      <c r="J405" s="96" t="str">
        <f>IF(D405="","",COUNTA(D394:D405)-(COUNTA(D405:D405)-1))</f>
        <v/>
      </c>
    </row>
    <row r="406" spans="1:10" thickBot="1">
      <c r="A406" s="117"/>
      <c r="B406" s="70">
        <f t="shared" si="29"/>
        <v>44198</v>
      </c>
      <c r="C406" s="82" t="str">
        <f t="shared" si="26"/>
        <v>samedi</v>
      </c>
      <c r="D406" s="87"/>
      <c r="E406" s="115" t="str">
        <f t="shared" si="27"/>
        <v/>
      </c>
      <c r="F406" s="115" t="str">
        <f t="shared" si="28"/>
        <v/>
      </c>
      <c r="G406" s="116" t="str">
        <f>IF(ISNONTEXT(D406),"",E406-MAX($F$2:F405))</f>
        <v/>
      </c>
      <c r="H406" s="97"/>
      <c r="I406" s="74" t="str">
        <f ca="1">IF(D406="N",COUNTIF(INDIRECT(ADDRESS(MATCH(Plages!$D$19,'Planning annuel mixing coater'!$B:$B),4)):D406,"N"),IF(D406="N1",COUNTIF($D$9:D406,"N1"),""))</f>
        <v/>
      </c>
      <c r="J406" s="96" t="str">
        <f>IF(D406="","",COUNTA(D394:D406)-(COUNTA(D406:D406)-1))</f>
        <v/>
      </c>
    </row>
    <row r="407" spans="1:10" s="77" customFormat="1" thickBot="1">
      <c r="A407" s="117"/>
      <c r="B407" s="75">
        <f t="shared" si="29"/>
        <v>44199</v>
      </c>
      <c r="C407" s="83" t="str">
        <f t="shared" si="26"/>
        <v>dimanche</v>
      </c>
      <c r="D407" s="88"/>
      <c r="E407" s="115" t="str">
        <f t="shared" si="27"/>
        <v/>
      </c>
      <c r="F407" s="115" t="str">
        <f t="shared" si="28"/>
        <v/>
      </c>
      <c r="G407" s="116" t="str">
        <f>IF(ISNONTEXT(D407),"",E407-MAX($F$2:F406))</f>
        <v/>
      </c>
      <c r="H407" s="98"/>
      <c r="I407" s="76" t="str">
        <f ca="1">IF(D407="N",COUNTIF(INDIRECT(ADDRESS(MATCH(Plages!$D$19,'Planning annuel mixing coater'!$B:$B),4)):D407,"N"),IF(D407="N1",COUNTIF($D$9:D407,"N1"),""))</f>
        <v/>
      </c>
      <c r="J407" s="99" t="str">
        <f>IF(D407="","",COUNTA(D394:D407)-(COUNTA(D407:D407)-1))</f>
        <v/>
      </c>
    </row>
    <row r="408" spans="1:10" ht="16.5" thickTop="1" thickBot="1">
      <c r="A408" s="117"/>
      <c r="B408" s="78">
        <f t="shared" si="29"/>
        <v>44200</v>
      </c>
      <c r="C408" s="81" t="str">
        <f t="shared" si="26"/>
        <v>lundi</v>
      </c>
      <c r="D408" s="89"/>
      <c r="E408" s="115" t="str">
        <f t="shared" si="27"/>
        <v/>
      </c>
      <c r="F408" s="115" t="str">
        <f t="shared" si="28"/>
        <v/>
      </c>
      <c r="G408" s="116" t="str">
        <f>IF(ISNONTEXT(D408),"",E408-MAX($F$2:F407))</f>
        <v/>
      </c>
      <c r="H408" s="100"/>
      <c r="I408" s="79" t="str">
        <f ca="1">IF(D408="N",COUNTIF(INDIRECT(ADDRESS(MATCH(Plages!$D$19,'Planning annuel mixing coater'!$B:$B),4)):D408,"N"),IF(D408="N1",COUNTIF($D$9:D408,"N1"),""))</f>
        <v/>
      </c>
      <c r="J408" s="101" t="str">
        <f>IF(D408="","",COUNTA(D408:D408)-(COUNTA(D408:D408)-1))</f>
        <v/>
      </c>
    </row>
    <row r="409" spans="1:10" thickBot="1">
      <c r="A409" s="117"/>
      <c r="B409" s="70">
        <f t="shared" si="29"/>
        <v>44201</v>
      </c>
      <c r="C409" s="82" t="str">
        <f t="shared" si="26"/>
        <v>mardi</v>
      </c>
      <c r="D409" s="87"/>
      <c r="E409" s="115" t="str">
        <f t="shared" si="27"/>
        <v/>
      </c>
      <c r="F409" s="115" t="str">
        <f t="shared" si="28"/>
        <v/>
      </c>
      <c r="G409" s="116" t="str">
        <f>IF(ISNONTEXT(D409),"",E409-MAX($F$2:F408))</f>
        <v/>
      </c>
      <c r="H409" s="97"/>
      <c r="I409" s="74" t="str">
        <f ca="1">IF(D409="N",COUNTIF(INDIRECT(ADDRESS(MATCH(Plages!$D$19,'Planning annuel mixing coater'!$B:$B),4)):D409,"N"),IF(D409="N1",COUNTIF($D$9:D409,"N1"),""))</f>
        <v/>
      </c>
      <c r="J409" s="96" t="str">
        <f>IF(D409="","",COUNTA(D408:D409)-(COUNTA(D409:D409)-1))</f>
        <v/>
      </c>
    </row>
    <row r="410" spans="1:10" thickBot="1">
      <c r="A410" s="117"/>
      <c r="B410" s="70">
        <f t="shared" si="29"/>
        <v>44202</v>
      </c>
      <c r="C410" s="82" t="str">
        <f t="shared" si="26"/>
        <v>mercredi</v>
      </c>
      <c r="D410" s="87"/>
      <c r="E410" s="115" t="str">
        <f t="shared" si="27"/>
        <v/>
      </c>
      <c r="F410" s="115" t="str">
        <f t="shared" si="28"/>
        <v/>
      </c>
      <c r="G410" s="116" t="str">
        <f>IF(ISNONTEXT(D410),"",E410-MAX($F$2:F409))</f>
        <v/>
      </c>
      <c r="H410" s="97"/>
      <c r="I410" s="74" t="str">
        <f ca="1">IF(D410="N",COUNTIF(INDIRECT(ADDRESS(MATCH(Plages!$D$19,'Planning annuel mixing coater'!$B:$B),4)):D410,"N"),IF(D410="N1",COUNTIF($D$9:D410,"N1"),""))</f>
        <v/>
      </c>
      <c r="J410" s="96" t="str">
        <f>IF(D410="","",COUNTA(D408:D410)-(COUNTA(D410:D410)-1))</f>
        <v/>
      </c>
    </row>
    <row r="411" spans="1:10" thickBot="1">
      <c r="A411" s="117"/>
      <c r="B411" s="70">
        <f t="shared" si="29"/>
        <v>44203</v>
      </c>
      <c r="C411" s="82" t="str">
        <f t="shared" si="26"/>
        <v>jeudi</v>
      </c>
      <c r="D411" s="87"/>
      <c r="E411" s="115" t="str">
        <f t="shared" si="27"/>
        <v/>
      </c>
      <c r="F411" s="115" t="str">
        <f t="shared" si="28"/>
        <v/>
      </c>
      <c r="G411" s="116" t="str">
        <f>IF(ISNONTEXT(D411),"",E411-MAX($F$2:F410))</f>
        <v/>
      </c>
      <c r="H411" s="97"/>
      <c r="I411" s="74" t="str">
        <f ca="1">IF(D411="N",COUNTIF(INDIRECT(ADDRESS(MATCH(Plages!$D$19,'Planning annuel mixing coater'!$B:$B),4)):D411,"N"),IF(D411="N1",COUNTIF($D$9:D411,"N1"),""))</f>
        <v/>
      </c>
      <c r="J411" s="96" t="str">
        <f>IF(D411="","",COUNTA(D408:D411)-(COUNTA(D411:D411)-1))</f>
        <v/>
      </c>
    </row>
    <row r="412" spans="1:10" thickBot="1">
      <c r="A412" s="117"/>
      <c r="B412" s="70">
        <f t="shared" si="29"/>
        <v>44204</v>
      </c>
      <c r="C412" s="82" t="str">
        <f t="shared" si="26"/>
        <v>vendredi</v>
      </c>
      <c r="D412" s="87"/>
      <c r="E412" s="115" t="str">
        <f t="shared" si="27"/>
        <v/>
      </c>
      <c r="F412" s="115" t="str">
        <f t="shared" si="28"/>
        <v/>
      </c>
      <c r="G412" s="116" t="str">
        <f>IF(ISNONTEXT(D412),"",E412-MAX($F$2:F411))</f>
        <v/>
      </c>
      <c r="H412" s="97"/>
      <c r="I412" s="74" t="str">
        <f ca="1">IF(D412="N",COUNTIF(INDIRECT(ADDRESS(MATCH(Plages!$D$19,'Planning annuel mixing coater'!$B:$B),4)):D412,"N"),IF(D412="N1",COUNTIF($D$9:D412,"N1"),""))</f>
        <v/>
      </c>
      <c r="J412" s="96" t="str">
        <f>IF(D412="","",COUNTA(D408:D412)-(COUNTA(D412:D412)-1))</f>
        <v/>
      </c>
    </row>
    <row r="413" spans="1:10" thickBot="1">
      <c r="A413" s="117"/>
      <c r="B413" s="70">
        <f t="shared" si="29"/>
        <v>44205</v>
      </c>
      <c r="C413" s="82" t="str">
        <f t="shared" si="26"/>
        <v>samedi</v>
      </c>
      <c r="D413" s="87"/>
      <c r="E413" s="115" t="str">
        <f t="shared" si="27"/>
        <v/>
      </c>
      <c r="F413" s="115" t="str">
        <f t="shared" si="28"/>
        <v/>
      </c>
      <c r="G413" s="116" t="str">
        <f>IF(ISNONTEXT(D413),"",E413-MAX($F$2:F412))</f>
        <v/>
      </c>
      <c r="H413" s="97"/>
      <c r="I413" s="74" t="str">
        <f ca="1">IF(D413="N",COUNTIF(INDIRECT(ADDRESS(MATCH(Plages!$D$19,'Planning annuel mixing coater'!$B:$B),4)):D413,"N"),IF(D413="N1",COUNTIF($D$9:D413,"N1"),""))</f>
        <v/>
      </c>
      <c r="J413" s="96" t="str">
        <f>IF(D413="","",COUNTA(D408:D413)-(COUNTA(D413:D413)-1))</f>
        <v/>
      </c>
    </row>
    <row r="414" spans="1:10" thickBot="1">
      <c r="A414" s="117"/>
      <c r="B414" s="70">
        <f t="shared" si="29"/>
        <v>44206</v>
      </c>
      <c r="C414" s="82" t="str">
        <f t="shared" ref="C414:C477" si="30">IF(B414="","",TEXT(B414,"jjjj"))</f>
        <v>dimanche</v>
      </c>
      <c r="D414" s="87"/>
      <c r="E414" s="115" t="str">
        <f t="shared" ref="E414:E477" si="31">IF(D414="","",B414+VLOOKUP(D414,Plageh,2,0))</f>
        <v/>
      </c>
      <c r="F414" s="115" t="str">
        <f t="shared" ref="F414:F477" si="32">IF(D414="","",B414+VLOOKUP(D414,Plageh,3,0))</f>
        <v/>
      </c>
      <c r="G414" s="116" t="str">
        <f>IF(ISNONTEXT(D414),"",E414-MAX($F$2:F413))</f>
        <v/>
      </c>
      <c r="H414" s="98"/>
      <c r="I414" s="74" t="str">
        <f ca="1">IF(D414="N",COUNTIF(INDIRECT(ADDRESS(MATCH(Plages!$D$19,'Planning annuel mixing coater'!$B:$B),4)):D414,"N"),IF(D414="N1",COUNTIF($D$9:D414,"N1"),""))</f>
        <v/>
      </c>
      <c r="J414" s="96" t="str">
        <f>IF(D414="","",COUNTA(D408:D414)-(COUNTA(D414:D414)-1))</f>
        <v/>
      </c>
    </row>
    <row r="415" spans="1:10" thickBot="1">
      <c r="A415" s="117"/>
      <c r="B415" s="70">
        <f t="shared" si="29"/>
        <v>44207</v>
      </c>
      <c r="C415" s="82" t="str">
        <f t="shared" si="30"/>
        <v>lundi</v>
      </c>
      <c r="D415" s="87"/>
      <c r="E415" s="115" t="str">
        <f t="shared" si="31"/>
        <v/>
      </c>
      <c r="F415" s="115" t="str">
        <f t="shared" si="32"/>
        <v/>
      </c>
      <c r="G415" s="116" t="str">
        <f>IF(ISNONTEXT(D415),"",E415-MAX($F$2:F414))</f>
        <v/>
      </c>
      <c r="H415" s="97"/>
      <c r="I415" s="74" t="str">
        <f ca="1">IF(D415="N",COUNTIF(INDIRECT(ADDRESS(MATCH(Plages!$D$19,'Planning annuel mixing coater'!$B:$B),4)):D415,"N"),IF(D415="N1",COUNTIF($D$9:D415,"N1"),""))</f>
        <v/>
      </c>
      <c r="J415" s="96" t="str">
        <f>IF(D415="","",COUNTA(D408:D415)-(COUNTA(D415:D415)-1))</f>
        <v/>
      </c>
    </row>
    <row r="416" spans="1:10" thickBot="1">
      <c r="A416" s="117"/>
      <c r="B416" s="70">
        <f t="shared" si="29"/>
        <v>44208</v>
      </c>
      <c r="C416" s="82" t="str">
        <f t="shared" si="30"/>
        <v>mardi</v>
      </c>
      <c r="D416" s="87"/>
      <c r="E416" s="115" t="str">
        <f t="shared" si="31"/>
        <v/>
      </c>
      <c r="F416" s="115" t="str">
        <f t="shared" si="32"/>
        <v/>
      </c>
      <c r="G416" s="116" t="str">
        <f>IF(ISNONTEXT(D416),"",E416-MAX($F$2:F415))</f>
        <v/>
      </c>
      <c r="H416" s="97"/>
      <c r="I416" s="74" t="str">
        <f ca="1">IF(D416="N",COUNTIF(INDIRECT(ADDRESS(MATCH(Plages!$D$19,'Planning annuel mixing coater'!$B:$B),4)):D416,"N"),IF(D416="N1",COUNTIF($D$9:D416,"N1"),""))</f>
        <v/>
      </c>
      <c r="J416" s="96" t="str">
        <f>IF(D416="","",COUNTA(D408:D416)-(COUNTA(D416:D416)-1))</f>
        <v/>
      </c>
    </row>
    <row r="417" spans="1:10" thickBot="1">
      <c r="A417" s="117"/>
      <c r="B417" s="70">
        <f t="shared" si="29"/>
        <v>44209</v>
      </c>
      <c r="C417" s="82" t="str">
        <f t="shared" si="30"/>
        <v>mercredi</v>
      </c>
      <c r="D417" s="87"/>
      <c r="E417" s="115" t="str">
        <f t="shared" si="31"/>
        <v/>
      </c>
      <c r="F417" s="115" t="str">
        <f t="shared" si="32"/>
        <v/>
      </c>
      <c r="G417" s="116" t="str">
        <f>IF(ISNONTEXT(D417),"",E417-MAX($F$2:F416))</f>
        <v/>
      </c>
      <c r="H417" s="97"/>
      <c r="I417" s="74" t="str">
        <f ca="1">IF(D417="N",COUNTIF(INDIRECT(ADDRESS(MATCH(Plages!$D$19,'Planning annuel mixing coater'!$B:$B),4)):D417,"N"),IF(D417="N1",COUNTIF($D$9:D417,"N1"),""))</f>
        <v/>
      </c>
      <c r="J417" s="96" t="str">
        <f>IF(D417="","",COUNTA(D408:D417)-(COUNTA(D417:D417)-1))</f>
        <v/>
      </c>
    </row>
    <row r="418" spans="1:10" thickBot="1">
      <c r="A418" s="117"/>
      <c r="B418" s="70">
        <f t="shared" si="29"/>
        <v>44210</v>
      </c>
      <c r="C418" s="82" t="str">
        <f t="shared" si="30"/>
        <v>jeudi</v>
      </c>
      <c r="D418" s="87"/>
      <c r="E418" s="115" t="str">
        <f t="shared" si="31"/>
        <v/>
      </c>
      <c r="F418" s="115" t="str">
        <f t="shared" si="32"/>
        <v/>
      </c>
      <c r="G418" s="116" t="str">
        <f>IF(ISNONTEXT(D418),"",E418-MAX($F$2:F417))</f>
        <v/>
      </c>
      <c r="H418" s="97"/>
      <c r="I418" s="74" t="str">
        <f ca="1">IF(D418="N",COUNTIF(INDIRECT(ADDRESS(MATCH(Plages!$D$19,'Planning annuel mixing coater'!$B:$B),4)):D418,"N"),IF(D418="N1",COUNTIF($D$9:D418,"N1"),""))</f>
        <v/>
      </c>
      <c r="J418" s="96" t="str">
        <f>IF(D418="","",COUNTA(D408:D418)-(COUNTA(D418:D418)-1))</f>
        <v/>
      </c>
    </row>
    <row r="419" spans="1:10" thickBot="1">
      <c r="A419" s="117"/>
      <c r="B419" s="70">
        <f t="shared" si="29"/>
        <v>44211</v>
      </c>
      <c r="C419" s="82" t="str">
        <f t="shared" si="30"/>
        <v>vendredi</v>
      </c>
      <c r="D419" s="87"/>
      <c r="E419" s="115" t="str">
        <f t="shared" si="31"/>
        <v/>
      </c>
      <c r="F419" s="115" t="str">
        <f t="shared" si="32"/>
        <v/>
      </c>
      <c r="G419" s="116" t="str">
        <f>IF(ISNONTEXT(D419),"",E419-MAX($F$2:F418))</f>
        <v/>
      </c>
      <c r="H419" s="97"/>
      <c r="I419" s="74" t="str">
        <f ca="1">IF(D419="N",COUNTIF(INDIRECT(ADDRESS(MATCH(Plages!$D$19,'Planning annuel mixing coater'!$B:$B),4)):D419,"N"),IF(D419="N1",COUNTIF($D$9:D419,"N1"),""))</f>
        <v/>
      </c>
      <c r="J419" s="96" t="str">
        <f>IF(D419="","",COUNTA(D408:D419)-(COUNTA(D419:D419)-1))</f>
        <v/>
      </c>
    </row>
    <row r="420" spans="1:10" thickBot="1">
      <c r="A420" s="117"/>
      <c r="B420" s="70">
        <f t="shared" si="29"/>
        <v>44212</v>
      </c>
      <c r="C420" s="82" t="str">
        <f t="shared" si="30"/>
        <v>samedi</v>
      </c>
      <c r="D420" s="87"/>
      <c r="E420" s="115" t="str">
        <f t="shared" si="31"/>
        <v/>
      </c>
      <c r="F420" s="115" t="str">
        <f t="shared" si="32"/>
        <v/>
      </c>
      <c r="G420" s="116" t="str">
        <f>IF(ISNONTEXT(D420),"",E420-MAX($F$2:F419))</f>
        <v/>
      </c>
      <c r="H420" s="97"/>
      <c r="I420" s="74" t="str">
        <f ca="1">IF(D420="N",COUNTIF(INDIRECT(ADDRESS(MATCH(Plages!$D$19,'Planning annuel mixing coater'!$B:$B),4)):D420,"N"),IF(D420="N1",COUNTIF($D$9:D420,"N1"),""))</f>
        <v/>
      </c>
      <c r="J420" s="96" t="str">
        <f>IF(D420="","",COUNTA(D408:D420)-(COUNTA(D420:D420)-1))</f>
        <v/>
      </c>
    </row>
    <row r="421" spans="1:10" s="77" customFormat="1" thickBot="1">
      <c r="A421" s="117"/>
      <c r="B421" s="75">
        <f t="shared" si="29"/>
        <v>44213</v>
      </c>
      <c r="C421" s="83" t="str">
        <f t="shared" si="30"/>
        <v>dimanche</v>
      </c>
      <c r="D421" s="88"/>
      <c r="E421" s="115" t="str">
        <f t="shared" si="31"/>
        <v/>
      </c>
      <c r="F421" s="115" t="str">
        <f t="shared" si="32"/>
        <v/>
      </c>
      <c r="G421" s="116" t="str">
        <f>IF(ISNONTEXT(D421),"",E421-MAX($F$2:F420))</f>
        <v/>
      </c>
      <c r="H421" s="98"/>
      <c r="I421" s="76" t="str">
        <f ca="1">IF(D421="N",COUNTIF(INDIRECT(ADDRESS(MATCH(Plages!$D$19,'Planning annuel mixing coater'!$B:$B),4)):D421,"N"),IF(D421="N1",COUNTIF($D$9:D421,"N1"),""))</f>
        <v/>
      </c>
      <c r="J421" s="99" t="str">
        <f>IF(D421="","",COUNTA(D408:D421)-(COUNTA(D421:D421)-1))</f>
        <v/>
      </c>
    </row>
    <row r="422" spans="1:10" ht="16.5" thickTop="1" thickBot="1">
      <c r="A422" s="117"/>
      <c r="B422" s="78">
        <f t="shared" si="29"/>
        <v>44214</v>
      </c>
      <c r="C422" s="81" t="str">
        <f t="shared" si="30"/>
        <v>lundi</v>
      </c>
      <c r="D422" s="89"/>
      <c r="E422" s="115" t="str">
        <f t="shared" si="31"/>
        <v/>
      </c>
      <c r="F422" s="115" t="str">
        <f t="shared" si="32"/>
        <v/>
      </c>
      <c r="G422" s="116" t="str">
        <f>IF(ISNONTEXT(D422),"",E422-MAX($F$2:F421))</f>
        <v/>
      </c>
      <c r="H422" s="100"/>
      <c r="I422" s="79" t="str">
        <f ca="1">IF(D422="N",COUNTIF(INDIRECT(ADDRESS(MATCH(Plages!$D$19,'Planning annuel mixing coater'!$B:$B),4)):D422,"N"),IF(D422="N1",COUNTIF($D$9:D422,"N1"),""))</f>
        <v/>
      </c>
      <c r="J422" s="101" t="str">
        <f>IF(D422="","",COUNTA(D422:D422)-(COUNTA(D422:D422)-1))</f>
        <v/>
      </c>
    </row>
    <row r="423" spans="1:10" thickBot="1">
      <c r="A423" s="117"/>
      <c r="B423" s="70">
        <f t="shared" si="29"/>
        <v>44215</v>
      </c>
      <c r="C423" s="82" t="str">
        <f t="shared" si="30"/>
        <v>mardi</v>
      </c>
      <c r="D423" s="87"/>
      <c r="E423" s="115" t="str">
        <f t="shared" si="31"/>
        <v/>
      </c>
      <c r="F423" s="115" t="str">
        <f t="shared" si="32"/>
        <v/>
      </c>
      <c r="G423" s="116" t="str">
        <f>IF(ISNONTEXT(D423),"",E423-MAX($F$2:F422))</f>
        <v/>
      </c>
      <c r="H423" s="97"/>
      <c r="I423" s="74" t="str">
        <f ca="1">IF(D423="N",COUNTIF(INDIRECT(ADDRESS(MATCH(Plages!$D$19,'Planning annuel mixing coater'!$B:$B),4)):D423,"N"),IF(D423="N1",COUNTIF($D$9:D423,"N1"),""))</f>
        <v/>
      </c>
      <c r="J423" s="96" t="str">
        <f>IF(D423="","",COUNTA(D422:D423)-(COUNTA(D423:D423)-1))</f>
        <v/>
      </c>
    </row>
    <row r="424" spans="1:10" thickBot="1">
      <c r="A424" s="117"/>
      <c r="B424" s="70">
        <f t="shared" si="29"/>
        <v>44216</v>
      </c>
      <c r="C424" s="82" t="str">
        <f t="shared" si="30"/>
        <v>mercredi</v>
      </c>
      <c r="D424" s="87"/>
      <c r="E424" s="115" t="str">
        <f t="shared" si="31"/>
        <v/>
      </c>
      <c r="F424" s="115" t="str">
        <f t="shared" si="32"/>
        <v/>
      </c>
      <c r="G424" s="116" t="str">
        <f>IF(ISNONTEXT(D424),"",E424-MAX($F$2:F423))</f>
        <v/>
      </c>
      <c r="H424" s="97"/>
      <c r="I424" s="74" t="str">
        <f ca="1">IF(D424="N",COUNTIF(INDIRECT(ADDRESS(MATCH(Plages!$D$19,'Planning annuel mixing coater'!$B:$B),4)):D424,"N"),IF(D424="N1",COUNTIF($D$9:D424,"N1"),""))</f>
        <v/>
      </c>
      <c r="J424" s="96" t="str">
        <f>IF(D424="","",COUNTA(D422:D424)-(COUNTA(D424:D424)-1))</f>
        <v/>
      </c>
    </row>
    <row r="425" spans="1:10" thickBot="1">
      <c r="A425" s="117"/>
      <c r="B425" s="70">
        <f t="shared" si="29"/>
        <v>44217</v>
      </c>
      <c r="C425" s="82" t="str">
        <f t="shared" si="30"/>
        <v>jeudi</v>
      </c>
      <c r="D425" s="87"/>
      <c r="E425" s="115" t="str">
        <f t="shared" si="31"/>
        <v/>
      </c>
      <c r="F425" s="115" t="str">
        <f t="shared" si="32"/>
        <v/>
      </c>
      <c r="G425" s="116" t="str">
        <f>IF(ISNONTEXT(D425),"",E425-MAX($F$2:F424))</f>
        <v/>
      </c>
      <c r="H425" s="97"/>
      <c r="I425" s="74" t="str">
        <f ca="1">IF(D425="N",COUNTIF(INDIRECT(ADDRESS(MATCH(Plages!$D$19,'Planning annuel mixing coater'!$B:$B),4)):D425,"N"),IF(D425="N1",COUNTIF($D$9:D425,"N1"),""))</f>
        <v/>
      </c>
      <c r="J425" s="96" t="str">
        <f>IF(D425="","",COUNTA(D422:D425)-(COUNTA(D425:D425)-1))</f>
        <v/>
      </c>
    </row>
    <row r="426" spans="1:10" thickBot="1">
      <c r="A426" s="117"/>
      <c r="B426" s="70">
        <f t="shared" si="29"/>
        <v>44218</v>
      </c>
      <c r="C426" s="82" t="str">
        <f t="shared" si="30"/>
        <v>vendredi</v>
      </c>
      <c r="D426" s="87"/>
      <c r="E426" s="115" t="str">
        <f t="shared" si="31"/>
        <v/>
      </c>
      <c r="F426" s="115" t="str">
        <f t="shared" si="32"/>
        <v/>
      </c>
      <c r="G426" s="116" t="str">
        <f>IF(ISNONTEXT(D426),"",E426-MAX($F$2:F425))</f>
        <v/>
      </c>
      <c r="H426" s="97"/>
      <c r="I426" s="74" t="str">
        <f ca="1">IF(D426="N",COUNTIF(INDIRECT(ADDRESS(MATCH(Plages!$D$19,'Planning annuel mixing coater'!$B:$B),4)):D426,"N"),IF(D426="N1",COUNTIF($D$9:D426,"N1"),""))</f>
        <v/>
      </c>
      <c r="J426" s="96" t="str">
        <f>IF(D426="","",COUNTA(D422:D426)-(COUNTA(D426:D426)-1))</f>
        <v/>
      </c>
    </row>
    <row r="427" spans="1:10" thickBot="1">
      <c r="A427" s="117"/>
      <c r="B427" s="70">
        <f t="shared" si="29"/>
        <v>44219</v>
      </c>
      <c r="C427" s="82" t="str">
        <f t="shared" si="30"/>
        <v>samedi</v>
      </c>
      <c r="D427" s="87"/>
      <c r="E427" s="115" t="str">
        <f t="shared" si="31"/>
        <v/>
      </c>
      <c r="F427" s="115" t="str">
        <f t="shared" si="32"/>
        <v/>
      </c>
      <c r="G427" s="116" t="str">
        <f>IF(ISNONTEXT(D427),"",E427-MAX($F$2:F426))</f>
        <v/>
      </c>
      <c r="H427" s="97"/>
      <c r="I427" s="74" t="str">
        <f ca="1">IF(D427="N",COUNTIF(INDIRECT(ADDRESS(MATCH(Plages!$D$19,'Planning annuel mixing coater'!$B:$B),4)):D427,"N"),IF(D427="N1",COUNTIF($D$9:D427,"N1"),""))</f>
        <v/>
      </c>
      <c r="J427" s="96" t="str">
        <f>IF(D427="","",COUNTA(D422:D427)-(COUNTA(D427:D427)-1))</f>
        <v/>
      </c>
    </row>
    <row r="428" spans="1:10" thickBot="1">
      <c r="A428" s="117"/>
      <c r="B428" s="70">
        <f t="shared" si="29"/>
        <v>44220</v>
      </c>
      <c r="C428" s="82" t="str">
        <f t="shared" si="30"/>
        <v>dimanche</v>
      </c>
      <c r="D428" s="87"/>
      <c r="E428" s="115" t="str">
        <f t="shared" si="31"/>
        <v/>
      </c>
      <c r="F428" s="115" t="str">
        <f t="shared" si="32"/>
        <v/>
      </c>
      <c r="G428" s="116" t="str">
        <f>IF(ISNONTEXT(D428),"",E428-MAX($F$2:F427))</f>
        <v/>
      </c>
      <c r="H428" s="98"/>
      <c r="I428" s="74" t="str">
        <f ca="1">IF(D428="N",COUNTIF(INDIRECT(ADDRESS(MATCH(Plages!$D$19,'Planning annuel mixing coater'!$B:$B),4)):D428,"N"),IF(D428="N1",COUNTIF($D$9:D428,"N1"),""))</f>
        <v/>
      </c>
      <c r="J428" s="96" t="str">
        <f>IF(D428="","",COUNTA(D422:D428)-(COUNTA(D428:D428)-1))</f>
        <v/>
      </c>
    </row>
    <row r="429" spans="1:10" thickBot="1">
      <c r="A429" s="117"/>
      <c r="B429" s="70">
        <f t="shared" si="29"/>
        <v>44221</v>
      </c>
      <c r="C429" s="82" t="str">
        <f t="shared" si="30"/>
        <v>lundi</v>
      </c>
      <c r="D429" s="87"/>
      <c r="E429" s="115" t="str">
        <f t="shared" si="31"/>
        <v/>
      </c>
      <c r="F429" s="115" t="str">
        <f t="shared" si="32"/>
        <v/>
      </c>
      <c r="G429" s="116" t="str">
        <f>IF(ISNONTEXT(D429),"",E429-MAX($F$2:F428))</f>
        <v/>
      </c>
      <c r="H429" s="97"/>
      <c r="I429" s="74" t="str">
        <f ca="1">IF(D429="N",COUNTIF(INDIRECT(ADDRESS(MATCH(Plages!$D$19,'Planning annuel mixing coater'!$B:$B),4)):D429,"N"),IF(D429="N1",COUNTIF($D$9:D429,"N1"),""))</f>
        <v/>
      </c>
      <c r="J429" s="96" t="str">
        <f>IF(D429="","",COUNTA(D422:D429)-(COUNTA(D429:D429)-1))</f>
        <v/>
      </c>
    </row>
    <row r="430" spans="1:10" thickBot="1">
      <c r="A430" s="117"/>
      <c r="B430" s="70">
        <f t="shared" si="29"/>
        <v>44222</v>
      </c>
      <c r="C430" s="82" t="str">
        <f t="shared" si="30"/>
        <v>mardi</v>
      </c>
      <c r="D430" s="87"/>
      <c r="E430" s="115" t="str">
        <f t="shared" si="31"/>
        <v/>
      </c>
      <c r="F430" s="115" t="str">
        <f t="shared" si="32"/>
        <v/>
      </c>
      <c r="G430" s="116" t="str">
        <f>IF(ISNONTEXT(D430),"",E430-MAX($F$2:F429))</f>
        <v/>
      </c>
      <c r="H430" s="97"/>
      <c r="I430" s="74" t="str">
        <f ca="1">IF(D430="N",COUNTIF(INDIRECT(ADDRESS(MATCH(Plages!$D$19,'Planning annuel mixing coater'!$B:$B),4)):D430,"N"),IF(D430="N1",COUNTIF($D$9:D430,"N1"),""))</f>
        <v/>
      </c>
      <c r="J430" s="96" t="str">
        <f>IF(D430="","",COUNTA(D422:D430)-(COUNTA(D430:D430)-1))</f>
        <v/>
      </c>
    </row>
    <row r="431" spans="1:10" thickBot="1">
      <c r="A431" s="117"/>
      <c r="B431" s="70">
        <f t="shared" si="29"/>
        <v>44223</v>
      </c>
      <c r="C431" s="82" t="str">
        <f t="shared" si="30"/>
        <v>mercredi</v>
      </c>
      <c r="D431" s="87"/>
      <c r="E431" s="115" t="str">
        <f t="shared" si="31"/>
        <v/>
      </c>
      <c r="F431" s="115" t="str">
        <f t="shared" si="32"/>
        <v/>
      </c>
      <c r="G431" s="116" t="str">
        <f>IF(ISNONTEXT(D431),"",E431-MAX($F$2:F430))</f>
        <v/>
      </c>
      <c r="H431" s="97"/>
      <c r="I431" s="74" t="str">
        <f ca="1">IF(D431="N",COUNTIF(INDIRECT(ADDRESS(MATCH(Plages!$D$19,'Planning annuel mixing coater'!$B:$B),4)):D431,"N"),IF(D431="N1",COUNTIF($D$9:D431,"N1"),""))</f>
        <v/>
      </c>
      <c r="J431" s="96" t="str">
        <f>IF(D431="","",COUNTA(D422:D431)-(COUNTA(D431:D431)-1))</f>
        <v/>
      </c>
    </row>
    <row r="432" spans="1:10" thickBot="1">
      <c r="A432" s="117"/>
      <c r="B432" s="70">
        <f t="shared" si="29"/>
        <v>44224</v>
      </c>
      <c r="C432" s="82" t="str">
        <f t="shared" si="30"/>
        <v>jeudi</v>
      </c>
      <c r="D432" s="87"/>
      <c r="E432" s="115" t="str">
        <f t="shared" si="31"/>
        <v/>
      </c>
      <c r="F432" s="115" t="str">
        <f t="shared" si="32"/>
        <v/>
      </c>
      <c r="G432" s="116" t="str">
        <f>IF(ISNONTEXT(D432),"",E432-MAX($F$2:F431))</f>
        <v/>
      </c>
      <c r="H432" s="97"/>
      <c r="I432" s="74" t="str">
        <f ca="1">IF(D432="N",COUNTIF(INDIRECT(ADDRESS(MATCH(Plages!$D$19,'Planning annuel mixing coater'!$B:$B),4)):D432,"N"),IF(D432="N1",COUNTIF($D$9:D432,"N1"),""))</f>
        <v/>
      </c>
      <c r="J432" s="96" t="str">
        <f>IF(D432="","",COUNTA(D422:D432)-(COUNTA(D432:D432)-1))</f>
        <v/>
      </c>
    </row>
    <row r="433" spans="1:10" thickBot="1">
      <c r="A433" s="117"/>
      <c r="B433" s="70">
        <f t="shared" si="29"/>
        <v>44225</v>
      </c>
      <c r="C433" s="82" t="str">
        <f t="shared" si="30"/>
        <v>vendredi</v>
      </c>
      <c r="D433" s="87"/>
      <c r="E433" s="115" t="str">
        <f t="shared" si="31"/>
        <v/>
      </c>
      <c r="F433" s="115" t="str">
        <f t="shared" si="32"/>
        <v/>
      </c>
      <c r="G433" s="116" t="str">
        <f>IF(ISNONTEXT(D433),"",E433-MAX($F$2:F432))</f>
        <v/>
      </c>
      <c r="H433" s="97"/>
      <c r="I433" s="74" t="str">
        <f ca="1">IF(D433="N",COUNTIF(INDIRECT(ADDRESS(MATCH(Plages!$D$19,'Planning annuel mixing coater'!$B:$B),4)):D433,"N"),IF(D433="N1",COUNTIF($D$9:D433,"N1"),""))</f>
        <v/>
      </c>
      <c r="J433" s="96" t="str">
        <f>IF(D433="","",COUNTA(D422:D433)-(COUNTA(D433:D433)-1))</f>
        <v/>
      </c>
    </row>
    <row r="434" spans="1:10" thickBot="1">
      <c r="A434" s="117"/>
      <c r="B434" s="70">
        <f t="shared" si="29"/>
        <v>44226</v>
      </c>
      <c r="C434" s="82" t="str">
        <f t="shared" si="30"/>
        <v>samedi</v>
      </c>
      <c r="D434" s="87"/>
      <c r="E434" s="115" t="str">
        <f t="shared" si="31"/>
        <v/>
      </c>
      <c r="F434" s="115" t="str">
        <f t="shared" si="32"/>
        <v/>
      </c>
      <c r="G434" s="116" t="str">
        <f>IF(ISNONTEXT(D434),"",E434-MAX($F$2:F433))</f>
        <v/>
      </c>
      <c r="H434" s="97"/>
      <c r="I434" s="74" t="str">
        <f ca="1">IF(D434="N",COUNTIF(INDIRECT(ADDRESS(MATCH(Plages!$D$19,'Planning annuel mixing coater'!$B:$B),4)):D434,"N"),IF(D434="N1",COUNTIF($D$9:D434,"N1"),""))</f>
        <v/>
      </c>
      <c r="J434" s="96" t="str">
        <f>IF(D434="","",COUNTA(D422:D434)-(COUNTA(D434:D434)-1))</f>
        <v/>
      </c>
    </row>
    <row r="435" spans="1:10" s="77" customFormat="1" thickBot="1">
      <c r="A435" s="117"/>
      <c r="B435" s="75">
        <f t="shared" si="29"/>
        <v>44227</v>
      </c>
      <c r="C435" s="83" t="str">
        <f t="shared" si="30"/>
        <v>dimanche</v>
      </c>
      <c r="D435" s="88"/>
      <c r="E435" s="115" t="str">
        <f t="shared" si="31"/>
        <v/>
      </c>
      <c r="F435" s="115" t="str">
        <f t="shared" si="32"/>
        <v/>
      </c>
      <c r="G435" s="116" t="str">
        <f>IF(ISNONTEXT(D435),"",E435-MAX($F$2:F434))</f>
        <v/>
      </c>
      <c r="H435" s="98"/>
      <c r="I435" s="76" t="str">
        <f ca="1">IF(D435="N",COUNTIF(INDIRECT(ADDRESS(MATCH(Plages!$D$19,'Planning annuel mixing coater'!$B:$B),4)):D435,"N"),IF(D435="N1",COUNTIF($D$9:D435,"N1"),""))</f>
        <v/>
      </c>
      <c r="J435" s="99" t="str">
        <f>IF(D435="","",COUNTA(D422:D435)-(COUNTA(D435:D435)-1))</f>
        <v/>
      </c>
    </row>
    <row r="436" spans="1:10" ht="16.5" thickTop="1" thickBot="1">
      <c r="A436" s="117"/>
      <c r="B436" s="78">
        <f t="shared" si="29"/>
        <v>44228</v>
      </c>
      <c r="C436" s="81" t="str">
        <f t="shared" si="30"/>
        <v>lundi</v>
      </c>
      <c r="D436" s="89"/>
      <c r="E436" s="115" t="str">
        <f t="shared" si="31"/>
        <v/>
      </c>
      <c r="F436" s="115" t="str">
        <f t="shared" si="32"/>
        <v/>
      </c>
      <c r="G436" s="116" t="str">
        <f>IF(ISNONTEXT(D436),"",E436-MAX($F$2:F435))</f>
        <v/>
      </c>
      <c r="H436" s="100"/>
      <c r="I436" s="79" t="str">
        <f ca="1">IF(D436="N",COUNTIF(INDIRECT(ADDRESS(MATCH(Plages!$D$19,'Planning annuel mixing coater'!$B:$B),4)):D436,"N"),IF(D436="N1",COUNTIF($D$9:D436,"N1"),""))</f>
        <v/>
      </c>
      <c r="J436" s="101" t="str">
        <f>IF(D436="","",COUNTA(D436:D436)-(COUNTA(D436:D436)-1))</f>
        <v/>
      </c>
    </row>
    <row r="437" spans="1:10" thickBot="1">
      <c r="A437" s="117"/>
      <c r="B437" s="70">
        <f t="shared" si="29"/>
        <v>44229</v>
      </c>
      <c r="C437" s="82" t="str">
        <f t="shared" si="30"/>
        <v>mardi</v>
      </c>
      <c r="D437" s="87"/>
      <c r="E437" s="115" t="str">
        <f t="shared" si="31"/>
        <v/>
      </c>
      <c r="F437" s="115" t="str">
        <f t="shared" si="32"/>
        <v/>
      </c>
      <c r="G437" s="116" t="str">
        <f>IF(ISNONTEXT(D437),"",E437-MAX($F$2:F436))</f>
        <v/>
      </c>
      <c r="H437" s="97"/>
      <c r="I437" s="74" t="str">
        <f ca="1">IF(D437="N",COUNTIF(INDIRECT(ADDRESS(MATCH(Plages!$D$19,'Planning annuel mixing coater'!$B:$B),4)):D437,"N"),IF(D437="N1",COUNTIF($D$9:D437,"N1"),""))</f>
        <v/>
      </c>
      <c r="J437" s="96" t="str">
        <f>IF(D437="","",COUNTA(D436:D437)-(COUNTA(D437:D437)-1))</f>
        <v/>
      </c>
    </row>
    <row r="438" spans="1:10" thickBot="1">
      <c r="A438" s="117"/>
      <c r="B438" s="70">
        <f t="shared" si="29"/>
        <v>44230</v>
      </c>
      <c r="C438" s="82" t="str">
        <f t="shared" si="30"/>
        <v>mercredi</v>
      </c>
      <c r="D438" s="87"/>
      <c r="E438" s="115" t="str">
        <f t="shared" si="31"/>
        <v/>
      </c>
      <c r="F438" s="115" t="str">
        <f t="shared" si="32"/>
        <v/>
      </c>
      <c r="G438" s="116" t="str">
        <f>IF(ISNONTEXT(D438),"",E438-MAX($F$2:F437))</f>
        <v/>
      </c>
      <c r="H438" s="97"/>
      <c r="I438" s="74" t="str">
        <f ca="1">IF(D438="N",COUNTIF(INDIRECT(ADDRESS(MATCH(Plages!$D$19,'Planning annuel mixing coater'!$B:$B),4)):D438,"N"),IF(D438="N1",COUNTIF($D$9:D438,"N1"),""))</f>
        <v/>
      </c>
      <c r="J438" s="96" t="str">
        <f>IF(D438="","",COUNTA(D436:D438)-(COUNTA(D438:D438)-1))</f>
        <v/>
      </c>
    </row>
    <row r="439" spans="1:10" thickBot="1">
      <c r="A439" s="117"/>
      <c r="B439" s="70">
        <f t="shared" si="29"/>
        <v>44231</v>
      </c>
      <c r="C439" s="82" t="str">
        <f t="shared" si="30"/>
        <v>jeudi</v>
      </c>
      <c r="D439" s="87"/>
      <c r="E439" s="115" t="str">
        <f t="shared" si="31"/>
        <v/>
      </c>
      <c r="F439" s="115" t="str">
        <f t="shared" si="32"/>
        <v/>
      </c>
      <c r="G439" s="116" t="str">
        <f>IF(ISNONTEXT(D439),"",E439-MAX($F$2:F438))</f>
        <v/>
      </c>
      <c r="H439" s="97"/>
      <c r="I439" s="74" t="str">
        <f ca="1">IF(D439="N",COUNTIF(INDIRECT(ADDRESS(MATCH(Plages!$D$19,'Planning annuel mixing coater'!$B:$B),4)):D439,"N"),IF(D439="N1",COUNTIF($D$9:D439,"N1"),""))</f>
        <v/>
      </c>
      <c r="J439" s="96" t="str">
        <f>IF(D439="","",COUNTA(D436:D439)-(COUNTA(D439:D439)-1))</f>
        <v/>
      </c>
    </row>
    <row r="440" spans="1:10" thickBot="1">
      <c r="A440" s="117"/>
      <c r="B440" s="70">
        <f t="shared" si="29"/>
        <v>44232</v>
      </c>
      <c r="C440" s="82" t="str">
        <f t="shared" si="30"/>
        <v>vendredi</v>
      </c>
      <c r="D440" s="87"/>
      <c r="E440" s="115" t="str">
        <f t="shared" si="31"/>
        <v/>
      </c>
      <c r="F440" s="115" t="str">
        <f t="shared" si="32"/>
        <v/>
      </c>
      <c r="G440" s="116" t="str">
        <f>IF(ISNONTEXT(D440),"",E440-MAX($F$2:F439))</f>
        <v/>
      </c>
      <c r="H440" s="97"/>
      <c r="I440" s="74" t="str">
        <f ca="1">IF(D440="N",COUNTIF(INDIRECT(ADDRESS(MATCH(Plages!$D$19,'Planning annuel mixing coater'!$B:$B),4)):D440,"N"),IF(D440="N1",COUNTIF($D$9:D440,"N1"),""))</f>
        <v/>
      </c>
      <c r="J440" s="96" t="str">
        <f>IF(D440="","",COUNTA(D436:D440)-(COUNTA(D440:D440)-1))</f>
        <v/>
      </c>
    </row>
    <row r="441" spans="1:10" thickBot="1">
      <c r="A441" s="117"/>
      <c r="B441" s="70">
        <f t="shared" si="29"/>
        <v>44233</v>
      </c>
      <c r="C441" s="82" t="str">
        <f t="shared" si="30"/>
        <v>samedi</v>
      </c>
      <c r="D441" s="87"/>
      <c r="E441" s="115" t="str">
        <f t="shared" si="31"/>
        <v/>
      </c>
      <c r="F441" s="115" t="str">
        <f t="shared" si="32"/>
        <v/>
      </c>
      <c r="G441" s="116" t="str">
        <f>IF(ISNONTEXT(D441),"",E441-MAX($F$2:F440))</f>
        <v/>
      </c>
      <c r="H441" s="97"/>
      <c r="I441" s="74" t="str">
        <f ca="1">IF(D441="N",COUNTIF(INDIRECT(ADDRESS(MATCH(Plages!$D$19,'Planning annuel mixing coater'!$B:$B),4)):D441,"N"),IF(D441="N1",COUNTIF($D$9:D441,"N1"),""))</f>
        <v/>
      </c>
      <c r="J441" s="96" t="str">
        <f>IF(D441="","",COUNTA(D436:D441)-(COUNTA(D441:D441)-1))</f>
        <v/>
      </c>
    </row>
    <row r="442" spans="1:10" thickBot="1">
      <c r="A442" s="117"/>
      <c r="B442" s="70">
        <f t="shared" si="29"/>
        <v>44234</v>
      </c>
      <c r="C442" s="82" t="str">
        <f t="shared" si="30"/>
        <v>dimanche</v>
      </c>
      <c r="D442" s="87"/>
      <c r="E442" s="115" t="str">
        <f t="shared" si="31"/>
        <v/>
      </c>
      <c r="F442" s="115" t="str">
        <f t="shared" si="32"/>
        <v/>
      </c>
      <c r="G442" s="116" t="str">
        <f>IF(ISNONTEXT(D442),"",E442-MAX($F$2:F441))</f>
        <v/>
      </c>
      <c r="H442" s="98"/>
      <c r="I442" s="74" t="str">
        <f ca="1">IF(D442="N",COUNTIF(INDIRECT(ADDRESS(MATCH(Plages!$D$19,'Planning annuel mixing coater'!$B:$B),4)):D442,"N"),IF(D442="N1",COUNTIF($D$9:D442,"N1"),""))</f>
        <v/>
      </c>
      <c r="J442" s="96" t="str">
        <f>IF(D442="","",COUNTA(D436:D442)-(COUNTA(D442:D442)-1))</f>
        <v/>
      </c>
    </row>
    <row r="443" spans="1:10" thickBot="1">
      <c r="A443" s="117"/>
      <c r="B443" s="70">
        <f t="shared" si="29"/>
        <v>44235</v>
      </c>
      <c r="C443" s="82" t="str">
        <f t="shared" si="30"/>
        <v>lundi</v>
      </c>
      <c r="D443" s="87"/>
      <c r="E443" s="115" t="str">
        <f t="shared" si="31"/>
        <v/>
      </c>
      <c r="F443" s="115" t="str">
        <f t="shared" si="32"/>
        <v/>
      </c>
      <c r="G443" s="116" t="str">
        <f>IF(ISNONTEXT(D443),"",E443-MAX($F$2:F442))</f>
        <v/>
      </c>
      <c r="H443" s="97"/>
      <c r="I443" s="74" t="str">
        <f ca="1">IF(D443="N",COUNTIF(INDIRECT(ADDRESS(MATCH(Plages!$D$19,'Planning annuel mixing coater'!$B:$B),4)):D443,"N"),IF(D443="N1",COUNTIF($D$9:D443,"N1"),""))</f>
        <v/>
      </c>
      <c r="J443" s="96" t="str">
        <f>IF(D443="","",COUNTA(D436:D443)-(COUNTA(D443:D443)-1))</f>
        <v/>
      </c>
    </row>
    <row r="444" spans="1:10" thickBot="1">
      <c r="A444" s="117"/>
      <c r="B444" s="70">
        <f t="shared" si="29"/>
        <v>44236</v>
      </c>
      <c r="C444" s="82" t="str">
        <f t="shared" si="30"/>
        <v>mardi</v>
      </c>
      <c r="D444" s="87"/>
      <c r="E444" s="115" t="str">
        <f t="shared" si="31"/>
        <v/>
      </c>
      <c r="F444" s="115" t="str">
        <f t="shared" si="32"/>
        <v/>
      </c>
      <c r="G444" s="116" t="str">
        <f>IF(ISNONTEXT(D444),"",E444-MAX($F$2:F443))</f>
        <v/>
      </c>
      <c r="H444" s="97"/>
      <c r="I444" s="74" t="str">
        <f ca="1">IF(D444="N",COUNTIF(INDIRECT(ADDRESS(MATCH(Plages!$D$19,'Planning annuel mixing coater'!$B:$B),4)):D444,"N"),IF(D444="N1",COUNTIF($D$9:D444,"N1"),""))</f>
        <v/>
      </c>
      <c r="J444" s="96" t="str">
        <f>IF(D444="","",COUNTA(D436:D444)-(COUNTA(D444:D444)-1))</f>
        <v/>
      </c>
    </row>
    <row r="445" spans="1:10" thickBot="1">
      <c r="A445" s="117"/>
      <c r="B445" s="70">
        <f t="shared" si="29"/>
        <v>44237</v>
      </c>
      <c r="C445" s="82" t="str">
        <f t="shared" si="30"/>
        <v>mercredi</v>
      </c>
      <c r="D445" s="87"/>
      <c r="E445" s="115" t="str">
        <f t="shared" si="31"/>
        <v/>
      </c>
      <c r="F445" s="115" t="str">
        <f t="shared" si="32"/>
        <v/>
      </c>
      <c r="G445" s="116" t="str">
        <f>IF(ISNONTEXT(D445),"",E445-MAX($F$2:F444))</f>
        <v/>
      </c>
      <c r="H445" s="97"/>
      <c r="I445" s="74" t="str">
        <f ca="1">IF(D445="N",COUNTIF(INDIRECT(ADDRESS(MATCH(Plages!$D$19,'Planning annuel mixing coater'!$B:$B),4)):D445,"N"),IF(D445="N1",COUNTIF($D$9:D445,"N1"),""))</f>
        <v/>
      </c>
      <c r="J445" s="96" t="str">
        <f>IF(D445="","",COUNTA(D436:D445)-(COUNTA(D445:D445)-1))</f>
        <v/>
      </c>
    </row>
    <row r="446" spans="1:10" thickBot="1">
      <c r="A446" s="117"/>
      <c r="B446" s="70">
        <f t="shared" si="29"/>
        <v>44238</v>
      </c>
      <c r="C446" s="82" t="str">
        <f t="shared" si="30"/>
        <v>jeudi</v>
      </c>
      <c r="D446" s="87"/>
      <c r="E446" s="115" t="str">
        <f t="shared" si="31"/>
        <v/>
      </c>
      <c r="F446" s="115" t="str">
        <f t="shared" si="32"/>
        <v/>
      </c>
      <c r="G446" s="116" t="str">
        <f>IF(ISNONTEXT(D446),"",E446-MAX($F$2:F445))</f>
        <v/>
      </c>
      <c r="H446" s="97"/>
      <c r="I446" s="74" t="str">
        <f ca="1">IF(D446="N",COUNTIF(INDIRECT(ADDRESS(MATCH(Plages!$D$19,'Planning annuel mixing coater'!$B:$B),4)):D446,"N"),IF(D446="N1",COUNTIF($D$9:D446,"N1"),""))</f>
        <v/>
      </c>
      <c r="J446" s="96" t="str">
        <f>IF(D446="","",COUNTA(D436:D446)-(COUNTA(D446:D446)-1))</f>
        <v/>
      </c>
    </row>
    <row r="447" spans="1:10" thickBot="1">
      <c r="A447" s="117"/>
      <c r="B447" s="70">
        <f t="shared" si="29"/>
        <v>44239</v>
      </c>
      <c r="C447" s="82" t="str">
        <f t="shared" si="30"/>
        <v>vendredi</v>
      </c>
      <c r="D447" s="87"/>
      <c r="E447" s="115" t="str">
        <f t="shared" si="31"/>
        <v/>
      </c>
      <c r="F447" s="115" t="str">
        <f t="shared" si="32"/>
        <v/>
      </c>
      <c r="G447" s="116" t="str">
        <f>IF(ISNONTEXT(D447),"",E447-MAX($F$2:F446))</f>
        <v/>
      </c>
      <c r="H447" s="97"/>
      <c r="I447" s="74" t="str">
        <f ca="1">IF(D447="N",COUNTIF(INDIRECT(ADDRESS(MATCH(Plages!$D$19,'Planning annuel mixing coater'!$B:$B),4)):D447,"N"),IF(D447="N1",COUNTIF($D$9:D447,"N1"),""))</f>
        <v/>
      </c>
      <c r="J447" s="96" t="str">
        <f>IF(D447="","",COUNTA(D436:D447)-(COUNTA(D447:D447)-1))</f>
        <v/>
      </c>
    </row>
    <row r="448" spans="1:10" thickBot="1">
      <c r="A448" s="117"/>
      <c r="B448" s="70">
        <f t="shared" si="29"/>
        <v>44240</v>
      </c>
      <c r="C448" s="82" t="str">
        <f t="shared" si="30"/>
        <v>samedi</v>
      </c>
      <c r="D448" s="87"/>
      <c r="E448" s="115" t="str">
        <f t="shared" si="31"/>
        <v/>
      </c>
      <c r="F448" s="115" t="str">
        <f t="shared" si="32"/>
        <v/>
      </c>
      <c r="G448" s="116" t="str">
        <f>IF(ISNONTEXT(D448),"",E448-MAX($F$2:F447))</f>
        <v/>
      </c>
      <c r="H448" s="97"/>
      <c r="I448" s="74" t="str">
        <f ca="1">IF(D448="N",COUNTIF(INDIRECT(ADDRESS(MATCH(Plages!$D$19,'Planning annuel mixing coater'!$B:$B),4)):D448,"N"),IF(D448="N1",COUNTIF($D$9:D448,"N1"),""))</f>
        <v/>
      </c>
      <c r="J448" s="96" t="str">
        <f>IF(D448="","",COUNTA(D436:D448)-(COUNTA(D448:D448)-1))</f>
        <v/>
      </c>
    </row>
    <row r="449" spans="1:10" s="77" customFormat="1" thickBot="1">
      <c r="A449" s="117"/>
      <c r="B449" s="75">
        <f t="shared" si="29"/>
        <v>44241</v>
      </c>
      <c r="C449" s="83" t="str">
        <f t="shared" si="30"/>
        <v>dimanche</v>
      </c>
      <c r="D449" s="88"/>
      <c r="E449" s="115" t="str">
        <f t="shared" si="31"/>
        <v/>
      </c>
      <c r="F449" s="115" t="str">
        <f t="shared" si="32"/>
        <v/>
      </c>
      <c r="G449" s="116" t="str">
        <f>IF(ISNONTEXT(D449),"",E449-MAX($F$2:F448))</f>
        <v/>
      </c>
      <c r="H449" s="98"/>
      <c r="I449" s="76" t="str">
        <f ca="1">IF(D449="N",COUNTIF(INDIRECT(ADDRESS(MATCH(Plages!$D$19,'Planning annuel mixing coater'!$B:$B),4)):D449,"N"),IF(D449="N1",COUNTIF($D$9:D449,"N1"),""))</f>
        <v/>
      </c>
      <c r="J449" s="99" t="str">
        <f>IF(D449="","",COUNTA(D436:D449)-(COUNTA(D449:D449)-1))</f>
        <v/>
      </c>
    </row>
    <row r="450" spans="1:10" ht="16.5" thickTop="1" thickBot="1">
      <c r="A450" s="117"/>
      <c r="B450" s="78">
        <f t="shared" si="29"/>
        <v>44242</v>
      </c>
      <c r="C450" s="81" t="str">
        <f t="shared" si="30"/>
        <v>lundi</v>
      </c>
      <c r="D450" s="89"/>
      <c r="E450" s="115" t="str">
        <f t="shared" si="31"/>
        <v/>
      </c>
      <c r="F450" s="115" t="str">
        <f t="shared" si="32"/>
        <v/>
      </c>
      <c r="G450" s="116" t="str">
        <f>IF(ISNONTEXT(D450),"",E450-MAX($F$2:F449))</f>
        <v/>
      </c>
      <c r="H450" s="100"/>
      <c r="I450" s="79" t="str">
        <f ca="1">IF(D450="N",COUNTIF(INDIRECT(ADDRESS(MATCH(Plages!$D$19,'Planning annuel mixing coater'!$B:$B),4)):D450,"N"),IF(D450="N1",COUNTIF($D$9:D450,"N1"),""))</f>
        <v/>
      </c>
      <c r="J450" s="101" t="str">
        <f>IF(D450="","",COUNTA(D450:D450)-(COUNTA(D450:D450)-1))</f>
        <v/>
      </c>
    </row>
    <row r="451" spans="1:10" thickBot="1">
      <c r="A451" s="117"/>
      <c r="B451" s="70">
        <f t="shared" si="29"/>
        <v>44243</v>
      </c>
      <c r="C451" s="82" t="str">
        <f t="shared" si="30"/>
        <v>mardi</v>
      </c>
      <c r="D451" s="87"/>
      <c r="E451" s="115" t="str">
        <f t="shared" si="31"/>
        <v/>
      </c>
      <c r="F451" s="115" t="str">
        <f t="shared" si="32"/>
        <v/>
      </c>
      <c r="G451" s="116" t="str">
        <f>IF(ISNONTEXT(D451),"",E451-MAX($F$2:F450))</f>
        <v/>
      </c>
      <c r="H451" s="97"/>
      <c r="I451" s="74" t="str">
        <f ca="1">IF(D451="N",COUNTIF(INDIRECT(ADDRESS(MATCH(Plages!$D$19,'Planning annuel mixing coater'!$B:$B),4)):D451,"N"),IF(D451="N1",COUNTIF($D$9:D451,"N1"),""))</f>
        <v/>
      </c>
      <c r="J451" s="96" t="str">
        <f>IF(D451="","",COUNTA(D450:D451)-(COUNTA(D451:D451)-1))</f>
        <v/>
      </c>
    </row>
    <row r="452" spans="1:10" thickBot="1">
      <c r="A452" s="117"/>
      <c r="B452" s="70">
        <f t="shared" ref="B452:B515" si="33">IF(B451="","",B451+1)</f>
        <v>44244</v>
      </c>
      <c r="C452" s="82" t="str">
        <f t="shared" si="30"/>
        <v>mercredi</v>
      </c>
      <c r="D452" s="87"/>
      <c r="E452" s="115" t="str">
        <f t="shared" si="31"/>
        <v/>
      </c>
      <c r="F452" s="115" t="str">
        <f t="shared" si="32"/>
        <v/>
      </c>
      <c r="G452" s="116" t="str">
        <f>IF(ISNONTEXT(D452),"",E452-MAX($F$2:F451))</f>
        <v/>
      </c>
      <c r="H452" s="97"/>
      <c r="I452" s="74" t="str">
        <f ca="1">IF(D452="N",COUNTIF(INDIRECT(ADDRESS(MATCH(Plages!$D$19,'Planning annuel mixing coater'!$B:$B),4)):D452,"N"),IF(D452="N1",COUNTIF($D$9:D452,"N1"),""))</f>
        <v/>
      </c>
      <c r="J452" s="96" t="str">
        <f>IF(D452="","",COUNTA(D450:D452)-(COUNTA(D452:D452)-1))</f>
        <v/>
      </c>
    </row>
    <row r="453" spans="1:10" thickBot="1">
      <c r="A453" s="117"/>
      <c r="B453" s="70">
        <f t="shared" si="33"/>
        <v>44245</v>
      </c>
      <c r="C453" s="82" t="str">
        <f t="shared" si="30"/>
        <v>jeudi</v>
      </c>
      <c r="D453" s="87"/>
      <c r="E453" s="115" t="str">
        <f t="shared" si="31"/>
        <v/>
      </c>
      <c r="F453" s="115" t="str">
        <f t="shared" si="32"/>
        <v/>
      </c>
      <c r="G453" s="116" t="str">
        <f>IF(ISNONTEXT(D453),"",E453-MAX($F$2:F452))</f>
        <v/>
      </c>
      <c r="H453" s="97"/>
      <c r="I453" s="74" t="str">
        <f ca="1">IF(D453="N",COUNTIF(INDIRECT(ADDRESS(MATCH(Plages!$D$19,'Planning annuel mixing coater'!$B:$B),4)):D453,"N"),IF(D453="N1",COUNTIF($D$9:D453,"N1"),""))</f>
        <v/>
      </c>
      <c r="J453" s="96" t="str">
        <f>IF(D453="","",COUNTA(D450:D453)-(COUNTA(D453:D453)-1))</f>
        <v/>
      </c>
    </row>
    <row r="454" spans="1:10" thickBot="1">
      <c r="A454" s="117"/>
      <c r="B454" s="70">
        <f t="shared" si="33"/>
        <v>44246</v>
      </c>
      <c r="C454" s="82" t="str">
        <f t="shared" si="30"/>
        <v>vendredi</v>
      </c>
      <c r="D454" s="87"/>
      <c r="E454" s="115" t="str">
        <f t="shared" si="31"/>
        <v/>
      </c>
      <c r="F454" s="115" t="str">
        <f t="shared" si="32"/>
        <v/>
      </c>
      <c r="G454" s="116" t="str">
        <f>IF(ISNONTEXT(D454),"",E454-MAX($F$2:F453))</f>
        <v/>
      </c>
      <c r="H454" s="97"/>
      <c r="I454" s="74" t="str">
        <f ca="1">IF(D454="N",COUNTIF(INDIRECT(ADDRESS(MATCH(Plages!$D$19,'Planning annuel mixing coater'!$B:$B),4)):D454,"N"),IF(D454="N1",COUNTIF($D$9:D454,"N1"),""))</f>
        <v/>
      </c>
      <c r="J454" s="96" t="str">
        <f>IF(D454="","",COUNTA(D450:D454)-(COUNTA(D454:D454)-1))</f>
        <v/>
      </c>
    </row>
    <row r="455" spans="1:10" thickBot="1">
      <c r="A455" s="117"/>
      <c r="B455" s="70">
        <f t="shared" si="33"/>
        <v>44247</v>
      </c>
      <c r="C455" s="82" t="str">
        <f t="shared" si="30"/>
        <v>samedi</v>
      </c>
      <c r="D455" s="87"/>
      <c r="E455" s="115" t="str">
        <f t="shared" si="31"/>
        <v/>
      </c>
      <c r="F455" s="115" t="str">
        <f t="shared" si="32"/>
        <v/>
      </c>
      <c r="G455" s="116" t="str">
        <f>IF(ISNONTEXT(D455),"",E455-MAX($F$2:F454))</f>
        <v/>
      </c>
      <c r="H455" s="97"/>
      <c r="I455" s="74" t="str">
        <f ca="1">IF(D455="N",COUNTIF(INDIRECT(ADDRESS(MATCH(Plages!$D$19,'Planning annuel mixing coater'!$B:$B),4)):D455,"N"),IF(D455="N1",COUNTIF($D$9:D455,"N1"),""))</f>
        <v/>
      </c>
      <c r="J455" s="96" t="str">
        <f>IF(D455="","",COUNTA(D450:D455)-(COUNTA(D455:D455)-1))</f>
        <v/>
      </c>
    </row>
    <row r="456" spans="1:10" thickBot="1">
      <c r="A456" s="117"/>
      <c r="B456" s="70">
        <f t="shared" si="33"/>
        <v>44248</v>
      </c>
      <c r="C456" s="82" t="str">
        <f t="shared" si="30"/>
        <v>dimanche</v>
      </c>
      <c r="D456" s="87"/>
      <c r="E456" s="115" t="str">
        <f t="shared" si="31"/>
        <v/>
      </c>
      <c r="F456" s="115" t="str">
        <f t="shared" si="32"/>
        <v/>
      </c>
      <c r="G456" s="116" t="str">
        <f>IF(ISNONTEXT(D456),"",E456-MAX($F$2:F455))</f>
        <v/>
      </c>
      <c r="H456" s="98"/>
      <c r="I456" s="74" t="str">
        <f ca="1">IF(D456="N",COUNTIF(INDIRECT(ADDRESS(MATCH(Plages!$D$19,'Planning annuel mixing coater'!$B:$B),4)):D456,"N"),IF(D456="N1",COUNTIF($D$9:D456,"N1"),""))</f>
        <v/>
      </c>
      <c r="J456" s="96" t="str">
        <f>IF(D456="","",COUNTA(D450:D456)-(COUNTA(D456:D456)-1))</f>
        <v/>
      </c>
    </row>
    <row r="457" spans="1:10" thickBot="1">
      <c r="A457" s="117"/>
      <c r="B457" s="70">
        <f t="shared" si="33"/>
        <v>44249</v>
      </c>
      <c r="C457" s="82" t="str">
        <f t="shared" si="30"/>
        <v>lundi</v>
      </c>
      <c r="D457" s="87"/>
      <c r="E457" s="115" t="str">
        <f t="shared" si="31"/>
        <v/>
      </c>
      <c r="F457" s="115" t="str">
        <f t="shared" si="32"/>
        <v/>
      </c>
      <c r="G457" s="116" t="str">
        <f>IF(ISNONTEXT(D457),"",E457-MAX($F$2:F456))</f>
        <v/>
      </c>
      <c r="H457" s="97"/>
      <c r="I457" s="74" t="str">
        <f ca="1">IF(D457="N",COUNTIF(INDIRECT(ADDRESS(MATCH(Plages!$D$19,'Planning annuel mixing coater'!$B:$B),4)):D457,"N"),IF(D457="N1",COUNTIF($D$9:D457,"N1"),""))</f>
        <v/>
      </c>
      <c r="J457" s="96" t="str">
        <f>IF(D457="","",COUNTA(D450:D457)-(COUNTA(D457:D457)-1))</f>
        <v/>
      </c>
    </row>
    <row r="458" spans="1:10" thickBot="1">
      <c r="A458" s="117"/>
      <c r="B458" s="70">
        <f t="shared" si="33"/>
        <v>44250</v>
      </c>
      <c r="C458" s="82" t="str">
        <f t="shared" si="30"/>
        <v>mardi</v>
      </c>
      <c r="D458" s="87"/>
      <c r="E458" s="115" t="str">
        <f t="shared" si="31"/>
        <v/>
      </c>
      <c r="F458" s="115" t="str">
        <f t="shared" si="32"/>
        <v/>
      </c>
      <c r="G458" s="116" t="str">
        <f>IF(ISNONTEXT(D458),"",E458-MAX($F$2:F457))</f>
        <v/>
      </c>
      <c r="H458" s="97"/>
      <c r="I458" s="74" t="str">
        <f ca="1">IF(D458="N",COUNTIF(INDIRECT(ADDRESS(MATCH(Plages!$D$19,'Planning annuel mixing coater'!$B:$B),4)):D458,"N"),IF(D458="N1",COUNTIF($D$9:D458,"N1"),""))</f>
        <v/>
      </c>
      <c r="J458" s="96" t="str">
        <f>IF(D458="","",COUNTA(D450:D458)-(COUNTA(D458:D458)-1))</f>
        <v/>
      </c>
    </row>
    <row r="459" spans="1:10" thickBot="1">
      <c r="A459" s="117"/>
      <c r="B459" s="70">
        <f t="shared" si="33"/>
        <v>44251</v>
      </c>
      <c r="C459" s="82" t="str">
        <f t="shared" si="30"/>
        <v>mercredi</v>
      </c>
      <c r="D459" s="87"/>
      <c r="E459" s="115" t="str">
        <f t="shared" si="31"/>
        <v/>
      </c>
      <c r="F459" s="115" t="str">
        <f t="shared" si="32"/>
        <v/>
      </c>
      <c r="G459" s="116" t="str">
        <f>IF(ISNONTEXT(D459),"",E459-MAX($F$2:F458))</f>
        <v/>
      </c>
      <c r="H459" s="97"/>
      <c r="I459" s="74" t="str">
        <f ca="1">IF(D459="N",COUNTIF(INDIRECT(ADDRESS(MATCH(Plages!$D$19,'Planning annuel mixing coater'!$B:$B),4)):D459,"N"),IF(D459="N1",COUNTIF($D$9:D459,"N1"),""))</f>
        <v/>
      </c>
      <c r="J459" s="96" t="str">
        <f>IF(D459="","",COUNTA(D450:D459)-(COUNTA(D459:D459)-1))</f>
        <v/>
      </c>
    </row>
    <row r="460" spans="1:10" thickBot="1">
      <c r="A460" s="117"/>
      <c r="B460" s="70">
        <f t="shared" si="33"/>
        <v>44252</v>
      </c>
      <c r="C460" s="82" t="str">
        <f t="shared" si="30"/>
        <v>jeudi</v>
      </c>
      <c r="D460" s="87"/>
      <c r="E460" s="115" t="str">
        <f t="shared" si="31"/>
        <v/>
      </c>
      <c r="F460" s="115" t="str">
        <f t="shared" si="32"/>
        <v/>
      </c>
      <c r="G460" s="116" t="str">
        <f>IF(ISNONTEXT(D460),"",E460-MAX($F$2:F459))</f>
        <v/>
      </c>
      <c r="H460" s="97"/>
      <c r="I460" s="74" t="str">
        <f ca="1">IF(D460="N",COUNTIF(INDIRECT(ADDRESS(MATCH(Plages!$D$19,'Planning annuel mixing coater'!$B:$B),4)):D460,"N"),IF(D460="N1",COUNTIF($D$9:D460,"N1"),""))</f>
        <v/>
      </c>
      <c r="J460" s="96" t="str">
        <f>IF(D460="","",COUNTA(D450:D460)-(COUNTA(D460:D460)-1))</f>
        <v/>
      </c>
    </row>
    <row r="461" spans="1:10" thickBot="1">
      <c r="A461" s="117"/>
      <c r="B461" s="70">
        <f t="shared" si="33"/>
        <v>44253</v>
      </c>
      <c r="C461" s="82" t="str">
        <f t="shared" si="30"/>
        <v>vendredi</v>
      </c>
      <c r="D461" s="87"/>
      <c r="E461" s="115" t="str">
        <f t="shared" si="31"/>
        <v/>
      </c>
      <c r="F461" s="115" t="str">
        <f t="shared" si="32"/>
        <v/>
      </c>
      <c r="G461" s="116" t="str">
        <f>IF(ISNONTEXT(D461),"",E461-MAX($F$2:F460))</f>
        <v/>
      </c>
      <c r="H461" s="97"/>
      <c r="I461" s="74" t="str">
        <f ca="1">IF(D461="N",COUNTIF(INDIRECT(ADDRESS(MATCH(Plages!$D$19,'Planning annuel mixing coater'!$B:$B),4)):D461,"N"),IF(D461="N1",COUNTIF($D$9:D461,"N1"),""))</f>
        <v/>
      </c>
      <c r="J461" s="96" t="str">
        <f>IF(D461="","",COUNTA(D450:D461)-(COUNTA(D461:D461)-1))</f>
        <v/>
      </c>
    </row>
    <row r="462" spans="1:10" thickBot="1">
      <c r="A462" s="117"/>
      <c r="B462" s="70">
        <f t="shared" si="33"/>
        <v>44254</v>
      </c>
      <c r="C462" s="82" t="str">
        <f t="shared" si="30"/>
        <v>samedi</v>
      </c>
      <c r="D462" s="87"/>
      <c r="E462" s="115" t="str">
        <f t="shared" si="31"/>
        <v/>
      </c>
      <c r="F462" s="115" t="str">
        <f t="shared" si="32"/>
        <v/>
      </c>
      <c r="G462" s="116" t="str">
        <f>IF(ISNONTEXT(D462),"",E462-MAX($F$2:F461))</f>
        <v/>
      </c>
      <c r="H462" s="97"/>
      <c r="I462" s="74" t="str">
        <f ca="1">IF(D462="N",COUNTIF(INDIRECT(ADDRESS(MATCH(Plages!$D$19,'Planning annuel mixing coater'!$B:$B),4)):D462,"N"),IF(D462="N1",COUNTIF($D$9:D462,"N1"),""))</f>
        <v/>
      </c>
      <c r="J462" s="96" t="str">
        <f>IF(D462="","",COUNTA(D450:D462)-(COUNTA(D462:D462)-1))</f>
        <v/>
      </c>
    </row>
    <row r="463" spans="1:10" s="77" customFormat="1" thickBot="1">
      <c r="A463" s="117"/>
      <c r="B463" s="75">
        <f t="shared" si="33"/>
        <v>44255</v>
      </c>
      <c r="C463" s="83" t="str">
        <f t="shared" si="30"/>
        <v>dimanche</v>
      </c>
      <c r="D463" s="88"/>
      <c r="E463" s="115" t="str">
        <f t="shared" si="31"/>
        <v/>
      </c>
      <c r="F463" s="115" t="str">
        <f t="shared" si="32"/>
        <v/>
      </c>
      <c r="G463" s="116" t="str">
        <f>IF(ISNONTEXT(D463),"",E463-MAX($F$2:F462))</f>
        <v/>
      </c>
      <c r="H463" s="98"/>
      <c r="I463" s="76" t="str">
        <f ca="1">IF(D463="N",COUNTIF(INDIRECT(ADDRESS(MATCH(Plages!$D$19,'Planning annuel mixing coater'!$B:$B),4)):D463,"N"),IF(D463="N1",COUNTIF($D$9:D463,"N1"),""))</f>
        <v/>
      </c>
      <c r="J463" s="99" t="str">
        <f>IF(D463="","",COUNTA(D450:D463)-(COUNTA(D463:D463)-1))</f>
        <v/>
      </c>
    </row>
    <row r="464" spans="1:10" ht="16.5" thickTop="1" thickBot="1">
      <c r="A464" s="117"/>
      <c r="B464" s="78">
        <f t="shared" si="33"/>
        <v>44256</v>
      </c>
      <c r="C464" s="81" t="str">
        <f t="shared" si="30"/>
        <v>lundi</v>
      </c>
      <c r="D464" s="89"/>
      <c r="E464" s="115" t="str">
        <f t="shared" si="31"/>
        <v/>
      </c>
      <c r="F464" s="115" t="str">
        <f t="shared" si="32"/>
        <v/>
      </c>
      <c r="G464" s="116" t="str">
        <f>IF(ISNONTEXT(D464),"",E464-MAX($F$2:F463))</f>
        <v/>
      </c>
      <c r="H464" s="100"/>
      <c r="I464" s="79" t="str">
        <f ca="1">IF(D464="N",COUNTIF(INDIRECT(ADDRESS(MATCH(Plages!$D$19,'Planning annuel mixing coater'!$B:$B),4)):D464,"N"),IF(D464="N1",COUNTIF($D$9:D464,"N1"),""))</f>
        <v/>
      </c>
      <c r="J464" s="101" t="str">
        <f>IF(D464="","",COUNTA(D464:D464)-(COUNTA(D464:D464)-1))</f>
        <v/>
      </c>
    </row>
    <row r="465" spans="1:10" thickBot="1">
      <c r="A465" s="117"/>
      <c r="B465" s="70">
        <f t="shared" si="33"/>
        <v>44257</v>
      </c>
      <c r="C465" s="82" t="str">
        <f t="shared" si="30"/>
        <v>mardi</v>
      </c>
      <c r="D465" s="87"/>
      <c r="E465" s="115" t="str">
        <f t="shared" si="31"/>
        <v/>
      </c>
      <c r="F465" s="115" t="str">
        <f t="shared" si="32"/>
        <v/>
      </c>
      <c r="G465" s="116" t="str">
        <f>IF(ISNONTEXT(D465),"",E465-MAX($F$2:F464))</f>
        <v/>
      </c>
      <c r="H465" s="97"/>
      <c r="I465" s="74" t="str">
        <f ca="1">IF(D465="N",COUNTIF(INDIRECT(ADDRESS(MATCH(Plages!$D$19,'Planning annuel mixing coater'!$B:$B),4)):D465,"N"),IF(D465="N1",COUNTIF($D$9:D465,"N1"),""))</f>
        <v/>
      </c>
      <c r="J465" s="96" t="str">
        <f>IF(D465="","",COUNTA(D464:D465)-(COUNTA(D465:D465)-1))</f>
        <v/>
      </c>
    </row>
    <row r="466" spans="1:10" thickBot="1">
      <c r="A466" s="117"/>
      <c r="B466" s="70">
        <f t="shared" si="33"/>
        <v>44258</v>
      </c>
      <c r="C466" s="82" t="str">
        <f t="shared" si="30"/>
        <v>mercredi</v>
      </c>
      <c r="D466" s="87"/>
      <c r="E466" s="115" t="str">
        <f t="shared" si="31"/>
        <v/>
      </c>
      <c r="F466" s="115" t="str">
        <f t="shared" si="32"/>
        <v/>
      </c>
      <c r="G466" s="116" t="str">
        <f>IF(ISNONTEXT(D466),"",E466-MAX($F$2:F465))</f>
        <v/>
      </c>
      <c r="H466" s="97"/>
      <c r="I466" s="74" t="str">
        <f ca="1">IF(D466="N",COUNTIF(INDIRECT(ADDRESS(MATCH(Plages!$D$19,'Planning annuel mixing coater'!$B:$B),4)):D466,"N"),IF(D466="N1",COUNTIF($D$9:D466,"N1"),""))</f>
        <v/>
      </c>
      <c r="J466" s="96" t="str">
        <f>IF(D466="","",COUNTA(D464:D466)-(COUNTA(D466:D466)-1))</f>
        <v/>
      </c>
    </row>
    <row r="467" spans="1:10" thickBot="1">
      <c r="A467" s="117"/>
      <c r="B467" s="70">
        <f t="shared" si="33"/>
        <v>44259</v>
      </c>
      <c r="C467" s="82" t="str">
        <f t="shared" si="30"/>
        <v>jeudi</v>
      </c>
      <c r="D467" s="87"/>
      <c r="E467" s="115" t="str">
        <f t="shared" si="31"/>
        <v/>
      </c>
      <c r="F467" s="115" t="str">
        <f t="shared" si="32"/>
        <v/>
      </c>
      <c r="G467" s="116" t="str">
        <f>IF(ISNONTEXT(D467),"",E467-MAX($F$2:F466))</f>
        <v/>
      </c>
      <c r="H467" s="97"/>
      <c r="I467" s="74" t="str">
        <f ca="1">IF(D467="N",COUNTIF(INDIRECT(ADDRESS(MATCH(Plages!$D$19,'Planning annuel mixing coater'!$B:$B),4)):D467,"N"),IF(D467="N1",COUNTIF($D$9:D467,"N1"),""))</f>
        <v/>
      </c>
      <c r="J467" s="96" t="str">
        <f>IF(D467="","",COUNTA(D464:D467)-(COUNTA(D467:D467)-1))</f>
        <v/>
      </c>
    </row>
    <row r="468" spans="1:10" thickBot="1">
      <c r="A468" s="117"/>
      <c r="B468" s="70">
        <f t="shared" si="33"/>
        <v>44260</v>
      </c>
      <c r="C468" s="82" t="str">
        <f t="shared" si="30"/>
        <v>vendredi</v>
      </c>
      <c r="D468" s="87"/>
      <c r="E468" s="115" t="str">
        <f t="shared" si="31"/>
        <v/>
      </c>
      <c r="F468" s="115" t="str">
        <f t="shared" si="32"/>
        <v/>
      </c>
      <c r="G468" s="116" t="str">
        <f>IF(ISNONTEXT(D468),"",E468-MAX($F$2:F467))</f>
        <v/>
      </c>
      <c r="H468" s="97"/>
      <c r="I468" s="74" t="str">
        <f ca="1">IF(D468="N",COUNTIF(INDIRECT(ADDRESS(MATCH(Plages!$D$19,'Planning annuel mixing coater'!$B:$B),4)):D468,"N"),IF(D468="N1",COUNTIF($D$9:D468,"N1"),""))</f>
        <v/>
      </c>
      <c r="J468" s="96" t="str">
        <f>IF(D468="","",COUNTA(D464:D468)-(COUNTA(D468:D468)-1))</f>
        <v/>
      </c>
    </row>
    <row r="469" spans="1:10" thickBot="1">
      <c r="A469" s="117"/>
      <c r="B469" s="70">
        <f t="shared" si="33"/>
        <v>44261</v>
      </c>
      <c r="C469" s="82" t="str">
        <f t="shared" si="30"/>
        <v>samedi</v>
      </c>
      <c r="D469" s="87"/>
      <c r="E469" s="115" t="str">
        <f t="shared" si="31"/>
        <v/>
      </c>
      <c r="F469" s="115" t="str">
        <f t="shared" si="32"/>
        <v/>
      </c>
      <c r="G469" s="116" t="str">
        <f>IF(ISNONTEXT(D469),"",E469-MAX($F$2:F468))</f>
        <v/>
      </c>
      <c r="H469" s="97"/>
      <c r="I469" s="74" t="str">
        <f ca="1">IF(D469="N",COUNTIF(INDIRECT(ADDRESS(MATCH(Plages!$D$19,'Planning annuel mixing coater'!$B:$B),4)):D469,"N"),IF(D469="N1",COUNTIF($D$9:D469,"N1"),""))</f>
        <v/>
      </c>
      <c r="J469" s="96" t="str">
        <f>IF(D469="","",COUNTA(D464:D469)-(COUNTA(D469:D469)-1))</f>
        <v/>
      </c>
    </row>
    <row r="470" spans="1:10" thickBot="1">
      <c r="A470" s="117"/>
      <c r="B470" s="70">
        <f t="shared" si="33"/>
        <v>44262</v>
      </c>
      <c r="C470" s="82" t="str">
        <f t="shared" si="30"/>
        <v>dimanche</v>
      </c>
      <c r="D470" s="87"/>
      <c r="E470" s="115" t="str">
        <f t="shared" si="31"/>
        <v/>
      </c>
      <c r="F470" s="115" t="str">
        <f t="shared" si="32"/>
        <v/>
      </c>
      <c r="G470" s="116" t="str">
        <f>IF(ISNONTEXT(D470),"",E470-MAX($F$2:F469))</f>
        <v/>
      </c>
      <c r="H470" s="98"/>
      <c r="I470" s="74" t="str">
        <f ca="1">IF(D470="N",COUNTIF(INDIRECT(ADDRESS(MATCH(Plages!$D$19,'Planning annuel mixing coater'!$B:$B),4)):D470,"N"),IF(D470="N1",COUNTIF($D$9:D470,"N1"),""))</f>
        <v/>
      </c>
      <c r="J470" s="96" t="str">
        <f>IF(D470="","",COUNTA(D464:D470)-(COUNTA(D470:D470)-1))</f>
        <v/>
      </c>
    </row>
    <row r="471" spans="1:10" thickBot="1">
      <c r="A471" s="117"/>
      <c r="B471" s="70">
        <f t="shared" si="33"/>
        <v>44263</v>
      </c>
      <c r="C471" s="82" t="str">
        <f t="shared" si="30"/>
        <v>lundi</v>
      </c>
      <c r="D471" s="87"/>
      <c r="E471" s="115" t="str">
        <f t="shared" si="31"/>
        <v/>
      </c>
      <c r="F471" s="115" t="str">
        <f t="shared" si="32"/>
        <v/>
      </c>
      <c r="G471" s="116" t="str">
        <f>IF(ISNONTEXT(D471),"",E471-MAX($F$2:F470))</f>
        <v/>
      </c>
      <c r="H471" s="97"/>
      <c r="I471" s="74" t="str">
        <f ca="1">IF(D471="N",COUNTIF(INDIRECT(ADDRESS(MATCH(Plages!$D$19,'Planning annuel mixing coater'!$B:$B),4)):D471,"N"),IF(D471="N1",COUNTIF($D$9:D471,"N1"),""))</f>
        <v/>
      </c>
      <c r="J471" s="96" t="str">
        <f>IF(D471="","",COUNTA(D464:D471)-(COUNTA(D471:D471)-1))</f>
        <v/>
      </c>
    </row>
    <row r="472" spans="1:10" thickBot="1">
      <c r="A472" s="117"/>
      <c r="B472" s="70">
        <f t="shared" si="33"/>
        <v>44264</v>
      </c>
      <c r="C472" s="82" t="str">
        <f t="shared" si="30"/>
        <v>mardi</v>
      </c>
      <c r="D472" s="87"/>
      <c r="E472" s="115" t="str">
        <f t="shared" si="31"/>
        <v/>
      </c>
      <c r="F472" s="115" t="str">
        <f t="shared" si="32"/>
        <v/>
      </c>
      <c r="G472" s="116" t="str">
        <f>IF(ISNONTEXT(D472),"",E472-MAX($F$2:F471))</f>
        <v/>
      </c>
      <c r="H472" s="97"/>
      <c r="I472" s="74" t="str">
        <f ca="1">IF(D472="N",COUNTIF(INDIRECT(ADDRESS(MATCH(Plages!$D$19,'Planning annuel mixing coater'!$B:$B),4)):D472,"N"),IF(D472="N1",COUNTIF($D$9:D472,"N1"),""))</f>
        <v/>
      </c>
      <c r="J472" s="96" t="str">
        <f>IF(D472="","",COUNTA(D464:D472)-(COUNTA(D472:D472)-1))</f>
        <v/>
      </c>
    </row>
    <row r="473" spans="1:10" thickBot="1">
      <c r="A473" s="117"/>
      <c r="B473" s="70">
        <f t="shared" si="33"/>
        <v>44265</v>
      </c>
      <c r="C473" s="82" t="str">
        <f t="shared" si="30"/>
        <v>mercredi</v>
      </c>
      <c r="D473" s="87"/>
      <c r="E473" s="115" t="str">
        <f t="shared" si="31"/>
        <v/>
      </c>
      <c r="F473" s="115" t="str">
        <f t="shared" si="32"/>
        <v/>
      </c>
      <c r="G473" s="116" t="str">
        <f>IF(ISNONTEXT(D473),"",E473-MAX($F$2:F472))</f>
        <v/>
      </c>
      <c r="H473" s="97"/>
      <c r="I473" s="74" t="str">
        <f ca="1">IF(D473="N",COUNTIF(INDIRECT(ADDRESS(MATCH(Plages!$D$19,'Planning annuel mixing coater'!$B:$B),4)):D473,"N"),IF(D473="N1",COUNTIF($D$9:D473,"N1"),""))</f>
        <v/>
      </c>
      <c r="J473" s="96" t="str">
        <f>IF(D473="","",COUNTA(D464:D473)-(COUNTA(D473:D473)-1))</f>
        <v/>
      </c>
    </row>
    <row r="474" spans="1:10" thickBot="1">
      <c r="A474" s="117"/>
      <c r="B474" s="70">
        <f t="shared" si="33"/>
        <v>44266</v>
      </c>
      <c r="C474" s="82" t="str">
        <f t="shared" si="30"/>
        <v>jeudi</v>
      </c>
      <c r="D474" s="87"/>
      <c r="E474" s="115" t="str">
        <f t="shared" si="31"/>
        <v/>
      </c>
      <c r="F474" s="115" t="str">
        <f t="shared" si="32"/>
        <v/>
      </c>
      <c r="G474" s="116" t="str">
        <f>IF(ISNONTEXT(D474),"",E474-MAX($F$2:F473))</f>
        <v/>
      </c>
      <c r="H474" s="97"/>
      <c r="I474" s="74" t="str">
        <f ca="1">IF(D474="N",COUNTIF(INDIRECT(ADDRESS(MATCH(Plages!$D$19,'Planning annuel mixing coater'!$B:$B),4)):D474,"N"),IF(D474="N1",COUNTIF($D$9:D474,"N1"),""))</f>
        <v/>
      </c>
      <c r="J474" s="96" t="str">
        <f>IF(D474="","",COUNTA(D464:D474)-(COUNTA(D474:D474)-1))</f>
        <v/>
      </c>
    </row>
    <row r="475" spans="1:10" thickBot="1">
      <c r="A475" s="117"/>
      <c r="B475" s="70">
        <f t="shared" si="33"/>
        <v>44267</v>
      </c>
      <c r="C475" s="82" t="str">
        <f t="shared" si="30"/>
        <v>vendredi</v>
      </c>
      <c r="D475" s="87"/>
      <c r="E475" s="115" t="str">
        <f t="shared" si="31"/>
        <v/>
      </c>
      <c r="F475" s="115" t="str">
        <f t="shared" si="32"/>
        <v/>
      </c>
      <c r="G475" s="116" t="str">
        <f>IF(ISNONTEXT(D475),"",E475-MAX($F$2:F474))</f>
        <v/>
      </c>
      <c r="H475" s="97"/>
      <c r="I475" s="74" t="str">
        <f ca="1">IF(D475="N",COUNTIF(INDIRECT(ADDRESS(MATCH(Plages!$D$19,'Planning annuel mixing coater'!$B:$B),4)):D475,"N"),IF(D475="N1",COUNTIF($D$9:D475,"N1"),""))</f>
        <v/>
      </c>
      <c r="J475" s="96" t="str">
        <f>IF(D475="","",COUNTA(D464:D475)-(COUNTA(D475:D475)-1))</f>
        <v/>
      </c>
    </row>
    <row r="476" spans="1:10" thickBot="1">
      <c r="A476" s="117"/>
      <c r="B476" s="70">
        <f t="shared" si="33"/>
        <v>44268</v>
      </c>
      <c r="C476" s="82" t="str">
        <f t="shared" si="30"/>
        <v>samedi</v>
      </c>
      <c r="D476" s="87"/>
      <c r="E476" s="115" t="str">
        <f t="shared" si="31"/>
        <v/>
      </c>
      <c r="F476" s="115" t="str">
        <f t="shared" si="32"/>
        <v/>
      </c>
      <c r="G476" s="116" t="str">
        <f>IF(ISNONTEXT(D476),"",E476-MAX($F$2:F475))</f>
        <v/>
      </c>
      <c r="H476" s="97"/>
      <c r="I476" s="74" t="str">
        <f ca="1">IF(D476="N",COUNTIF(INDIRECT(ADDRESS(MATCH(Plages!$D$19,'Planning annuel mixing coater'!$B:$B),4)):D476,"N"),IF(D476="N1",COUNTIF($D$9:D476,"N1"),""))</f>
        <v/>
      </c>
      <c r="J476" s="96" t="str">
        <f>IF(D476="","",COUNTA(D464:D476)-(COUNTA(D476:D476)-1))</f>
        <v/>
      </c>
    </row>
    <row r="477" spans="1:10" s="77" customFormat="1" thickBot="1">
      <c r="A477" s="117"/>
      <c r="B477" s="75">
        <f t="shared" si="33"/>
        <v>44269</v>
      </c>
      <c r="C477" s="83" t="str">
        <f t="shared" si="30"/>
        <v>dimanche</v>
      </c>
      <c r="D477" s="88"/>
      <c r="E477" s="115" t="str">
        <f t="shared" si="31"/>
        <v/>
      </c>
      <c r="F477" s="115" t="str">
        <f t="shared" si="32"/>
        <v/>
      </c>
      <c r="G477" s="116" t="str">
        <f>IF(ISNONTEXT(D477),"",E477-MAX($F$2:F476))</f>
        <v/>
      </c>
      <c r="H477" s="98"/>
      <c r="I477" s="76" t="str">
        <f ca="1">IF(D477="N",COUNTIF(INDIRECT(ADDRESS(MATCH(Plages!$D$19,'Planning annuel mixing coater'!$B:$B),4)):D477,"N"),IF(D477="N1",COUNTIF($D$9:D477,"N1"),""))</f>
        <v/>
      </c>
      <c r="J477" s="99" t="str">
        <f>IF(D477="","",COUNTA(D464:D477)-(COUNTA(D477:D477)-1))</f>
        <v/>
      </c>
    </row>
    <row r="478" spans="1:10" ht="16.5" thickTop="1" thickBot="1">
      <c r="A478" s="117"/>
      <c r="B478" s="78">
        <f t="shared" si="33"/>
        <v>44270</v>
      </c>
      <c r="C478" s="81" t="str">
        <f t="shared" ref="C478:C541" si="34">IF(B478="","",TEXT(B478,"jjjj"))</f>
        <v>lundi</v>
      </c>
      <c r="D478" s="89"/>
      <c r="E478" s="115" t="str">
        <f t="shared" ref="E478:E541" si="35">IF(D478="","",B478+VLOOKUP(D478,Plageh,2,0))</f>
        <v/>
      </c>
      <c r="F478" s="115" t="str">
        <f t="shared" ref="F478:F541" si="36">IF(D478="","",B478+VLOOKUP(D478,Plageh,3,0))</f>
        <v/>
      </c>
      <c r="G478" s="116" t="str">
        <f>IF(ISNONTEXT(D478),"",E478-MAX($F$2:F477))</f>
        <v/>
      </c>
      <c r="H478" s="100"/>
      <c r="I478" s="79" t="str">
        <f ca="1">IF(D478="N",COUNTIF(INDIRECT(ADDRESS(MATCH(Plages!$D$19,'Planning annuel mixing coater'!$B:$B),4)):D478,"N"),IF(D478="N1",COUNTIF($D$9:D478,"N1"),""))</f>
        <v/>
      </c>
      <c r="J478" s="101" t="str">
        <f>IF(D478="","",COUNTA(D478:D478)-(COUNTA(D478:D478)-1))</f>
        <v/>
      </c>
    </row>
    <row r="479" spans="1:10" thickBot="1">
      <c r="A479" s="117"/>
      <c r="B479" s="70">
        <f t="shared" si="33"/>
        <v>44271</v>
      </c>
      <c r="C479" s="82" t="str">
        <f t="shared" si="34"/>
        <v>mardi</v>
      </c>
      <c r="D479" s="87"/>
      <c r="E479" s="115" t="str">
        <f t="shared" si="35"/>
        <v/>
      </c>
      <c r="F479" s="115" t="str">
        <f t="shared" si="36"/>
        <v/>
      </c>
      <c r="G479" s="116" t="str">
        <f>IF(ISNONTEXT(D479),"",E479-MAX($F$2:F478))</f>
        <v/>
      </c>
      <c r="H479" s="97"/>
      <c r="I479" s="74" t="str">
        <f ca="1">IF(D479="N",COUNTIF(INDIRECT(ADDRESS(MATCH(Plages!$D$19,'Planning annuel mixing coater'!$B:$B),4)):D479,"N"),IF(D479="N1",COUNTIF($D$9:D479,"N1"),""))</f>
        <v/>
      </c>
      <c r="J479" s="96" t="str">
        <f>IF(D479="","",COUNTA(D478:D479)-(COUNTA(D479:D479)-1))</f>
        <v/>
      </c>
    </row>
    <row r="480" spans="1:10" thickBot="1">
      <c r="A480" s="117"/>
      <c r="B480" s="70">
        <f t="shared" si="33"/>
        <v>44272</v>
      </c>
      <c r="C480" s="82" t="str">
        <f t="shared" si="34"/>
        <v>mercredi</v>
      </c>
      <c r="D480" s="87"/>
      <c r="E480" s="115" t="str">
        <f t="shared" si="35"/>
        <v/>
      </c>
      <c r="F480" s="115" t="str">
        <f t="shared" si="36"/>
        <v/>
      </c>
      <c r="G480" s="116" t="str">
        <f>IF(ISNONTEXT(D480),"",E480-MAX($F$2:F479))</f>
        <v/>
      </c>
      <c r="H480" s="97"/>
      <c r="I480" s="74" t="str">
        <f ca="1">IF(D480="N",COUNTIF(INDIRECT(ADDRESS(MATCH(Plages!$D$19,'Planning annuel mixing coater'!$B:$B),4)):D480,"N"),IF(D480="N1",COUNTIF($D$9:D480,"N1"),""))</f>
        <v/>
      </c>
      <c r="J480" s="96" t="str">
        <f>IF(D480="","",COUNTA(D478:D480)-(COUNTA(D480:D480)-1))</f>
        <v/>
      </c>
    </row>
    <row r="481" spans="1:10" thickBot="1">
      <c r="A481" s="117"/>
      <c r="B481" s="70">
        <f t="shared" si="33"/>
        <v>44273</v>
      </c>
      <c r="C481" s="82" t="str">
        <f t="shared" si="34"/>
        <v>jeudi</v>
      </c>
      <c r="D481" s="87"/>
      <c r="E481" s="115" t="str">
        <f t="shared" si="35"/>
        <v/>
      </c>
      <c r="F481" s="115" t="str">
        <f t="shared" si="36"/>
        <v/>
      </c>
      <c r="G481" s="116" t="str">
        <f>IF(ISNONTEXT(D481),"",E481-MAX($F$2:F480))</f>
        <v/>
      </c>
      <c r="H481" s="97"/>
      <c r="I481" s="74" t="str">
        <f ca="1">IF(D481="N",COUNTIF(INDIRECT(ADDRESS(MATCH(Plages!$D$19,'Planning annuel mixing coater'!$B:$B),4)):D481,"N"),IF(D481="N1",COUNTIF($D$9:D481,"N1"),""))</f>
        <v/>
      </c>
      <c r="J481" s="96" t="str">
        <f>IF(D481="","",COUNTA(D478:D481)-(COUNTA(D481:D481)-1))</f>
        <v/>
      </c>
    </row>
    <row r="482" spans="1:10" thickBot="1">
      <c r="A482" s="117"/>
      <c r="B482" s="70">
        <f t="shared" si="33"/>
        <v>44274</v>
      </c>
      <c r="C482" s="82" t="str">
        <f t="shared" si="34"/>
        <v>vendredi</v>
      </c>
      <c r="D482" s="87"/>
      <c r="E482" s="115" t="str">
        <f t="shared" si="35"/>
        <v/>
      </c>
      <c r="F482" s="115" t="str">
        <f t="shared" si="36"/>
        <v/>
      </c>
      <c r="G482" s="116" t="str">
        <f>IF(ISNONTEXT(D482),"",E482-MAX($F$2:F481))</f>
        <v/>
      </c>
      <c r="H482" s="97"/>
      <c r="I482" s="74" t="str">
        <f ca="1">IF(D482="N",COUNTIF(INDIRECT(ADDRESS(MATCH(Plages!$D$19,'Planning annuel mixing coater'!$B:$B),4)):D482,"N"),IF(D482="N1",COUNTIF($D$9:D482,"N1"),""))</f>
        <v/>
      </c>
      <c r="J482" s="96" t="str">
        <f>IF(D482="","",COUNTA(D478:D482)-(COUNTA(D482:D482)-1))</f>
        <v/>
      </c>
    </row>
    <row r="483" spans="1:10" thickBot="1">
      <c r="A483" s="117"/>
      <c r="B483" s="70">
        <f t="shared" si="33"/>
        <v>44275</v>
      </c>
      <c r="C483" s="82" t="str">
        <f t="shared" si="34"/>
        <v>samedi</v>
      </c>
      <c r="D483" s="87"/>
      <c r="E483" s="115" t="str">
        <f t="shared" si="35"/>
        <v/>
      </c>
      <c r="F483" s="115" t="str">
        <f t="shared" si="36"/>
        <v/>
      </c>
      <c r="G483" s="116" t="str">
        <f>IF(ISNONTEXT(D483),"",E483-MAX($F$2:F482))</f>
        <v/>
      </c>
      <c r="H483" s="97"/>
      <c r="I483" s="74" t="str">
        <f ca="1">IF(D483="N",COUNTIF(INDIRECT(ADDRESS(MATCH(Plages!$D$19,'Planning annuel mixing coater'!$B:$B),4)):D483,"N"),IF(D483="N1",COUNTIF($D$9:D483,"N1"),""))</f>
        <v/>
      </c>
      <c r="J483" s="96" t="str">
        <f>IF(D483="","",COUNTA(D478:D483)-(COUNTA(D483:D483)-1))</f>
        <v/>
      </c>
    </row>
    <row r="484" spans="1:10" thickBot="1">
      <c r="A484" s="117"/>
      <c r="B484" s="70">
        <f t="shared" si="33"/>
        <v>44276</v>
      </c>
      <c r="C484" s="82" t="str">
        <f t="shared" si="34"/>
        <v>dimanche</v>
      </c>
      <c r="D484" s="87"/>
      <c r="E484" s="115" t="str">
        <f t="shared" si="35"/>
        <v/>
      </c>
      <c r="F484" s="115" t="str">
        <f t="shared" si="36"/>
        <v/>
      </c>
      <c r="G484" s="116" t="str">
        <f>IF(ISNONTEXT(D484),"",E484-MAX($F$2:F483))</f>
        <v/>
      </c>
      <c r="H484" s="98"/>
      <c r="I484" s="74" t="str">
        <f ca="1">IF(D484="N",COUNTIF(INDIRECT(ADDRESS(MATCH(Plages!$D$19,'Planning annuel mixing coater'!$B:$B),4)):D484,"N"),IF(D484="N1",COUNTIF($D$9:D484,"N1"),""))</f>
        <v/>
      </c>
      <c r="J484" s="96" t="str">
        <f>IF(D484="","",COUNTA(D478:D484)-(COUNTA(D484:D484)-1))</f>
        <v/>
      </c>
    </row>
    <row r="485" spans="1:10" thickBot="1">
      <c r="A485" s="117"/>
      <c r="B485" s="70">
        <f t="shared" si="33"/>
        <v>44277</v>
      </c>
      <c r="C485" s="82" t="str">
        <f t="shared" si="34"/>
        <v>lundi</v>
      </c>
      <c r="D485" s="87"/>
      <c r="E485" s="115" t="str">
        <f t="shared" si="35"/>
        <v/>
      </c>
      <c r="F485" s="115" t="str">
        <f t="shared" si="36"/>
        <v/>
      </c>
      <c r="G485" s="116" t="str">
        <f>IF(ISNONTEXT(D485),"",E485-MAX($F$2:F484))</f>
        <v/>
      </c>
      <c r="H485" s="97"/>
      <c r="I485" s="74" t="str">
        <f ca="1">IF(D485="N",COUNTIF(INDIRECT(ADDRESS(MATCH(Plages!$D$19,'Planning annuel mixing coater'!$B:$B),4)):D485,"N"),IF(D485="N1",COUNTIF($D$9:D485,"N1"),""))</f>
        <v/>
      </c>
      <c r="J485" s="96" t="str">
        <f>IF(D485="","",COUNTA(D478:D485)-(COUNTA(D485:D485)-1))</f>
        <v/>
      </c>
    </row>
    <row r="486" spans="1:10" thickBot="1">
      <c r="A486" s="117"/>
      <c r="B486" s="70">
        <f t="shared" si="33"/>
        <v>44278</v>
      </c>
      <c r="C486" s="82" t="str">
        <f t="shared" si="34"/>
        <v>mardi</v>
      </c>
      <c r="D486" s="87"/>
      <c r="E486" s="115" t="str">
        <f t="shared" si="35"/>
        <v/>
      </c>
      <c r="F486" s="115" t="str">
        <f t="shared" si="36"/>
        <v/>
      </c>
      <c r="G486" s="116" t="str">
        <f>IF(ISNONTEXT(D486),"",E486-MAX($F$2:F485))</f>
        <v/>
      </c>
      <c r="H486" s="97"/>
      <c r="I486" s="74" t="str">
        <f ca="1">IF(D486="N",COUNTIF(INDIRECT(ADDRESS(MATCH(Plages!$D$19,'Planning annuel mixing coater'!$B:$B),4)):D486,"N"),IF(D486="N1",COUNTIF($D$9:D486,"N1"),""))</f>
        <v/>
      </c>
      <c r="J486" s="96" t="str">
        <f>IF(D486="","",COUNTA(D478:D486)-(COUNTA(D486:D486)-1))</f>
        <v/>
      </c>
    </row>
    <row r="487" spans="1:10" thickBot="1">
      <c r="A487" s="117"/>
      <c r="B487" s="70">
        <f t="shared" si="33"/>
        <v>44279</v>
      </c>
      <c r="C487" s="82" t="str">
        <f t="shared" si="34"/>
        <v>mercredi</v>
      </c>
      <c r="D487" s="87"/>
      <c r="E487" s="115" t="str">
        <f t="shared" si="35"/>
        <v/>
      </c>
      <c r="F487" s="115" t="str">
        <f t="shared" si="36"/>
        <v/>
      </c>
      <c r="G487" s="116" t="str">
        <f>IF(ISNONTEXT(D487),"",E487-MAX($F$2:F486))</f>
        <v/>
      </c>
      <c r="H487" s="97"/>
      <c r="I487" s="74" t="str">
        <f ca="1">IF(D487="N",COUNTIF(INDIRECT(ADDRESS(MATCH(Plages!$D$19,'Planning annuel mixing coater'!$B:$B),4)):D487,"N"),IF(D487="N1",COUNTIF($D$9:D487,"N1"),""))</f>
        <v/>
      </c>
      <c r="J487" s="96" t="str">
        <f>IF(D487="","",COUNTA(D478:D487)-(COUNTA(D487:D487)-1))</f>
        <v/>
      </c>
    </row>
    <row r="488" spans="1:10" thickBot="1">
      <c r="A488" s="117"/>
      <c r="B488" s="70">
        <f t="shared" si="33"/>
        <v>44280</v>
      </c>
      <c r="C488" s="82" t="str">
        <f t="shared" si="34"/>
        <v>jeudi</v>
      </c>
      <c r="D488" s="87"/>
      <c r="E488" s="115" t="str">
        <f t="shared" si="35"/>
        <v/>
      </c>
      <c r="F488" s="115" t="str">
        <f t="shared" si="36"/>
        <v/>
      </c>
      <c r="G488" s="116" t="str">
        <f>IF(ISNONTEXT(D488),"",E488-MAX($F$2:F487))</f>
        <v/>
      </c>
      <c r="H488" s="97"/>
      <c r="I488" s="74" t="str">
        <f ca="1">IF(D488="N",COUNTIF(INDIRECT(ADDRESS(MATCH(Plages!$D$19,'Planning annuel mixing coater'!$B:$B),4)):D488,"N"),IF(D488="N1",COUNTIF($D$9:D488,"N1"),""))</f>
        <v/>
      </c>
      <c r="J488" s="96" t="str">
        <f>IF(D488="","",COUNTA(D478:D488)-(COUNTA(D488:D488)-1))</f>
        <v/>
      </c>
    </row>
    <row r="489" spans="1:10" thickBot="1">
      <c r="A489" s="117"/>
      <c r="B489" s="70">
        <f t="shared" si="33"/>
        <v>44281</v>
      </c>
      <c r="C489" s="82" t="str">
        <f t="shared" si="34"/>
        <v>vendredi</v>
      </c>
      <c r="D489" s="87"/>
      <c r="E489" s="115" t="str">
        <f t="shared" si="35"/>
        <v/>
      </c>
      <c r="F489" s="115" t="str">
        <f t="shared" si="36"/>
        <v/>
      </c>
      <c r="G489" s="116" t="str">
        <f>IF(ISNONTEXT(D489),"",E489-MAX($F$2:F488))</f>
        <v/>
      </c>
      <c r="H489" s="97"/>
      <c r="I489" s="74" t="str">
        <f ca="1">IF(D489="N",COUNTIF(INDIRECT(ADDRESS(MATCH(Plages!$D$19,'Planning annuel mixing coater'!$B:$B),4)):D489,"N"),IF(D489="N1",COUNTIF($D$9:D489,"N1"),""))</f>
        <v/>
      </c>
      <c r="J489" s="96" t="str">
        <f>IF(D489="","",COUNTA(D478:D489)-(COUNTA(D489:D489)-1))</f>
        <v/>
      </c>
    </row>
    <row r="490" spans="1:10" thickBot="1">
      <c r="A490" s="117"/>
      <c r="B490" s="70">
        <f t="shared" si="33"/>
        <v>44282</v>
      </c>
      <c r="C490" s="82" t="str">
        <f t="shared" si="34"/>
        <v>samedi</v>
      </c>
      <c r="D490" s="87"/>
      <c r="E490" s="115" t="str">
        <f t="shared" si="35"/>
        <v/>
      </c>
      <c r="F490" s="115" t="str">
        <f t="shared" si="36"/>
        <v/>
      </c>
      <c r="G490" s="116" t="str">
        <f>IF(ISNONTEXT(D490),"",E490-MAX($F$2:F489))</f>
        <v/>
      </c>
      <c r="H490" s="97"/>
      <c r="I490" s="74" t="str">
        <f ca="1">IF(D490="N",COUNTIF(INDIRECT(ADDRESS(MATCH(Plages!$D$19,'Planning annuel mixing coater'!$B:$B),4)):D490,"N"),IF(D490="N1",COUNTIF($D$9:D490,"N1"),""))</f>
        <v/>
      </c>
      <c r="J490" s="96" t="str">
        <f>IF(D490="","",COUNTA(D478:D490)-(COUNTA(D490:D490)-1))</f>
        <v/>
      </c>
    </row>
    <row r="491" spans="1:10" s="77" customFormat="1" thickBot="1">
      <c r="A491" s="117"/>
      <c r="B491" s="75">
        <f t="shared" si="33"/>
        <v>44283</v>
      </c>
      <c r="C491" s="83" t="str">
        <f t="shared" si="34"/>
        <v>dimanche</v>
      </c>
      <c r="D491" s="88"/>
      <c r="E491" s="115" t="str">
        <f t="shared" si="35"/>
        <v/>
      </c>
      <c r="F491" s="115" t="str">
        <f t="shared" si="36"/>
        <v/>
      </c>
      <c r="G491" s="116" t="str">
        <f>IF(ISNONTEXT(D491),"",E491-MAX($F$2:F490))</f>
        <v/>
      </c>
      <c r="H491" s="98"/>
      <c r="I491" s="76" t="str">
        <f ca="1">IF(D491="N",COUNTIF(INDIRECT(ADDRESS(MATCH(Plages!$D$19,'Planning annuel mixing coater'!$B:$B),4)):D491,"N"),IF(D491="N1",COUNTIF($D$9:D491,"N1"),""))</f>
        <v/>
      </c>
      <c r="J491" s="99" t="str">
        <f>IF(D491="","",COUNTA(D478:D491)-(COUNTA(D491:D491)-1))</f>
        <v/>
      </c>
    </row>
    <row r="492" spans="1:10" ht="16.5" thickTop="1" thickBot="1">
      <c r="A492" s="117"/>
      <c r="B492" s="78">
        <f t="shared" si="33"/>
        <v>44284</v>
      </c>
      <c r="C492" s="81" t="str">
        <f t="shared" si="34"/>
        <v>lundi</v>
      </c>
      <c r="D492" s="89"/>
      <c r="E492" s="115" t="str">
        <f t="shared" si="35"/>
        <v/>
      </c>
      <c r="F492" s="115" t="str">
        <f t="shared" si="36"/>
        <v/>
      </c>
      <c r="G492" s="116" t="str">
        <f>IF(ISNONTEXT(D492),"",E492-MAX($F$2:F491))</f>
        <v/>
      </c>
      <c r="H492" s="100"/>
      <c r="I492" s="79" t="str">
        <f ca="1">IF(D492="N",COUNTIF(INDIRECT(ADDRESS(MATCH(Plages!$D$19,'Planning annuel mixing coater'!$B:$B),4)):D492,"N"),IF(D492="N1",COUNTIF($D$9:D492,"N1"),""))</f>
        <v/>
      </c>
      <c r="J492" s="101" t="str">
        <f>IF(D492="","",COUNTA(D492:D492)-(COUNTA(D492:D492)-1))</f>
        <v/>
      </c>
    </row>
    <row r="493" spans="1:10" thickBot="1">
      <c r="A493" s="117"/>
      <c r="B493" s="70">
        <f t="shared" si="33"/>
        <v>44285</v>
      </c>
      <c r="C493" s="82" t="str">
        <f t="shared" si="34"/>
        <v>mardi</v>
      </c>
      <c r="D493" s="87"/>
      <c r="E493" s="115" t="str">
        <f t="shared" si="35"/>
        <v/>
      </c>
      <c r="F493" s="115" t="str">
        <f t="shared" si="36"/>
        <v/>
      </c>
      <c r="G493" s="116" t="str">
        <f>IF(ISNONTEXT(D493),"",E493-MAX($F$2:F492))</f>
        <v/>
      </c>
      <c r="H493" s="97"/>
      <c r="I493" s="74" t="str">
        <f ca="1">IF(D493="N",COUNTIF(INDIRECT(ADDRESS(MATCH(Plages!$D$19,'Planning annuel mixing coater'!$B:$B),4)):D493,"N"),IF(D493="N1",COUNTIF($D$9:D493,"N1"),""))</f>
        <v/>
      </c>
      <c r="J493" s="96" t="str">
        <f>IF(D493="","",COUNTA(D492:D493)-(COUNTA(D493:D493)-1))</f>
        <v/>
      </c>
    </row>
    <row r="494" spans="1:10" thickBot="1">
      <c r="A494" s="117"/>
      <c r="B494" s="70">
        <f t="shared" si="33"/>
        <v>44286</v>
      </c>
      <c r="C494" s="82" t="str">
        <f t="shared" si="34"/>
        <v>mercredi</v>
      </c>
      <c r="D494" s="87"/>
      <c r="E494" s="115" t="str">
        <f t="shared" si="35"/>
        <v/>
      </c>
      <c r="F494" s="115" t="str">
        <f t="shared" si="36"/>
        <v/>
      </c>
      <c r="G494" s="116" t="str">
        <f>IF(ISNONTEXT(D494),"",E494-MAX($F$2:F493))</f>
        <v/>
      </c>
      <c r="H494" s="97"/>
      <c r="I494" s="74" t="str">
        <f ca="1">IF(D494="N",COUNTIF(INDIRECT(ADDRESS(MATCH(Plages!$D$19,'Planning annuel mixing coater'!$B:$B),4)):D494,"N"),IF(D494="N1",COUNTIF($D$9:D494,"N1"),""))</f>
        <v/>
      </c>
      <c r="J494" s="96" t="str">
        <f>IF(D494="","",COUNTA(D492:D494)-(COUNTA(D494:D494)-1))</f>
        <v/>
      </c>
    </row>
    <row r="495" spans="1:10" thickBot="1">
      <c r="A495" s="117"/>
      <c r="B495" s="70">
        <f t="shared" si="33"/>
        <v>44287</v>
      </c>
      <c r="C495" s="82" t="str">
        <f t="shared" si="34"/>
        <v>jeudi</v>
      </c>
      <c r="D495" s="87"/>
      <c r="E495" s="115" t="str">
        <f t="shared" si="35"/>
        <v/>
      </c>
      <c r="F495" s="115" t="str">
        <f t="shared" si="36"/>
        <v/>
      </c>
      <c r="G495" s="116" t="str">
        <f>IF(ISNONTEXT(D495),"",E495-MAX($F$2:F494))</f>
        <v/>
      </c>
      <c r="H495" s="97"/>
      <c r="I495" s="74" t="str">
        <f ca="1">IF(D495="N",COUNTIF(INDIRECT(ADDRESS(MATCH(Plages!$D$19,'Planning annuel mixing coater'!$B:$B),4)):D495,"N"),IF(D495="N1",COUNTIF($D$9:D495,"N1"),""))</f>
        <v/>
      </c>
      <c r="J495" s="96" t="str">
        <f>IF(D495="","",COUNTA(D492:D495)-(COUNTA(D495:D495)-1))</f>
        <v/>
      </c>
    </row>
    <row r="496" spans="1:10" thickBot="1">
      <c r="A496" s="117"/>
      <c r="B496" s="70">
        <f t="shared" si="33"/>
        <v>44288</v>
      </c>
      <c r="C496" s="82" t="str">
        <f t="shared" si="34"/>
        <v>vendredi</v>
      </c>
      <c r="D496" s="87"/>
      <c r="E496" s="115" t="str">
        <f t="shared" si="35"/>
        <v/>
      </c>
      <c r="F496" s="115" t="str">
        <f t="shared" si="36"/>
        <v/>
      </c>
      <c r="G496" s="116" t="str">
        <f>IF(ISNONTEXT(D496),"",E496-MAX($F$2:F495))</f>
        <v/>
      </c>
      <c r="H496" s="97"/>
      <c r="I496" s="74" t="str">
        <f ca="1">IF(D496="N",COUNTIF(INDIRECT(ADDRESS(MATCH(Plages!$D$19,'Planning annuel mixing coater'!$B:$B),4)):D496,"N"),IF(D496="N1",COUNTIF($D$9:D496,"N1"),""))</f>
        <v/>
      </c>
      <c r="J496" s="96" t="str">
        <f>IF(D496="","",COUNTA(D492:D496)-(COUNTA(D496:D496)-1))</f>
        <v/>
      </c>
    </row>
    <row r="497" spans="1:10" thickBot="1">
      <c r="A497" s="117"/>
      <c r="B497" s="70">
        <f t="shared" si="33"/>
        <v>44289</v>
      </c>
      <c r="C497" s="82" t="str">
        <f t="shared" si="34"/>
        <v>samedi</v>
      </c>
      <c r="D497" s="87"/>
      <c r="E497" s="115" t="str">
        <f t="shared" si="35"/>
        <v/>
      </c>
      <c r="F497" s="115" t="str">
        <f t="shared" si="36"/>
        <v/>
      </c>
      <c r="G497" s="116" t="str">
        <f>IF(ISNONTEXT(D497),"",E497-MAX($F$2:F496))</f>
        <v/>
      </c>
      <c r="H497" s="97"/>
      <c r="I497" s="74" t="str">
        <f ca="1">IF(D497="N",COUNTIF(INDIRECT(ADDRESS(MATCH(Plages!$D$19,'Planning annuel mixing coater'!$B:$B),4)):D497,"N"),IF(D497="N1",COUNTIF($D$9:D497,"N1"),""))</f>
        <v/>
      </c>
      <c r="J497" s="96" t="str">
        <f>IF(D497="","",COUNTA(D492:D497)-(COUNTA(D497:D497)-1))</f>
        <v/>
      </c>
    </row>
    <row r="498" spans="1:10" thickBot="1">
      <c r="A498" s="117"/>
      <c r="B498" s="70">
        <f t="shared" si="33"/>
        <v>44290</v>
      </c>
      <c r="C498" s="82" t="str">
        <f t="shared" si="34"/>
        <v>dimanche</v>
      </c>
      <c r="D498" s="87"/>
      <c r="E498" s="115" t="str">
        <f t="shared" si="35"/>
        <v/>
      </c>
      <c r="F498" s="115" t="str">
        <f t="shared" si="36"/>
        <v/>
      </c>
      <c r="G498" s="116" t="str">
        <f>IF(ISNONTEXT(D498),"",E498-MAX($F$2:F497))</f>
        <v/>
      </c>
      <c r="H498" s="98"/>
      <c r="I498" s="74" t="str">
        <f ca="1">IF(D498="N",COUNTIF(INDIRECT(ADDRESS(MATCH(Plages!$D$19,'Planning annuel mixing coater'!$B:$B),4)):D498,"N"),IF(D498="N1",COUNTIF($D$9:D498,"N1"),""))</f>
        <v/>
      </c>
      <c r="J498" s="96" t="str">
        <f>IF(D498="","",COUNTA(D492:D498)-(COUNTA(D498:D498)-1))</f>
        <v/>
      </c>
    </row>
    <row r="499" spans="1:10" thickBot="1">
      <c r="A499" s="117"/>
      <c r="B499" s="70">
        <f t="shared" si="33"/>
        <v>44291</v>
      </c>
      <c r="C499" s="82" t="str">
        <f t="shared" si="34"/>
        <v>lundi</v>
      </c>
      <c r="D499" s="87"/>
      <c r="E499" s="115" t="str">
        <f t="shared" si="35"/>
        <v/>
      </c>
      <c r="F499" s="115" t="str">
        <f t="shared" si="36"/>
        <v/>
      </c>
      <c r="G499" s="116" t="str">
        <f>IF(ISNONTEXT(D499),"",E499-MAX($F$2:F498))</f>
        <v/>
      </c>
      <c r="H499" s="97"/>
      <c r="I499" s="74" t="str">
        <f ca="1">IF(D499="N",COUNTIF(INDIRECT(ADDRESS(MATCH(Plages!$D$19,'Planning annuel mixing coater'!$B:$B),4)):D499,"N"),IF(D499="N1",COUNTIF($D$9:D499,"N1"),""))</f>
        <v/>
      </c>
      <c r="J499" s="96" t="str">
        <f>IF(D499="","",COUNTA(D492:D499)-(COUNTA(D499:D499)-1))</f>
        <v/>
      </c>
    </row>
    <row r="500" spans="1:10" thickBot="1">
      <c r="A500" s="117"/>
      <c r="B500" s="70">
        <f t="shared" si="33"/>
        <v>44292</v>
      </c>
      <c r="C500" s="82" t="str">
        <f t="shared" si="34"/>
        <v>mardi</v>
      </c>
      <c r="D500" s="87"/>
      <c r="E500" s="115" t="str">
        <f t="shared" si="35"/>
        <v/>
      </c>
      <c r="F500" s="115" t="str">
        <f t="shared" si="36"/>
        <v/>
      </c>
      <c r="G500" s="116" t="str">
        <f>IF(ISNONTEXT(D500),"",E500-MAX($F$2:F499))</f>
        <v/>
      </c>
      <c r="H500" s="97"/>
      <c r="I500" s="74" t="str">
        <f ca="1">IF(D500="N",COUNTIF(INDIRECT(ADDRESS(MATCH(Plages!$D$19,'Planning annuel mixing coater'!$B:$B),4)):D500,"N"),IF(D500="N1",COUNTIF($D$9:D500,"N1"),""))</f>
        <v/>
      </c>
      <c r="J500" s="96" t="str">
        <f>IF(D500="","",COUNTA(D492:D500)-(COUNTA(D500:D500)-1))</f>
        <v/>
      </c>
    </row>
    <row r="501" spans="1:10" thickBot="1">
      <c r="A501" s="117"/>
      <c r="B501" s="70">
        <f t="shared" si="33"/>
        <v>44293</v>
      </c>
      <c r="C501" s="82" t="str">
        <f t="shared" si="34"/>
        <v>mercredi</v>
      </c>
      <c r="D501" s="87"/>
      <c r="E501" s="115" t="str">
        <f t="shared" si="35"/>
        <v/>
      </c>
      <c r="F501" s="115" t="str">
        <f t="shared" si="36"/>
        <v/>
      </c>
      <c r="G501" s="116" t="str">
        <f>IF(ISNONTEXT(D501),"",E501-MAX($F$2:F500))</f>
        <v/>
      </c>
      <c r="H501" s="97"/>
      <c r="I501" s="74" t="str">
        <f ca="1">IF(D501="N",COUNTIF(INDIRECT(ADDRESS(MATCH(Plages!$D$19,'Planning annuel mixing coater'!$B:$B),4)):D501,"N"),IF(D501="N1",COUNTIF($D$9:D501,"N1"),""))</f>
        <v/>
      </c>
      <c r="J501" s="96" t="str">
        <f>IF(D501="","",COUNTA(D492:D501)-(COUNTA(D501:D501)-1))</f>
        <v/>
      </c>
    </row>
    <row r="502" spans="1:10" thickBot="1">
      <c r="A502" s="117"/>
      <c r="B502" s="70">
        <f t="shared" si="33"/>
        <v>44294</v>
      </c>
      <c r="C502" s="82" t="str">
        <f t="shared" si="34"/>
        <v>jeudi</v>
      </c>
      <c r="D502" s="87"/>
      <c r="E502" s="115" t="str">
        <f t="shared" si="35"/>
        <v/>
      </c>
      <c r="F502" s="115" t="str">
        <f t="shared" si="36"/>
        <v/>
      </c>
      <c r="G502" s="116" t="str">
        <f>IF(ISNONTEXT(D502),"",E502-MAX($F$2:F501))</f>
        <v/>
      </c>
      <c r="H502" s="97"/>
      <c r="I502" s="74" t="str">
        <f ca="1">IF(D502="N",COUNTIF(INDIRECT(ADDRESS(MATCH(Plages!$D$19,'Planning annuel mixing coater'!$B:$B),4)):D502,"N"),IF(D502="N1",COUNTIF($D$9:D502,"N1"),""))</f>
        <v/>
      </c>
      <c r="J502" s="96" t="str">
        <f>IF(D502="","",COUNTA(D492:D502)-(COUNTA(D502:D502)-1))</f>
        <v/>
      </c>
    </row>
    <row r="503" spans="1:10" thickBot="1">
      <c r="A503" s="117"/>
      <c r="B503" s="70">
        <f t="shared" si="33"/>
        <v>44295</v>
      </c>
      <c r="C503" s="82" t="str">
        <f t="shared" si="34"/>
        <v>vendredi</v>
      </c>
      <c r="D503" s="87"/>
      <c r="E503" s="115" t="str">
        <f t="shared" si="35"/>
        <v/>
      </c>
      <c r="F503" s="115" t="str">
        <f t="shared" si="36"/>
        <v/>
      </c>
      <c r="G503" s="116" t="str">
        <f>IF(ISNONTEXT(D503),"",E503-MAX($F$2:F502))</f>
        <v/>
      </c>
      <c r="H503" s="97"/>
      <c r="I503" s="74" t="str">
        <f ca="1">IF(D503="N",COUNTIF(INDIRECT(ADDRESS(MATCH(Plages!$D$19,'Planning annuel mixing coater'!$B:$B),4)):D503,"N"),IF(D503="N1",COUNTIF($D$9:D503,"N1"),""))</f>
        <v/>
      </c>
      <c r="J503" s="96" t="str">
        <f>IF(D503="","",COUNTA(D492:D503)-(COUNTA(D503:D503)-1))</f>
        <v/>
      </c>
    </row>
    <row r="504" spans="1:10" thickBot="1">
      <c r="A504" s="117"/>
      <c r="B504" s="70">
        <f t="shared" si="33"/>
        <v>44296</v>
      </c>
      <c r="C504" s="82" t="str">
        <f t="shared" si="34"/>
        <v>samedi</v>
      </c>
      <c r="D504" s="87"/>
      <c r="E504" s="115" t="str">
        <f t="shared" si="35"/>
        <v/>
      </c>
      <c r="F504" s="115" t="str">
        <f t="shared" si="36"/>
        <v/>
      </c>
      <c r="G504" s="116" t="str">
        <f>IF(ISNONTEXT(D504),"",E504-MAX($F$2:F503))</f>
        <v/>
      </c>
      <c r="H504" s="97"/>
      <c r="I504" s="74" t="str">
        <f ca="1">IF(D504="N",COUNTIF(INDIRECT(ADDRESS(MATCH(Plages!$D$19,'Planning annuel mixing coater'!$B:$B),4)):D504,"N"),IF(D504="N1",COUNTIF($D$9:D504,"N1"),""))</f>
        <v/>
      </c>
      <c r="J504" s="96" t="str">
        <f>IF(D504="","",COUNTA(D492:D504)-(COUNTA(D504:D504)-1))</f>
        <v/>
      </c>
    </row>
    <row r="505" spans="1:10" s="77" customFormat="1" thickBot="1">
      <c r="A505" s="117"/>
      <c r="B505" s="75">
        <f t="shared" si="33"/>
        <v>44297</v>
      </c>
      <c r="C505" s="83" t="str">
        <f t="shared" si="34"/>
        <v>dimanche</v>
      </c>
      <c r="D505" s="88"/>
      <c r="E505" s="115" t="str">
        <f t="shared" si="35"/>
        <v/>
      </c>
      <c r="F505" s="115" t="str">
        <f t="shared" si="36"/>
        <v/>
      </c>
      <c r="G505" s="116" t="str">
        <f>IF(ISNONTEXT(D505),"",E505-MAX($F$2:F504))</f>
        <v/>
      </c>
      <c r="H505" s="98"/>
      <c r="I505" s="76" t="str">
        <f ca="1">IF(D505="N",COUNTIF(INDIRECT(ADDRESS(MATCH(Plages!$D$19,'Planning annuel mixing coater'!$B:$B),4)):D505,"N"),IF(D505="N1",COUNTIF($D$9:D505,"N1"),""))</f>
        <v/>
      </c>
      <c r="J505" s="99" t="str">
        <f>IF(D505="","",COUNTA(D492:D505)-(COUNTA(D505:D505)-1))</f>
        <v/>
      </c>
    </row>
    <row r="506" spans="1:10" ht="16.5" thickTop="1" thickBot="1">
      <c r="A506" s="117"/>
      <c r="B506" s="78">
        <f t="shared" si="33"/>
        <v>44298</v>
      </c>
      <c r="C506" s="81" t="str">
        <f t="shared" si="34"/>
        <v>lundi</v>
      </c>
      <c r="D506" s="89"/>
      <c r="E506" s="115" t="str">
        <f t="shared" si="35"/>
        <v/>
      </c>
      <c r="F506" s="115" t="str">
        <f t="shared" si="36"/>
        <v/>
      </c>
      <c r="G506" s="116" t="str">
        <f>IF(ISNONTEXT(D506),"",E506-MAX($F$2:F505))</f>
        <v/>
      </c>
      <c r="H506" s="100"/>
      <c r="I506" s="79" t="str">
        <f ca="1">IF(D506="N",COUNTIF(INDIRECT(ADDRESS(MATCH(Plages!$D$19,'Planning annuel mixing coater'!$B:$B),4)):D506,"N"),IF(D506="N1",COUNTIF($D$9:D506,"N1"),""))</f>
        <v/>
      </c>
      <c r="J506" s="101" t="str">
        <f>IF(D506="","",COUNTA(D506:D506)-(COUNTA(D506:D506)-1))</f>
        <v/>
      </c>
    </row>
    <row r="507" spans="1:10" thickBot="1">
      <c r="A507" s="117"/>
      <c r="B507" s="70">
        <f t="shared" si="33"/>
        <v>44299</v>
      </c>
      <c r="C507" s="82" t="str">
        <f t="shared" si="34"/>
        <v>mardi</v>
      </c>
      <c r="D507" s="87"/>
      <c r="E507" s="115" t="str">
        <f t="shared" si="35"/>
        <v/>
      </c>
      <c r="F507" s="115" t="str">
        <f t="shared" si="36"/>
        <v/>
      </c>
      <c r="G507" s="116" t="str">
        <f>IF(ISNONTEXT(D507),"",E507-MAX($F$2:F506))</f>
        <v/>
      </c>
      <c r="H507" s="97"/>
      <c r="I507" s="74" t="str">
        <f ca="1">IF(D507="N",COUNTIF(INDIRECT(ADDRESS(MATCH(Plages!$D$19,'Planning annuel mixing coater'!$B:$B),4)):D507,"N"),IF(D507="N1",COUNTIF($D$9:D507,"N1"),""))</f>
        <v/>
      </c>
      <c r="J507" s="96" t="str">
        <f>IF(D507="","",COUNTA(D506:D507)-(COUNTA(D507:D507)-1))</f>
        <v/>
      </c>
    </row>
    <row r="508" spans="1:10" thickBot="1">
      <c r="A508" s="117"/>
      <c r="B508" s="70">
        <f t="shared" si="33"/>
        <v>44300</v>
      </c>
      <c r="C508" s="82" t="str">
        <f t="shared" si="34"/>
        <v>mercredi</v>
      </c>
      <c r="D508" s="87"/>
      <c r="E508" s="115" t="str">
        <f t="shared" si="35"/>
        <v/>
      </c>
      <c r="F508" s="115" t="str">
        <f t="shared" si="36"/>
        <v/>
      </c>
      <c r="G508" s="116" t="str">
        <f>IF(ISNONTEXT(D508),"",E508-MAX($F$2:F507))</f>
        <v/>
      </c>
      <c r="H508" s="97"/>
      <c r="I508" s="74" t="str">
        <f ca="1">IF(D508="N",COUNTIF(INDIRECT(ADDRESS(MATCH(Plages!$D$19,'Planning annuel mixing coater'!$B:$B),4)):D508,"N"),IF(D508="N1",COUNTIF($D$9:D508,"N1"),""))</f>
        <v/>
      </c>
      <c r="J508" s="96" t="str">
        <f>IF(D508="","",COUNTA(D506:D508)-(COUNTA(D508:D508)-1))</f>
        <v/>
      </c>
    </row>
    <row r="509" spans="1:10" thickBot="1">
      <c r="A509" s="117"/>
      <c r="B509" s="70">
        <f t="shared" si="33"/>
        <v>44301</v>
      </c>
      <c r="C509" s="82" t="str">
        <f t="shared" si="34"/>
        <v>jeudi</v>
      </c>
      <c r="D509" s="87"/>
      <c r="E509" s="115" t="str">
        <f t="shared" si="35"/>
        <v/>
      </c>
      <c r="F509" s="115" t="str">
        <f t="shared" si="36"/>
        <v/>
      </c>
      <c r="G509" s="116" t="str">
        <f>IF(ISNONTEXT(D509),"",E509-MAX($F$2:F508))</f>
        <v/>
      </c>
      <c r="H509" s="97"/>
      <c r="I509" s="74" t="str">
        <f ca="1">IF(D509="N",COUNTIF(INDIRECT(ADDRESS(MATCH(Plages!$D$19,'Planning annuel mixing coater'!$B:$B),4)):D509,"N"),IF(D509="N1",COUNTIF($D$9:D509,"N1"),""))</f>
        <v/>
      </c>
      <c r="J509" s="96" t="str">
        <f>IF(D509="","",COUNTA(D506:D509)-(COUNTA(D509:D509)-1))</f>
        <v/>
      </c>
    </row>
    <row r="510" spans="1:10" thickBot="1">
      <c r="A510" s="117"/>
      <c r="B510" s="70">
        <f t="shared" si="33"/>
        <v>44302</v>
      </c>
      <c r="C510" s="82" t="str">
        <f t="shared" si="34"/>
        <v>vendredi</v>
      </c>
      <c r="D510" s="87"/>
      <c r="E510" s="115" t="str">
        <f t="shared" si="35"/>
        <v/>
      </c>
      <c r="F510" s="115" t="str">
        <f t="shared" si="36"/>
        <v/>
      </c>
      <c r="G510" s="116" t="str">
        <f>IF(ISNONTEXT(D510),"",E510-MAX($F$2:F509))</f>
        <v/>
      </c>
      <c r="H510" s="97"/>
      <c r="I510" s="74" t="str">
        <f ca="1">IF(D510="N",COUNTIF(INDIRECT(ADDRESS(MATCH(Plages!$D$19,'Planning annuel mixing coater'!$B:$B),4)):D510,"N"),IF(D510="N1",COUNTIF($D$9:D510,"N1"),""))</f>
        <v/>
      </c>
      <c r="J510" s="96" t="str">
        <f>IF(D510="","",COUNTA(D506:D510)-(COUNTA(D510:D510)-1))</f>
        <v/>
      </c>
    </row>
    <row r="511" spans="1:10" thickBot="1">
      <c r="A511" s="117"/>
      <c r="B511" s="70">
        <f t="shared" si="33"/>
        <v>44303</v>
      </c>
      <c r="C511" s="82" t="str">
        <f t="shared" si="34"/>
        <v>samedi</v>
      </c>
      <c r="D511" s="87"/>
      <c r="E511" s="115" t="str">
        <f t="shared" si="35"/>
        <v/>
      </c>
      <c r="F511" s="115" t="str">
        <f t="shared" si="36"/>
        <v/>
      </c>
      <c r="G511" s="116" t="str">
        <f>IF(ISNONTEXT(D511),"",E511-MAX($F$2:F510))</f>
        <v/>
      </c>
      <c r="H511" s="97"/>
      <c r="I511" s="74" t="str">
        <f ca="1">IF(D511="N",COUNTIF(INDIRECT(ADDRESS(MATCH(Plages!$D$19,'Planning annuel mixing coater'!$B:$B),4)):D511,"N"),IF(D511="N1",COUNTIF($D$9:D511,"N1"),""))</f>
        <v/>
      </c>
      <c r="J511" s="96" t="str">
        <f>IF(D511="","",COUNTA(D506:D511)-(COUNTA(D511:D511)-1))</f>
        <v/>
      </c>
    </row>
    <row r="512" spans="1:10" thickBot="1">
      <c r="A512" s="117"/>
      <c r="B512" s="70">
        <f t="shared" si="33"/>
        <v>44304</v>
      </c>
      <c r="C512" s="82" t="str">
        <f t="shared" si="34"/>
        <v>dimanche</v>
      </c>
      <c r="D512" s="87"/>
      <c r="E512" s="115" t="str">
        <f t="shared" si="35"/>
        <v/>
      </c>
      <c r="F512" s="115" t="str">
        <f t="shared" si="36"/>
        <v/>
      </c>
      <c r="G512" s="116" t="str">
        <f>IF(ISNONTEXT(D512),"",E512-MAX($F$2:F511))</f>
        <v/>
      </c>
      <c r="H512" s="98"/>
      <c r="I512" s="74" t="str">
        <f ca="1">IF(D512="N",COUNTIF(INDIRECT(ADDRESS(MATCH(Plages!$D$19,'Planning annuel mixing coater'!$B:$B),4)):D512,"N"),IF(D512="N1",COUNTIF($D$9:D512,"N1"),""))</f>
        <v/>
      </c>
      <c r="J512" s="96" t="str">
        <f>IF(D512="","",COUNTA(D506:D512)-(COUNTA(D512:D512)-1))</f>
        <v/>
      </c>
    </row>
    <row r="513" spans="1:10" thickBot="1">
      <c r="A513" s="117"/>
      <c r="B513" s="70">
        <f t="shared" si="33"/>
        <v>44305</v>
      </c>
      <c r="C513" s="82" t="str">
        <f t="shared" si="34"/>
        <v>lundi</v>
      </c>
      <c r="D513" s="87"/>
      <c r="E513" s="115" t="str">
        <f t="shared" si="35"/>
        <v/>
      </c>
      <c r="F513" s="115" t="str">
        <f t="shared" si="36"/>
        <v/>
      </c>
      <c r="G513" s="116" t="str">
        <f>IF(ISNONTEXT(D513),"",E513-MAX($F$2:F512))</f>
        <v/>
      </c>
      <c r="H513" s="97"/>
      <c r="I513" s="74" t="str">
        <f ca="1">IF(D513="N",COUNTIF(INDIRECT(ADDRESS(MATCH(Plages!$D$19,'Planning annuel mixing coater'!$B:$B),4)):D513,"N"),IF(D513="N1",COUNTIF($D$9:D513,"N1"),""))</f>
        <v/>
      </c>
      <c r="J513" s="96" t="str">
        <f>IF(D513="","",COUNTA(D506:D513)-(COUNTA(D513:D513)-1))</f>
        <v/>
      </c>
    </row>
    <row r="514" spans="1:10" thickBot="1">
      <c r="A514" s="117"/>
      <c r="B514" s="70">
        <f t="shared" si="33"/>
        <v>44306</v>
      </c>
      <c r="C514" s="82" t="str">
        <f t="shared" si="34"/>
        <v>mardi</v>
      </c>
      <c r="D514" s="87"/>
      <c r="E514" s="115" t="str">
        <f t="shared" si="35"/>
        <v/>
      </c>
      <c r="F514" s="115" t="str">
        <f t="shared" si="36"/>
        <v/>
      </c>
      <c r="G514" s="116" t="str">
        <f>IF(ISNONTEXT(D514),"",E514-MAX($F$2:F513))</f>
        <v/>
      </c>
      <c r="H514" s="97"/>
      <c r="I514" s="74" t="str">
        <f ca="1">IF(D514="N",COUNTIF(INDIRECT(ADDRESS(MATCH(Plages!$D$19,'Planning annuel mixing coater'!$B:$B),4)):D514,"N"),IF(D514="N1",COUNTIF($D$9:D514,"N1"),""))</f>
        <v/>
      </c>
      <c r="J514" s="96" t="str">
        <f>IF(D514="","",COUNTA(D506:D514)-(COUNTA(D514:D514)-1))</f>
        <v/>
      </c>
    </row>
    <row r="515" spans="1:10" thickBot="1">
      <c r="A515" s="117"/>
      <c r="B515" s="70">
        <f t="shared" si="33"/>
        <v>44307</v>
      </c>
      <c r="C515" s="82" t="str">
        <f t="shared" si="34"/>
        <v>mercredi</v>
      </c>
      <c r="D515" s="87"/>
      <c r="E515" s="115" t="str">
        <f t="shared" si="35"/>
        <v/>
      </c>
      <c r="F515" s="115" t="str">
        <f t="shared" si="36"/>
        <v/>
      </c>
      <c r="G515" s="116" t="str">
        <f>IF(ISNONTEXT(D515),"",E515-MAX($F$2:F514))</f>
        <v/>
      </c>
      <c r="H515" s="97"/>
      <c r="I515" s="74" t="str">
        <f ca="1">IF(D515="N",COUNTIF(INDIRECT(ADDRESS(MATCH(Plages!$D$19,'Planning annuel mixing coater'!$B:$B),4)):D515,"N"),IF(D515="N1",COUNTIF($D$9:D515,"N1"),""))</f>
        <v/>
      </c>
      <c r="J515" s="96" t="str">
        <f>IF(D515="","",COUNTA(D506:D515)-(COUNTA(D515:D515)-1))</f>
        <v/>
      </c>
    </row>
    <row r="516" spans="1:10" thickBot="1">
      <c r="A516" s="117"/>
      <c r="B516" s="70">
        <f t="shared" ref="B516:B579" si="37">IF(B515="","",B515+1)</f>
        <v>44308</v>
      </c>
      <c r="C516" s="82" t="str">
        <f t="shared" si="34"/>
        <v>jeudi</v>
      </c>
      <c r="D516" s="87"/>
      <c r="E516" s="115" t="str">
        <f t="shared" si="35"/>
        <v/>
      </c>
      <c r="F516" s="115" t="str">
        <f t="shared" si="36"/>
        <v/>
      </c>
      <c r="G516" s="116" t="str">
        <f>IF(ISNONTEXT(D516),"",E516-MAX($F$2:F515))</f>
        <v/>
      </c>
      <c r="H516" s="97"/>
      <c r="I516" s="74" t="str">
        <f ca="1">IF(D516="N",COUNTIF(INDIRECT(ADDRESS(MATCH(Plages!$D$19,'Planning annuel mixing coater'!$B:$B),4)):D516,"N"),IF(D516="N1",COUNTIF($D$9:D516,"N1"),""))</f>
        <v/>
      </c>
      <c r="J516" s="96" t="str">
        <f>IF(D516="","",COUNTA(D506:D516)-(COUNTA(D516:D516)-1))</f>
        <v/>
      </c>
    </row>
    <row r="517" spans="1:10" thickBot="1">
      <c r="A517" s="117"/>
      <c r="B517" s="70">
        <f t="shared" si="37"/>
        <v>44309</v>
      </c>
      <c r="C517" s="82" t="str">
        <f t="shared" si="34"/>
        <v>vendredi</v>
      </c>
      <c r="D517" s="87"/>
      <c r="E517" s="115" t="str">
        <f t="shared" si="35"/>
        <v/>
      </c>
      <c r="F517" s="115" t="str">
        <f t="shared" si="36"/>
        <v/>
      </c>
      <c r="G517" s="116" t="str">
        <f>IF(ISNONTEXT(D517),"",E517-MAX($F$2:F516))</f>
        <v/>
      </c>
      <c r="H517" s="97"/>
      <c r="I517" s="74" t="str">
        <f ca="1">IF(D517="N",COUNTIF(INDIRECT(ADDRESS(MATCH(Plages!$D$19,'Planning annuel mixing coater'!$B:$B),4)):D517,"N"),IF(D517="N1",COUNTIF($D$9:D517,"N1"),""))</f>
        <v/>
      </c>
      <c r="J517" s="96" t="str">
        <f>IF(D517="","",COUNTA(D506:D517)-(COUNTA(D517:D517)-1))</f>
        <v/>
      </c>
    </row>
    <row r="518" spans="1:10" thickBot="1">
      <c r="A518" s="117"/>
      <c r="B518" s="70">
        <f t="shared" si="37"/>
        <v>44310</v>
      </c>
      <c r="C518" s="82" t="str">
        <f t="shared" si="34"/>
        <v>samedi</v>
      </c>
      <c r="D518" s="87"/>
      <c r="E518" s="115" t="str">
        <f t="shared" si="35"/>
        <v/>
      </c>
      <c r="F518" s="115" t="str">
        <f t="shared" si="36"/>
        <v/>
      </c>
      <c r="G518" s="116" t="str">
        <f>IF(ISNONTEXT(D518),"",E518-MAX($F$2:F517))</f>
        <v/>
      </c>
      <c r="H518" s="97"/>
      <c r="I518" s="74" t="str">
        <f ca="1">IF(D518="N",COUNTIF(INDIRECT(ADDRESS(MATCH(Plages!$D$19,'Planning annuel mixing coater'!$B:$B),4)):D518,"N"),IF(D518="N1",COUNTIF($D$9:D518,"N1"),""))</f>
        <v/>
      </c>
      <c r="J518" s="96" t="str">
        <f>IF(D518="","",COUNTA(D506:D518)-(COUNTA(D518:D518)-1))</f>
        <v/>
      </c>
    </row>
    <row r="519" spans="1:10" s="77" customFormat="1" thickBot="1">
      <c r="A519" s="117"/>
      <c r="B519" s="75">
        <f t="shared" si="37"/>
        <v>44311</v>
      </c>
      <c r="C519" s="83" t="str">
        <f t="shared" si="34"/>
        <v>dimanche</v>
      </c>
      <c r="D519" s="88"/>
      <c r="E519" s="115" t="str">
        <f t="shared" si="35"/>
        <v/>
      </c>
      <c r="F519" s="115" t="str">
        <f t="shared" si="36"/>
        <v/>
      </c>
      <c r="G519" s="116" t="str">
        <f>IF(ISNONTEXT(D519),"",E519-MAX($F$2:F518))</f>
        <v/>
      </c>
      <c r="H519" s="98"/>
      <c r="I519" s="76" t="str">
        <f ca="1">IF(D519="N",COUNTIF(INDIRECT(ADDRESS(MATCH(Plages!$D$19,'Planning annuel mixing coater'!$B:$B),4)):D519,"N"),IF(D519="N1",COUNTIF($D$9:D519,"N1"),""))</f>
        <v/>
      </c>
      <c r="J519" s="99" t="str">
        <f>IF(D519="","",COUNTA(D506:D519)-(COUNTA(D519:D519)-1))</f>
        <v/>
      </c>
    </row>
    <row r="520" spans="1:10" ht="16.5" thickTop="1" thickBot="1">
      <c r="A520" s="117"/>
      <c r="B520" s="78">
        <f t="shared" si="37"/>
        <v>44312</v>
      </c>
      <c r="C520" s="81" t="str">
        <f t="shared" si="34"/>
        <v>lundi</v>
      </c>
      <c r="D520" s="89"/>
      <c r="E520" s="115" t="str">
        <f t="shared" si="35"/>
        <v/>
      </c>
      <c r="F520" s="115" t="str">
        <f t="shared" si="36"/>
        <v/>
      </c>
      <c r="G520" s="116" t="str">
        <f>IF(ISNONTEXT(D520),"",E520-MAX($F$2:F519))</f>
        <v/>
      </c>
      <c r="H520" s="100"/>
      <c r="I520" s="79" t="str">
        <f ca="1">IF(D520="N",COUNTIF(INDIRECT(ADDRESS(MATCH(Plages!$D$19,'Planning annuel mixing coater'!$B:$B),4)):D520,"N"),IF(D520="N1",COUNTIF($D$9:D520,"N1"),""))</f>
        <v/>
      </c>
      <c r="J520" s="101" t="str">
        <f>IF(D520="","",COUNTA(D520:D520)-(COUNTA(D520:D520)-1))</f>
        <v/>
      </c>
    </row>
    <row r="521" spans="1:10" thickBot="1">
      <c r="A521" s="117"/>
      <c r="B521" s="70">
        <f t="shared" si="37"/>
        <v>44313</v>
      </c>
      <c r="C521" s="82" t="str">
        <f t="shared" si="34"/>
        <v>mardi</v>
      </c>
      <c r="D521" s="87"/>
      <c r="E521" s="115" t="str">
        <f t="shared" si="35"/>
        <v/>
      </c>
      <c r="F521" s="115" t="str">
        <f t="shared" si="36"/>
        <v/>
      </c>
      <c r="G521" s="116" t="str">
        <f>IF(ISNONTEXT(D521),"",E521-MAX($F$2:F520))</f>
        <v/>
      </c>
      <c r="H521" s="97"/>
      <c r="I521" s="74" t="str">
        <f ca="1">IF(D521="N",COUNTIF(INDIRECT(ADDRESS(MATCH(Plages!$D$19,'Planning annuel mixing coater'!$B:$B),4)):D521,"N"),IF(D521="N1",COUNTIF($D$9:D521,"N1"),""))</f>
        <v/>
      </c>
      <c r="J521" s="96" t="str">
        <f>IF(D521="","",COUNTA(D520:D521)-(COUNTA(D521:D521)-1))</f>
        <v/>
      </c>
    </row>
    <row r="522" spans="1:10" thickBot="1">
      <c r="A522" s="117"/>
      <c r="B522" s="70">
        <f t="shared" si="37"/>
        <v>44314</v>
      </c>
      <c r="C522" s="82" t="str">
        <f t="shared" si="34"/>
        <v>mercredi</v>
      </c>
      <c r="D522" s="87"/>
      <c r="E522" s="115" t="str">
        <f t="shared" si="35"/>
        <v/>
      </c>
      <c r="F522" s="115" t="str">
        <f t="shared" si="36"/>
        <v/>
      </c>
      <c r="G522" s="116" t="str">
        <f>IF(ISNONTEXT(D522),"",E522-MAX($F$2:F521))</f>
        <v/>
      </c>
      <c r="H522" s="97"/>
      <c r="I522" s="74" t="str">
        <f ca="1">IF(D522="N",COUNTIF(INDIRECT(ADDRESS(MATCH(Plages!$D$19,'Planning annuel mixing coater'!$B:$B),4)):D522,"N"),IF(D522="N1",COUNTIF($D$9:D522,"N1"),""))</f>
        <v/>
      </c>
      <c r="J522" s="96" t="str">
        <f>IF(D522="","",COUNTA(D520:D522)-(COUNTA(D522:D522)-1))</f>
        <v/>
      </c>
    </row>
    <row r="523" spans="1:10" thickBot="1">
      <c r="A523" s="117"/>
      <c r="B523" s="70">
        <f t="shared" si="37"/>
        <v>44315</v>
      </c>
      <c r="C523" s="82" t="str">
        <f t="shared" si="34"/>
        <v>jeudi</v>
      </c>
      <c r="D523" s="87"/>
      <c r="E523" s="115" t="str">
        <f t="shared" si="35"/>
        <v/>
      </c>
      <c r="F523" s="115" t="str">
        <f t="shared" si="36"/>
        <v/>
      </c>
      <c r="G523" s="116" t="str">
        <f>IF(ISNONTEXT(D523),"",E523-MAX($F$2:F522))</f>
        <v/>
      </c>
      <c r="H523" s="97"/>
      <c r="I523" s="74" t="str">
        <f ca="1">IF(D523="N",COUNTIF(INDIRECT(ADDRESS(MATCH(Plages!$D$19,'Planning annuel mixing coater'!$B:$B),4)):D523,"N"),IF(D523="N1",COUNTIF($D$9:D523,"N1"),""))</f>
        <v/>
      </c>
      <c r="J523" s="96" t="str">
        <f>IF(D523="","",COUNTA(D520:D523)-(COUNTA(D523:D523)-1))</f>
        <v/>
      </c>
    </row>
    <row r="524" spans="1:10" thickBot="1">
      <c r="A524" s="117"/>
      <c r="B524" s="70">
        <f t="shared" si="37"/>
        <v>44316</v>
      </c>
      <c r="C524" s="82" t="str">
        <f t="shared" si="34"/>
        <v>vendredi</v>
      </c>
      <c r="D524" s="87"/>
      <c r="E524" s="115" t="str">
        <f t="shared" si="35"/>
        <v/>
      </c>
      <c r="F524" s="115" t="str">
        <f t="shared" si="36"/>
        <v/>
      </c>
      <c r="G524" s="116" t="str">
        <f>IF(ISNONTEXT(D524),"",E524-MAX($F$2:F523))</f>
        <v/>
      </c>
      <c r="H524" s="97"/>
      <c r="I524" s="74" t="str">
        <f ca="1">IF(D524="N",COUNTIF(INDIRECT(ADDRESS(MATCH(Plages!$D$19,'Planning annuel mixing coater'!$B:$B),4)):D524,"N"),IF(D524="N1",COUNTIF($D$9:D524,"N1"),""))</f>
        <v/>
      </c>
      <c r="J524" s="96" t="str">
        <f>IF(D524="","",COUNTA(D520:D524)-(COUNTA(D524:D524)-1))</f>
        <v/>
      </c>
    </row>
    <row r="525" spans="1:10" thickBot="1">
      <c r="A525" s="117"/>
      <c r="B525" s="70">
        <f t="shared" si="37"/>
        <v>44317</v>
      </c>
      <c r="C525" s="82" t="str">
        <f t="shared" si="34"/>
        <v>samedi</v>
      </c>
      <c r="D525" s="87"/>
      <c r="E525" s="115" t="str">
        <f t="shared" si="35"/>
        <v/>
      </c>
      <c r="F525" s="115" t="str">
        <f t="shared" si="36"/>
        <v/>
      </c>
      <c r="G525" s="116" t="str">
        <f>IF(ISNONTEXT(D525),"",E525-MAX($F$2:F524))</f>
        <v/>
      </c>
      <c r="H525" s="97"/>
      <c r="I525" s="74" t="str">
        <f ca="1">IF(D525="N",COUNTIF(INDIRECT(ADDRESS(MATCH(Plages!$D$19,'Planning annuel mixing coater'!$B:$B),4)):D525,"N"),IF(D525="N1",COUNTIF($D$9:D525,"N1"),""))</f>
        <v/>
      </c>
      <c r="J525" s="96" t="str">
        <f>IF(D525="","",COUNTA(D520:D525)-(COUNTA(D525:D525)-1))</f>
        <v/>
      </c>
    </row>
    <row r="526" spans="1:10" thickBot="1">
      <c r="A526" s="117"/>
      <c r="B526" s="70">
        <f t="shared" si="37"/>
        <v>44318</v>
      </c>
      <c r="C526" s="82" t="str">
        <f t="shared" si="34"/>
        <v>dimanche</v>
      </c>
      <c r="D526" s="87"/>
      <c r="E526" s="115" t="str">
        <f t="shared" si="35"/>
        <v/>
      </c>
      <c r="F526" s="115" t="str">
        <f t="shared" si="36"/>
        <v/>
      </c>
      <c r="G526" s="116" t="str">
        <f>IF(ISNONTEXT(D526),"",E526-MAX($F$2:F525))</f>
        <v/>
      </c>
      <c r="H526" s="98"/>
      <c r="I526" s="74" t="str">
        <f ca="1">IF(D526="N",COUNTIF(INDIRECT(ADDRESS(MATCH(Plages!$D$19,'Planning annuel mixing coater'!$B:$B),4)):D526,"N"),IF(D526="N1",COUNTIF($D$9:D526,"N1"),""))</f>
        <v/>
      </c>
      <c r="J526" s="96" t="str">
        <f>IF(D526="","",COUNTA(D520:D526)-(COUNTA(D526:D526)-1))</f>
        <v/>
      </c>
    </row>
    <row r="527" spans="1:10" thickBot="1">
      <c r="A527" s="117"/>
      <c r="B527" s="70">
        <f t="shared" si="37"/>
        <v>44319</v>
      </c>
      <c r="C527" s="82" t="str">
        <f t="shared" si="34"/>
        <v>lundi</v>
      </c>
      <c r="D527" s="87"/>
      <c r="E527" s="115" t="str">
        <f t="shared" si="35"/>
        <v/>
      </c>
      <c r="F527" s="115" t="str">
        <f t="shared" si="36"/>
        <v/>
      </c>
      <c r="G527" s="116" t="str">
        <f>IF(ISNONTEXT(D527),"",E527-MAX($F$2:F526))</f>
        <v/>
      </c>
      <c r="H527" s="97"/>
      <c r="I527" s="74" t="str">
        <f ca="1">IF(D527="N",COUNTIF(INDIRECT(ADDRESS(MATCH(Plages!$D$19,'Planning annuel mixing coater'!$B:$B),4)):D527,"N"),IF(D527="N1",COUNTIF($D$9:D527,"N1"),""))</f>
        <v/>
      </c>
      <c r="J527" s="96" t="str">
        <f>IF(D527="","",COUNTA(D520:D527)-(COUNTA(D527:D527)-1))</f>
        <v/>
      </c>
    </row>
    <row r="528" spans="1:10" thickBot="1">
      <c r="A528" s="117"/>
      <c r="B528" s="70">
        <f t="shared" si="37"/>
        <v>44320</v>
      </c>
      <c r="C528" s="82" t="str">
        <f t="shared" si="34"/>
        <v>mardi</v>
      </c>
      <c r="D528" s="87"/>
      <c r="E528" s="115" t="str">
        <f t="shared" si="35"/>
        <v/>
      </c>
      <c r="F528" s="115" t="str">
        <f t="shared" si="36"/>
        <v/>
      </c>
      <c r="G528" s="116" t="str">
        <f>IF(ISNONTEXT(D528),"",E528-MAX($F$2:F527))</f>
        <v/>
      </c>
      <c r="H528" s="97"/>
      <c r="I528" s="74" t="str">
        <f ca="1">IF(D528="N",COUNTIF(INDIRECT(ADDRESS(MATCH(Plages!$D$19,'Planning annuel mixing coater'!$B:$B),4)):D528,"N"),IF(D528="N1",COUNTIF($D$9:D528,"N1"),""))</f>
        <v/>
      </c>
      <c r="J528" s="96" t="str">
        <f>IF(D528="","",COUNTA(D520:D528)-(COUNTA(D528:D528)-1))</f>
        <v/>
      </c>
    </row>
    <row r="529" spans="1:10" thickBot="1">
      <c r="A529" s="117"/>
      <c r="B529" s="70">
        <f t="shared" si="37"/>
        <v>44321</v>
      </c>
      <c r="C529" s="82" t="str">
        <f t="shared" si="34"/>
        <v>mercredi</v>
      </c>
      <c r="D529" s="87"/>
      <c r="E529" s="115" t="str">
        <f t="shared" si="35"/>
        <v/>
      </c>
      <c r="F529" s="115" t="str">
        <f t="shared" si="36"/>
        <v/>
      </c>
      <c r="G529" s="116" t="str">
        <f>IF(ISNONTEXT(D529),"",E529-MAX($F$2:F528))</f>
        <v/>
      </c>
      <c r="H529" s="97"/>
      <c r="I529" s="74" t="str">
        <f ca="1">IF(D529="N",COUNTIF(INDIRECT(ADDRESS(MATCH(Plages!$D$19,'Planning annuel mixing coater'!$B:$B),4)):D529,"N"),IF(D529="N1",COUNTIF($D$9:D529,"N1"),""))</f>
        <v/>
      </c>
      <c r="J529" s="96" t="str">
        <f>IF(D529="","",COUNTA(D520:D529)-(COUNTA(D529:D529)-1))</f>
        <v/>
      </c>
    </row>
    <row r="530" spans="1:10" thickBot="1">
      <c r="A530" s="117"/>
      <c r="B530" s="70">
        <f t="shared" si="37"/>
        <v>44322</v>
      </c>
      <c r="C530" s="82" t="str">
        <f t="shared" si="34"/>
        <v>jeudi</v>
      </c>
      <c r="D530" s="87"/>
      <c r="E530" s="115" t="str">
        <f t="shared" si="35"/>
        <v/>
      </c>
      <c r="F530" s="115" t="str">
        <f t="shared" si="36"/>
        <v/>
      </c>
      <c r="G530" s="116" t="str">
        <f>IF(ISNONTEXT(D530),"",E530-MAX($F$2:F529))</f>
        <v/>
      </c>
      <c r="H530" s="97"/>
      <c r="I530" s="74" t="str">
        <f ca="1">IF(D530="N",COUNTIF(INDIRECT(ADDRESS(MATCH(Plages!$D$19,'Planning annuel mixing coater'!$B:$B),4)):D530,"N"),IF(D530="N1",COUNTIF($D$9:D530,"N1"),""))</f>
        <v/>
      </c>
      <c r="J530" s="96" t="str">
        <f>IF(D530="","",COUNTA(D520:D530)-(COUNTA(D530:D530)-1))</f>
        <v/>
      </c>
    </row>
    <row r="531" spans="1:10" thickBot="1">
      <c r="A531" s="117"/>
      <c r="B531" s="70">
        <f t="shared" si="37"/>
        <v>44323</v>
      </c>
      <c r="C531" s="82" t="str">
        <f t="shared" si="34"/>
        <v>vendredi</v>
      </c>
      <c r="D531" s="87"/>
      <c r="E531" s="115" t="str">
        <f t="shared" si="35"/>
        <v/>
      </c>
      <c r="F531" s="115" t="str">
        <f t="shared" si="36"/>
        <v/>
      </c>
      <c r="G531" s="116" t="str">
        <f>IF(ISNONTEXT(D531),"",E531-MAX($F$2:F530))</f>
        <v/>
      </c>
      <c r="H531" s="97"/>
      <c r="I531" s="74" t="str">
        <f ca="1">IF(D531="N",COUNTIF(INDIRECT(ADDRESS(MATCH(Plages!$D$19,'Planning annuel mixing coater'!$B:$B),4)):D531,"N"),IF(D531="N1",COUNTIF($D$9:D531,"N1"),""))</f>
        <v/>
      </c>
      <c r="J531" s="96" t="str">
        <f>IF(D531="","",COUNTA(D520:D531)-(COUNTA(D531:D531)-1))</f>
        <v/>
      </c>
    </row>
    <row r="532" spans="1:10" thickBot="1">
      <c r="A532" s="117"/>
      <c r="B532" s="70">
        <f t="shared" si="37"/>
        <v>44324</v>
      </c>
      <c r="C532" s="82" t="str">
        <f t="shared" si="34"/>
        <v>samedi</v>
      </c>
      <c r="D532" s="87"/>
      <c r="E532" s="115" t="str">
        <f t="shared" si="35"/>
        <v/>
      </c>
      <c r="F532" s="115" t="str">
        <f t="shared" si="36"/>
        <v/>
      </c>
      <c r="G532" s="116" t="str">
        <f>IF(ISNONTEXT(D532),"",E532-MAX($F$2:F531))</f>
        <v/>
      </c>
      <c r="H532" s="97"/>
      <c r="I532" s="74" t="str">
        <f ca="1">IF(D532="N",COUNTIF(INDIRECT(ADDRESS(MATCH(Plages!$D$19,'Planning annuel mixing coater'!$B:$B),4)):D532,"N"),IF(D532="N1",COUNTIF($D$9:D532,"N1"),""))</f>
        <v/>
      </c>
      <c r="J532" s="96" t="str">
        <f>IF(D532="","",COUNTA(D520:D532)-(COUNTA(D532:D532)-1))</f>
        <v/>
      </c>
    </row>
    <row r="533" spans="1:10" s="77" customFormat="1" thickBot="1">
      <c r="A533" s="117"/>
      <c r="B533" s="75">
        <f t="shared" si="37"/>
        <v>44325</v>
      </c>
      <c r="C533" s="83" t="str">
        <f t="shared" si="34"/>
        <v>dimanche</v>
      </c>
      <c r="D533" s="88"/>
      <c r="E533" s="115" t="str">
        <f t="shared" si="35"/>
        <v/>
      </c>
      <c r="F533" s="115" t="str">
        <f t="shared" si="36"/>
        <v/>
      </c>
      <c r="G533" s="116" t="str">
        <f>IF(ISNONTEXT(D533),"",E533-MAX($F$2:F532))</f>
        <v/>
      </c>
      <c r="H533" s="98"/>
      <c r="I533" s="76" t="str">
        <f ca="1">IF(D533="N",COUNTIF(INDIRECT(ADDRESS(MATCH(Plages!$D$19,'Planning annuel mixing coater'!$B:$B),4)):D533,"N"),IF(D533="N1",COUNTIF($D$9:D533,"N1"),""))</f>
        <v/>
      </c>
      <c r="J533" s="99" t="str">
        <f>IF(D533="","",COUNTA(D520:D533)-(COUNTA(D533:D533)-1))</f>
        <v/>
      </c>
    </row>
    <row r="534" spans="1:10" ht="16.5" thickTop="1" thickBot="1">
      <c r="A534" s="117"/>
      <c r="B534" s="78">
        <f t="shared" si="37"/>
        <v>44326</v>
      </c>
      <c r="C534" s="81" t="str">
        <f t="shared" si="34"/>
        <v>lundi</v>
      </c>
      <c r="D534" s="89"/>
      <c r="E534" s="115" t="str">
        <f t="shared" si="35"/>
        <v/>
      </c>
      <c r="F534" s="115" t="str">
        <f t="shared" si="36"/>
        <v/>
      </c>
      <c r="G534" s="116" t="str">
        <f>IF(ISNONTEXT(D534),"",E534-MAX($F$2:F533))</f>
        <v/>
      </c>
      <c r="H534" s="100"/>
      <c r="I534" s="79" t="str">
        <f ca="1">IF(D534="N",COUNTIF(INDIRECT(ADDRESS(MATCH(Plages!$D$19,'Planning annuel mixing coater'!$B:$B),4)):D534,"N"),IF(D534="N1",COUNTIF($D$9:D534,"N1"),""))</f>
        <v/>
      </c>
      <c r="J534" s="101" t="str">
        <f>IF(D534="","",COUNTA(D534:D534)-(COUNTA(D534:D534)-1))</f>
        <v/>
      </c>
    </row>
    <row r="535" spans="1:10" thickBot="1">
      <c r="A535" s="117"/>
      <c r="B535" s="70">
        <f t="shared" si="37"/>
        <v>44327</v>
      </c>
      <c r="C535" s="82" t="str">
        <f t="shared" si="34"/>
        <v>mardi</v>
      </c>
      <c r="D535" s="87"/>
      <c r="E535" s="115" t="str">
        <f t="shared" si="35"/>
        <v/>
      </c>
      <c r="F535" s="115" t="str">
        <f t="shared" si="36"/>
        <v/>
      </c>
      <c r="G535" s="116" t="str">
        <f>IF(ISNONTEXT(D535),"",E535-MAX($F$2:F534))</f>
        <v/>
      </c>
      <c r="H535" s="97"/>
      <c r="I535" s="74" t="str">
        <f ca="1">IF(D535="N",COUNTIF(INDIRECT(ADDRESS(MATCH(Plages!$D$19,'Planning annuel mixing coater'!$B:$B),4)):D535,"N"),IF(D535="N1",COUNTIF($D$9:D535,"N1"),""))</f>
        <v/>
      </c>
      <c r="J535" s="96" t="str">
        <f>IF(D535="","",COUNTA(D534:D535)-(COUNTA(D535:D535)-1))</f>
        <v/>
      </c>
    </row>
    <row r="536" spans="1:10" thickBot="1">
      <c r="A536" s="117"/>
      <c r="B536" s="70">
        <f t="shared" si="37"/>
        <v>44328</v>
      </c>
      <c r="C536" s="82" t="str">
        <f t="shared" si="34"/>
        <v>mercredi</v>
      </c>
      <c r="D536" s="87"/>
      <c r="E536" s="115" t="str">
        <f t="shared" si="35"/>
        <v/>
      </c>
      <c r="F536" s="115" t="str">
        <f t="shared" si="36"/>
        <v/>
      </c>
      <c r="G536" s="116" t="str">
        <f>IF(ISNONTEXT(D536),"",E536-MAX($F$2:F535))</f>
        <v/>
      </c>
      <c r="H536" s="97"/>
      <c r="I536" s="74" t="str">
        <f ca="1">IF(D536="N",COUNTIF(INDIRECT(ADDRESS(MATCH(Plages!$D$19,'Planning annuel mixing coater'!$B:$B),4)):D536,"N"),IF(D536="N1",COUNTIF($D$9:D536,"N1"),""))</f>
        <v/>
      </c>
      <c r="J536" s="96" t="str">
        <f>IF(D536="","",COUNTA(D534:D536)-(COUNTA(D536:D536)-1))</f>
        <v/>
      </c>
    </row>
    <row r="537" spans="1:10" thickBot="1">
      <c r="A537" s="117"/>
      <c r="B537" s="70">
        <f t="shared" si="37"/>
        <v>44329</v>
      </c>
      <c r="C537" s="82" t="str">
        <f t="shared" si="34"/>
        <v>jeudi</v>
      </c>
      <c r="D537" s="87"/>
      <c r="E537" s="115" t="str">
        <f t="shared" si="35"/>
        <v/>
      </c>
      <c r="F537" s="115" t="str">
        <f t="shared" si="36"/>
        <v/>
      </c>
      <c r="G537" s="116" t="str">
        <f>IF(ISNONTEXT(D537),"",E537-MAX($F$2:F536))</f>
        <v/>
      </c>
      <c r="H537" s="97"/>
      <c r="I537" s="74" t="str">
        <f ca="1">IF(D537="N",COUNTIF(INDIRECT(ADDRESS(MATCH(Plages!$D$19,'Planning annuel mixing coater'!$B:$B),4)):D537,"N"),IF(D537="N1",COUNTIF($D$9:D537,"N1"),""))</f>
        <v/>
      </c>
      <c r="J537" s="96" t="str">
        <f>IF(D537="","",COUNTA(D534:D537)-(COUNTA(D537:D537)-1))</f>
        <v/>
      </c>
    </row>
    <row r="538" spans="1:10" thickBot="1">
      <c r="A538" s="117"/>
      <c r="B538" s="70">
        <f t="shared" si="37"/>
        <v>44330</v>
      </c>
      <c r="C538" s="82" t="str">
        <f t="shared" si="34"/>
        <v>vendredi</v>
      </c>
      <c r="D538" s="87"/>
      <c r="E538" s="115" t="str">
        <f t="shared" si="35"/>
        <v/>
      </c>
      <c r="F538" s="115" t="str">
        <f t="shared" si="36"/>
        <v/>
      </c>
      <c r="G538" s="116" t="str">
        <f>IF(ISNONTEXT(D538),"",E538-MAX($F$2:F537))</f>
        <v/>
      </c>
      <c r="H538" s="97"/>
      <c r="I538" s="74" t="str">
        <f ca="1">IF(D538="N",COUNTIF(INDIRECT(ADDRESS(MATCH(Plages!$D$19,'Planning annuel mixing coater'!$B:$B),4)):D538,"N"),IF(D538="N1",COUNTIF($D$9:D538,"N1"),""))</f>
        <v/>
      </c>
      <c r="J538" s="96" t="str">
        <f>IF(D538="","",COUNTA(D534:D538)-(COUNTA(D538:D538)-1))</f>
        <v/>
      </c>
    </row>
    <row r="539" spans="1:10" thickBot="1">
      <c r="A539" s="117"/>
      <c r="B539" s="70">
        <f t="shared" si="37"/>
        <v>44331</v>
      </c>
      <c r="C539" s="82" t="str">
        <f t="shared" si="34"/>
        <v>samedi</v>
      </c>
      <c r="D539" s="87"/>
      <c r="E539" s="115" t="str">
        <f t="shared" si="35"/>
        <v/>
      </c>
      <c r="F539" s="115" t="str">
        <f t="shared" si="36"/>
        <v/>
      </c>
      <c r="G539" s="116" t="str">
        <f>IF(ISNONTEXT(D539),"",E539-MAX($F$2:F538))</f>
        <v/>
      </c>
      <c r="H539" s="97"/>
      <c r="I539" s="74" t="str">
        <f ca="1">IF(D539="N",COUNTIF(INDIRECT(ADDRESS(MATCH(Plages!$D$19,'Planning annuel mixing coater'!$B:$B),4)):D539,"N"),IF(D539="N1",COUNTIF($D$9:D539,"N1"),""))</f>
        <v/>
      </c>
      <c r="J539" s="96" t="str">
        <f>IF(D539="","",COUNTA(D534:D539)-(COUNTA(D539:D539)-1))</f>
        <v/>
      </c>
    </row>
    <row r="540" spans="1:10" thickBot="1">
      <c r="A540" s="117"/>
      <c r="B540" s="70">
        <f t="shared" si="37"/>
        <v>44332</v>
      </c>
      <c r="C540" s="82" t="str">
        <f t="shared" si="34"/>
        <v>dimanche</v>
      </c>
      <c r="D540" s="87"/>
      <c r="E540" s="115" t="str">
        <f t="shared" si="35"/>
        <v/>
      </c>
      <c r="F540" s="115" t="str">
        <f t="shared" si="36"/>
        <v/>
      </c>
      <c r="G540" s="116" t="str">
        <f>IF(ISNONTEXT(D540),"",E540-MAX($F$2:F539))</f>
        <v/>
      </c>
      <c r="H540" s="98"/>
      <c r="I540" s="74" t="str">
        <f ca="1">IF(D540="N",COUNTIF(INDIRECT(ADDRESS(MATCH(Plages!$D$19,'Planning annuel mixing coater'!$B:$B),4)):D540,"N"),IF(D540="N1",COUNTIF($D$9:D540,"N1"),""))</f>
        <v/>
      </c>
      <c r="J540" s="96" t="str">
        <f>IF(D540="","",COUNTA(D534:D540)-(COUNTA(D540:D540)-1))</f>
        <v/>
      </c>
    </row>
    <row r="541" spans="1:10" thickBot="1">
      <c r="A541" s="117"/>
      <c r="B541" s="70">
        <f t="shared" si="37"/>
        <v>44333</v>
      </c>
      <c r="C541" s="82" t="str">
        <f t="shared" si="34"/>
        <v>lundi</v>
      </c>
      <c r="D541" s="87"/>
      <c r="E541" s="115" t="str">
        <f t="shared" si="35"/>
        <v/>
      </c>
      <c r="F541" s="115" t="str">
        <f t="shared" si="36"/>
        <v/>
      </c>
      <c r="G541" s="116" t="str">
        <f>IF(ISNONTEXT(D541),"",E541-MAX($F$2:F540))</f>
        <v/>
      </c>
      <c r="H541" s="97"/>
      <c r="I541" s="74" t="str">
        <f ca="1">IF(D541="N",COUNTIF(INDIRECT(ADDRESS(MATCH(Plages!$D$19,'Planning annuel mixing coater'!$B:$B),4)):D541,"N"),IF(D541="N1",COUNTIF($D$9:D541,"N1"),""))</f>
        <v/>
      </c>
      <c r="J541" s="96" t="str">
        <f>IF(D541="","",COUNTA(D534:D541)-(COUNTA(D541:D541)-1))</f>
        <v/>
      </c>
    </row>
    <row r="542" spans="1:10" thickBot="1">
      <c r="A542" s="117"/>
      <c r="B542" s="70">
        <f t="shared" si="37"/>
        <v>44334</v>
      </c>
      <c r="C542" s="82" t="str">
        <f t="shared" ref="C542:C605" si="38">IF(B542="","",TEXT(B542,"jjjj"))</f>
        <v>mardi</v>
      </c>
      <c r="D542" s="87"/>
      <c r="E542" s="115" t="str">
        <f t="shared" ref="E542:E605" si="39">IF(D542="","",B542+VLOOKUP(D542,Plageh,2,0))</f>
        <v/>
      </c>
      <c r="F542" s="115" t="str">
        <f t="shared" ref="F542:F605" si="40">IF(D542="","",B542+VLOOKUP(D542,Plageh,3,0))</f>
        <v/>
      </c>
      <c r="G542" s="116" t="str">
        <f>IF(ISNONTEXT(D542),"",E542-MAX($F$2:F541))</f>
        <v/>
      </c>
      <c r="H542" s="97"/>
      <c r="I542" s="74" t="str">
        <f ca="1">IF(D542="N",COUNTIF(INDIRECT(ADDRESS(MATCH(Plages!$D$19,'Planning annuel mixing coater'!$B:$B),4)):D542,"N"),IF(D542="N1",COUNTIF($D$9:D542,"N1"),""))</f>
        <v/>
      </c>
      <c r="J542" s="96" t="str">
        <f>IF(D542="","",COUNTA(D534:D542)-(COUNTA(D542:D542)-1))</f>
        <v/>
      </c>
    </row>
    <row r="543" spans="1:10" thickBot="1">
      <c r="A543" s="117"/>
      <c r="B543" s="70">
        <f t="shared" si="37"/>
        <v>44335</v>
      </c>
      <c r="C543" s="82" t="str">
        <f t="shared" si="38"/>
        <v>mercredi</v>
      </c>
      <c r="D543" s="87"/>
      <c r="E543" s="115" t="str">
        <f t="shared" si="39"/>
        <v/>
      </c>
      <c r="F543" s="115" t="str">
        <f t="shared" si="40"/>
        <v/>
      </c>
      <c r="G543" s="116" t="str">
        <f>IF(ISNONTEXT(D543),"",E543-MAX($F$2:F542))</f>
        <v/>
      </c>
      <c r="H543" s="97"/>
      <c r="I543" s="74" t="str">
        <f ca="1">IF(D543="N",COUNTIF(INDIRECT(ADDRESS(MATCH(Plages!$D$19,'Planning annuel mixing coater'!$B:$B),4)):D543,"N"),IF(D543="N1",COUNTIF($D$9:D543,"N1"),""))</f>
        <v/>
      </c>
      <c r="J543" s="96" t="str">
        <f>IF(D543="","",COUNTA(D534:D543)-(COUNTA(D543:D543)-1))</f>
        <v/>
      </c>
    </row>
    <row r="544" spans="1:10" thickBot="1">
      <c r="A544" s="117"/>
      <c r="B544" s="70">
        <f t="shared" si="37"/>
        <v>44336</v>
      </c>
      <c r="C544" s="82" t="str">
        <f t="shared" si="38"/>
        <v>jeudi</v>
      </c>
      <c r="D544" s="87"/>
      <c r="E544" s="115" t="str">
        <f t="shared" si="39"/>
        <v/>
      </c>
      <c r="F544" s="115" t="str">
        <f t="shared" si="40"/>
        <v/>
      </c>
      <c r="G544" s="116" t="str">
        <f>IF(ISNONTEXT(D544),"",E544-MAX($F$2:F543))</f>
        <v/>
      </c>
      <c r="H544" s="97"/>
      <c r="I544" s="74" t="str">
        <f ca="1">IF(D544="N",COUNTIF(INDIRECT(ADDRESS(MATCH(Plages!$D$19,'Planning annuel mixing coater'!$B:$B),4)):D544,"N"),IF(D544="N1",COUNTIF($D$9:D544,"N1"),""))</f>
        <v/>
      </c>
      <c r="J544" s="96" t="str">
        <f>IF(D544="","",COUNTA(D534:D544)-(COUNTA(D544:D544)-1))</f>
        <v/>
      </c>
    </row>
    <row r="545" spans="1:10" thickBot="1">
      <c r="A545" s="117"/>
      <c r="B545" s="70">
        <f t="shared" si="37"/>
        <v>44337</v>
      </c>
      <c r="C545" s="82" t="str">
        <f t="shared" si="38"/>
        <v>vendredi</v>
      </c>
      <c r="D545" s="87"/>
      <c r="E545" s="115" t="str">
        <f t="shared" si="39"/>
        <v/>
      </c>
      <c r="F545" s="115" t="str">
        <f t="shared" si="40"/>
        <v/>
      </c>
      <c r="G545" s="116" t="str">
        <f>IF(ISNONTEXT(D545),"",E545-MAX($F$2:F544))</f>
        <v/>
      </c>
      <c r="H545" s="97"/>
      <c r="I545" s="74" t="str">
        <f ca="1">IF(D545="N",COUNTIF(INDIRECT(ADDRESS(MATCH(Plages!$D$19,'Planning annuel mixing coater'!$B:$B),4)):D545,"N"),IF(D545="N1",COUNTIF($D$9:D545,"N1"),""))</f>
        <v/>
      </c>
      <c r="J545" s="96" t="str">
        <f>IF(D545="","",COUNTA(D534:D545)-(COUNTA(D545:D545)-1))</f>
        <v/>
      </c>
    </row>
    <row r="546" spans="1:10" thickBot="1">
      <c r="A546" s="117"/>
      <c r="B546" s="70">
        <f t="shared" si="37"/>
        <v>44338</v>
      </c>
      <c r="C546" s="82" t="str">
        <f t="shared" si="38"/>
        <v>samedi</v>
      </c>
      <c r="D546" s="87"/>
      <c r="E546" s="115" t="str">
        <f t="shared" si="39"/>
        <v/>
      </c>
      <c r="F546" s="115" t="str">
        <f t="shared" si="40"/>
        <v/>
      </c>
      <c r="G546" s="116" t="str">
        <f>IF(ISNONTEXT(D546),"",E546-MAX($F$2:F545))</f>
        <v/>
      </c>
      <c r="H546" s="97"/>
      <c r="I546" s="74" t="str">
        <f ca="1">IF(D546="N",COUNTIF(INDIRECT(ADDRESS(MATCH(Plages!$D$19,'Planning annuel mixing coater'!$B:$B),4)):D546,"N"),IF(D546="N1",COUNTIF($D$9:D546,"N1"),""))</f>
        <v/>
      </c>
      <c r="J546" s="96" t="str">
        <f>IF(D546="","",COUNTA(D534:D546)-(COUNTA(D546:D546)-1))</f>
        <v/>
      </c>
    </row>
    <row r="547" spans="1:10" s="77" customFormat="1" thickBot="1">
      <c r="A547" s="117"/>
      <c r="B547" s="75">
        <f t="shared" si="37"/>
        <v>44339</v>
      </c>
      <c r="C547" s="83" t="str">
        <f t="shared" si="38"/>
        <v>dimanche</v>
      </c>
      <c r="D547" s="88"/>
      <c r="E547" s="115" t="str">
        <f t="shared" si="39"/>
        <v/>
      </c>
      <c r="F547" s="115" t="str">
        <f t="shared" si="40"/>
        <v/>
      </c>
      <c r="G547" s="116" t="str">
        <f>IF(ISNONTEXT(D547),"",E547-MAX($F$2:F546))</f>
        <v/>
      </c>
      <c r="H547" s="98"/>
      <c r="I547" s="76" t="str">
        <f ca="1">IF(D547="N",COUNTIF(INDIRECT(ADDRESS(MATCH(Plages!$D$19,'Planning annuel mixing coater'!$B:$B),4)):D547,"N"),IF(D547="N1",COUNTIF($D$9:D547,"N1"),""))</f>
        <v/>
      </c>
      <c r="J547" s="99" t="str">
        <f>IF(D547="","",COUNTA(D534:D547)-(COUNTA(D547:D547)-1))</f>
        <v/>
      </c>
    </row>
    <row r="548" spans="1:10" ht="16.5" thickTop="1" thickBot="1">
      <c r="A548" s="117"/>
      <c r="B548" s="78">
        <f t="shared" si="37"/>
        <v>44340</v>
      </c>
      <c r="C548" s="81" t="str">
        <f t="shared" si="38"/>
        <v>lundi</v>
      </c>
      <c r="D548" s="89"/>
      <c r="E548" s="115" t="str">
        <f t="shared" si="39"/>
        <v/>
      </c>
      <c r="F548" s="115" t="str">
        <f t="shared" si="40"/>
        <v/>
      </c>
      <c r="G548" s="116" t="str">
        <f>IF(ISNONTEXT(D548),"",E548-MAX($F$2:F547))</f>
        <v/>
      </c>
      <c r="H548" s="100"/>
      <c r="I548" s="79" t="str">
        <f ca="1">IF(D548="N",COUNTIF(INDIRECT(ADDRESS(MATCH(Plages!$D$19,'Planning annuel mixing coater'!$B:$B),4)):D548,"N"),IF(D548="N1",COUNTIF($D$9:D548,"N1"),""))</f>
        <v/>
      </c>
      <c r="J548" s="101" t="str">
        <f>IF(D548="","",COUNTA(D548:D548)-(COUNTA(D548:D548)-1))</f>
        <v/>
      </c>
    </row>
    <row r="549" spans="1:10" thickBot="1">
      <c r="A549" s="117"/>
      <c r="B549" s="70">
        <f t="shared" si="37"/>
        <v>44341</v>
      </c>
      <c r="C549" s="82" t="str">
        <f t="shared" si="38"/>
        <v>mardi</v>
      </c>
      <c r="D549" s="87"/>
      <c r="E549" s="115" t="str">
        <f t="shared" si="39"/>
        <v/>
      </c>
      <c r="F549" s="115" t="str">
        <f t="shared" si="40"/>
        <v/>
      </c>
      <c r="G549" s="116" t="str">
        <f>IF(ISNONTEXT(D549),"",E549-MAX($F$2:F548))</f>
        <v/>
      </c>
      <c r="H549" s="97"/>
      <c r="I549" s="74" t="str">
        <f ca="1">IF(D549="N",COUNTIF(INDIRECT(ADDRESS(MATCH(Plages!$D$19,'Planning annuel mixing coater'!$B:$B),4)):D549,"N"),IF(D549="N1",COUNTIF($D$9:D549,"N1"),""))</f>
        <v/>
      </c>
      <c r="J549" s="96" t="str">
        <f>IF(D549="","",COUNTA(D548:D549)-(COUNTA(D549:D549)-1))</f>
        <v/>
      </c>
    </row>
    <row r="550" spans="1:10" thickBot="1">
      <c r="A550" s="117"/>
      <c r="B550" s="70">
        <f t="shared" si="37"/>
        <v>44342</v>
      </c>
      <c r="C550" s="82" t="str">
        <f t="shared" si="38"/>
        <v>mercredi</v>
      </c>
      <c r="D550" s="87"/>
      <c r="E550" s="115" t="str">
        <f t="shared" si="39"/>
        <v/>
      </c>
      <c r="F550" s="115" t="str">
        <f t="shared" si="40"/>
        <v/>
      </c>
      <c r="G550" s="116" t="str">
        <f>IF(ISNONTEXT(D550),"",E550-MAX($F$2:F549))</f>
        <v/>
      </c>
      <c r="H550" s="97"/>
      <c r="I550" s="74" t="str">
        <f ca="1">IF(D550="N",COUNTIF(INDIRECT(ADDRESS(MATCH(Plages!$D$19,'Planning annuel mixing coater'!$B:$B),4)):D550,"N"),IF(D550="N1",COUNTIF($D$9:D550,"N1"),""))</f>
        <v/>
      </c>
      <c r="J550" s="96" t="str">
        <f>IF(D550="","",COUNTA(D548:D550)-(COUNTA(D550:D550)-1))</f>
        <v/>
      </c>
    </row>
    <row r="551" spans="1:10" thickBot="1">
      <c r="A551" s="117"/>
      <c r="B551" s="70">
        <f t="shared" si="37"/>
        <v>44343</v>
      </c>
      <c r="C551" s="82" t="str">
        <f t="shared" si="38"/>
        <v>jeudi</v>
      </c>
      <c r="D551" s="87"/>
      <c r="E551" s="115" t="str">
        <f t="shared" si="39"/>
        <v/>
      </c>
      <c r="F551" s="115" t="str">
        <f t="shared" si="40"/>
        <v/>
      </c>
      <c r="G551" s="116" t="str">
        <f>IF(ISNONTEXT(D551),"",E551-MAX($F$2:F550))</f>
        <v/>
      </c>
      <c r="H551" s="97"/>
      <c r="I551" s="74" t="str">
        <f ca="1">IF(D551="N",COUNTIF(INDIRECT(ADDRESS(MATCH(Plages!$D$19,'Planning annuel mixing coater'!$B:$B),4)):D551,"N"),IF(D551="N1",COUNTIF($D$9:D551,"N1"),""))</f>
        <v/>
      </c>
      <c r="J551" s="96" t="str">
        <f>IF(D551="","",COUNTA(D548:D551)-(COUNTA(D551:D551)-1))</f>
        <v/>
      </c>
    </row>
    <row r="552" spans="1:10" thickBot="1">
      <c r="A552" s="117"/>
      <c r="B552" s="70">
        <f t="shared" si="37"/>
        <v>44344</v>
      </c>
      <c r="C552" s="82" t="str">
        <f t="shared" si="38"/>
        <v>vendredi</v>
      </c>
      <c r="D552" s="87"/>
      <c r="E552" s="115" t="str">
        <f t="shared" si="39"/>
        <v/>
      </c>
      <c r="F552" s="115" t="str">
        <f t="shared" si="40"/>
        <v/>
      </c>
      <c r="G552" s="116" t="str">
        <f>IF(ISNONTEXT(D552),"",E552-MAX($F$2:F551))</f>
        <v/>
      </c>
      <c r="H552" s="97"/>
      <c r="I552" s="74" t="str">
        <f ca="1">IF(D552="N",COUNTIF(INDIRECT(ADDRESS(MATCH(Plages!$D$19,'Planning annuel mixing coater'!$B:$B),4)):D552,"N"),IF(D552="N1",COUNTIF($D$9:D552,"N1"),""))</f>
        <v/>
      </c>
      <c r="J552" s="96" t="str">
        <f>IF(D552="","",COUNTA(D548:D552)-(COUNTA(D552:D552)-1))</f>
        <v/>
      </c>
    </row>
    <row r="553" spans="1:10" thickBot="1">
      <c r="A553" s="117"/>
      <c r="B553" s="70">
        <f t="shared" si="37"/>
        <v>44345</v>
      </c>
      <c r="C553" s="82" t="str">
        <f t="shared" si="38"/>
        <v>samedi</v>
      </c>
      <c r="D553" s="87"/>
      <c r="E553" s="115" t="str">
        <f t="shared" si="39"/>
        <v/>
      </c>
      <c r="F553" s="115" t="str">
        <f t="shared" si="40"/>
        <v/>
      </c>
      <c r="G553" s="116" t="str">
        <f>IF(ISNONTEXT(D553),"",E553-MAX($F$2:F552))</f>
        <v/>
      </c>
      <c r="H553" s="97"/>
      <c r="I553" s="74" t="str">
        <f ca="1">IF(D553="N",COUNTIF(INDIRECT(ADDRESS(MATCH(Plages!$D$19,'Planning annuel mixing coater'!$B:$B),4)):D553,"N"),IF(D553="N1",COUNTIF($D$9:D553,"N1"),""))</f>
        <v/>
      </c>
      <c r="J553" s="96" t="str">
        <f>IF(D553="","",COUNTA(D548:D553)-(COUNTA(D553:D553)-1))</f>
        <v/>
      </c>
    </row>
    <row r="554" spans="1:10" thickBot="1">
      <c r="A554" s="117"/>
      <c r="B554" s="70">
        <f t="shared" si="37"/>
        <v>44346</v>
      </c>
      <c r="C554" s="82" t="str">
        <f t="shared" si="38"/>
        <v>dimanche</v>
      </c>
      <c r="D554" s="87"/>
      <c r="E554" s="115" t="str">
        <f t="shared" si="39"/>
        <v/>
      </c>
      <c r="F554" s="115" t="str">
        <f t="shared" si="40"/>
        <v/>
      </c>
      <c r="G554" s="116" t="str">
        <f>IF(ISNONTEXT(D554),"",E554-MAX($F$2:F553))</f>
        <v/>
      </c>
      <c r="H554" s="98"/>
      <c r="I554" s="74" t="str">
        <f ca="1">IF(D554="N",COUNTIF(INDIRECT(ADDRESS(MATCH(Plages!$D$19,'Planning annuel mixing coater'!$B:$B),4)):D554,"N"),IF(D554="N1",COUNTIF($D$9:D554,"N1"),""))</f>
        <v/>
      </c>
      <c r="J554" s="96" t="str">
        <f>IF(D554="","",COUNTA(D548:D554)-(COUNTA(D554:D554)-1))</f>
        <v/>
      </c>
    </row>
    <row r="555" spans="1:10" thickBot="1">
      <c r="A555" s="117"/>
      <c r="B555" s="70">
        <f t="shared" si="37"/>
        <v>44347</v>
      </c>
      <c r="C555" s="82" t="str">
        <f t="shared" si="38"/>
        <v>lundi</v>
      </c>
      <c r="D555" s="87"/>
      <c r="E555" s="115" t="str">
        <f t="shared" si="39"/>
        <v/>
      </c>
      <c r="F555" s="115" t="str">
        <f t="shared" si="40"/>
        <v/>
      </c>
      <c r="G555" s="116" t="str">
        <f>IF(ISNONTEXT(D555),"",E555-MAX($F$2:F554))</f>
        <v/>
      </c>
      <c r="H555" s="97"/>
      <c r="I555" s="74" t="str">
        <f ca="1">IF(D555="N",COUNTIF(INDIRECT(ADDRESS(MATCH(Plages!$D$19,'Planning annuel mixing coater'!$B:$B),4)):D555,"N"),IF(D555="N1",COUNTIF($D$9:D555,"N1"),""))</f>
        <v/>
      </c>
      <c r="J555" s="96" t="str">
        <f>IF(D555="","",COUNTA(D548:D555)-(COUNTA(D555:D555)-1))</f>
        <v/>
      </c>
    </row>
    <row r="556" spans="1:10" thickBot="1">
      <c r="A556" s="117"/>
      <c r="B556" s="70">
        <f t="shared" si="37"/>
        <v>44348</v>
      </c>
      <c r="C556" s="82" t="str">
        <f t="shared" si="38"/>
        <v>mardi</v>
      </c>
      <c r="D556" s="87"/>
      <c r="E556" s="115" t="str">
        <f t="shared" si="39"/>
        <v/>
      </c>
      <c r="F556" s="115" t="str">
        <f t="shared" si="40"/>
        <v/>
      </c>
      <c r="G556" s="116" t="str">
        <f>IF(ISNONTEXT(D556),"",E556-MAX($F$2:F555))</f>
        <v/>
      </c>
      <c r="H556" s="97"/>
      <c r="I556" s="74" t="str">
        <f ca="1">IF(D556="N",COUNTIF(INDIRECT(ADDRESS(MATCH(Plages!$D$19,'Planning annuel mixing coater'!$B:$B),4)):D556,"N"),IF(D556="N1",COUNTIF($D$9:D556,"N1"),""))</f>
        <v/>
      </c>
      <c r="J556" s="96" t="str">
        <f>IF(D556="","",COUNTA(D548:D556)-(COUNTA(D556:D556)-1))</f>
        <v/>
      </c>
    </row>
    <row r="557" spans="1:10" thickBot="1">
      <c r="A557" s="117"/>
      <c r="B557" s="70">
        <f t="shared" si="37"/>
        <v>44349</v>
      </c>
      <c r="C557" s="82" t="str">
        <f t="shared" si="38"/>
        <v>mercredi</v>
      </c>
      <c r="D557" s="87"/>
      <c r="E557" s="115" t="str">
        <f t="shared" si="39"/>
        <v/>
      </c>
      <c r="F557" s="115" t="str">
        <f t="shared" si="40"/>
        <v/>
      </c>
      <c r="G557" s="116" t="str">
        <f>IF(ISNONTEXT(D557),"",E557-MAX($F$2:F556))</f>
        <v/>
      </c>
      <c r="H557" s="97"/>
      <c r="I557" s="74" t="str">
        <f ca="1">IF(D557="N",COUNTIF(INDIRECT(ADDRESS(MATCH(Plages!$D$19,'Planning annuel mixing coater'!$B:$B),4)):D557,"N"),IF(D557="N1",COUNTIF($D$9:D557,"N1"),""))</f>
        <v/>
      </c>
      <c r="J557" s="96" t="str">
        <f>IF(D557="","",COUNTA(D548:D557)-(COUNTA(D557:D557)-1))</f>
        <v/>
      </c>
    </row>
    <row r="558" spans="1:10" thickBot="1">
      <c r="A558" s="117"/>
      <c r="B558" s="70">
        <f t="shared" si="37"/>
        <v>44350</v>
      </c>
      <c r="C558" s="82" t="str">
        <f t="shared" si="38"/>
        <v>jeudi</v>
      </c>
      <c r="D558" s="87"/>
      <c r="E558" s="115" t="str">
        <f t="shared" si="39"/>
        <v/>
      </c>
      <c r="F558" s="115" t="str">
        <f t="shared" si="40"/>
        <v/>
      </c>
      <c r="G558" s="116" t="str">
        <f>IF(ISNONTEXT(D558),"",E558-MAX($F$2:F557))</f>
        <v/>
      </c>
      <c r="H558" s="97"/>
      <c r="I558" s="74" t="str">
        <f ca="1">IF(D558="N",COUNTIF(INDIRECT(ADDRESS(MATCH(Plages!$D$19,'Planning annuel mixing coater'!$B:$B),4)):D558,"N"),IF(D558="N1",COUNTIF($D$9:D558,"N1"),""))</f>
        <v/>
      </c>
      <c r="J558" s="96" t="str">
        <f>IF(D558="","",COUNTA(D548:D558)-(COUNTA(D558:D558)-1))</f>
        <v/>
      </c>
    </row>
    <row r="559" spans="1:10" thickBot="1">
      <c r="A559" s="117"/>
      <c r="B559" s="70">
        <f t="shared" si="37"/>
        <v>44351</v>
      </c>
      <c r="C559" s="82" t="str">
        <f t="shared" si="38"/>
        <v>vendredi</v>
      </c>
      <c r="D559" s="87"/>
      <c r="E559" s="115" t="str">
        <f t="shared" si="39"/>
        <v/>
      </c>
      <c r="F559" s="115" t="str">
        <f t="shared" si="40"/>
        <v/>
      </c>
      <c r="G559" s="116" t="str">
        <f>IF(ISNONTEXT(D559),"",E559-MAX($F$2:F558))</f>
        <v/>
      </c>
      <c r="H559" s="97"/>
      <c r="I559" s="74" t="str">
        <f ca="1">IF(D559="N",COUNTIF(INDIRECT(ADDRESS(MATCH(Plages!$D$19,'Planning annuel mixing coater'!$B:$B),4)):D559,"N"),IF(D559="N1",COUNTIF($D$9:D559,"N1"),""))</f>
        <v/>
      </c>
      <c r="J559" s="96" t="str">
        <f>IF(D559="","",COUNTA(D548:D559)-(COUNTA(D559:D559)-1))</f>
        <v/>
      </c>
    </row>
    <row r="560" spans="1:10" thickBot="1">
      <c r="A560" s="117"/>
      <c r="B560" s="70">
        <f t="shared" si="37"/>
        <v>44352</v>
      </c>
      <c r="C560" s="82" t="str">
        <f t="shared" si="38"/>
        <v>samedi</v>
      </c>
      <c r="D560" s="87"/>
      <c r="E560" s="115" t="str">
        <f t="shared" si="39"/>
        <v/>
      </c>
      <c r="F560" s="115" t="str">
        <f t="shared" si="40"/>
        <v/>
      </c>
      <c r="G560" s="116" t="str">
        <f>IF(ISNONTEXT(D560),"",E560-MAX($F$2:F559))</f>
        <v/>
      </c>
      <c r="H560" s="97"/>
      <c r="I560" s="74" t="str">
        <f ca="1">IF(D560="N",COUNTIF(INDIRECT(ADDRESS(MATCH(Plages!$D$19,'Planning annuel mixing coater'!$B:$B),4)):D560,"N"),IF(D560="N1",COUNTIF($D$9:D560,"N1"),""))</f>
        <v/>
      </c>
      <c r="J560" s="96" t="str">
        <f>IF(D560="","",COUNTA(D548:D560)-(COUNTA(D560:D560)-1))</f>
        <v/>
      </c>
    </row>
    <row r="561" spans="1:10" s="77" customFormat="1" thickBot="1">
      <c r="A561" s="117"/>
      <c r="B561" s="75">
        <f t="shared" si="37"/>
        <v>44353</v>
      </c>
      <c r="C561" s="83" t="str">
        <f t="shared" si="38"/>
        <v>dimanche</v>
      </c>
      <c r="D561" s="88"/>
      <c r="E561" s="115" t="str">
        <f t="shared" si="39"/>
        <v/>
      </c>
      <c r="F561" s="115" t="str">
        <f t="shared" si="40"/>
        <v/>
      </c>
      <c r="G561" s="116" t="str">
        <f>IF(ISNONTEXT(D561),"",E561-MAX($F$2:F560))</f>
        <v/>
      </c>
      <c r="H561" s="98"/>
      <c r="I561" s="76" t="str">
        <f ca="1">IF(D561="N",COUNTIF(INDIRECT(ADDRESS(MATCH(Plages!$D$19,'Planning annuel mixing coater'!$B:$B),4)):D561,"N"),IF(D561="N1",COUNTIF($D$9:D561,"N1"),""))</f>
        <v/>
      </c>
      <c r="J561" s="99" t="str">
        <f>IF(D561="","",COUNTA(D548:D561)-(COUNTA(D561:D561)-1))</f>
        <v/>
      </c>
    </row>
    <row r="562" spans="1:10" ht="16.5" thickTop="1" thickBot="1">
      <c r="A562" s="117"/>
      <c r="B562" s="78">
        <f t="shared" si="37"/>
        <v>44354</v>
      </c>
      <c r="C562" s="81" t="str">
        <f t="shared" si="38"/>
        <v>lundi</v>
      </c>
      <c r="D562" s="89"/>
      <c r="E562" s="115" t="str">
        <f t="shared" si="39"/>
        <v/>
      </c>
      <c r="F562" s="115" t="str">
        <f t="shared" si="40"/>
        <v/>
      </c>
      <c r="G562" s="116" t="str">
        <f>IF(ISNONTEXT(D562),"",E562-MAX($F$2:F561))</f>
        <v/>
      </c>
      <c r="H562" s="100"/>
      <c r="I562" s="79" t="str">
        <f ca="1">IF(D562="N",COUNTIF(INDIRECT(ADDRESS(MATCH(Plages!$D$19,'Planning annuel mixing coater'!$B:$B),4)):D562,"N"),IF(D562="N1",COUNTIF($D$9:D562,"N1"),""))</f>
        <v/>
      </c>
      <c r="J562" s="101" t="str">
        <f>IF(D562="","",COUNTA(D562:D562)-(COUNTA(D562:D562)-1))</f>
        <v/>
      </c>
    </row>
    <row r="563" spans="1:10" thickBot="1">
      <c r="A563" s="117"/>
      <c r="B563" s="70">
        <f t="shared" si="37"/>
        <v>44355</v>
      </c>
      <c r="C563" s="82" t="str">
        <f t="shared" si="38"/>
        <v>mardi</v>
      </c>
      <c r="D563" s="87"/>
      <c r="E563" s="115" t="str">
        <f t="shared" si="39"/>
        <v/>
      </c>
      <c r="F563" s="115" t="str">
        <f t="shared" si="40"/>
        <v/>
      </c>
      <c r="G563" s="116" t="str">
        <f>IF(ISNONTEXT(D563),"",E563-MAX($F$2:F562))</f>
        <v/>
      </c>
      <c r="H563" s="97"/>
      <c r="I563" s="74" t="str">
        <f ca="1">IF(D563="N",COUNTIF(INDIRECT(ADDRESS(MATCH(Plages!$D$19,'Planning annuel mixing coater'!$B:$B),4)):D563,"N"),IF(D563="N1",COUNTIF($D$9:D563,"N1"),""))</f>
        <v/>
      </c>
      <c r="J563" s="96" t="str">
        <f>IF(D563="","",COUNTA(D562:D563)-(COUNTA(D563:D563)-1))</f>
        <v/>
      </c>
    </row>
    <row r="564" spans="1:10" thickBot="1">
      <c r="A564" s="117"/>
      <c r="B564" s="70">
        <f t="shared" si="37"/>
        <v>44356</v>
      </c>
      <c r="C564" s="82" t="str">
        <f t="shared" si="38"/>
        <v>mercredi</v>
      </c>
      <c r="D564" s="87"/>
      <c r="E564" s="115" t="str">
        <f t="shared" si="39"/>
        <v/>
      </c>
      <c r="F564" s="115" t="str">
        <f t="shared" si="40"/>
        <v/>
      </c>
      <c r="G564" s="116" t="str">
        <f>IF(ISNONTEXT(D564),"",E564-MAX($F$2:F563))</f>
        <v/>
      </c>
      <c r="H564" s="97"/>
      <c r="I564" s="74" t="str">
        <f ca="1">IF(D564="N",COUNTIF(INDIRECT(ADDRESS(MATCH(Plages!$D$19,'Planning annuel mixing coater'!$B:$B),4)):D564,"N"),IF(D564="N1",COUNTIF($D$9:D564,"N1"),""))</f>
        <v/>
      </c>
      <c r="J564" s="96" t="str">
        <f>IF(D564="","",COUNTA(D562:D564)-(COUNTA(D564:D564)-1))</f>
        <v/>
      </c>
    </row>
    <row r="565" spans="1:10" thickBot="1">
      <c r="A565" s="117"/>
      <c r="B565" s="70">
        <f t="shared" si="37"/>
        <v>44357</v>
      </c>
      <c r="C565" s="82" t="str">
        <f t="shared" si="38"/>
        <v>jeudi</v>
      </c>
      <c r="D565" s="87"/>
      <c r="E565" s="115" t="str">
        <f t="shared" si="39"/>
        <v/>
      </c>
      <c r="F565" s="115" t="str">
        <f t="shared" si="40"/>
        <v/>
      </c>
      <c r="G565" s="116" t="str">
        <f>IF(ISNONTEXT(D565),"",E565-MAX($F$2:F564))</f>
        <v/>
      </c>
      <c r="H565" s="97"/>
      <c r="I565" s="74" t="str">
        <f ca="1">IF(D565="N",COUNTIF(INDIRECT(ADDRESS(MATCH(Plages!$D$19,'Planning annuel mixing coater'!$B:$B),4)):D565,"N"),IF(D565="N1",COUNTIF($D$9:D565,"N1"),""))</f>
        <v/>
      </c>
      <c r="J565" s="96" t="str">
        <f>IF(D565="","",COUNTA(D562:D565)-(COUNTA(D565:D565)-1))</f>
        <v/>
      </c>
    </row>
    <row r="566" spans="1:10" thickBot="1">
      <c r="A566" s="117"/>
      <c r="B566" s="70">
        <f t="shared" si="37"/>
        <v>44358</v>
      </c>
      <c r="C566" s="82" t="str">
        <f t="shared" si="38"/>
        <v>vendredi</v>
      </c>
      <c r="D566" s="87"/>
      <c r="E566" s="115" t="str">
        <f t="shared" si="39"/>
        <v/>
      </c>
      <c r="F566" s="115" t="str">
        <f t="shared" si="40"/>
        <v/>
      </c>
      <c r="G566" s="116" t="str">
        <f>IF(ISNONTEXT(D566),"",E566-MAX($F$2:F565))</f>
        <v/>
      </c>
      <c r="H566" s="97"/>
      <c r="I566" s="74" t="str">
        <f ca="1">IF(D566="N",COUNTIF(INDIRECT(ADDRESS(MATCH(Plages!$D$19,'Planning annuel mixing coater'!$B:$B),4)):D566,"N"),IF(D566="N1",COUNTIF($D$9:D566,"N1"),""))</f>
        <v/>
      </c>
      <c r="J566" s="96" t="str">
        <f>IF(D566="","",COUNTA(D562:D566)-(COUNTA(D566:D566)-1))</f>
        <v/>
      </c>
    </row>
    <row r="567" spans="1:10" thickBot="1">
      <c r="A567" s="117"/>
      <c r="B567" s="70">
        <f t="shared" si="37"/>
        <v>44359</v>
      </c>
      <c r="C567" s="82" t="str">
        <f t="shared" si="38"/>
        <v>samedi</v>
      </c>
      <c r="D567" s="87"/>
      <c r="E567" s="115" t="str">
        <f t="shared" si="39"/>
        <v/>
      </c>
      <c r="F567" s="115" t="str">
        <f t="shared" si="40"/>
        <v/>
      </c>
      <c r="G567" s="116" t="str">
        <f>IF(ISNONTEXT(D567),"",E567-MAX($F$2:F566))</f>
        <v/>
      </c>
      <c r="H567" s="97"/>
      <c r="I567" s="74" t="str">
        <f ca="1">IF(D567="N",COUNTIF(INDIRECT(ADDRESS(MATCH(Plages!$D$19,'Planning annuel mixing coater'!$B:$B),4)):D567,"N"),IF(D567="N1",COUNTIF($D$9:D567,"N1"),""))</f>
        <v/>
      </c>
      <c r="J567" s="96" t="str">
        <f>IF(D567="","",COUNTA(D562:D567)-(COUNTA(D567:D567)-1))</f>
        <v/>
      </c>
    </row>
    <row r="568" spans="1:10" thickBot="1">
      <c r="A568" s="117"/>
      <c r="B568" s="70">
        <f t="shared" si="37"/>
        <v>44360</v>
      </c>
      <c r="C568" s="82" t="str">
        <f t="shared" si="38"/>
        <v>dimanche</v>
      </c>
      <c r="D568" s="87"/>
      <c r="E568" s="115" t="str">
        <f t="shared" si="39"/>
        <v/>
      </c>
      <c r="F568" s="115" t="str">
        <f t="shared" si="40"/>
        <v/>
      </c>
      <c r="G568" s="116" t="str">
        <f>IF(ISNONTEXT(D568),"",E568-MAX($F$2:F567))</f>
        <v/>
      </c>
      <c r="H568" s="98"/>
      <c r="I568" s="74" t="str">
        <f ca="1">IF(D568="N",COUNTIF(INDIRECT(ADDRESS(MATCH(Plages!$D$19,'Planning annuel mixing coater'!$B:$B),4)):D568,"N"),IF(D568="N1",COUNTIF($D$9:D568,"N1"),""))</f>
        <v/>
      </c>
      <c r="J568" s="96" t="str">
        <f>IF(D568="","",COUNTA(D562:D568)-(COUNTA(D568:D568)-1))</f>
        <v/>
      </c>
    </row>
    <row r="569" spans="1:10" thickBot="1">
      <c r="A569" s="117"/>
      <c r="B569" s="70">
        <f t="shared" si="37"/>
        <v>44361</v>
      </c>
      <c r="C569" s="82" t="str">
        <f t="shared" si="38"/>
        <v>lundi</v>
      </c>
      <c r="D569" s="87"/>
      <c r="E569" s="115" t="str">
        <f t="shared" si="39"/>
        <v/>
      </c>
      <c r="F569" s="115" t="str">
        <f t="shared" si="40"/>
        <v/>
      </c>
      <c r="G569" s="116" t="str">
        <f>IF(ISNONTEXT(D569),"",E569-MAX($F$2:F568))</f>
        <v/>
      </c>
      <c r="H569" s="97"/>
      <c r="I569" s="74" t="str">
        <f ca="1">IF(D569="N",COUNTIF(INDIRECT(ADDRESS(MATCH(Plages!$D$19,'Planning annuel mixing coater'!$B:$B),4)):D569,"N"),IF(D569="N1",COUNTIF($D$9:D569,"N1"),""))</f>
        <v/>
      </c>
      <c r="J569" s="96" t="str">
        <f>IF(D569="","",COUNTA(D562:D569)-(COUNTA(D569:D569)-1))</f>
        <v/>
      </c>
    </row>
    <row r="570" spans="1:10" thickBot="1">
      <c r="A570" s="117"/>
      <c r="B570" s="70">
        <f t="shared" si="37"/>
        <v>44362</v>
      </c>
      <c r="C570" s="82" t="str">
        <f t="shared" si="38"/>
        <v>mardi</v>
      </c>
      <c r="D570" s="87"/>
      <c r="E570" s="115" t="str">
        <f t="shared" si="39"/>
        <v/>
      </c>
      <c r="F570" s="115" t="str">
        <f t="shared" si="40"/>
        <v/>
      </c>
      <c r="G570" s="116" t="str">
        <f>IF(ISNONTEXT(D570),"",E570-MAX($F$2:F569))</f>
        <v/>
      </c>
      <c r="H570" s="97"/>
      <c r="I570" s="74" t="str">
        <f ca="1">IF(D570="N",COUNTIF(INDIRECT(ADDRESS(MATCH(Plages!$D$19,'Planning annuel mixing coater'!$B:$B),4)):D570,"N"),IF(D570="N1",COUNTIF($D$9:D570,"N1"),""))</f>
        <v/>
      </c>
      <c r="J570" s="96" t="str">
        <f>IF(D570="","",COUNTA(D562:D570)-(COUNTA(D570:D570)-1))</f>
        <v/>
      </c>
    </row>
    <row r="571" spans="1:10" thickBot="1">
      <c r="A571" s="117"/>
      <c r="B571" s="70">
        <f t="shared" si="37"/>
        <v>44363</v>
      </c>
      <c r="C571" s="82" t="str">
        <f t="shared" si="38"/>
        <v>mercredi</v>
      </c>
      <c r="D571" s="87"/>
      <c r="E571" s="115" t="str">
        <f t="shared" si="39"/>
        <v/>
      </c>
      <c r="F571" s="115" t="str">
        <f t="shared" si="40"/>
        <v/>
      </c>
      <c r="G571" s="116" t="str">
        <f>IF(ISNONTEXT(D571),"",E571-MAX($F$2:F570))</f>
        <v/>
      </c>
      <c r="H571" s="97"/>
      <c r="I571" s="74" t="str">
        <f ca="1">IF(D571="N",COUNTIF(INDIRECT(ADDRESS(MATCH(Plages!$D$19,'Planning annuel mixing coater'!$B:$B),4)):D571,"N"),IF(D571="N1",COUNTIF($D$9:D571,"N1"),""))</f>
        <v/>
      </c>
      <c r="J571" s="96" t="str">
        <f>IF(D571="","",COUNTA(D562:D571)-(COUNTA(D571:D571)-1))</f>
        <v/>
      </c>
    </row>
    <row r="572" spans="1:10" thickBot="1">
      <c r="A572" s="117"/>
      <c r="B572" s="70">
        <f t="shared" si="37"/>
        <v>44364</v>
      </c>
      <c r="C572" s="82" t="str">
        <f t="shared" si="38"/>
        <v>jeudi</v>
      </c>
      <c r="D572" s="87"/>
      <c r="E572" s="115" t="str">
        <f t="shared" si="39"/>
        <v/>
      </c>
      <c r="F572" s="115" t="str">
        <f t="shared" si="40"/>
        <v/>
      </c>
      <c r="G572" s="116" t="str">
        <f>IF(ISNONTEXT(D572),"",E572-MAX($F$2:F571))</f>
        <v/>
      </c>
      <c r="H572" s="97"/>
      <c r="I572" s="74" t="str">
        <f ca="1">IF(D572="N",COUNTIF(INDIRECT(ADDRESS(MATCH(Plages!$D$19,'Planning annuel mixing coater'!$B:$B),4)):D572,"N"),IF(D572="N1",COUNTIF($D$9:D572,"N1"),""))</f>
        <v/>
      </c>
      <c r="J572" s="96" t="str">
        <f>IF(D572="","",COUNTA(D562:D572)-(COUNTA(D572:D572)-1))</f>
        <v/>
      </c>
    </row>
    <row r="573" spans="1:10" thickBot="1">
      <c r="A573" s="117"/>
      <c r="B573" s="70">
        <f t="shared" si="37"/>
        <v>44365</v>
      </c>
      <c r="C573" s="82" t="str">
        <f t="shared" si="38"/>
        <v>vendredi</v>
      </c>
      <c r="D573" s="87"/>
      <c r="E573" s="115" t="str">
        <f t="shared" si="39"/>
        <v/>
      </c>
      <c r="F573" s="115" t="str">
        <f t="shared" si="40"/>
        <v/>
      </c>
      <c r="G573" s="116" t="str">
        <f>IF(ISNONTEXT(D573),"",E573-MAX($F$2:F572))</f>
        <v/>
      </c>
      <c r="H573" s="97"/>
      <c r="I573" s="74" t="str">
        <f ca="1">IF(D573="N",COUNTIF(INDIRECT(ADDRESS(MATCH(Plages!$D$19,'Planning annuel mixing coater'!$B:$B),4)):D573,"N"),IF(D573="N1",COUNTIF($D$9:D573,"N1"),""))</f>
        <v/>
      </c>
      <c r="J573" s="96" t="str">
        <f>IF(D573="","",COUNTA(D562:D573)-(COUNTA(D573:D573)-1))</f>
        <v/>
      </c>
    </row>
    <row r="574" spans="1:10" thickBot="1">
      <c r="A574" s="117"/>
      <c r="B574" s="70">
        <f t="shared" si="37"/>
        <v>44366</v>
      </c>
      <c r="C574" s="82" t="str">
        <f t="shared" si="38"/>
        <v>samedi</v>
      </c>
      <c r="D574" s="87"/>
      <c r="E574" s="115" t="str">
        <f t="shared" si="39"/>
        <v/>
      </c>
      <c r="F574" s="115" t="str">
        <f t="shared" si="40"/>
        <v/>
      </c>
      <c r="G574" s="116" t="str">
        <f>IF(ISNONTEXT(D574),"",E574-MAX($F$2:F573))</f>
        <v/>
      </c>
      <c r="H574" s="97"/>
      <c r="I574" s="74" t="str">
        <f ca="1">IF(D574="N",COUNTIF(INDIRECT(ADDRESS(MATCH(Plages!$D$19,'Planning annuel mixing coater'!$B:$B),4)):D574,"N"),IF(D574="N1",COUNTIF($D$9:D574,"N1"),""))</f>
        <v/>
      </c>
      <c r="J574" s="96" t="str">
        <f>IF(D574="","",COUNTA(D562:D574)-(COUNTA(D574:D574)-1))</f>
        <v/>
      </c>
    </row>
    <row r="575" spans="1:10" s="77" customFormat="1" thickBot="1">
      <c r="A575" s="117"/>
      <c r="B575" s="75">
        <f t="shared" si="37"/>
        <v>44367</v>
      </c>
      <c r="C575" s="83" t="str">
        <f t="shared" si="38"/>
        <v>dimanche</v>
      </c>
      <c r="D575" s="88"/>
      <c r="E575" s="115" t="str">
        <f t="shared" si="39"/>
        <v/>
      </c>
      <c r="F575" s="115" t="str">
        <f t="shared" si="40"/>
        <v/>
      </c>
      <c r="G575" s="116" t="str">
        <f>IF(ISNONTEXT(D575),"",E575-MAX($F$2:F574))</f>
        <v/>
      </c>
      <c r="H575" s="98"/>
      <c r="I575" s="76" t="str">
        <f ca="1">IF(D575="N",COUNTIF(INDIRECT(ADDRESS(MATCH(Plages!$D$19,'Planning annuel mixing coater'!$B:$B),4)):D575,"N"),IF(D575="N1",COUNTIF($D$9:D575,"N1"),""))</f>
        <v/>
      </c>
      <c r="J575" s="99" t="str">
        <f>IF(D575="","",COUNTA(D562:D575)-(COUNTA(D575:D575)-1))</f>
        <v/>
      </c>
    </row>
    <row r="576" spans="1:10" ht="16.5" thickTop="1" thickBot="1">
      <c r="A576" s="117"/>
      <c r="B576" s="78">
        <f t="shared" si="37"/>
        <v>44368</v>
      </c>
      <c r="C576" s="81" t="str">
        <f t="shared" si="38"/>
        <v>lundi</v>
      </c>
      <c r="D576" s="89"/>
      <c r="E576" s="115" t="str">
        <f t="shared" si="39"/>
        <v/>
      </c>
      <c r="F576" s="115" t="str">
        <f t="shared" si="40"/>
        <v/>
      </c>
      <c r="G576" s="116" t="str">
        <f>IF(ISNONTEXT(D576),"",E576-MAX($F$2:F575))</f>
        <v/>
      </c>
      <c r="H576" s="100"/>
      <c r="I576" s="79" t="str">
        <f ca="1">IF(D576="N",COUNTIF(INDIRECT(ADDRESS(MATCH(Plages!$D$19,'Planning annuel mixing coater'!$B:$B),4)):D576,"N"),IF(D576="N1",COUNTIF($D$9:D576,"N1"),""))</f>
        <v/>
      </c>
      <c r="J576" s="101" t="str">
        <f>IF(D576="","",COUNTA(D576:D576)-(COUNTA(D576:D576)-1))</f>
        <v/>
      </c>
    </row>
    <row r="577" spans="1:10" thickBot="1">
      <c r="A577" s="117"/>
      <c r="B577" s="70">
        <f t="shared" si="37"/>
        <v>44369</v>
      </c>
      <c r="C577" s="82" t="str">
        <f t="shared" si="38"/>
        <v>mardi</v>
      </c>
      <c r="D577" s="87"/>
      <c r="E577" s="115" t="str">
        <f t="shared" si="39"/>
        <v/>
      </c>
      <c r="F577" s="115" t="str">
        <f t="shared" si="40"/>
        <v/>
      </c>
      <c r="G577" s="116" t="str">
        <f>IF(ISNONTEXT(D577),"",E577-MAX($F$2:F576))</f>
        <v/>
      </c>
      <c r="H577" s="97"/>
      <c r="I577" s="74" t="str">
        <f ca="1">IF(D577="N",COUNTIF(INDIRECT(ADDRESS(MATCH(Plages!$D$19,'Planning annuel mixing coater'!$B:$B),4)):D577,"N"),IF(D577="N1",COUNTIF($D$9:D577,"N1"),""))</f>
        <v/>
      </c>
      <c r="J577" s="96" t="str">
        <f>IF(D577="","",COUNTA(D576:D577)-(COUNTA(D577:D577)-1))</f>
        <v/>
      </c>
    </row>
    <row r="578" spans="1:10" thickBot="1">
      <c r="A578" s="117"/>
      <c r="B578" s="70">
        <f t="shared" si="37"/>
        <v>44370</v>
      </c>
      <c r="C578" s="82" t="str">
        <f t="shared" si="38"/>
        <v>mercredi</v>
      </c>
      <c r="D578" s="87"/>
      <c r="E578" s="115" t="str">
        <f t="shared" si="39"/>
        <v/>
      </c>
      <c r="F578" s="115" t="str">
        <f t="shared" si="40"/>
        <v/>
      </c>
      <c r="G578" s="116" t="str">
        <f>IF(ISNONTEXT(D578),"",E578-MAX($F$2:F577))</f>
        <v/>
      </c>
      <c r="H578" s="97"/>
      <c r="I578" s="74" t="str">
        <f ca="1">IF(D578="N",COUNTIF(INDIRECT(ADDRESS(MATCH(Plages!$D$19,'Planning annuel mixing coater'!$B:$B),4)):D578,"N"),IF(D578="N1",COUNTIF($D$9:D578,"N1"),""))</f>
        <v/>
      </c>
      <c r="J578" s="96" t="str">
        <f>IF(D578="","",COUNTA(D576:D578)-(COUNTA(D578:D578)-1))</f>
        <v/>
      </c>
    </row>
    <row r="579" spans="1:10" thickBot="1">
      <c r="A579" s="117"/>
      <c r="B579" s="70">
        <f t="shared" si="37"/>
        <v>44371</v>
      </c>
      <c r="C579" s="82" t="str">
        <f t="shared" si="38"/>
        <v>jeudi</v>
      </c>
      <c r="D579" s="87"/>
      <c r="E579" s="115" t="str">
        <f t="shared" si="39"/>
        <v/>
      </c>
      <c r="F579" s="115" t="str">
        <f t="shared" si="40"/>
        <v/>
      </c>
      <c r="G579" s="116" t="str">
        <f>IF(ISNONTEXT(D579),"",E579-MAX($F$2:F578))</f>
        <v/>
      </c>
      <c r="H579" s="97"/>
      <c r="I579" s="74" t="str">
        <f ca="1">IF(D579="N",COUNTIF(INDIRECT(ADDRESS(MATCH(Plages!$D$19,'Planning annuel mixing coater'!$B:$B),4)):D579,"N"),IF(D579="N1",COUNTIF($D$9:D579,"N1"),""))</f>
        <v/>
      </c>
      <c r="J579" s="96" t="str">
        <f>IF(D579="","",COUNTA(D576:D579)-(COUNTA(D579:D579)-1))</f>
        <v/>
      </c>
    </row>
    <row r="580" spans="1:10" thickBot="1">
      <c r="A580" s="117"/>
      <c r="B580" s="70">
        <f t="shared" ref="B580:B643" si="41">IF(B579="","",B579+1)</f>
        <v>44372</v>
      </c>
      <c r="C580" s="82" t="str">
        <f t="shared" si="38"/>
        <v>vendredi</v>
      </c>
      <c r="D580" s="87"/>
      <c r="E580" s="115" t="str">
        <f t="shared" si="39"/>
        <v/>
      </c>
      <c r="F580" s="115" t="str">
        <f t="shared" si="40"/>
        <v/>
      </c>
      <c r="G580" s="116" t="str">
        <f>IF(ISNONTEXT(D580),"",E580-MAX($F$2:F579))</f>
        <v/>
      </c>
      <c r="H580" s="97"/>
      <c r="I580" s="74" t="str">
        <f ca="1">IF(D580="N",COUNTIF(INDIRECT(ADDRESS(MATCH(Plages!$D$19,'Planning annuel mixing coater'!$B:$B),4)):D580,"N"),IF(D580="N1",COUNTIF($D$9:D580,"N1"),""))</f>
        <v/>
      </c>
      <c r="J580" s="96" t="str">
        <f>IF(D580="","",COUNTA(D576:D580)-(COUNTA(D580:D580)-1))</f>
        <v/>
      </c>
    </row>
    <row r="581" spans="1:10" thickBot="1">
      <c r="A581" s="117"/>
      <c r="B581" s="70">
        <f t="shared" si="41"/>
        <v>44373</v>
      </c>
      <c r="C581" s="82" t="str">
        <f t="shared" si="38"/>
        <v>samedi</v>
      </c>
      <c r="D581" s="87"/>
      <c r="E581" s="115" t="str">
        <f t="shared" si="39"/>
        <v/>
      </c>
      <c r="F581" s="115" t="str">
        <f t="shared" si="40"/>
        <v/>
      </c>
      <c r="G581" s="116" t="str">
        <f>IF(ISNONTEXT(D581),"",E581-MAX($F$2:F580))</f>
        <v/>
      </c>
      <c r="H581" s="97"/>
      <c r="I581" s="74" t="str">
        <f ca="1">IF(D581="N",COUNTIF(INDIRECT(ADDRESS(MATCH(Plages!$D$19,'Planning annuel mixing coater'!$B:$B),4)):D581,"N"),IF(D581="N1",COUNTIF($D$9:D581,"N1"),""))</f>
        <v/>
      </c>
      <c r="J581" s="96" t="str">
        <f>IF(D581="","",COUNTA(D576:D581)-(COUNTA(D581:D581)-1))</f>
        <v/>
      </c>
    </row>
    <row r="582" spans="1:10" thickBot="1">
      <c r="A582" s="117"/>
      <c r="B582" s="70">
        <f t="shared" si="41"/>
        <v>44374</v>
      </c>
      <c r="C582" s="82" t="str">
        <f t="shared" si="38"/>
        <v>dimanche</v>
      </c>
      <c r="D582" s="87"/>
      <c r="E582" s="115" t="str">
        <f t="shared" si="39"/>
        <v/>
      </c>
      <c r="F582" s="115" t="str">
        <f t="shared" si="40"/>
        <v/>
      </c>
      <c r="G582" s="116" t="str">
        <f>IF(ISNONTEXT(D582),"",E582-MAX($F$2:F581))</f>
        <v/>
      </c>
      <c r="H582" s="98"/>
      <c r="I582" s="74" t="str">
        <f ca="1">IF(D582="N",COUNTIF(INDIRECT(ADDRESS(MATCH(Plages!$D$19,'Planning annuel mixing coater'!$B:$B),4)):D582,"N"),IF(D582="N1",COUNTIF($D$9:D582,"N1"),""))</f>
        <v/>
      </c>
      <c r="J582" s="96" t="str">
        <f>IF(D582="","",COUNTA(D576:D582)-(COUNTA(D582:D582)-1))</f>
        <v/>
      </c>
    </row>
    <row r="583" spans="1:10" thickBot="1">
      <c r="A583" s="117"/>
      <c r="B583" s="70">
        <f t="shared" si="41"/>
        <v>44375</v>
      </c>
      <c r="C583" s="82" t="str">
        <f t="shared" si="38"/>
        <v>lundi</v>
      </c>
      <c r="D583" s="87"/>
      <c r="E583" s="115" t="str">
        <f t="shared" si="39"/>
        <v/>
      </c>
      <c r="F583" s="115" t="str">
        <f t="shared" si="40"/>
        <v/>
      </c>
      <c r="G583" s="116" t="str">
        <f>IF(ISNONTEXT(D583),"",E583-MAX($F$2:F582))</f>
        <v/>
      </c>
      <c r="H583" s="97"/>
      <c r="I583" s="74" t="str">
        <f ca="1">IF(D583="N",COUNTIF(INDIRECT(ADDRESS(MATCH(Plages!$D$19,'Planning annuel mixing coater'!$B:$B),4)):D583,"N"),IF(D583="N1",COUNTIF($D$9:D583,"N1"),""))</f>
        <v/>
      </c>
      <c r="J583" s="96" t="str">
        <f>IF(D583="","",COUNTA(D576:D583)-(COUNTA(D583:D583)-1))</f>
        <v/>
      </c>
    </row>
    <row r="584" spans="1:10" thickBot="1">
      <c r="A584" s="117"/>
      <c r="B584" s="70">
        <f t="shared" si="41"/>
        <v>44376</v>
      </c>
      <c r="C584" s="82" t="str">
        <f t="shared" si="38"/>
        <v>mardi</v>
      </c>
      <c r="D584" s="87"/>
      <c r="E584" s="115" t="str">
        <f t="shared" si="39"/>
        <v/>
      </c>
      <c r="F584" s="115" t="str">
        <f t="shared" si="40"/>
        <v/>
      </c>
      <c r="G584" s="116" t="str">
        <f>IF(ISNONTEXT(D584),"",E584-MAX($F$2:F583))</f>
        <v/>
      </c>
      <c r="H584" s="97"/>
      <c r="I584" s="74" t="str">
        <f ca="1">IF(D584="N",COUNTIF(INDIRECT(ADDRESS(MATCH(Plages!$D$19,'Planning annuel mixing coater'!$B:$B),4)):D584,"N"),IF(D584="N1",COUNTIF($D$9:D584,"N1"),""))</f>
        <v/>
      </c>
      <c r="J584" s="96" t="str">
        <f>IF(D584="","",COUNTA(D576:D584)-(COUNTA(D584:D584)-1))</f>
        <v/>
      </c>
    </row>
    <row r="585" spans="1:10" thickBot="1">
      <c r="A585" s="117"/>
      <c r="B585" s="70">
        <f t="shared" si="41"/>
        <v>44377</v>
      </c>
      <c r="C585" s="82" t="str">
        <f t="shared" si="38"/>
        <v>mercredi</v>
      </c>
      <c r="D585" s="87"/>
      <c r="E585" s="115" t="str">
        <f t="shared" si="39"/>
        <v/>
      </c>
      <c r="F585" s="115" t="str">
        <f t="shared" si="40"/>
        <v/>
      </c>
      <c r="G585" s="116" t="str">
        <f>IF(ISNONTEXT(D585),"",E585-MAX($F$2:F584))</f>
        <v/>
      </c>
      <c r="H585" s="97"/>
      <c r="I585" s="74" t="str">
        <f ca="1">IF(D585="N",COUNTIF(INDIRECT(ADDRESS(MATCH(Plages!$D$19,'Planning annuel mixing coater'!$B:$B),4)):D585,"N"),IF(D585="N1",COUNTIF($D$9:D585,"N1"),""))</f>
        <v/>
      </c>
      <c r="J585" s="96" t="str">
        <f>IF(D585="","",COUNTA(D576:D585)-(COUNTA(D585:D585)-1))</f>
        <v/>
      </c>
    </row>
    <row r="586" spans="1:10" thickBot="1">
      <c r="A586" s="117"/>
      <c r="B586" s="70">
        <f t="shared" si="41"/>
        <v>44378</v>
      </c>
      <c r="C586" s="82" t="str">
        <f t="shared" si="38"/>
        <v>jeudi</v>
      </c>
      <c r="D586" s="87"/>
      <c r="E586" s="115" t="str">
        <f t="shared" si="39"/>
        <v/>
      </c>
      <c r="F586" s="115" t="str">
        <f t="shared" si="40"/>
        <v/>
      </c>
      <c r="G586" s="116" t="str">
        <f>IF(ISNONTEXT(D586),"",E586-MAX($F$2:F585))</f>
        <v/>
      </c>
      <c r="H586" s="97"/>
      <c r="I586" s="74" t="str">
        <f ca="1">IF(D586="N",COUNTIF(INDIRECT(ADDRESS(MATCH(Plages!$D$19,'Planning annuel mixing coater'!$B:$B),4)):D586,"N"),IF(D586="N1",COUNTIF($D$9:D586,"N1"),""))</f>
        <v/>
      </c>
      <c r="J586" s="96" t="str">
        <f>IF(D586="","",COUNTA(D576:D586)-(COUNTA(D586:D586)-1))</f>
        <v/>
      </c>
    </row>
    <row r="587" spans="1:10" thickBot="1">
      <c r="A587" s="117"/>
      <c r="B587" s="70">
        <f t="shared" si="41"/>
        <v>44379</v>
      </c>
      <c r="C587" s="82" t="str">
        <f t="shared" si="38"/>
        <v>vendredi</v>
      </c>
      <c r="D587" s="87"/>
      <c r="E587" s="115" t="str">
        <f t="shared" si="39"/>
        <v/>
      </c>
      <c r="F587" s="115" t="str">
        <f t="shared" si="40"/>
        <v/>
      </c>
      <c r="G587" s="116" t="str">
        <f>IF(ISNONTEXT(D587),"",E587-MAX($F$2:F586))</f>
        <v/>
      </c>
      <c r="H587" s="97"/>
      <c r="I587" s="74" t="str">
        <f ca="1">IF(D587="N",COUNTIF(INDIRECT(ADDRESS(MATCH(Plages!$D$19,'Planning annuel mixing coater'!$B:$B),4)):D587,"N"),IF(D587="N1",COUNTIF($D$9:D587,"N1"),""))</f>
        <v/>
      </c>
      <c r="J587" s="96" t="str">
        <f>IF(D587="","",COUNTA(D576:D587)-(COUNTA(D587:D587)-1))</f>
        <v/>
      </c>
    </row>
    <row r="588" spans="1:10" thickBot="1">
      <c r="A588" s="117"/>
      <c r="B588" s="70">
        <f t="shared" si="41"/>
        <v>44380</v>
      </c>
      <c r="C588" s="82" t="str">
        <f t="shared" si="38"/>
        <v>samedi</v>
      </c>
      <c r="D588" s="87"/>
      <c r="E588" s="115" t="str">
        <f t="shared" si="39"/>
        <v/>
      </c>
      <c r="F588" s="115" t="str">
        <f t="shared" si="40"/>
        <v/>
      </c>
      <c r="G588" s="116" t="str">
        <f>IF(ISNONTEXT(D588),"",E588-MAX($F$2:F587))</f>
        <v/>
      </c>
      <c r="H588" s="97"/>
      <c r="I588" s="74" t="str">
        <f ca="1">IF(D588="N",COUNTIF(INDIRECT(ADDRESS(MATCH(Plages!$D$19,'Planning annuel mixing coater'!$B:$B),4)):D588,"N"),IF(D588="N1",COUNTIF($D$9:D588,"N1"),""))</f>
        <v/>
      </c>
      <c r="J588" s="96" t="str">
        <f>IF(D588="","",COUNTA(D576:D588)-(COUNTA(D588:D588)-1))</f>
        <v/>
      </c>
    </row>
    <row r="589" spans="1:10" s="77" customFormat="1" thickBot="1">
      <c r="A589" s="117"/>
      <c r="B589" s="75">
        <f t="shared" si="41"/>
        <v>44381</v>
      </c>
      <c r="C589" s="83" t="str">
        <f t="shared" si="38"/>
        <v>dimanche</v>
      </c>
      <c r="D589" s="88"/>
      <c r="E589" s="115" t="str">
        <f t="shared" si="39"/>
        <v/>
      </c>
      <c r="F589" s="115" t="str">
        <f t="shared" si="40"/>
        <v/>
      </c>
      <c r="G589" s="116" t="str">
        <f>IF(ISNONTEXT(D589),"",E589-MAX($F$2:F588))</f>
        <v/>
      </c>
      <c r="H589" s="98"/>
      <c r="I589" s="76" t="str">
        <f ca="1">IF(D589="N",COUNTIF(INDIRECT(ADDRESS(MATCH(Plages!$D$19,'Planning annuel mixing coater'!$B:$B),4)):D589,"N"),IF(D589="N1",COUNTIF($D$9:D589,"N1"),""))</f>
        <v/>
      </c>
      <c r="J589" s="99" t="str">
        <f>IF(D589="","",COUNTA(D576:D589)-(COUNTA(D589:D589)-1))</f>
        <v/>
      </c>
    </row>
    <row r="590" spans="1:10" ht="16.5" thickTop="1" thickBot="1">
      <c r="A590" s="117"/>
      <c r="B590" s="78">
        <f t="shared" si="41"/>
        <v>44382</v>
      </c>
      <c r="C590" s="81" t="str">
        <f t="shared" si="38"/>
        <v>lundi</v>
      </c>
      <c r="D590" s="89"/>
      <c r="E590" s="115" t="str">
        <f t="shared" si="39"/>
        <v/>
      </c>
      <c r="F590" s="115" t="str">
        <f t="shared" si="40"/>
        <v/>
      </c>
      <c r="G590" s="116" t="str">
        <f>IF(ISNONTEXT(D590),"",E590-MAX($F$2:F589))</f>
        <v/>
      </c>
      <c r="H590" s="100"/>
      <c r="I590" s="79" t="str">
        <f ca="1">IF(D590="N",COUNTIF(INDIRECT(ADDRESS(MATCH(Plages!$D$19,'Planning annuel mixing coater'!$B:$B),4)):D590,"N"),IF(D590="N1",COUNTIF($D$9:D590,"N1"),""))</f>
        <v/>
      </c>
      <c r="J590" s="101" t="str">
        <f>IF(D590="","",COUNTA(D590:D590)-(COUNTA(D590:D590)-1))</f>
        <v/>
      </c>
    </row>
    <row r="591" spans="1:10" thickBot="1">
      <c r="A591" s="117"/>
      <c r="B591" s="70">
        <f t="shared" si="41"/>
        <v>44383</v>
      </c>
      <c r="C591" s="82" t="str">
        <f t="shared" si="38"/>
        <v>mardi</v>
      </c>
      <c r="D591" s="87"/>
      <c r="E591" s="115" t="str">
        <f t="shared" si="39"/>
        <v/>
      </c>
      <c r="F591" s="115" t="str">
        <f t="shared" si="40"/>
        <v/>
      </c>
      <c r="G591" s="116" t="str">
        <f>IF(ISNONTEXT(D591),"",E591-MAX($F$2:F590))</f>
        <v/>
      </c>
      <c r="H591" s="97"/>
      <c r="I591" s="74" t="str">
        <f ca="1">IF(D591="N",COUNTIF(INDIRECT(ADDRESS(MATCH(Plages!$D$19,'Planning annuel mixing coater'!$B:$B),4)):D591,"N"),IF(D591="N1",COUNTIF($D$9:D591,"N1"),""))</f>
        <v/>
      </c>
      <c r="J591" s="96" t="str">
        <f>IF(D591="","",COUNTA(D590:D591)-(COUNTA(D591:D591)-1))</f>
        <v/>
      </c>
    </row>
    <row r="592" spans="1:10" thickBot="1">
      <c r="A592" s="117"/>
      <c r="B592" s="70">
        <f t="shared" si="41"/>
        <v>44384</v>
      </c>
      <c r="C592" s="82" t="str">
        <f t="shared" si="38"/>
        <v>mercredi</v>
      </c>
      <c r="D592" s="87"/>
      <c r="E592" s="115" t="str">
        <f t="shared" si="39"/>
        <v/>
      </c>
      <c r="F592" s="115" t="str">
        <f t="shared" si="40"/>
        <v/>
      </c>
      <c r="G592" s="116" t="str">
        <f>IF(ISNONTEXT(D592),"",E592-MAX($F$2:F591))</f>
        <v/>
      </c>
      <c r="H592" s="97"/>
      <c r="I592" s="74" t="str">
        <f ca="1">IF(D592="N",COUNTIF(INDIRECT(ADDRESS(MATCH(Plages!$D$19,'Planning annuel mixing coater'!$B:$B),4)):D592,"N"),IF(D592="N1",COUNTIF($D$9:D592,"N1"),""))</f>
        <v/>
      </c>
      <c r="J592" s="96" t="str">
        <f>IF(D592="","",COUNTA(D590:D592)-(COUNTA(D592:D592)-1))</f>
        <v/>
      </c>
    </row>
    <row r="593" spans="1:10" thickBot="1">
      <c r="A593" s="117"/>
      <c r="B593" s="70">
        <f t="shared" si="41"/>
        <v>44385</v>
      </c>
      <c r="C593" s="82" t="str">
        <f t="shared" si="38"/>
        <v>jeudi</v>
      </c>
      <c r="D593" s="87"/>
      <c r="E593" s="115" t="str">
        <f t="shared" si="39"/>
        <v/>
      </c>
      <c r="F593" s="115" t="str">
        <f t="shared" si="40"/>
        <v/>
      </c>
      <c r="G593" s="116" t="str">
        <f>IF(ISNONTEXT(D593),"",E593-MAX($F$2:F592))</f>
        <v/>
      </c>
      <c r="H593" s="97"/>
      <c r="I593" s="74" t="str">
        <f ca="1">IF(D593="N",COUNTIF(INDIRECT(ADDRESS(MATCH(Plages!$D$19,'Planning annuel mixing coater'!$B:$B),4)):D593,"N"),IF(D593="N1",COUNTIF($D$9:D593,"N1"),""))</f>
        <v/>
      </c>
      <c r="J593" s="96" t="str">
        <f>IF(D593="","",COUNTA(D590:D593)-(COUNTA(D593:D593)-1))</f>
        <v/>
      </c>
    </row>
    <row r="594" spans="1:10" thickBot="1">
      <c r="A594" s="117"/>
      <c r="B594" s="70">
        <f t="shared" si="41"/>
        <v>44386</v>
      </c>
      <c r="C594" s="82" t="str">
        <f t="shared" si="38"/>
        <v>vendredi</v>
      </c>
      <c r="D594" s="87"/>
      <c r="E594" s="115" t="str">
        <f t="shared" si="39"/>
        <v/>
      </c>
      <c r="F594" s="115" t="str">
        <f t="shared" si="40"/>
        <v/>
      </c>
      <c r="G594" s="116" t="str">
        <f>IF(ISNONTEXT(D594),"",E594-MAX($F$2:F593))</f>
        <v/>
      </c>
      <c r="H594" s="97"/>
      <c r="I594" s="74" t="str">
        <f ca="1">IF(D594="N",COUNTIF(INDIRECT(ADDRESS(MATCH(Plages!$D$19,'Planning annuel mixing coater'!$B:$B),4)):D594,"N"),IF(D594="N1",COUNTIF($D$9:D594,"N1"),""))</f>
        <v/>
      </c>
      <c r="J594" s="96" t="str">
        <f>IF(D594="","",COUNTA(D590:D594)-(COUNTA(D594:D594)-1))</f>
        <v/>
      </c>
    </row>
    <row r="595" spans="1:10" thickBot="1">
      <c r="A595" s="117"/>
      <c r="B595" s="70">
        <f t="shared" si="41"/>
        <v>44387</v>
      </c>
      <c r="C595" s="82" t="str">
        <f t="shared" si="38"/>
        <v>samedi</v>
      </c>
      <c r="D595" s="87"/>
      <c r="E595" s="115" t="str">
        <f t="shared" si="39"/>
        <v/>
      </c>
      <c r="F595" s="115" t="str">
        <f t="shared" si="40"/>
        <v/>
      </c>
      <c r="G595" s="116" t="str">
        <f>IF(ISNONTEXT(D595),"",E595-MAX($F$2:F594))</f>
        <v/>
      </c>
      <c r="H595" s="97"/>
      <c r="I595" s="74" t="str">
        <f ca="1">IF(D595="N",COUNTIF(INDIRECT(ADDRESS(MATCH(Plages!$D$19,'Planning annuel mixing coater'!$B:$B),4)):D595,"N"),IF(D595="N1",COUNTIF($D$9:D595,"N1"),""))</f>
        <v/>
      </c>
      <c r="J595" s="96" t="str">
        <f>IF(D595="","",COUNTA(D590:D595)-(COUNTA(D595:D595)-1))</f>
        <v/>
      </c>
    </row>
    <row r="596" spans="1:10" thickBot="1">
      <c r="A596" s="117"/>
      <c r="B596" s="70">
        <f t="shared" si="41"/>
        <v>44388</v>
      </c>
      <c r="C596" s="82" t="str">
        <f t="shared" si="38"/>
        <v>dimanche</v>
      </c>
      <c r="D596" s="87"/>
      <c r="E596" s="115" t="str">
        <f t="shared" si="39"/>
        <v/>
      </c>
      <c r="F596" s="115" t="str">
        <f t="shared" si="40"/>
        <v/>
      </c>
      <c r="G596" s="116" t="str">
        <f>IF(ISNONTEXT(D596),"",E596-MAX($F$2:F595))</f>
        <v/>
      </c>
      <c r="H596" s="98"/>
      <c r="I596" s="74" t="str">
        <f ca="1">IF(D596="N",COUNTIF(INDIRECT(ADDRESS(MATCH(Plages!$D$19,'Planning annuel mixing coater'!$B:$B),4)):D596,"N"),IF(D596="N1",COUNTIF($D$9:D596,"N1"),""))</f>
        <v/>
      </c>
      <c r="J596" s="96" t="str">
        <f>IF(D596="","",COUNTA(D590:D596)-(COUNTA(D596:D596)-1))</f>
        <v/>
      </c>
    </row>
    <row r="597" spans="1:10" thickBot="1">
      <c r="A597" s="117"/>
      <c r="B597" s="70">
        <f t="shared" si="41"/>
        <v>44389</v>
      </c>
      <c r="C597" s="82" t="str">
        <f t="shared" si="38"/>
        <v>lundi</v>
      </c>
      <c r="D597" s="87"/>
      <c r="E597" s="115" t="str">
        <f t="shared" si="39"/>
        <v/>
      </c>
      <c r="F597" s="115" t="str">
        <f t="shared" si="40"/>
        <v/>
      </c>
      <c r="G597" s="116" t="str">
        <f>IF(ISNONTEXT(D597),"",E597-MAX($F$2:F596))</f>
        <v/>
      </c>
      <c r="H597" s="97"/>
      <c r="I597" s="74" t="str">
        <f ca="1">IF(D597="N",COUNTIF(INDIRECT(ADDRESS(MATCH(Plages!$D$19,'Planning annuel mixing coater'!$B:$B),4)):D597,"N"),IF(D597="N1",COUNTIF($D$9:D597,"N1"),""))</f>
        <v/>
      </c>
      <c r="J597" s="96" t="str">
        <f>IF(D597="","",COUNTA(D590:D597)-(COUNTA(D597:D597)-1))</f>
        <v/>
      </c>
    </row>
    <row r="598" spans="1:10" thickBot="1">
      <c r="A598" s="117"/>
      <c r="B598" s="70">
        <f t="shared" si="41"/>
        <v>44390</v>
      </c>
      <c r="C598" s="82" t="str">
        <f t="shared" si="38"/>
        <v>mardi</v>
      </c>
      <c r="D598" s="87"/>
      <c r="E598" s="115" t="str">
        <f t="shared" si="39"/>
        <v/>
      </c>
      <c r="F598" s="115" t="str">
        <f t="shared" si="40"/>
        <v/>
      </c>
      <c r="G598" s="116" t="str">
        <f>IF(ISNONTEXT(D598),"",E598-MAX($F$2:F597))</f>
        <v/>
      </c>
      <c r="H598" s="97"/>
      <c r="I598" s="74" t="str">
        <f ca="1">IF(D598="N",COUNTIF(INDIRECT(ADDRESS(MATCH(Plages!$D$19,'Planning annuel mixing coater'!$B:$B),4)):D598,"N"),IF(D598="N1",COUNTIF($D$9:D598,"N1"),""))</f>
        <v/>
      </c>
      <c r="J598" s="96" t="str">
        <f>IF(D598="","",COUNTA(D590:D598)-(COUNTA(D598:D598)-1))</f>
        <v/>
      </c>
    </row>
    <row r="599" spans="1:10" thickBot="1">
      <c r="A599" s="117"/>
      <c r="B599" s="70">
        <f t="shared" si="41"/>
        <v>44391</v>
      </c>
      <c r="C599" s="82" t="str">
        <f t="shared" si="38"/>
        <v>mercredi</v>
      </c>
      <c r="D599" s="87"/>
      <c r="E599" s="115" t="str">
        <f t="shared" si="39"/>
        <v/>
      </c>
      <c r="F599" s="115" t="str">
        <f t="shared" si="40"/>
        <v/>
      </c>
      <c r="G599" s="116" t="str">
        <f>IF(ISNONTEXT(D599),"",E599-MAX($F$2:F598))</f>
        <v/>
      </c>
      <c r="H599" s="97"/>
      <c r="I599" s="74" t="str">
        <f ca="1">IF(D599="N",COUNTIF(INDIRECT(ADDRESS(MATCH(Plages!$D$19,'Planning annuel mixing coater'!$B:$B),4)):D599,"N"),IF(D599="N1",COUNTIF($D$9:D599,"N1"),""))</f>
        <v/>
      </c>
      <c r="J599" s="96" t="str">
        <f>IF(D599="","",COUNTA(D590:D599)-(COUNTA(D599:D599)-1))</f>
        <v/>
      </c>
    </row>
    <row r="600" spans="1:10" thickBot="1">
      <c r="A600" s="117"/>
      <c r="B600" s="70">
        <f t="shared" si="41"/>
        <v>44392</v>
      </c>
      <c r="C600" s="82" t="str">
        <f t="shared" si="38"/>
        <v>jeudi</v>
      </c>
      <c r="D600" s="87"/>
      <c r="E600" s="115" t="str">
        <f t="shared" si="39"/>
        <v/>
      </c>
      <c r="F600" s="115" t="str">
        <f t="shared" si="40"/>
        <v/>
      </c>
      <c r="G600" s="116" t="str">
        <f>IF(ISNONTEXT(D600),"",E600-MAX($F$2:F599))</f>
        <v/>
      </c>
      <c r="H600" s="97"/>
      <c r="I600" s="74" t="str">
        <f ca="1">IF(D600="N",COUNTIF(INDIRECT(ADDRESS(MATCH(Plages!$D$19,'Planning annuel mixing coater'!$B:$B),4)):D600,"N"),IF(D600="N1",COUNTIF($D$9:D600,"N1"),""))</f>
        <v/>
      </c>
      <c r="J600" s="96" t="str">
        <f>IF(D600="","",COUNTA(D590:D600)-(COUNTA(D600:D600)-1))</f>
        <v/>
      </c>
    </row>
    <row r="601" spans="1:10" thickBot="1">
      <c r="A601" s="117"/>
      <c r="B601" s="70">
        <f t="shared" si="41"/>
        <v>44393</v>
      </c>
      <c r="C601" s="82" t="str">
        <f t="shared" si="38"/>
        <v>vendredi</v>
      </c>
      <c r="D601" s="87"/>
      <c r="E601" s="115" t="str">
        <f t="shared" si="39"/>
        <v/>
      </c>
      <c r="F601" s="115" t="str">
        <f t="shared" si="40"/>
        <v/>
      </c>
      <c r="G601" s="116" t="str">
        <f>IF(ISNONTEXT(D601),"",E601-MAX($F$2:F600))</f>
        <v/>
      </c>
      <c r="H601" s="97"/>
      <c r="I601" s="74" t="str">
        <f ca="1">IF(D601="N",COUNTIF(INDIRECT(ADDRESS(MATCH(Plages!$D$19,'Planning annuel mixing coater'!$B:$B),4)):D601,"N"),IF(D601="N1",COUNTIF($D$9:D601,"N1"),""))</f>
        <v/>
      </c>
      <c r="J601" s="96" t="str">
        <f>IF(D601="","",COUNTA(D590:D601)-(COUNTA(D601:D601)-1))</f>
        <v/>
      </c>
    </row>
    <row r="602" spans="1:10" thickBot="1">
      <c r="A602" s="117"/>
      <c r="B602" s="70">
        <f t="shared" si="41"/>
        <v>44394</v>
      </c>
      <c r="C602" s="82" t="str">
        <f t="shared" si="38"/>
        <v>samedi</v>
      </c>
      <c r="D602" s="87"/>
      <c r="E602" s="115" t="str">
        <f t="shared" si="39"/>
        <v/>
      </c>
      <c r="F602" s="115" t="str">
        <f t="shared" si="40"/>
        <v/>
      </c>
      <c r="G602" s="116" t="str">
        <f>IF(ISNONTEXT(D602),"",E602-MAX($F$2:F601))</f>
        <v/>
      </c>
      <c r="H602" s="97"/>
      <c r="I602" s="74" t="str">
        <f ca="1">IF(D602="N",COUNTIF(INDIRECT(ADDRESS(MATCH(Plages!$D$19,'Planning annuel mixing coater'!$B:$B),4)):D602,"N"),IF(D602="N1",COUNTIF($D$9:D602,"N1"),""))</f>
        <v/>
      </c>
      <c r="J602" s="96" t="str">
        <f>IF(D602="","",COUNTA(D590:D602)-(COUNTA(D602:D602)-1))</f>
        <v/>
      </c>
    </row>
    <row r="603" spans="1:10" s="77" customFormat="1" thickBot="1">
      <c r="A603" s="117"/>
      <c r="B603" s="75">
        <f t="shared" si="41"/>
        <v>44395</v>
      </c>
      <c r="C603" s="83" t="str">
        <f t="shared" si="38"/>
        <v>dimanche</v>
      </c>
      <c r="D603" s="88"/>
      <c r="E603" s="115" t="str">
        <f t="shared" si="39"/>
        <v/>
      </c>
      <c r="F603" s="115" t="str">
        <f t="shared" si="40"/>
        <v/>
      </c>
      <c r="G603" s="116" t="str">
        <f>IF(ISNONTEXT(D603),"",E603-MAX($F$2:F602))</f>
        <v/>
      </c>
      <c r="H603" s="98"/>
      <c r="I603" s="76" t="str">
        <f ca="1">IF(D603="N",COUNTIF(INDIRECT(ADDRESS(MATCH(Plages!$D$19,'Planning annuel mixing coater'!$B:$B),4)):D603,"N"),IF(D603="N1",COUNTIF($D$9:D603,"N1"),""))</f>
        <v/>
      </c>
      <c r="J603" s="99" t="str">
        <f>IF(D603="","",COUNTA(D590:D603)-(COUNTA(D603:D603)-1))</f>
        <v/>
      </c>
    </row>
    <row r="604" spans="1:10" ht="16.5" thickTop="1" thickBot="1">
      <c r="A604" s="117"/>
      <c r="B604" s="78">
        <f t="shared" si="41"/>
        <v>44396</v>
      </c>
      <c r="C604" s="81" t="str">
        <f t="shared" si="38"/>
        <v>lundi</v>
      </c>
      <c r="D604" s="89"/>
      <c r="E604" s="115" t="str">
        <f t="shared" si="39"/>
        <v/>
      </c>
      <c r="F604" s="115" t="str">
        <f t="shared" si="40"/>
        <v/>
      </c>
      <c r="G604" s="116" t="str">
        <f>IF(ISNONTEXT(D604),"",E604-MAX($F$2:F603))</f>
        <v/>
      </c>
      <c r="H604" s="100"/>
      <c r="I604" s="79" t="str">
        <f ca="1">IF(D604="N",COUNTIF(INDIRECT(ADDRESS(MATCH(Plages!$D$19,'Planning annuel mixing coater'!$B:$B),4)):D604,"N"),IF(D604="N1",COUNTIF($D$9:D604,"N1"),""))</f>
        <v/>
      </c>
      <c r="J604" s="101" t="str">
        <f>IF(D604="","",COUNTA(D604:D604)-(COUNTA(D604:D604)-1))</f>
        <v/>
      </c>
    </row>
    <row r="605" spans="1:10" thickBot="1">
      <c r="A605" s="117"/>
      <c r="B605" s="70">
        <f t="shared" si="41"/>
        <v>44397</v>
      </c>
      <c r="C605" s="82" t="str">
        <f t="shared" si="38"/>
        <v>mardi</v>
      </c>
      <c r="D605" s="87"/>
      <c r="E605" s="115" t="str">
        <f t="shared" si="39"/>
        <v/>
      </c>
      <c r="F605" s="115" t="str">
        <f t="shared" si="40"/>
        <v/>
      </c>
      <c r="G605" s="116" t="str">
        <f>IF(ISNONTEXT(D605),"",E605-MAX($F$2:F604))</f>
        <v/>
      </c>
      <c r="H605" s="97"/>
      <c r="I605" s="74" t="str">
        <f ca="1">IF(D605="N",COUNTIF(INDIRECT(ADDRESS(MATCH(Plages!$D$19,'Planning annuel mixing coater'!$B:$B),4)):D605,"N"),IF(D605="N1",COUNTIF($D$9:D605,"N1"),""))</f>
        <v/>
      </c>
      <c r="J605" s="96" t="str">
        <f>IF(D605="","",COUNTA(D604:D605)-(COUNTA(D605:D605)-1))</f>
        <v/>
      </c>
    </row>
    <row r="606" spans="1:10" thickBot="1">
      <c r="A606" s="117"/>
      <c r="B606" s="70">
        <f t="shared" si="41"/>
        <v>44398</v>
      </c>
      <c r="C606" s="82" t="str">
        <f t="shared" ref="C606:C669" si="42">IF(B606="","",TEXT(B606,"jjjj"))</f>
        <v>mercredi</v>
      </c>
      <c r="D606" s="87"/>
      <c r="E606" s="115" t="str">
        <f t="shared" ref="E606:E669" si="43">IF(D606="","",B606+VLOOKUP(D606,Plageh,2,0))</f>
        <v/>
      </c>
      <c r="F606" s="115" t="str">
        <f t="shared" ref="F606:F669" si="44">IF(D606="","",B606+VLOOKUP(D606,Plageh,3,0))</f>
        <v/>
      </c>
      <c r="G606" s="116" t="str">
        <f>IF(ISNONTEXT(D606),"",E606-MAX($F$2:F605))</f>
        <v/>
      </c>
      <c r="H606" s="97"/>
      <c r="I606" s="74" t="str">
        <f ca="1">IF(D606="N",COUNTIF(INDIRECT(ADDRESS(MATCH(Plages!$D$19,'Planning annuel mixing coater'!$B:$B),4)):D606,"N"),IF(D606="N1",COUNTIF($D$9:D606,"N1"),""))</f>
        <v/>
      </c>
      <c r="J606" s="96" t="str">
        <f>IF(D606="","",COUNTA(D604:D606)-(COUNTA(D606:D606)-1))</f>
        <v/>
      </c>
    </row>
    <row r="607" spans="1:10" thickBot="1">
      <c r="A607" s="117"/>
      <c r="B607" s="70">
        <f t="shared" si="41"/>
        <v>44399</v>
      </c>
      <c r="C607" s="82" t="str">
        <f t="shared" si="42"/>
        <v>jeudi</v>
      </c>
      <c r="D607" s="87"/>
      <c r="E607" s="115" t="str">
        <f t="shared" si="43"/>
        <v/>
      </c>
      <c r="F607" s="115" t="str">
        <f t="shared" si="44"/>
        <v/>
      </c>
      <c r="G607" s="116" t="str">
        <f>IF(ISNONTEXT(D607),"",E607-MAX($F$2:F606))</f>
        <v/>
      </c>
      <c r="H607" s="97"/>
      <c r="I607" s="74" t="str">
        <f ca="1">IF(D607="N",COUNTIF(INDIRECT(ADDRESS(MATCH(Plages!$D$19,'Planning annuel mixing coater'!$B:$B),4)):D607,"N"),IF(D607="N1",COUNTIF($D$9:D607,"N1"),""))</f>
        <v/>
      </c>
      <c r="J607" s="96" t="str">
        <f>IF(D607="","",COUNTA(D604:D607)-(COUNTA(D607:D607)-1))</f>
        <v/>
      </c>
    </row>
    <row r="608" spans="1:10" thickBot="1">
      <c r="A608" s="117"/>
      <c r="B608" s="70">
        <f t="shared" si="41"/>
        <v>44400</v>
      </c>
      <c r="C608" s="82" t="str">
        <f t="shared" si="42"/>
        <v>vendredi</v>
      </c>
      <c r="D608" s="87"/>
      <c r="E608" s="115" t="str">
        <f t="shared" si="43"/>
        <v/>
      </c>
      <c r="F608" s="115" t="str">
        <f t="shared" si="44"/>
        <v/>
      </c>
      <c r="G608" s="116" t="str">
        <f>IF(ISNONTEXT(D608),"",E608-MAX($F$2:F607))</f>
        <v/>
      </c>
      <c r="H608" s="97"/>
      <c r="I608" s="74" t="str">
        <f ca="1">IF(D608="N",COUNTIF(INDIRECT(ADDRESS(MATCH(Plages!$D$19,'Planning annuel mixing coater'!$B:$B),4)):D608,"N"),IF(D608="N1",COUNTIF($D$9:D608,"N1"),""))</f>
        <v/>
      </c>
      <c r="J608" s="96" t="str">
        <f>IF(D608="","",COUNTA(D604:D608)-(COUNTA(D608:D608)-1))</f>
        <v/>
      </c>
    </row>
    <row r="609" spans="1:10" thickBot="1">
      <c r="A609" s="117"/>
      <c r="B609" s="70">
        <f t="shared" si="41"/>
        <v>44401</v>
      </c>
      <c r="C609" s="82" t="str">
        <f t="shared" si="42"/>
        <v>samedi</v>
      </c>
      <c r="D609" s="87"/>
      <c r="E609" s="115" t="str">
        <f t="shared" si="43"/>
        <v/>
      </c>
      <c r="F609" s="115" t="str">
        <f t="shared" si="44"/>
        <v/>
      </c>
      <c r="G609" s="116" t="str">
        <f>IF(ISNONTEXT(D609),"",E609-MAX($F$2:F608))</f>
        <v/>
      </c>
      <c r="H609" s="97"/>
      <c r="I609" s="74" t="str">
        <f ca="1">IF(D609="N",COUNTIF(INDIRECT(ADDRESS(MATCH(Plages!$D$19,'Planning annuel mixing coater'!$B:$B),4)):D609,"N"),IF(D609="N1",COUNTIF($D$9:D609,"N1"),""))</f>
        <v/>
      </c>
      <c r="J609" s="96" t="str">
        <f>IF(D609="","",COUNTA(D604:D609)-(COUNTA(D609:D609)-1))</f>
        <v/>
      </c>
    </row>
    <row r="610" spans="1:10" thickBot="1">
      <c r="A610" s="117"/>
      <c r="B610" s="70">
        <f t="shared" si="41"/>
        <v>44402</v>
      </c>
      <c r="C610" s="82" t="str">
        <f t="shared" si="42"/>
        <v>dimanche</v>
      </c>
      <c r="D610" s="87"/>
      <c r="E610" s="115" t="str">
        <f t="shared" si="43"/>
        <v/>
      </c>
      <c r="F610" s="115" t="str">
        <f t="shared" si="44"/>
        <v/>
      </c>
      <c r="G610" s="116" t="str">
        <f>IF(ISNONTEXT(D610),"",E610-MAX($F$2:F609))</f>
        <v/>
      </c>
      <c r="H610" s="98"/>
      <c r="I610" s="74" t="str">
        <f ca="1">IF(D610="N",COUNTIF(INDIRECT(ADDRESS(MATCH(Plages!$D$19,'Planning annuel mixing coater'!$B:$B),4)):D610,"N"),IF(D610="N1",COUNTIF($D$9:D610,"N1"),""))</f>
        <v/>
      </c>
      <c r="J610" s="96" t="str">
        <f>IF(D610="","",COUNTA(D604:D610)-(COUNTA(D610:D610)-1))</f>
        <v/>
      </c>
    </row>
    <row r="611" spans="1:10" thickBot="1">
      <c r="A611" s="117"/>
      <c r="B611" s="70">
        <f t="shared" si="41"/>
        <v>44403</v>
      </c>
      <c r="C611" s="82" t="str">
        <f t="shared" si="42"/>
        <v>lundi</v>
      </c>
      <c r="D611" s="87"/>
      <c r="E611" s="115" t="str">
        <f t="shared" si="43"/>
        <v/>
      </c>
      <c r="F611" s="115" t="str">
        <f t="shared" si="44"/>
        <v/>
      </c>
      <c r="G611" s="116" t="str">
        <f>IF(ISNONTEXT(D611),"",E611-MAX($F$2:F610))</f>
        <v/>
      </c>
      <c r="H611" s="97"/>
      <c r="I611" s="74" t="str">
        <f ca="1">IF(D611="N",COUNTIF(INDIRECT(ADDRESS(MATCH(Plages!$D$19,'Planning annuel mixing coater'!$B:$B),4)):D611,"N"),IF(D611="N1",COUNTIF($D$9:D611,"N1"),""))</f>
        <v/>
      </c>
      <c r="J611" s="96" t="str">
        <f>IF(D611="","",COUNTA(D604:D611)-(COUNTA(D611:D611)-1))</f>
        <v/>
      </c>
    </row>
    <row r="612" spans="1:10" thickBot="1">
      <c r="A612" s="117"/>
      <c r="B612" s="70">
        <f t="shared" si="41"/>
        <v>44404</v>
      </c>
      <c r="C612" s="82" t="str">
        <f t="shared" si="42"/>
        <v>mardi</v>
      </c>
      <c r="D612" s="87"/>
      <c r="E612" s="115" t="str">
        <f t="shared" si="43"/>
        <v/>
      </c>
      <c r="F612" s="115" t="str">
        <f t="shared" si="44"/>
        <v/>
      </c>
      <c r="G612" s="116" t="str">
        <f>IF(ISNONTEXT(D612),"",E612-MAX($F$2:F611))</f>
        <v/>
      </c>
      <c r="H612" s="97"/>
      <c r="I612" s="74" t="str">
        <f ca="1">IF(D612="N",COUNTIF(INDIRECT(ADDRESS(MATCH(Plages!$D$19,'Planning annuel mixing coater'!$B:$B),4)):D612,"N"),IF(D612="N1",COUNTIF($D$9:D612,"N1"),""))</f>
        <v/>
      </c>
      <c r="J612" s="96" t="str">
        <f>IF(D612="","",COUNTA(D604:D612)-(COUNTA(D612:D612)-1))</f>
        <v/>
      </c>
    </row>
    <row r="613" spans="1:10" thickBot="1">
      <c r="A613" s="117"/>
      <c r="B613" s="70">
        <f t="shared" si="41"/>
        <v>44405</v>
      </c>
      <c r="C613" s="82" t="str">
        <f t="shared" si="42"/>
        <v>mercredi</v>
      </c>
      <c r="D613" s="87"/>
      <c r="E613" s="115" t="str">
        <f t="shared" si="43"/>
        <v/>
      </c>
      <c r="F613" s="115" t="str">
        <f t="shared" si="44"/>
        <v/>
      </c>
      <c r="G613" s="116" t="str">
        <f>IF(ISNONTEXT(D613),"",E613-MAX($F$2:F612))</f>
        <v/>
      </c>
      <c r="H613" s="97"/>
      <c r="I613" s="74" t="str">
        <f ca="1">IF(D613="N",COUNTIF(INDIRECT(ADDRESS(MATCH(Plages!$D$19,'Planning annuel mixing coater'!$B:$B),4)):D613,"N"),IF(D613="N1",COUNTIF($D$9:D613,"N1"),""))</f>
        <v/>
      </c>
      <c r="J613" s="96" t="str">
        <f>IF(D613="","",COUNTA(D604:D613)-(COUNTA(D613:D613)-1))</f>
        <v/>
      </c>
    </row>
    <row r="614" spans="1:10" thickBot="1">
      <c r="A614" s="117"/>
      <c r="B614" s="70">
        <f t="shared" si="41"/>
        <v>44406</v>
      </c>
      <c r="C614" s="82" t="str">
        <f t="shared" si="42"/>
        <v>jeudi</v>
      </c>
      <c r="D614" s="87"/>
      <c r="E614" s="115" t="str">
        <f t="shared" si="43"/>
        <v/>
      </c>
      <c r="F614" s="115" t="str">
        <f t="shared" si="44"/>
        <v/>
      </c>
      <c r="G614" s="116" t="str">
        <f>IF(ISNONTEXT(D614),"",E614-MAX($F$2:F613))</f>
        <v/>
      </c>
      <c r="H614" s="97"/>
      <c r="I614" s="74" t="str">
        <f ca="1">IF(D614="N",COUNTIF(INDIRECT(ADDRESS(MATCH(Plages!$D$19,'Planning annuel mixing coater'!$B:$B),4)):D614,"N"),IF(D614="N1",COUNTIF($D$9:D614,"N1"),""))</f>
        <v/>
      </c>
      <c r="J614" s="96" t="str">
        <f>IF(D614="","",COUNTA(D604:D614)-(COUNTA(D614:D614)-1))</f>
        <v/>
      </c>
    </row>
    <row r="615" spans="1:10" thickBot="1">
      <c r="A615" s="117"/>
      <c r="B615" s="70">
        <f t="shared" si="41"/>
        <v>44407</v>
      </c>
      <c r="C615" s="82" t="str">
        <f t="shared" si="42"/>
        <v>vendredi</v>
      </c>
      <c r="D615" s="87"/>
      <c r="E615" s="115" t="str">
        <f t="shared" si="43"/>
        <v/>
      </c>
      <c r="F615" s="115" t="str">
        <f t="shared" si="44"/>
        <v/>
      </c>
      <c r="G615" s="116" t="str">
        <f>IF(ISNONTEXT(D615),"",E615-MAX($F$2:F614))</f>
        <v/>
      </c>
      <c r="H615" s="97"/>
      <c r="I615" s="74" t="str">
        <f ca="1">IF(D615="N",COUNTIF(INDIRECT(ADDRESS(MATCH(Plages!$D$19,'Planning annuel mixing coater'!$B:$B),4)):D615,"N"),IF(D615="N1",COUNTIF($D$9:D615,"N1"),""))</f>
        <v/>
      </c>
      <c r="J615" s="96" t="str">
        <f>IF(D615="","",COUNTA(D604:D615)-(COUNTA(D615:D615)-1))</f>
        <v/>
      </c>
    </row>
    <row r="616" spans="1:10" thickBot="1">
      <c r="A616" s="117"/>
      <c r="B616" s="70">
        <f t="shared" si="41"/>
        <v>44408</v>
      </c>
      <c r="C616" s="82" t="str">
        <f t="shared" si="42"/>
        <v>samedi</v>
      </c>
      <c r="D616" s="87"/>
      <c r="E616" s="115" t="str">
        <f t="shared" si="43"/>
        <v/>
      </c>
      <c r="F616" s="115" t="str">
        <f t="shared" si="44"/>
        <v/>
      </c>
      <c r="G616" s="116" t="str">
        <f>IF(ISNONTEXT(D616),"",E616-MAX($F$2:F615))</f>
        <v/>
      </c>
      <c r="H616" s="97"/>
      <c r="I616" s="74" t="str">
        <f ca="1">IF(D616="N",COUNTIF(INDIRECT(ADDRESS(MATCH(Plages!$D$19,'Planning annuel mixing coater'!$B:$B),4)):D616,"N"),IF(D616="N1",COUNTIF($D$9:D616,"N1"),""))</f>
        <v/>
      </c>
      <c r="J616" s="96" t="str">
        <f>IF(D616="","",COUNTA(D604:D616)-(COUNTA(D616:D616)-1))</f>
        <v/>
      </c>
    </row>
    <row r="617" spans="1:10" s="77" customFormat="1" thickBot="1">
      <c r="A617" s="117"/>
      <c r="B617" s="75">
        <f t="shared" si="41"/>
        <v>44409</v>
      </c>
      <c r="C617" s="83" t="str">
        <f t="shared" si="42"/>
        <v>dimanche</v>
      </c>
      <c r="D617" s="88"/>
      <c r="E617" s="115" t="str">
        <f t="shared" si="43"/>
        <v/>
      </c>
      <c r="F617" s="115" t="str">
        <f t="shared" si="44"/>
        <v/>
      </c>
      <c r="G617" s="116" t="str">
        <f>IF(ISNONTEXT(D617),"",E617-MAX($F$2:F616))</f>
        <v/>
      </c>
      <c r="H617" s="98"/>
      <c r="I617" s="76" t="str">
        <f ca="1">IF(D617="N",COUNTIF(INDIRECT(ADDRESS(MATCH(Plages!$D$19,'Planning annuel mixing coater'!$B:$B),4)):D617,"N"),IF(D617="N1",COUNTIF($D$9:D617,"N1"),""))</f>
        <v/>
      </c>
      <c r="J617" s="99" t="str">
        <f>IF(D617="","",COUNTA(D604:D617)-(COUNTA(D617:D617)-1))</f>
        <v/>
      </c>
    </row>
    <row r="618" spans="1:10" ht="16.5" thickTop="1" thickBot="1">
      <c r="A618" s="117"/>
      <c r="B618" s="78">
        <f t="shared" si="41"/>
        <v>44410</v>
      </c>
      <c r="C618" s="81" t="str">
        <f t="shared" si="42"/>
        <v>lundi</v>
      </c>
      <c r="D618" s="89"/>
      <c r="E618" s="115" t="str">
        <f t="shared" si="43"/>
        <v/>
      </c>
      <c r="F618" s="115" t="str">
        <f t="shared" si="44"/>
        <v/>
      </c>
      <c r="G618" s="116" t="str">
        <f>IF(ISNONTEXT(D618),"",E618-MAX($F$2:F617))</f>
        <v/>
      </c>
      <c r="H618" s="100"/>
      <c r="I618" s="79" t="str">
        <f ca="1">IF(D618="N",COUNTIF(INDIRECT(ADDRESS(MATCH(Plages!$D$19,'Planning annuel mixing coater'!$B:$B),4)):D618,"N"),IF(D618="N1",COUNTIF($D$9:D618,"N1"),""))</f>
        <v/>
      </c>
      <c r="J618" s="101" t="str">
        <f>IF(D618="","",COUNTA(D618:D618)-(COUNTA(D618:D618)-1))</f>
        <v/>
      </c>
    </row>
    <row r="619" spans="1:10" thickBot="1">
      <c r="A619" s="117"/>
      <c r="B619" s="70">
        <f t="shared" si="41"/>
        <v>44411</v>
      </c>
      <c r="C619" s="82" t="str">
        <f t="shared" si="42"/>
        <v>mardi</v>
      </c>
      <c r="D619" s="87"/>
      <c r="E619" s="115" t="str">
        <f t="shared" si="43"/>
        <v/>
      </c>
      <c r="F619" s="115" t="str">
        <f t="shared" si="44"/>
        <v/>
      </c>
      <c r="G619" s="116" t="str">
        <f>IF(ISNONTEXT(D619),"",E619-MAX($F$2:F618))</f>
        <v/>
      </c>
      <c r="H619" s="97"/>
      <c r="I619" s="74" t="str">
        <f ca="1">IF(D619="N",COUNTIF(INDIRECT(ADDRESS(MATCH(Plages!$D$19,'Planning annuel mixing coater'!$B:$B),4)):D619,"N"),IF(D619="N1",COUNTIF($D$9:D619,"N1"),""))</f>
        <v/>
      </c>
      <c r="J619" s="96" t="str">
        <f>IF(D619="","",COUNTA(D618:D619)-(COUNTA(D619:D619)-1))</f>
        <v/>
      </c>
    </row>
    <row r="620" spans="1:10" thickBot="1">
      <c r="A620" s="117"/>
      <c r="B620" s="70">
        <f t="shared" si="41"/>
        <v>44412</v>
      </c>
      <c r="C620" s="82" t="str">
        <f t="shared" si="42"/>
        <v>mercredi</v>
      </c>
      <c r="D620" s="87"/>
      <c r="E620" s="115" t="str">
        <f t="shared" si="43"/>
        <v/>
      </c>
      <c r="F620" s="115" t="str">
        <f t="shared" si="44"/>
        <v/>
      </c>
      <c r="G620" s="116" t="str">
        <f>IF(ISNONTEXT(D620),"",E620-MAX($F$2:F619))</f>
        <v/>
      </c>
      <c r="H620" s="97"/>
      <c r="I620" s="74" t="str">
        <f ca="1">IF(D620="N",COUNTIF(INDIRECT(ADDRESS(MATCH(Plages!$D$19,'Planning annuel mixing coater'!$B:$B),4)):D620,"N"),IF(D620="N1",COUNTIF($D$9:D620,"N1"),""))</f>
        <v/>
      </c>
      <c r="J620" s="96" t="str">
        <f>IF(D620="","",COUNTA(D618:D620)-(COUNTA(D620:D620)-1))</f>
        <v/>
      </c>
    </row>
    <row r="621" spans="1:10" thickBot="1">
      <c r="A621" s="117"/>
      <c r="B621" s="70">
        <f t="shared" si="41"/>
        <v>44413</v>
      </c>
      <c r="C621" s="82" t="str">
        <f t="shared" si="42"/>
        <v>jeudi</v>
      </c>
      <c r="D621" s="87"/>
      <c r="E621" s="115" t="str">
        <f t="shared" si="43"/>
        <v/>
      </c>
      <c r="F621" s="115" t="str">
        <f t="shared" si="44"/>
        <v/>
      </c>
      <c r="G621" s="116" t="str">
        <f>IF(ISNONTEXT(D621),"",E621-MAX($F$2:F620))</f>
        <v/>
      </c>
      <c r="H621" s="97"/>
      <c r="I621" s="74" t="str">
        <f ca="1">IF(D621="N",COUNTIF(INDIRECT(ADDRESS(MATCH(Plages!$D$19,'Planning annuel mixing coater'!$B:$B),4)):D621,"N"),IF(D621="N1",COUNTIF($D$9:D621,"N1"),""))</f>
        <v/>
      </c>
      <c r="J621" s="96" t="str">
        <f>IF(D621="","",COUNTA(D618:D621)-(COUNTA(D621:D621)-1))</f>
        <v/>
      </c>
    </row>
    <row r="622" spans="1:10" thickBot="1">
      <c r="A622" s="117"/>
      <c r="B622" s="70">
        <f t="shared" si="41"/>
        <v>44414</v>
      </c>
      <c r="C622" s="82" t="str">
        <f t="shared" si="42"/>
        <v>vendredi</v>
      </c>
      <c r="D622" s="87"/>
      <c r="E622" s="115" t="str">
        <f t="shared" si="43"/>
        <v/>
      </c>
      <c r="F622" s="115" t="str">
        <f t="shared" si="44"/>
        <v/>
      </c>
      <c r="G622" s="116" t="str">
        <f>IF(ISNONTEXT(D622),"",E622-MAX($F$2:F621))</f>
        <v/>
      </c>
      <c r="H622" s="97"/>
      <c r="I622" s="74" t="str">
        <f ca="1">IF(D622="N",COUNTIF(INDIRECT(ADDRESS(MATCH(Plages!$D$19,'Planning annuel mixing coater'!$B:$B),4)):D622,"N"),IF(D622="N1",COUNTIF($D$9:D622,"N1"),""))</f>
        <v/>
      </c>
      <c r="J622" s="96" t="str">
        <f>IF(D622="","",COUNTA(D618:D622)-(COUNTA(D622:D622)-1))</f>
        <v/>
      </c>
    </row>
    <row r="623" spans="1:10" thickBot="1">
      <c r="A623" s="117"/>
      <c r="B623" s="70">
        <f t="shared" si="41"/>
        <v>44415</v>
      </c>
      <c r="C623" s="82" t="str">
        <f t="shared" si="42"/>
        <v>samedi</v>
      </c>
      <c r="D623" s="87"/>
      <c r="E623" s="115" t="str">
        <f t="shared" si="43"/>
        <v/>
      </c>
      <c r="F623" s="115" t="str">
        <f t="shared" si="44"/>
        <v/>
      </c>
      <c r="G623" s="116" t="str">
        <f>IF(ISNONTEXT(D623),"",E623-MAX($F$2:F622))</f>
        <v/>
      </c>
      <c r="H623" s="97"/>
      <c r="I623" s="74" t="str">
        <f ca="1">IF(D623="N",COUNTIF(INDIRECT(ADDRESS(MATCH(Plages!$D$19,'Planning annuel mixing coater'!$B:$B),4)):D623,"N"),IF(D623="N1",COUNTIF($D$9:D623,"N1"),""))</f>
        <v/>
      </c>
      <c r="J623" s="96" t="str">
        <f>IF(D623="","",COUNTA(D618:D623)-(COUNTA(D623:D623)-1))</f>
        <v/>
      </c>
    </row>
    <row r="624" spans="1:10" thickBot="1">
      <c r="A624" s="117"/>
      <c r="B624" s="70">
        <f t="shared" si="41"/>
        <v>44416</v>
      </c>
      <c r="C624" s="82" t="str">
        <f t="shared" si="42"/>
        <v>dimanche</v>
      </c>
      <c r="D624" s="87"/>
      <c r="E624" s="115" t="str">
        <f t="shared" si="43"/>
        <v/>
      </c>
      <c r="F624" s="115" t="str">
        <f t="shared" si="44"/>
        <v/>
      </c>
      <c r="G624" s="116" t="str">
        <f>IF(ISNONTEXT(D624),"",E624-MAX($F$2:F623))</f>
        <v/>
      </c>
      <c r="H624" s="98"/>
      <c r="I624" s="74" t="str">
        <f ca="1">IF(D624="N",COUNTIF(INDIRECT(ADDRESS(MATCH(Plages!$D$19,'Planning annuel mixing coater'!$B:$B),4)):D624,"N"),IF(D624="N1",COUNTIF($D$9:D624,"N1"),""))</f>
        <v/>
      </c>
      <c r="J624" s="96" t="str">
        <f>IF(D624="","",COUNTA(D618:D624)-(COUNTA(D624:D624)-1))</f>
        <v/>
      </c>
    </row>
    <row r="625" spans="1:10" thickBot="1">
      <c r="A625" s="117"/>
      <c r="B625" s="70">
        <f t="shared" si="41"/>
        <v>44417</v>
      </c>
      <c r="C625" s="82" t="str">
        <f t="shared" si="42"/>
        <v>lundi</v>
      </c>
      <c r="D625" s="87"/>
      <c r="E625" s="115" t="str">
        <f t="shared" si="43"/>
        <v/>
      </c>
      <c r="F625" s="115" t="str">
        <f t="shared" si="44"/>
        <v/>
      </c>
      <c r="G625" s="116" t="str">
        <f>IF(ISNONTEXT(D625),"",E625-MAX($F$2:F624))</f>
        <v/>
      </c>
      <c r="H625" s="97"/>
      <c r="I625" s="74" t="str">
        <f ca="1">IF(D625="N",COUNTIF(INDIRECT(ADDRESS(MATCH(Plages!$D$19,'Planning annuel mixing coater'!$B:$B),4)):D625,"N"),IF(D625="N1",COUNTIF($D$9:D625,"N1"),""))</f>
        <v/>
      </c>
      <c r="J625" s="96" t="str">
        <f>IF(D625="","",COUNTA(D618:D625)-(COUNTA(D625:D625)-1))</f>
        <v/>
      </c>
    </row>
    <row r="626" spans="1:10" thickBot="1">
      <c r="A626" s="117"/>
      <c r="B626" s="70">
        <f t="shared" si="41"/>
        <v>44418</v>
      </c>
      <c r="C626" s="82" t="str">
        <f t="shared" si="42"/>
        <v>mardi</v>
      </c>
      <c r="D626" s="87"/>
      <c r="E626" s="115" t="str">
        <f t="shared" si="43"/>
        <v/>
      </c>
      <c r="F626" s="115" t="str">
        <f t="shared" si="44"/>
        <v/>
      </c>
      <c r="G626" s="116" t="str">
        <f>IF(ISNONTEXT(D626),"",E626-MAX($F$2:F625))</f>
        <v/>
      </c>
      <c r="H626" s="97"/>
      <c r="I626" s="74" t="str">
        <f ca="1">IF(D626="N",COUNTIF(INDIRECT(ADDRESS(MATCH(Plages!$D$19,'Planning annuel mixing coater'!$B:$B),4)):D626,"N"),IF(D626="N1",COUNTIF($D$9:D626,"N1"),""))</f>
        <v/>
      </c>
      <c r="J626" s="96" t="str">
        <f>IF(D626="","",COUNTA(D618:D626)-(COUNTA(D626:D626)-1))</f>
        <v/>
      </c>
    </row>
    <row r="627" spans="1:10" thickBot="1">
      <c r="A627" s="117"/>
      <c r="B627" s="70">
        <f t="shared" si="41"/>
        <v>44419</v>
      </c>
      <c r="C627" s="82" t="str">
        <f t="shared" si="42"/>
        <v>mercredi</v>
      </c>
      <c r="D627" s="87"/>
      <c r="E627" s="115" t="str">
        <f t="shared" si="43"/>
        <v/>
      </c>
      <c r="F627" s="115" t="str">
        <f t="shared" si="44"/>
        <v/>
      </c>
      <c r="G627" s="116" t="str">
        <f>IF(ISNONTEXT(D627),"",E627-MAX($F$2:F626))</f>
        <v/>
      </c>
      <c r="H627" s="97"/>
      <c r="I627" s="74" t="str">
        <f ca="1">IF(D627="N",COUNTIF(INDIRECT(ADDRESS(MATCH(Plages!$D$19,'Planning annuel mixing coater'!$B:$B),4)):D627,"N"),IF(D627="N1",COUNTIF($D$9:D627,"N1"),""))</f>
        <v/>
      </c>
      <c r="J627" s="96" t="str">
        <f>IF(D627="","",COUNTA(D618:D627)-(COUNTA(D627:D627)-1))</f>
        <v/>
      </c>
    </row>
    <row r="628" spans="1:10" thickBot="1">
      <c r="A628" s="117"/>
      <c r="B628" s="70">
        <f t="shared" si="41"/>
        <v>44420</v>
      </c>
      <c r="C628" s="82" t="str">
        <f t="shared" si="42"/>
        <v>jeudi</v>
      </c>
      <c r="D628" s="87"/>
      <c r="E628" s="115" t="str">
        <f t="shared" si="43"/>
        <v/>
      </c>
      <c r="F628" s="115" t="str">
        <f t="shared" si="44"/>
        <v/>
      </c>
      <c r="G628" s="116" t="str">
        <f>IF(ISNONTEXT(D628),"",E628-MAX($F$2:F627))</f>
        <v/>
      </c>
      <c r="H628" s="97"/>
      <c r="I628" s="74" t="str">
        <f ca="1">IF(D628="N",COUNTIF(INDIRECT(ADDRESS(MATCH(Plages!$D$19,'Planning annuel mixing coater'!$B:$B),4)):D628,"N"),IF(D628="N1",COUNTIF($D$9:D628,"N1"),""))</f>
        <v/>
      </c>
      <c r="J628" s="96" t="str">
        <f>IF(D628="","",COUNTA(D618:D628)-(COUNTA(D628:D628)-1))</f>
        <v/>
      </c>
    </row>
    <row r="629" spans="1:10" thickBot="1">
      <c r="A629" s="117"/>
      <c r="B629" s="70">
        <f t="shared" si="41"/>
        <v>44421</v>
      </c>
      <c r="C629" s="82" t="str">
        <f t="shared" si="42"/>
        <v>vendredi</v>
      </c>
      <c r="D629" s="87"/>
      <c r="E629" s="115" t="str">
        <f t="shared" si="43"/>
        <v/>
      </c>
      <c r="F629" s="115" t="str">
        <f t="shared" si="44"/>
        <v/>
      </c>
      <c r="G629" s="116" t="str">
        <f>IF(ISNONTEXT(D629),"",E629-MAX($F$2:F628))</f>
        <v/>
      </c>
      <c r="H629" s="97"/>
      <c r="I629" s="74" t="str">
        <f ca="1">IF(D629="N",COUNTIF(INDIRECT(ADDRESS(MATCH(Plages!$D$19,'Planning annuel mixing coater'!$B:$B),4)):D629,"N"),IF(D629="N1",COUNTIF($D$9:D629,"N1"),""))</f>
        <v/>
      </c>
      <c r="J629" s="96" t="str">
        <f>IF(D629="","",COUNTA(D618:D629)-(COUNTA(D629:D629)-1))</f>
        <v/>
      </c>
    </row>
    <row r="630" spans="1:10" thickBot="1">
      <c r="A630" s="117"/>
      <c r="B630" s="70">
        <f t="shared" si="41"/>
        <v>44422</v>
      </c>
      <c r="C630" s="82" t="str">
        <f t="shared" si="42"/>
        <v>samedi</v>
      </c>
      <c r="D630" s="87"/>
      <c r="E630" s="115" t="str">
        <f t="shared" si="43"/>
        <v/>
      </c>
      <c r="F630" s="115" t="str">
        <f t="shared" si="44"/>
        <v/>
      </c>
      <c r="G630" s="116" t="str">
        <f>IF(ISNONTEXT(D630),"",E630-MAX($F$2:F629))</f>
        <v/>
      </c>
      <c r="H630" s="97"/>
      <c r="I630" s="74" t="str">
        <f ca="1">IF(D630="N",COUNTIF(INDIRECT(ADDRESS(MATCH(Plages!$D$19,'Planning annuel mixing coater'!$B:$B),4)):D630,"N"),IF(D630="N1",COUNTIF($D$9:D630,"N1"),""))</f>
        <v/>
      </c>
      <c r="J630" s="96" t="str">
        <f>IF(D630="","",COUNTA(D618:D630)-(COUNTA(D630:D630)-1))</f>
        <v/>
      </c>
    </row>
    <row r="631" spans="1:10" s="77" customFormat="1" thickBot="1">
      <c r="A631" s="117"/>
      <c r="B631" s="75">
        <f t="shared" si="41"/>
        <v>44423</v>
      </c>
      <c r="C631" s="83" t="str">
        <f t="shared" si="42"/>
        <v>dimanche</v>
      </c>
      <c r="D631" s="88"/>
      <c r="E631" s="115" t="str">
        <f t="shared" si="43"/>
        <v/>
      </c>
      <c r="F631" s="115" t="str">
        <f t="shared" si="44"/>
        <v/>
      </c>
      <c r="G631" s="116" t="str">
        <f>IF(ISNONTEXT(D631),"",E631-MAX($F$2:F630))</f>
        <v/>
      </c>
      <c r="H631" s="98"/>
      <c r="I631" s="76" t="str">
        <f ca="1">IF(D631="N",COUNTIF(INDIRECT(ADDRESS(MATCH(Plages!$D$19,'Planning annuel mixing coater'!$B:$B),4)):D631,"N"),IF(D631="N1",COUNTIF($D$9:D631,"N1"),""))</f>
        <v/>
      </c>
      <c r="J631" s="99" t="str">
        <f>IF(D631="","",COUNTA(D618:D631)-(COUNTA(D631:D631)-1))</f>
        <v/>
      </c>
    </row>
    <row r="632" spans="1:10" ht="16.5" thickTop="1" thickBot="1">
      <c r="A632" s="117"/>
      <c r="B632" s="78">
        <f t="shared" si="41"/>
        <v>44424</v>
      </c>
      <c r="C632" s="81" t="str">
        <f t="shared" si="42"/>
        <v>lundi</v>
      </c>
      <c r="D632" s="89"/>
      <c r="E632" s="115" t="str">
        <f t="shared" si="43"/>
        <v/>
      </c>
      <c r="F632" s="115" t="str">
        <f t="shared" si="44"/>
        <v/>
      </c>
      <c r="G632" s="116" t="str">
        <f>IF(ISNONTEXT(D632),"",E632-MAX($F$2:F631))</f>
        <v/>
      </c>
      <c r="H632" s="100"/>
      <c r="I632" s="79" t="str">
        <f ca="1">IF(D632="N",COUNTIF(INDIRECT(ADDRESS(MATCH(Plages!$D$19,'Planning annuel mixing coater'!$B:$B),4)):D632,"N"),IF(D632="N1",COUNTIF($D$9:D632,"N1"),""))</f>
        <v/>
      </c>
      <c r="J632" s="101" t="str">
        <f>IF(D632="","",COUNTA(D632:D632)-(COUNTA(D632:D632)-1))</f>
        <v/>
      </c>
    </row>
    <row r="633" spans="1:10" thickBot="1">
      <c r="A633" s="117"/>
      <c r="B633" s="70">
        <f t="shared" si="41"/>
        <v>44425</v>
      </c>
      <c r="C633" s="82" t="str">
        <f t="shared" si="42"/>
        <v>mardi</v>
      </c>
      <c r="D633" s="87"/>
      <c r="E633" s="115" t="str">
        <f t="shared" si="43"/>
        <v/>
      </c>
      <c r="F633" s="115" t="str">
        <f t="shared" si="44"/>
        <v/>
      </c>
      <c r="G633" s="116" t="str">
        <f>IF(ISNONTEXT(D633),"",E633-MAX($F$2:F632))</f>
        <v/>
      </c>
      <c r="H633" s="97"/>
      <c r="I633" s="74" t="str">
        <f ca="1">IF(D633="N",COUNTIF(INDIRECT(ADDRESS(MATCH(Plages!$D$19,'Planning annuel mixing coater'!$B:$B),4)):D633,"N"),IF(D633="N1",COUNTIF($D$9:D633,"N1"),""))</f>
        <v/>
      </c>
      <c r="J633" s="96" t="str">
        <f>IF(D633="","",COUNTA(D632:D633)-(COUNTA(D633:D633)-1))</f>
        <v/>
      </c>
    </row>
    <row r="634" spans="1:10" thickBot="1">
      <c r="A634" s="117"/>
      <c r="B634" s="70">
        <f t="shared" si="41"/>
        <v>44426</v>
      </c>
      <c r="C634" s="82" t="str">
        <f t="shared" si="42"/>
        <v>mercredi</v>
      </c>
      <c r="D634" s="87"/>
      <c r="E634" s="115" t="str">
        <f t="shared" si="43"/>
        <v/>
      </c>
      <c r="F634" s="115" t="str">
        <f t="shared" si="44"/>
        <v/>
      </c>
      <c r="G634" s="116" t="str">
        <f>IF(ISNONTEXT(D634),"",E634-MAX($F$2:F633))</f>
        <v/>
      </c>
      <c r="H634" s="97"/>
      <c r="I634" s="74" t="str">
        <f ca="1">IF(D634="N",COUNTIF(INDIRECT(ADDRESS(MATCH(Plages!$D$19,'Planning annuel mixing coater'!$B:$B),4)):D634,"N"),IF(D634="N1",COUNTIF($D$9:D634,"N1"),""))</f>
        <v/>
      </c>
      <c r="J634" s="96" t="str">
        <f>IF(D634="","",COUNTA(D632:D634)-(COUNTA(D634:D634)-1))</f>
        <v/>
      </c>
    </row>
    <row r="635" spans="1:10" thickBot="1">
      <c r="A635" s="117"/>
      <c r="B635" s="70">
        <f t="shared" si="41"/>
        <v>44427</v>
      </c>
      <c r="C635" s="82" t="str">
        <f t="shared" si="42"/>
        <v>jeudi</v>
      </c>
      <c r="D635" s="87"/>
      <c r="E635" s="115" t="str">
        <f t="shared" si="43"/>
        <v/>
      </c>
      <c r="F635" s="115" t="str">
        <f t="shared" si="44"/>
        <v/>
      </c>
      <c r="G635" s="116" t="str">
        <f>IF(ISNONTEXT(D635),"",E635-MAX($F$2:F634))</f>
        <v/>
      </c>
      <c r="H635" s="97"/>
      <c r="I635" s="74" t="str">
        <f ca="1">IF(D635="N",COUNTIF(INDIRECT(ADDRESS(MATCH(Plages!$D$19,'Planning annuel mixing coater'!$B:$B),4)):D635,"N"),IF(D635="N1",COUNTIF($D$9:D635,"N1"),""))</f>
        <v/>
      </c>
      <c r="J635" s="96" t="str">
        <f>IF(D635="","",COUNTA(D632:D635)-(COUNTA(D635:D635)-1))</f>
        <v/>
      </c>
    </row>
    <row r="636" spans="1:10" thickBot="1">
      <c r="A636" s="117"/>
      <c r="B636" s="70">
        <f t="shared" si="41"/>
        <v>44428</v>
      </c>
      <c r="C636" s="82" t="str">
        <f t="shared" si="42"/>
        <v>vendredi</v>
      </c>
      <c r="D636" s="87"/>
      <c r="E636" s="115" t="str">
        <f t="shared" si="43"/>
        <v/>
      </c>
      <c r="F636" s="115" t="str">
        <f t="shared" si="44"/>
        <v/>
      </c>
      <c r="G636" s="116" t="str">
        <f>IF(ISNONTEXT(D636),"",E636-MAX($F$2:F635))</f>
        <v/>
      </c>
      <c r="H636" s="97"/>
      <c r="I636" s="74" t="str">
        <f ca="1">IF(D636="N",COUNTIF(INDIRECT(ADDRESS(MATCH(Plages!$D$19,'Planning annuel mixing coater'!$B:$B),4)):D636,"N"),IF(D636="N1",COUNTIF($D$9:D636,"N1"),""))</f>
        <v/>
      </c>
      <c r="J636" s="96" t="str">
        <f>IF(D636="","",COUNTA(D632:D636)-(COUNTA(D636:D636)-1))</f>
        <v/>
      </c>
    </row>
    <row r="637" spans="1:10" thickBot="1">
      <c r="A637" s="117"/>
      <c r="B637" s="70">
        <f t="shared" si="41"/>
        <v>44429</v>
      </c>
      <c r="C637" s="82" t="str">
        <f t="shared" si="42"/>
        <v>samedi</v>
      </c>
      <c r="D637" s="87"/>
      <c r="E637" s="115" t="str">
        <f t="shared" si="43"/>
        <v/>
      </c>
      <c r="F637" s="115" t="str">
        <f t="shared" si="44"/>
        <v/>
      </c>
      <c r="G637" s="116" t="str">
        <f>IF(ISNONTEXT(D637),"",E637-MAX($F$2:F636))</f>
        <v/>
      </c>
      <c r="H637" s="97"/>
      <c r="I637" s="74" t="str">
        <f ca="1">IF(D637="N",COUNTIF(INDIRECT(ADDRESS(MATCH(Plages!$D$19,'Planning annuel mixing coater'!$B:$B),4)):D637,"N"),IF(D637="N1",COUNTIF($D$9:D637,"N1"),""))</f>
        <v/>
      </c>
      <c r="J637" s="96" t="str">
        <f>IF(D637="","",COUNTA(D632:D637)-(COUNTA(D637:D637)-1))</f>
        <v/>
      </c>
    </row>
    <row r="638" spans="1:10" thickBot="1">
      <c r="A638" s="117"/>
      <c r="B638" s="70">
        <f t="shared" si="41"/>
        <v>44430</v>
      </c>
      <c r="C638" s="82" t="str">
        <f t="shared" si="42"/>
        <v>dimanche</v>
      </c>
      <c r="D638" s="87"/>
      <c r="E638" s="115" t="str">
        <f t="shared" si="43"/>
        <v/>
      </c>
      <c r="F638" s="115" t="str">
        <f t="shared" si="44"/>
        <v/>
      </c>
      <c r="G638" s="116" t="str">
        <f>IF(ISNONTEXT(D638),"",E638-MAX($F$2:F637))</f>
        <v/>
      </c>
      <c r="H638" s="98"/>
      <c r="I638" s="74" t="str">
        <f ca="1">IF(D638="N",COUNTIF(INDIRECT(ADDRESS(MATCH(Plages!$D$19,'Planning annuel mixing coater'!$B:$B),4)):D638,"N"),IF(D638="N1",COUNTIF($D$9:D638,"N1"),""))</f>
        <v/>
      </c>
      <c r="J638" s="96" t="str">
        <f>IF(D638="","",COUNTA(D632:D638)-(COUNTA(D638:D638)-1))</f>
        <v/>
      </c>
    </row>
    <row r="639" spans="1:10" thickBot="1">
      <c r="A639" s="117"/>
      <c r="B639" s="70">
        <f t="shared" si="41"/>
        <v>44431</v>
      </c>
      <c r="C639" s="82" t="str">
        <f t="shared" si="42"/>
        <v>lundi</v>
      </c>
      <c r="D639" s="87"/>
      <c r="E639" s="115" t="str">
        <f t="shared" si="43"/>
        <v/>
      </c>
      <c r="F639" s="115" t="str">
        <f t="shared" si="44"/>
        <v/>
      </c>
      <c r="G639" s="116" t="str">
        <f>IF(ISNONTEXT(D639),"",E639-MAX($F$2:F638))</f>
        <v/>
      </c>
      <c r="H639" s="97"/>
      <c r="I639" s="74" t="str">
        <f ca="1">IF(D639="N",COUNTIF(INDIRECT(ADDRESS(MATCH(Plages!$D$19,'Planning annuel mixing coater'!$B:$B),4)):D639,"N"),IF(D639="N1",COUNTIF($D$9:D639,"N1"),""))</f>
        <v/>
      </c>
      <c r="J639" s="96" t="str">
        <f>IF(D639="","",COUNTA(D632:D639)-(COUNTA(D639:D639)-1))</f>
        <v/>
      </c>
    </row>
    <row r="640" spans="1:10" thickBot="1">
      <c r="A640" s="117"/>
      <c r="B640" s="70">
        <f t="shared" si="41"/>
        <v>44432</v>
      </c>
      <c r="C640" s="82" t="str">
        <f t="shared" si="42"/>
        <v>mardi</v>
      </c>
      <c r="D640" s="87"/>
      <c r="E640" s="115" t="str">
        <f t="shared" si="43"/>
        <v/>
      </c>
      <c r="F640" s="115" t="str">
        <f t="shared" si="44"/>
        <v/>
      </c>
      <c r="G640" s="116" t="str">
        <f>IF(ISNONTEXT(D640),"",E640-MAX($F$2:F639))</f>
        <v/>
      </c>
      <c r="H640" s="97"/>
      <c r="I640" s="74" t="str">
        <f ca="1">IF(D640="N",COUNTIF(INDIRECT(ADDRESS(MATCH(Plages!$D$19,'Planning annuel mixing coater'!$B:$B),4)):D640,"N"),IF(D640="N1",COUNTIF($D$9:D640,"N1"),""))</f>
        <v/>
      </c>
      <c r="J640" s="96" t="str">
        <f>IF(D640="","",COUNTA(D632:D640)-(COUNTA(D640:D640)-1))</f>
        <v/>
      </c>
    </row>
    <row r="641" spans="1:10" thickBot="1">
      <c r="A641" s="117"/>
      <c r="B641" s="70">
        <f t="shared" si="41"/>
        <v>44433</v>
      </c>
      <c r="C641" s="82" t="str">
        <f t="shared" si="42"/>
        <v>mercredi</v>
      </c>
      <c r="D641" s="87"/>
      <c r="E641" s="115" t="str">
        <f t="shared" si="43"/>
        <v/>
      </c>
      <c r="F641" s="115" t="str">
        <f t="shared" si="44"/>
        <v/>
      </c>
      <c r="G641" s="116" t="str">
        <f>IF(ISNONTEXT(D641),"",E641-MAX($F$2:F640))</f>
        <v/>
      </c>
      <c r="H641" s="97"/>
      <c r="I641" s="74" t="str">
        <f ca="1">IF(D641="N",COUNTIF(INDIRECT(ADDRESS(MATCH(Plages!$D$19,'Planning annuel mixing coater'!$B:$B),4)):D641,"N"),IF(D641="N1",COUNTIF($D$9:D641,"N1"),""))</f>
        <v/>
      </c>
      <c r="J641" s="96" t="str">
        <f>IF(D641="","",COUNTA(D632:D641)-(COUNTA(D641:D641)-1))</f>
        <v/>
      </c>
    </row>
    <row r="642" spans="1:10" thickBot="1">
      <c r="A642" s="117"/>
      <c r="B642" s="70">
        <f t="shared" si="41"/>
        <v>44434</v>
      </c>
      <c r="C642" s="82" t="str">
        <f t="shared" si="42"/>
        <v>jeudi</v>
      </c>
      <c r="D642" s="87"/>
      <c r="E642" s="115" t="str">
        <f t="shared" si="43"/>
        <v/>
      </c>
      <c r="F642" s="115" t="str">
        <f t="shared" si="44"/>
        <v/>
      </c>
      <c r="G642" s="116" t="str">
        <f>IF(ISNONTEXT(D642),"",E642-MAX($F$2:F641))</f>
        <v/>
      </c>
      <c r="H642" s="97"/>
      <c r="I642" s="74" t="str">
        <f ca="1">IF(D642="N",COUNTIF(INDIRECT(ADDRESS(MATCH(Plages!$D$19,'Planning annuel mixing coater'!$B:$B),4)):D642,"N"),IF(D642="N1",COUNTIF($D$9:D642,"N1"),""))</f>
        <v/>
      </c>
      <c r="J642" s="96" t="str">
        <f>IF(D642="","",COUNTA(D632:D642)-(COUNTA(D642:D642)-1))</f>
        <v/>
      </c>
    </row>
    <row r="643" spans="1:10" thickBot="1">
      <c r="A643" s="117"/>
      <c r="B643" s="70">
        <f t="shared" si="41"/>
        <v>44435</v>
      </c>
      <c r="C643" s="82" t="str">
        <f t="shared" si="42"/>
        <v>vendredi</v>
      </c>
      <c r="D643" s="87"/>
      <c r="E643" s="115" t="str">
        <f t="shared" si="43"/>
        <v/>
      </c>
      <c r="F643" s="115" t="str">
        <f t="shared" si="44"/>
        <v/>
      </c>
      <c r="G643" s="116" t="str">
        <f>IF(ISNONTEXT(D643),"",E643-MAX($F$2:F642))</f>
        <v/>
      </c>
      <c r="H643" s="97"/>
      <c r="I643" s="74" t="str">
        <f ca="1">IF(D643="N",COUNTIF(INDIRECT(ADDRESS(MATCH(Plages!$D$19,'Planning annuel mixing coater'!$B:$B),4)):D643,"N"),IF(D643="N1",COUNTIF($D$9:D643,"N1"),""))</f>
        <v/>
      </c>
      <c r="J643" s="96" t="str">
        <f>IF(D643="","",COUNTA(D632:D643)-(COUNTA(D643:D643)-1))</f>
        <v/>
      </c>
    </row>
    <row r="644" spans="1:10" thickBot="1">
      <c r="A644" s="117"/>
      <c r="B644" s="70">
        <f t="shared" ref="B644:B707" si="45">IF(B643="","",B643+1)</f>
        <v>44436</v>
      </c>
      <c r="C644" s="82" t="str">
        <f t="shared" si="42"/>
        <v>samedi</v>
      </c>
      <c r="D644" s="87"/>
      <c r="E644" s="115" t="str">
        <f t="shared" si="43"/>
        <v/>
      </c>
      <c r="F644" s="115" t="str">
        <f t="shared" si="44"/>
        <v/>
      </c>
      <c r="G644" s="116" t="str">
        <f>IF(ISNONTEXT(D644),"",E644-MAX($F$2:F643))</f>
        <v/>
      </c>
      <c r="H644" s="97"/>
      <c r="I644" s="74" t="str">
        <f ca="1">IF(D644="N",COUNTIF(INDIRECT(ADDRESS(MATCH(Plages!$D$19,'Planning annuel mixing coater'!$B:$B),4)):D644,"N"),IF(D644="N1",COUNTIF($D$9:D644,"N1"),""))</f>
        <v/>
      </c>
      <c r="J644" s="96" t="str">
        <f>IF(D644="","",COUNTA(D632:D644)-(COUNTA(D644:D644)-1))</f>
        <v/>
      </c>
    </row>
    <row r="645" spans="1:10" s="77" customFormat="1" thickBot="1">
      <c r="A645" s="117"/>
      <c r="B645" s="75">
        <f t="shared" si="45"/>
        <v>44437</v>
      </c>
      <c r="C645" s="83" t="str">
        <f t="shared" si="42"/>
        <v>dimanche</v>
      </c>
      <c r="D645" s="88"/>
      <c r="E645" s="115" t="str">
        <f t="shared" si="43"/>
        <v/>
      </c>
      <c r="F645" s="115" t="str">
        <f t="shared" si="44"/>
        <v/>
      </c>
      <c r="G645" s="116" t="str">
        <f>IF(ISNONTEXT(D645),"",E645-MAX($F$2:F644))</f>
        <v/>
      </c>
      <c r="H645" s="98"/>
      <c r="I645" s="76" t="str">
        <f ca="1">IF(D645="N",COUNTIF(INDIRECT(ADDRESS(MATCH(Plages!$D$19,'Planning annuel mixing coater'!$B:$B),4)):D645,"N"),IF(D645="N1",COUNTIF($D$9:D645,"N1"),""))</f>
        <v/>
      </c>
      <c r="J645" s="99" t="str">
        <f>IF(D645="","",COUNTA(D632:D645)-(COUNTA(D645:D645)-1))</f>
        <v/>
      </c>
    </row>
    <row r="646" spans="1:10" ht="16.5" thickTop="1" thickBot="1">
      <c r="A646" s="117"/>
      <c r="B646" s="78">
        <f t="shared" si="45"/>
        <v>44438</v>
      </c>
      <c r="C646" s="81" t="str">
        <f t="shared" si="42"/>
        <v>lundi</v>
      </c>
      <c r="D646" s="89"/>
      <c r="E646" s="115" t="str">
        <f t="shared" si="43"/>
        <v/>
      </c>
      <c r="F646" s="115" t="str">
        <f t="shared" si="44"/>
        <v/>
      </c>
      <c r="G646" s="116" t="str">
        <f>IF(ISNONTEXT(D646),"",E646-MAX($F$2:F645))</f>
        <v/>
      </c>
      <c r="H646" s="100"/>
      <c r="I646" s="79" t="str">
        <f ca="1">IF(D646="N",COUNTIF(INDIRECT(ADDRESS(MATCH(Plages!$D$19,'Planning annuel mixing coater'!$B:$B),4)):D646,"N"),IF(D646="N1",COUNTIF($D$9:D646,"N1"),""))</f>
        <v/>
      </c>
      <c r="J646" s="101" t="str">
        <f>IF(D646="","",COUNTA(D646:D646)-(COUNTA(D646:D646)-1))</f>
        <v/>
      </c>
    </row>
    <row r="647" spans="1:10" thickBot="1">
      <c r="A647" s="117"/>
      <c r="B647" s="70">
        <f t="shared" si="45"/>
        <v>44439</v>
      </c>
      <c r="C647" s="82" t="str">
        <f t="shared" si="42"/>
        <v>mardi</v>
      </c>
      <c r="D647" s="87"/>
      <c r="E647" s="115" t="str">
        <f t="shared" si="43"/>
        <v/>
      </c>
      <c r="F647" s="115" t="str">
        <f t="shared" si="44"/>
        <v/>
      </c>
      <c r="G647" s="116" t="str">
        <f>IF(ISNONTEXT(D647),"",E647-MAX($F$2:F646))</f>
        <v/>
      </c>
      <c r="H647" s="97"/>
      <c r="I647" s="74" t="str">
        <f ca="1">IF(D647="N",COUNTIF(INDIRECT(ADDRESS(MATCH(Plages!$D$19,'Planning annuel mixing coater'!$B:$B),4)):D647,"N"),IF(D647="N1",COUNTIF($D$9:D647,"N1"),""))</f>
        <v/>
      </c>
      <c r="J647" s="96" t="str">
        <f>IF(D647="","",COUNTA(D646:D647)-(COUNTA(D647:D647)-1))</f>
        <v/>
      </c>
    </row>
    <row r="648" spans="1:10" thickBot="1">
      <c r="A648" s="117"/>
      <c r="B648" s="70">
        <f t="shared" si="45"/>
        <v>44440</v>
      </c>
      <c r="C648" s="82" t="str">
        <f t="shared" si="42"/>
        <v>mercredi</v>
      </c>
      <c r="D648" s="87"/>
      <c r="E648" s="115" t="str">
        <f t="shared" si="43"/>
        <v/>
      </c>
      <c r="F648" s="115" t="str">
        <f t="shared" si="44"/>
        <v/>
      </c>
      <c r="G648" s="116" t="str">
        <f>IF(ISNONTEXT(D648),"",E648-MAX($F$2:F647))</f>
        <v/>
      </c>
      <c r="H648" s="97"/>
      <c r="I648" s="74" t="str">
        <f ca="1">IF(D648="N",COUNTIF(INDIRECT(ADDRESS(MATCH(Plages!$D$19,'Planning annuel mixing coater'!$B:$B),4)):D648,"N"),IF(D648="N1",COUNTIF($D$9:D648,"N1"),""))</f>
        <v/>
      </c>
      <c r="J648" s="96" t="str">
        <f>IF(D648="","",COUNTA(D646:D648)-(COUNTA(D648:D648)-1))</f>
        <v/>
      </c>
    </row>
    <row r="649" spans="1:10" thickBot="1">
      <c r="A649" s="117"/>
      <c r="B649" s="70">
        <f t="shared" si="45"/>
        <v>44441</v>
      </c>
      <c r="C649" s="82" t="str">
        <f t="shared" si="42"/>
        <v>jeudi</v>
      </c>
      <c r="D649" s="87"/>
      <c r="E649" s="115" t="str">
        <f t="shared" si="43"/>
        <v/>
      </c>
      <c r="F649" s="115" t="str">
        <f t="shared" si="44"/>
        <v/>
      </c>
      <c r="G649" s="116" t="str">
        <f>IF(ISNONTEXT(D649),"",E649-MAX($F$2:F648))</f>
        <v/>
      </c>
      <c r="H649" s="97"/>
      <c r="I649" s="74" t="str">
        <f ca="1">IF(D649="N",COUNTIF(INDIRECT(ADDRESS(MATCH(Plages!$D$19,'Planning annuel mixing coater'!$B:$B),4)):D649,"N"),IF(D649="N1",COUNTIF($D$9:D649,"N1"),""))</f>
        <v/>
      </c>
      <c r="J649" s="96" t="str">
        <f>IF(D649="","",COUNTA(D646:D649)-(COUNTA(D649:D649)-1))</f>
        <v/>
      </c>
    </row>
    <row r="650" spans="1:10" thickBot="1">
      <c r="A650" s="117"/>
      <c r="B650" s="70">
        <f t="shared" si="45"/>
        <v>44442</v>
      </c>
      <c r="C650" s="82" t="str">
        <f t="shared" si="42"/>
        <v>vendredi</v>
      </c>
      <c r="D650" s="87"/>
      <c r="E650" s="115" t="str">
        <f t="shared" si="43"/>
        <v/>
      </c>
      <c r="F650" s="115" t="str">
        <f t="shared" si="44"/>
        <v/>
      </c>
      <c r="G650" s="116" t="str">
        <f>IF(ISNONTEXT(D650),"",E650-MAX($F$2:F649))</f>
        <v/>
      </c>
      <c r="H650" s="97"/>
      <c r="I650" s="74" t="str">
        <f ca="1">IF(D650="N",COUNTIF(INDIRECT(ADDRESS(MATCH(Plages!$D$19,'Planning annuel mixing coater'!$B:$B),4)):D650,"N"),IF(D650="N1",COUNTIF($D$9:D650,"N1"),""))</f>
        <v/>
      </c>
      <c r="J650" s="96" t="str">
        <f>IF(D650="","",COUNTA(D646:D650)-(COUNTA(D650:D650)-1))</f>
        <v/>
      </c>
    </row>
    <row r="651" spans="1:10" thickBot="1">
      <c r="A651" s="117"/>
      <c r="B651" s="70">
        <f t="shared" si="45"/>
        <v>44443</v>
      </c>
      <c r="C651" s="82" t="str">
        <f t="shared" si="42"/>
        <v>samedi</v>
      </c>
      <c r="D651" s="87"/>
      <c r="E651" s="115" t="str">
        <f t="shared" si="43"/>
        <v/>
      </c>
      <c r="F651" s="115" t="str">
        <f t="shared" si="44"/>
        <v/>
      </c>
      <c r="G651" s="116" t="str">
        <f>IF(ISNONTEXT(D651),"",E651-MAX($F$2:F650))</f>
        <v/>
      </c>
      <c r="H651" s="97"/>
      <c r="I651" s="74" t="str">
        <f ca="1">IF(D651="N",COUNTIF(INDIRECT(ADDRESS(MATCH(Plages!$D$19,'Planning annuel mixing coater'!$B:$B),4)):D651,"N"),IF(D651="N1",COUNTIF($D$9:D651,"N1"),""))</f>
        <v/>
      </c>
      <c r="J651" s="96" t="str">
        <f>IF(D651="","",COUNTA(D646:D651)-(COUNTA(D651:D651)-1))</f>
        <v/>
      </c>
    </row>
    <row r="652" spans="1:10" thickBot="1">
      <c r="A652" s="117"/>
      <c r="B652" s="70">
        <f t="shared" si="45"/>
        <v>44444</v>
      </c>
      <c r="C652" s="82" t="str">
        <f t="shared" si="42"/>
        <v>dimanche</v>
      </c>
      <c r="D652" s="87"/>
      <c r="E652" s="115" t="str">
        <f t="shared" si="43"/>
        <v/>
      </c>
      <c r="F652" s="115" t="str">
        <f t="shared" si="44"/>
        <v/>
      </c>
      <c r="G652" s="116" t="str">
        <f>IF(ISNONTEXT(D652),"",E652-MAX($F$2:F651))</f>
        <v/>
      </c>
      <c r="H652" s="98"/>
      <c r="I652" s="74" t="str">
        <f ca="1">IF(D652="N",COUNTIF(INDIRECT(ADDRESS(MATCH(Plages!$D$19,'Planning annuel mixing coater'!$B:$B),4)):D652,"N"),IF(D652="N1",COUNTIF($D$9:D652,"N1"),""))</f>
        <v/>
      </c>
      <c r="J652" s="96" t="str">
        <f>IF(D652="","",COUNTA(D646:D652)-(COUNTA(D652:D652)-1))</f>
        <v/>
      </c>
    </row>
    <row r="653" spans="1:10" thickBot="1">
      <c r="A653" s="117"/>
      <c r="B653" s="70">
        <f t="shared" si="45"/>
        <v>44445</v>
      </c>
      <c r="C653" s="82" t="str">
        <f t="shared" si="42"/>
        <v>lundi</v>
      </c>
      <c r="D653" s="87"/>
      <c r="E653" s="115" t="str">
        <f t="shared" si="43"/>
        <v/>
      </c>
      <c r="F653" s="115" t="str">
        <f t="shared" si="44"/>
        <v/>
      </c>
      <c r="G653" s="116" t="str">
        <f>IF(ISNONTEXT(D653),"",E653-MAX($F$2:F652))</f>
        <v/>
      </c>
      <c r="H653" s="97"/>
      <c r="I653" s="74" t="str">
        <f ca="1">IF(D653="N",COUNTIF(INDIRECT(ADDRESS(MATCH(Plages!$D$19,'Planning annuel mixing coater'!$B:$B),4)):D653,"N"),IF(D653="N1",COUNTIF($D$9:D653,"N1"),""))</f>
        <v/>
      </c>
      <c r="J653" s="96" t="str">
        <f>IF(D653="","",COUNTA(D646:D653)-(COUNTA(D653:D653)-1))</f>
        <v/>
      </c>
    </row>
    <row r="654" spans="1:10" thickBot="1">
      <c r="A654" s="117"/>
      <c r="B654" s="70">
        <f t="shared" si="45"/>
        <v>44446</v>
      </c>
      <c r="C654" s="82" t="str">
        <f t="shared" si="42"/>
        <v>mardi</v>
      </c>
      <c r="D654" s="87"/>
      <c r="E654" s="115" t="str">
        <f t="shared" si="43"/>
        <v/>
      </c>
      <c r="F654" s="115" t="str">
        <f t="shared" si="44"/>
        <v/>
      </c>
      <c r="G654" s="116" t="str">
        <f>IF(ISNONTEXT(D654),"",E654-MAX($F$2:F653))</f>
        <v/>
      </c>
      <c r="H654" s="97"/>
      <c r="I654" s="74" t="str">
        <f ca="1">IF(D654="N",COUNTIF(INDIRECT(ADDRESS(MATCH(Plages!$D$19,'Planning annuel mixing coater'!$B:$B),4)):D654,"N"),IF(D654="N1",COUNTIF($D$9:D654,"N1"),""))</f>
        <v/>
      </c>
      <c r="J654" s="96" t="str">
        <f>IF(D654="","",COUNTA(D646:D654)-(COUNTA(D654:D654)-1))</f>
        <v/>
      </c>
    </row>
    <row r="655" spans="1:10" thickBot="1">
      <c r="A655" s="117"/>
      <c r="B655" s="70">
        <f t="shared" si="45"/>
        <v>44447</v>
      </c>
      <c r="C655" s="82" t="str">
        <f t="shared" si="42"/>
        <v>mercredi</v>
      </c>
      <c r="D655" s="87"/>
      <c r="E655" s="115" t="str">
        <f t="shared" si="43"/>
        <v/>
      </c>
      <c r="F655" s="115" t="str">
        <f t="shared" si="44"/>
        <v/>
      </c>
      <c r="G655" s="116" t="str">
        <f>IF(ISNONTEXT(D655),"",E655-MAX($F$2:F654))</f>
        <v/>
      </c>
      <c r="H655" s="97"/>
      <c r="I655" s="74" t="str">
        <f ca="1">IF(D655="N",COUNTIF(INDIRECT(ADDRESS(MATCH(Plages!$D$19,'Planning annuel mixing coater'!$B:$B),4)):D655,"N"),IF(D655="N1",COUNTIF($D$9:D655,"N1"),""))</f>
        <v/>
      </c>
      <c r="J655" s="96" t="str">
        <f>IF(D655="","",COUNTA(D646:D655)-(COUNTA(D655:D655)-1))</f>
        <v/>
      </c>
    </row>
    <row r="656" spans="1:10" thickBot="1">
      <c r="A656" s="117"/>
      <c r="B656" s="70">
        <f t="shared" si="45"/>
        <v>44448</v>
      </c>
      <c r="C656" s="82" t="str">
        <f t="shared" si="42"/>
        <v>jeudi</v>
      </c>
      <c r="D656" s="87"/>
      <c r="E656" s="115" t="str">
        <f t="shared" si="43"/>
        <v/>
      </c>
      <c r="F656" s="115" t="str">
        <f t="shared" si="44"/>
        <v/>
      </c>
      <c r="G656" s="116" t="str">
        <f>IF(ISNONTEXT(D656),"",E656-MAX($F$2:F655))</f>
        <v/>
      </c>
      <c r="H656" s="97"/>
      <c r="I656" s="74" t="str">
        <f ca="1">IF(D656="N",COUNTIF(INDIRECT(ADDRESS(MATCH(Plages!$D$19,'Planning annuel mixing coater'!$B:$B),4)):D656,"N"),IF(D656="N1",COUNTIF($D$9:D656,"N1"),""))</f>
        <v/>
      </c>
      <c r="J656" s="96" t="str">
        <f>IF(D656="","",COUNTA(D646:D656)-(COUNTA(D656:D656)-1))</f>
        <v/>
      </c>
    </row>
    <row r="657" spans="1:10" thickBot="1">
      <c r="A657" s="117"/>
      <c r="B657" s="70">
        <f t="shared" si="45"/>
        <v>44449</v>
      </c>
      <c r="C657" s="82" t="str">
        <f t="shared" si="42"/>
        <v>vendredi</v>
      </c>
      <c r="D657" s="87"/>
      <c r="E657" s="115" t="str">
        <f t="shared" si="43"/>
        <v/>
      </c>
      <c r="F657" s="115" t="str">
        <f t="shared" si="44"/>
        <v/>
      </c>
      <c r="G657" s="116" t="str">
        <f>IF(ISNONTEXT(D657),"",E657-MAX($F$2:F656))</f>
        <v/>
      </c>
      <c r="H657" s="97"/>
      <c r="I657" s="74" t="str">
        <f ca="1">IF(D657="N",COUNTIF(INDIRECT(ADDRESS(MATCH(Plages!$D$19,'Planning annuel mixing coater'!$B:$B),4)):D657,"N"),IF(D657="N1",COUNTIF($D$9:D657,"N1"),""))</f>
        <v/>
      </c>
      <c r="J657" s="96" t="str">
        <f>IF(D657="","",COUNTA(D646:D657)-(COUNTA(D657:D657)-1))</f>
        <v/>
      </c>
    </row>
    <row r="658" spans="1:10" thickBot="1">
      <c r="A658" s="117"/>
      <c r="B658" s="70">
        <f t="shared" si="45"/>
        <v>44450</v>
      </c>
      <c r="C658" s="82" t="str">
        <f t="shared" si="42"/>
        <v>samedi</v>
      </c>
      <c r="D658" s="87"/>
      <c r="E658" s="115" t="str">
        <f t="shared" si="43"/>
        <v/>
      </c>
      <c r="F658" s="115" t="str">
        <f t="shared" si="44"/>
        <v/>
      </c>
      <c r="G658" s="116" t="str">
        <f>IF(ISNONTEXT(D658),"",E658-MAX($F$2:F657))</f>
        <v/>
      </c>
      <c r="H658" s="97"/>
      <c r="I658" s="74" t="str">
        <f ca="1">IF(D658="N",COUNTIF(INDIRECT(ADDRESS(MATCH(Plages!$D$19,'Planning annuel mixing coater'!$B:$B),4)):D658,"N"),IF(D658="N1",COUNTIF($D$9:D658,"N1"),""))</f>
        <v/>
      </c>
      <c r="J658" s="96" t="str">
        <f>IF(D658="","",COUNTA(D646:D658)-(COUNTA(D658:D658)-1))</f>
        <v/>
      </c>
    </row>
    <row r="659" spans="1:10" s="77" customFormat="1" thickBot="1">
      <c r="A659" s="117"/>
      <c r="B659" s="75">
        <f t="shared" si="45"/>
        <v>44451</v>
      </c>
      <c r="C659" s="83" t="str">
        <f t="shared" si="42"/>
        <v>dimanche</v>
      </c>
      <c r="D659" s="88"/>
      <c r="E659" s="115" t="str">
        <f t="shared" si="43"/>
        <v/>
      </c>
      <c r="F659" s="115" t="str">
        <f t="shared" si="44"/>
        <v/>
      </c>
      <c r="G659" s="116" t="str">
        <f>IF(ISNONTEXT(D659),"",E659-MAX($F$2:F658))</f>
        <v/>
      </c>
      <c r="H659" s="98"/>
      <c r="I659" s="76" t="str">
        <f ca="1">IF(D659="N",COUNTIF(INDIRECT(ADDRESS(MATCH(Plages!$D$19,'Planning annuel mixing coater'!$B:$B),4)):D659,"N"),IF(D659="N1",COUNTIF($D$9:D659,"N1"),""))</f>
        <v/>
      </c>
      <c r="J659" s="99" t="str">
        <f>IF(D659="","",COUNTA(D646:D659)-(COUNTA(D659:D659)-1))</f>
        <v/>
      </c>
    </row>
    <row r="660" spans="1:10" ht="16.5" thickTop="1" thickBot="1">
      <c r="A660" s="117"/>
      <c r="B660" s="78">
        <f t="shared" si="45"/>
        <v>44452</v>
      </c>
      <c r="C660" s="81" t="str">
        <f t="shared" si="42"/>
        <v>lundi</v>
      </c>
      <c r="D660" s="89"/>
      <c r="E660" s="115" t="str">
        <f t="shared" si="43"/>
        <v/>
      </c>
      <c r="F660" s="115" t="str">
        <f t="shared" si="44"/>
        <v/>
      </c>
      <c r="G660" s="116" t="str">
        <f>IF(ISNONTEXT(D660),"",E660-MAX($F$2:F659))</f>
        <v/>
      </c>
      <c r="H660" s="100"/>
      <c r="I660" s="79" t="str">
        <f ca="1">IF(D660="N",COUNTIF(INDIRECT(ADDRESS(MATCH(Plages!$D$19,'Planning annuel mixing coater'!$B:$B),4)):D660,"N"),IF(D660="N1",COUNTIF($D$9:D660,"N1"),""))</f>
        <v/>
      </c>
      <c r="J660" s="101" t="str">
        <f>IF(D660="","",COUNTA(D660:D660)-(COUNTA(D660:D660)-1))</f>
        <v/>
      </c>
    </row>
    <row r="661" spans="1:10" thickBot="1">
      <c r="A661" s="117"/>
      <c r="B661" s="70">
        <f t="shared" si="45"/>
        <v>44453</v>
      </c>
      <c r="C661" s="82" t="str">
        <f t="shared" si="42"/>
        <v>mardi</v>
      </c>
      <c r="D661" s="87"/>
      <c r="E661" s="115" t="str">
        <f t="shared" si="43"/>
        <v/>
      </c>
      <c r="F661" s="115" t="str">
        <f t="shared" si="44"/>
        <v/>
      </c>
      <c r="G661" s="116" t="str">
        <f>IF(ISNONTEXT(D661),"",E661-MAX($F$2:F660))</f>
        <v/>
      </c>
      <c r="H661" s="97"/>
      <c r="I661" s="74" t="str">
        <f ca="1">IF(D661="N",COUNTIF(INDIRECT(ADDRESS(MATCH(Plages!$D$19,'Planning annuel mixing coater'!$B:$B),4)):D661,"N"),IF(D661="N1",COUNTIF($D$9:D661,"N1"),""))</f>
        <v/>
      </c>
      <c r="J661" s="96" t="str">
        <f>IF(D661="","",COUNTA(D660:D661)-(COUNTA(D661:D661)-1))</f>
        <v/>
      </c>
    </row>
    <row r="662" spans="1:10" thickBot="1">
      <c r="A662" s="117"/>
      <c r="B662" s="70">
        <f t="shared" si="45"/>
        <v>44454</v>
      </c>
      <c r="C662" s="82" t="str">
        <f t="shared" si="42"/>
        <v>mercredi</v>
      </c>
      <c r="D662" s="87"/>
      <c r="E662" s="115" t="str">
        <f t="shared" si="43"/>
        <v/>
      </c>
      <c r="F662" s="115" t="str">
        <f t="shared" si="44"/>
        <v/>
      </c>
      <c r="G662" s="116" t="str">
        <f>IF(ISNONTEXT(D662),"",E662-MAX($F$2:F661))</f>
        <v/>
      </c>
      <c r="H662" s="97"/>
      <c r="I662" s="74" t="str">
        <f ca="1">IF(D662="N",COUNTIF(INDIRECT(ADDRESS(MATCH(Plages!$D$19,'Planning annuel mixing coater'!$B:$B),4)):D662,"N"),IF(D662="N1",COUNTIF($D$9:D662,"N1"),""))</f>
        <v/>
      </c>
      <c r="J662" s="96" t="str">
        <f>IF(D662="","",COUNTA(D660:D662)-(COUNTA(D662:D662)-1))</f>
        <v/>
      </c>
    </row>
    <row r="663" spans="1:10" thickBot="1">
      <c r="A663" s="117"/>
      <c r="B663" s="70">
        <f t="shared" si="45"/>
        <v>44455</v>
      </c>
      <c r="C663" s="82" t="str">
        <f t="shared" si="42"/>
        <v>jeudi</v>
      </c>
      <c r="D663" s="87"/>
      <c r="E663" s="115" t="str">
        <f t="shared" si="43"/>
        <v/>
      </c>
      <c r="F663" s="115" t="str">
        <f t="shared" si="44"/>
        <v/>
      </c>
      <c r="G663" s="116" t="str">
        <f>IF(ISNONTEXT(D663),"",E663-MAX($F$2:F662))</f>
        <v/>
      </c>
      <c r="H663" s="97"/>
      <c r="I663" s="74" t="str">
        <f ca="1">IF(D663="N",COUNTIF(INDIRECT(ADDRESS(MATCH(Plages!$D$19,'Planning annuel mixing coater'!$B:$B),4)):D663,"N"),IF(D663="N1",COUNTIF($D$9:D663,"N1"),""))</f>
        <v/>
      </c>
      <c r="J663" s="96" t="str">
        <f>IF(D663="","",COUNTA(D660:D663)-(COUNTA(D663:D663)-1))</f>
        <v/>
      </c>
    </row>
    <row r="664" spans="1:10" thickBot="1">
      <c r="A664" s="117"/>
      <c r="B664" s="70">
        <f t="shared" si="45"/>
        <v>44456</v>
      </c>
      <c r="C664" s="82" t="str">
        <f t="shared" si="42"/>
        <v>vendredi</v>
      </c>
      <c r="D664" s="87"/>
      <c r="E664" s="115" t="str">
        <f t="shared" si="43"/>
        <v/>
      </c>
      <c r="F664" s="115" t="str">
        <f t="shared" si="44"/>
        <v/>
      </c>
      <c r="G664" s="116" t="str">
        <f>IF(ISNONTEXT(D664),"",E664-MAX($F$2:F663))</f>
        <v/>
      </c>
      <c r="H664" s="97"/>
      <c r="I664" s="74" t="str">
        <f ca="1">IF(D664="N",COUNTIF(INDIRECT(ADDRESS(MATCH(Plages!$D$19,'Planning annuel mixing coater'!$B:$B),4)):D664,"N"),IF(D664="N1",COUNTIF($D$9:D664,"N1"),""))</f>
        <v/>
      </c>
      <c r="J664" s="96" t="str">
        <f>IF(D664="","",COUNTA(D660:D664)-(COUNTA(D664:D664)-1))</f>
        <v/>
      </c>
    </row>
    <row r="665" spans="1:10" thickBot="1">
      <c r="A665" s="117"/>
      <c r="B665" s="70">
        <f t="shared" si="45"/>
        <v>44457</v>
      </c>
      <c r="C665" s="82" t="str">
        <f t="shared" si="42"/>
        <v>samedi</v>
      </c>
      <c r="D665" s="87"/>
      <c r="E665" s="115" t="str">
        <f t="shared" si="43"/>
        <v/>
      </c>
      <c r="F665" s="115" t="str">
        <f t="shared" si="44"/>
        <v/>
      </c>
      <c r="G665" s="116" t="str">
        <f>IF(ISNONTEXT(D665),"",E665-MAX($F$2:F664))</f>
        <v/>
      </c>
      <c r="H665" s="97"/>
      <c r="I665" s="74" t="str">
        <f ca="1">IF(D665="N",COUNTIF(INDIRECT(ADDRESS(MATCH(Plages!$D$19,'Planning annuel mixing coater'!$B:$B),4)):D665,"N"),IF(D665="N1",COUNTIF($D$9:D665,"N1"),""))</f>
        <v/>
      </c>
      <c r="J665" s="96" t="str">
        <f>IF(D665="","",COUNTA(D660:D665)-(COUNTA(D665:D665)-1))</f>
        <v/>
      </c>
    </row>
    <row r="666" spans="1:10" thickBot="1">
      <c r="A666" s="117"/>
      <c r="B666" s="70">
        <f t="shared" si="45"/>
        <v>44458</v>
      </c>
      <c r="C666" s="82" t="str">
        <f t="shared" si="42"/>
        <v>dimanche</v>
      </c>
      <c r="D666" s="87"/>
      <c r="E666" s="115" t="str">
        <f t="shared" si="43"/>
        <v/>
      </c>
      <c r="F666" s="115" t="str">
        <f t="shared" si="44"/>
        <v/>
      </c>
      <c r="G666" s="116" t="str">
        <f>IF(ISNONTEXT(D666),"",E666-MAX($F$2:F665))</f>
        <v/>
      </c>
      <c r="H666" s="98"/>
      <c r="I666" s="74" t="str">
        <f ca="1">IF(D666="N",COUNTIF(INDIRECT(ADDRESS(MATCH(Plages!$D$19,'Planning annuel mixing coater'!$B:$B),4)):D666,"N"),IF(D666="N1",COUNTIF($D$9:D666,"N1"),""))</f>
        <v/>
      </c>
      <c r="J666" s="96" t="str">
        <f>IF(D666="","",COUNTA(D660:D666)-(COUNTA(D666:D666)-1))</f>
        <v/>
      </c>
    </row>
    <row r="667" spans="1:10" thickBot="1">
      <c r="A667" s="117"/>
      <c r="B667" s="70">
        <f t="shared" si="45"/>
        <v>44459</v>
      </c>
      <c r="C667" s="82" t="str">
        <f t="shared" si="42"/>
        <v>lundi</v>
      </c>
      <c r="D667" s="87"/>
      <c r="E667" s="115" t="str">
        <f t="shared" si="43"/>
        <v/>
      </c>
      <c r="F667" s="115" t="str">
        <f t="shared" si="44"/>
        <v/>
      </c>
      <c r="G667" s="116" t="str">
        <f>IF(ISNONTEXT(D667),"",E667-MAX($F$2:F666))</f>
        <v/>
      </c>
      <c r="H667" s="97"/>
      <c r="I667" s="74" t="str">
        <f ca="1">IF(D667="N",COUNTIF(INDIRECT(ADDRESS(MATCH(Plages!$D$19,'Planning annuel mixing coater'!$B:$B),4)):D667,"N"),IF(D667="N1",COUNTIF($D$9:D667,"N1"),""))</f>
        <v/>
      </c>
      <c r="J667" s="96" t="str">
        <f>IF(D667="","",COUNTA(D660:D667)-(COUNTA(D667:D667)-1))</f>
        <v/>
      </c>
    </row>
    <row r="668" spans="1:10" thickBot="1">
      <c r="A668" s="117"/>
      <c r="B668" s="70">
        <f t="shared" si="45"/>
        <v>44460</v>
      </c>
      <c r="C668" s="82" t="str">
        <f t="shared" si="42"/>
        <v>mardi</v>
      </c>
      <c r="D668" s="87"/>
      <c r="E668" s="115" t="str">
        <f t="shared" si="43"/>
        <v/>
      </c>
      <c r="F668" s="115" t="str">
        <f t="shared" si="44"/>
        <v/>
      </c>
      <c r="G668" s="116" t="str">
        <f>IF(ISNONTEXT(D668),"",E668-MAX($F$2:F667))</f>
        <v/>
      </c>
      <c r="H668" s="97"/>
      <c r="I668" s="74" t="str">
        <f ca="1">IF(D668="N",COUNTIF(INDIRECT(ADDRESS(MATCH(Plages!$D$19,'Planning annuel mixing coater'!$B:$B),4)):D668,"N"),IF(D668="N1",COUNTIF($D$9:D668,"N1"),""))</f>
        <v/>
      </c>
      <c r="J668" s="96" t="str">
        <f>IF(D668="","",COUNTA(D660:D668)-(COUNTA(D668:D668)-1))</f>
        <v/>
      </c>
    </row>
    <row r="669" spans="1:10" thickBot="1">
      <c r="A669" s="117"/>
      <c r="B669" s="70">
        <f t="shared" si="45"/>
        <v>44461</v>
      </c>
      <c r="C669" s="82" t="str">
        <f t="shared" si="42"/>
        <v>mercredi</v>
      </c>
      <c r="D669" s="87"/>
      <c r="E669" s="115" t="str">
        <f t="shared" si="43"/>
        <v/>
      </c>
      <c r="F669" s="115" t="str">
        <f t="shared" si="44"/>
        <v/>
      </c>
      <c r="G669" s="116" t="str">
        <f>IF(ISNONTEXT(D669),"",E669-MAX($F$2:F668))</f>
        <v/>
      </c>
      <c r="H669" s="97"/>
      <c r="I669" s="74" t="str">
        <f ca="1">IF(D669="N",COUNTIF(INDIRECT(ADDRESS(MATCH(Plages!$D$19,'Planning annuel mixing coater'!$B:$B),4)):D669,"N"),IF(D669="N1",COUNTIF($D$9:D669,"N1"),""))</f>
        <v/>
      </c>
      <c r="J669" s="96" t="str">
        <f>IF(D669="","",COUNTA(D660:D669)-(COUNTA(D669:D669)-1))</f>
        <v/>
      </c>
    </row>
    <row r="670" spans="1:10" thickBot="1">
      <c r="A670" s="117"/>
      <c r="B670" s="70">
        <f t="shared" si="45"/>
        <v>44462</v>
      </c>
      <c r="C670" s="82" t="str">
        <f t="shared" ref="C670:C733" si="46">IF(B670="","",TEXT(B670,"jjjj"))</f>
        <v>jeudi</v>
      </c>
      <c r="D670" s="87"/>
      <c r="E670" s="115" t="str">
        <f t="shared" ref="E670:E733" si="47">IF(D670="","",B670+VLOOKUP(D670,Plageh,2,0))</f>
        <v/>
      </c>
      <c r="F670" s="115" t="str">
        <f t="shared" ref="F670:F733" si="48">IF(D670="","",B670+VLOOKUP(D670,Plageh,3,0))</f>
        <v/>
      </c>
      <c r="G670" s="116" t="str">
        <f>IF(ISNONTEXT(D670),"",E670-MAX($F$2:F669))</f>
        <v/>
      </c>
      <c r="H670" s="97"/>
      <c r="I670" s="74" t="str">
        <f ca="1">IF(D670="N",COUNTIF(INDIRECT(ADDRESS(MATCH(Plages!$D$19,'Planning annuel mixing coater'!$B:$B),4)):D670,"N"),IF(D670="N1",COUNTIF($D$9:D670,"N1"),""))</f>
        <v/>
      </c>
      <c r="J670" s="96" t="str">
        <f>IF(D670="","",COUNTA(D660:D670)-(COUNTA(D670:D670)-1))</f>
        <v/>
      </c>
    </row>
    <row r="671" spans="1:10" thickBot="1">
      <c r="A671" s="117"/>
      <c r="B671" s="70">
        <f t="shared" si="45"/>
        <v>44463</v>
      </c>
      <c r="C671" s="82" t="str">
        <f t="shared" si="46"/>
        <v>vendredi</v>
      </c>
      <c r="D671" s="87"/>
      <c r="E671" s="115" t="str">
        <f t="shared" si="47"/>
        <v/>
      </c>
      <c r="F671" s="115" t="str">
        <f t="shared" si="48"/>
        <v/>
      </c>
      <c r="G671" s="116" t="str">
        <f>IF(ISNONTEXT(D671),"",E671-MAX($F$2:F670))</f>
        <v/>
      </c>
      <c r="H671" s="97"/>
      <c r="I671" s="74" t="str">
        <f ca="1">IF(D671="N",COUNTIF(INDIRECT(ADDRESS(MATCH(Plages!$D$19,'Planning annuel mixing coater'!$B:$B),4)):D671,"N"),IF(D671="N1",COUNTIF($D$9:D671,"N1"),""))</f>
        <v/>
      </c>
      <c r="J671" s="96" t="str">
        <f>IF(D671="","",COUNTA(D660:D671)-(COUNTA(D671:D671)-1))</f>
        <v/>
      </c>
    </row>
    <row r="672" spans="1:10" thickBot="1">
      <c r="A672" s="117"/>
      <c r="B672" s="70">
        <f t="shared" si="45"/>
        <v>44464</v>
      </c>
      <c r="C672" s="82" t="str">
        <f t="shared" si="46"/>
        <v>samedi</v>
      </c>
      <c r="D672" s="87"/>
      <c r="E672" s="115" t="str">
        <f t="shared" si="47"/>
        <v/>
      </c>
      <c r="F672" s="115" t="str">
        <f t="shared" si="48"/>
        <v/>
      </c>
      <c r="G672" s="116" t="str">
        <f>IF(ISNONTEXT(D672),"",E672-MAX($F$2:F671))</f>
        <v/>
      </c>
      <c r="H672" s="97"/>
      <c r="I672" s="74" t="str">
        <f ca="1">IF(D672="N",COUNTIF(INDIRECT(ADDRESS(MATCH(Plages!$D$19,'Planning annuel mixing coater'!$B:$B),4)):D672,"N"),IF(D672="N1",COUNTIF($D$9:D672,"N1"),""))</f>
        <v/>
      </c>
      <c r="J672" s="96" t="str">
        <f>IF(D672="","",COUNTA(D660:D672)-(COUNTA(D672:D672)-1))</f>
        <v/>
      </c>
    </row>
    <row r="673" spans="1:10" s="77" customFormat="1" thickBot="1">
      <c r="A673" s="117"/>
      <c r="B673" s="75">
        <f t="shared" si="45"/>
        <v>44465</v>
      </c>
      <c r="C673" s="83" t="str">
        <f t="shared" si="46"/>
        <v>dimanche</v>
      </c>
      <c r="D673" s="88"/>
      <c r="E673" s="115" t="str">
        <f t="shared" si="47"/>
        <v/>
      </c>
      <c r="F673" s="115" t="str">
        <f t="shared" si="48"/>
        <v/>
      </c>
      <c r="G673" s="116" t="str">
        <f>IF(ISNONTEXT(D673),"",E673-MAX($F$2:F672))</f>
        <v/>
      </c>
      <c r="H673" s="98"/>
      <c r="I673" s="76" t="str">
        <f ca="1">IF(D673="N",COUNTIF(INDIRECT(ADDRESS(MATCH(Plages!$D$19,'Planning annuel mixing coater'!$B:$B),4)):D673,"N"),IF(D673="N1",COUNTIF($D$9:D673,"N1"),""))</f>
        <v/>
      </c>
      <c r="J673" s="99" t="str">
        <f>IF(D673="","",COUNTA(D660:D673)-(COUNTA(D673:D673)-1))</f>
        <v/>
      </c>
    </row>
    <row r="674" spans="1:10" ht="16.5" thickTop="1" thickBot="1">
      <c r="A674" s="117"/>
      <c r="B674" s="78">
        <f t="shared" si="45"/>
        <v>44466</v>
      </c>
      <c r="C674" s="81" t="str">
        <f t="shared" si="46"/>
        <v>lundi</v>
      </c>
      <c r="D674" s="89"/>
      <c r="E674" s="115" t="str">
        <f t="shared" si="47"/>
        <v/>
      </c>
      <c r="F674" s="115" t="str">
        <f t="shared" si="48"/>
        <v/>
      </c>
      <c r="G674" s="116" t="str">
        <f>IF(ISNONTEXT(D674),"",E674-MAX($F$2:F673))</f>
        <v/>
      </c>
      <c r="H674" s="100"/>
      <c r="I674" s="79" t="str">
        <f ca="1">IF(D674="N",COUNTIF(INDIRECT(ADDRESS(MATCH(Plages!$D$19,'Planning annuel mixing coater'!$B:$B),4)):D674,"N"),IF(D674="N1",COUNTIF($D$9:D674,"N1"),""))</f>
        <v/>
      </c>
      <c r="J674" s="101" t="str">
        <f>IF(D674="","",COUNTA(D674:D674)-(COUNTA(D674:D674)-1))</f>
        <v/>
      </c>
    </row>
    <row r="675" spans="1:10" thickBot="1">
      <c r="A675" s="117"/>
      <c r="B675" s="70">
        <f t="shared" si="45"/>
        <v>44467</v>
      </c>
      <c r="C675" s="82" t="str">
        <f t="shared" si="46"/>
        <v>mardi</v>
      </c>
      <c r="D675" s="87"/>
      <c r="E675" s="115" t="str">
        <f t="shared" si="47"/>
        <v/>
      </c>
      <c r="F675" s="115" t="str">
        <f t="shared" si="48"/>
        <v/>
      </c>
      <c r="G675" s="116" t="str">
        <f>IF(ISNONTEXT(D675),"",E675-MAX($F$2:F674))</f>
        <v/>
      </c>
      <c r="H675" s="97"/>
      <c r="I675" s="74" t="str">
        <f ca="1">IF(D675="N",COUNTIF(INDIRECT(ADDRESS(MATCH(Plages!$D$19,'Planning annuel mixing coater'!$B:$B),4)):D675,"N"),IF(D675="N1",COUNTIF($D$9:D675,"N1"),""))</f>
        <v/>
      </c>
      <c r="J675" s="96" t="str">
        <f>IF(D675="","",COUNTA(D674:D675)-(COUNTA(D675:D675)-1))</f>
        <v/>
      </c>
    </row>
    <row r="676" spans="1:10" thickBot="1">
      <c r="A676" s="117"/>
      <c r="B676" s="70">
        <f t="shared" si="45"/>
        <v>44468</v>
      </c>
      <c r="C676" s="82" t="str">
        <f t="shared" si="46"/>
        <v>mercredi</v>
      </c>
      <c r="D676" s="87"/>
      <c r="E676" s="115" t="str">
        <f t="shared" si="47"/>
        <v/>
      </c>
      <c r="F676" s="115" t="str">
        <f t="shared" si="48"/>
        <v/>
      </c>
      <c r="G676" s="116" t="str">
        <f>IF(ISNONTEXT(D676),"",E676-MAX($F$2:F675))</f>
        <v/>
      </c>
      <c r="H676" s="97"/>
      <c r="I676" s="74" t="str">
        <f ca="1">IF(D676="N",COUNTIF(INDIRECT(ADDRESS(MATCH(Plages!$D$19,'Planning annuel mixing coater'!$B:$B),4)):D676,"N"),IF(D676="N1",COUNTIF($D$9:D676,"N1"),""))</f>
        <v/>
      </c>
      <c r="J676" s="96" t="str">
        <f>IF(D676="","",COUNTA(D674:D676)-(COUNTA(D676:D676)-1))</f>
        <v/>
      </c>
    </row>
    <row r="677" spans="1:10" thickBot="1">
      <c r="A677" s="117"/>
      <c r="B677" s="70">
        <f t="shared" si="45"/>
        <v>44469</v>
      </c>
      <c r="C677" s="82" t="str">
        <f t="shared" si="46"/>
        <v>jeudi</v>
      </c>
      <c r="D677" s="87"/>
      <c r="E677" s="115" t="str">
        <f t="shared" si="47"/>
        <v/>
      </c>
      <c r="F677" s="115" t="str">
        <f t="shared" si="48"/>
        <v/>
      </c>
      <c r="G677" s="116" t="str">
        <f>IF(ISNONTEXT(D677),"",E677-MAX($F$2:F676))</f>
        <v/>
      </c>
      <c r="H677" s="97"/>
      <c r="I677" s="74" t="str">
        <f ca="1">IF(D677="N",COUNTIF(INDIRECT(ADDRESS(MATCH(Plages!$D$19,'Planning annuel mixing coater'!$B:$B),4)):D677,"N"),IF(D677="N1",COUNTIF($D$9:D677,"N1"),""))</f>
        <v/>
      </c>
      <c r="J677" s="96" t="str">
        <f>IF(D677="","",COUNTA(D674:D677)-(COUNTA(D677:D677)-1))</f>
        <v/>
      </c>
    </row>
    <row r="678" spans="1:10" thickBot="1">
      <c r="A678" s="117"/>
      <c r="B678" s="70">
        <f t="shared" si="45"/>
        <v>44470</v>
      </c>
      <c r="C678" s="82" t="str">
        <f t="shared" si="46"/>
        <v>vendredi</v>
      </c>
      <c r="D678" s="87"/>
      <c r="E678" s="115" t="str">
        <f t="shared" si="47"/>
        <v/>
      </c>
      <c r="F678" s="115" t="str">
        <f t="shared" si="48"/>
        <v/>
      </c>
      <c r="G678" s="116" t="str">
        <f>IF(ISNONTEXT(D678),"",E678-MAX($F$2:F677))</f>
        <v/>
      </c>
      <c r="H678" s="97"/>
      <c r="I678" s="74" t="str">
        <f ca="1">IF(D678="N",COUNTIF(INDIRECT(ADDRESS(MATCH(Plages!$D$19,'Planning annuel mixing coater'!$B:$B),4)):D678,"N"),IF(D678="N1",COUNTIF($D$9:D678,"N1"),""))</f>
        <v/>
      </c>
      <c r="J678" s="96" t="str">
        <f>IF(D678="","",COUNTA(D674:D678)-(COUNTA(D678:D678)-1))</f>
        <v/>
      </c>
    </row>
    <row r="679" spans="1:10" thickBot="1">
      <c r="A679" s="117"/>
      <c r="B679" s="70">
        <f t="shared" si="45"/>
        <v>44471</v>
      </c>
      <c r="C679" s="82" t="str">
        <f t="shared" si="46"/>
        <v>samedi</v>
      </c>
      <c r="D679" s="87"/>
      <c r="E679" s="115" t="str">
        <f t="shared" si="47"/>
        <v/>
      </c>
      <c r="F679" s="115" t="str">
        <f t="shared" si="48"/>
        <v/>
      </c>
      <c r="G679" s="116" t="str">
        <f>IF(ISNONTEXT(D679),"",E679-MAX($F$2:F678))</f>
        <v/>
      </c>
      <c r="H679" s="97"/>
      <c r="I679" s="74" t="str">
        <f ca="1">IF(D679="N",COUNTIF(INDIRECT(ADDRESS(MATCH(Plages!$D$19,'Planning annuel mixing coater'!$B:$B),4)):D679,"N"),IF(D679="N1",COUNTIF($D$9:D679,"N1"),""))</f>
        <v/>
      </c>
      <c r="J679" s="96" t="str">
        <f>IF(D679="","",COUNTA(D674:D679)-(COUNTA(D679:D679)-1))</f>
        <v/>
      </c>
    </row>
    <row r="680" spans="1:10" thickBot="1">
      <c r="A680" s="117"/>
      <c r="B680" s="70">
        <f t="shared" si="45"/>
        <v>44472</v>
      </c>
      <c r="C680" s="82" t="str">
        <f t="shared" si="46"/>
        <v>dimanche</v>
      </c>
      <c r="D680" s="87"/>
      <c r="E680" s="115" t="str">
        <f t="shared" si="47"/>
        <v/>
      </c>
      <c r="F680" s="115" t="str">
        <f t="shared" si="48"/>
        <v/>
      </c>
      <c r="G680" s="116" t="str">
        <f>IF(ISNONTEXT(D680),"",E680-MAX($F$2:F679))</f>
        <v/>
      </c>
      <c r="H680" s="98"/>
      <c r="I680" s="74" t="str">
        <f ca="1">IF(D680="N",COUNTIF(INDIRECT(ADDRESS(MATCH(Plages!$D$19,'Planning annuel mixing coater'!$B:$B),4)):D680,"N"),IF(D680="N1",COUNTIF($D$9:D680,"N1"),""))</f>
        <v/>
      </c>
      <c r="J680" s="96" t="str">
        <f>IF(D680="","",COUNTA(D674:D680)-(COUNTA(D680:D680)-1))</f>
        <v/>
      </c>
    </row>
    <row r="681" spans="1:10" thickBot="1">
      <c r="A681" s="117"/>
      <c r="B681" s="70">
        <f t="shared" si="45"/>
        <v>44473</v>
      </c>
      <c r="C681" s="82" t="str">
        <f t="shared" si="46"/>
        <v>lundi</v>
      </c>
      <c r="D681" s="87"/>
      <c r="E681" s="115" t="str">
        <f t="shared" si="47"/>
        <v/>
      </c>
      <c r="F681" s="115" t="str">
        <f t="shared" si="48"/>
        <v/>
      </c>
      <c r="G681" s="116" t="str">
        <f>IF(ISNONTEXT(D681),"",E681-MAX($F$2:F680))</f>
        <v/>
      </c>
      <c r="H681" s="97"/>
      <c r="I681" s="74" t="str">
        <f ca="1">IF(D681="N",COUNTIF(INDIRECT(ADDRESS(MATCH(Plages!$D$19,'Planning annuel mixing coater'!$B:$B),4)):D681,"N"),IF(D681="N1",COUNTIF($D$9:D681,"N1"),""))</f>
        <v/>
      </c>
      <c r="J681" s="96" t="str">
        <f>IF(D681="","",COUNTA(D674:D681)-(COUNTA(D681:D681)-1))</f>
        <v/>
      </c>
    </row>
    <row r="682" spans="1:10" thickBot="1">
      <c r="A682" s="117"/>
      <c r="B682" s="70">
        <f t="shared" si="45"/>
        <v>44474</v>
      </c>
      <c r="C682" s="82" t="str">
        <f t="shared" si="46"/>
        <v>mardi</v>
      </c>
      <c r="D682" s="87"/>
      <c r="E682" s="115" t="str">
        <f t="shared" si="47"/>
        <v/>
      </c>
      <c r="F682" s="115" t="str">
        <f t="shared" si="48"/>
        <v/>
      </c>
      <c r="G682" s="116" t="str">
        <f>IF(ISNONTEXT(D682),"",E682-MAX($F$2:F681))</f>
        <v/>
      </c>
      <c r="H682" s="97"/>
      <c r="I682" s="74" t="str">
        <f ca="1">IF(D682="N",COUNTIF(INDIRECT(ADDRESS(MATCH(Plages!$D$19,'Planning annuel mixing coater'!$B:$B),4)):D682,"N"),IF(D682="N1",COUNTIF($D$9:D682,"N1"),""))</f>
        <v/>
      </c>
      <c r="J682" s="96" t="str">
        <f>IF(D682="","",COUNTA(D674:D682)-(COUNTA(D682:D682)-1))</f>
        <v/>
      </c>
    </row>
    <row r="683" spans="1:10" thickBot="1">
      <c r="A683" s="117"/>
      <c r="B683" s="70">
        <f t="shared" si="45"/>
        <v>44475</v>
      </c>
      <c r="C683" s="82" t="str">
        <f t="shared" si="46"/>
        <v>mercredi</v>
      </c>
      <c r="D683" s="87"/>
      <c r="E683" s="115" t="str">
        <f t="shared" si="47"/>
        <v/>
      </c>
      <c r="F683" s="115" t="str">
        <f t="shared" si="48"/>
        <v/>
      </c>
      <c r="G683" s="116" t="str">
        <f>IF(ISNONTEXT(D683),"",E683-MAX($F$2:F682))</f>
        <v/>
      </c>
      <c r="H683" s="97"/>
      <c r="I683" s="74" t="str">
        <f ca="1">IF(D683="N",COUNTIF(INDIRECT(ADDRESS(MATCH(Plages!$D$19,'Planning annuel mixing coater'!$B:$B),4)):D683,"N"),IF(D683="N1",COUNTIF($D$9:D683,"N1"),""))</f>
        <v/>
      </c>
      <c r="J683" s="96" t="str">
        <f>IF(D683="","",COUNTA(D674:D683)-(COUNTA(D683:D683)-1))</f>
        <v/>
      </c>
    </row>
    <row r="684" spans="1:10" thickBot="1">
      <c r="A684" s="117"/>
      <c r="B684" s="70">
        <f t="shared" si="45"/>
        <v>44476</v>
      </c>
      <c r="C684" s="82" t="str">
        <f t="shared" si="46"/>
        <v>jeudi</v>
      </c>
      <c r="D684" s="87"/>
      <c r="E684" s="115" t="str">
        <f t="shared" si="47"/>
        <v/>
      </c>
      <c r="F684" s="115" t="str">
        <f t="shared" si="48"/>
        <v/>
      </c>
      <c r="G684" s="116" t="str">
        <f>IF(ISNONTEXT(D684),"",E684-MAX($F$2:F683))</f>
        <v/>
      </c>
      <c r="H684" s="97"/>
      <c r="I684" s="74" t="str">
        <f ca="1">IF(D684="N",COUNTIF(INDIRECT(ADDRESS(MATCH(Plages!$D$19,'Planning annuel mixing coater'!$B:$B),4)):D684,"N"),IF(D684="N1",COUNTIF($D$9:D684,"N1"),""))</f>
        <v/>
      </c>
      <c r="J684" s="96" t="str">
        <f>IF(D684="","",COUNTA(D674:D684)-(COUNTA(D684:D684)-1))</f>
        <v/>
      </c>
    </row>
    <row r="685" spans="1:10" thickBot="1">
      <c r="A685" s="117"/>
      <c r="B685" s="70">
        <f t="shared" si="45"/>
        <v>44477</v>
      </c>
      <c r="C685" s="82" t="str">
        <f t="shared" si="46"/>
        <v>vendredi</v>
      </c>
      <c r="D685" s="87"/>
      <c r="E685" s="115" t="str">
        <f t="shared" si="47"/>
        <v/>
      </c>
      <c r="F685" s="115" t="str">
        <f t="shared" si="48"/>
        <v/>
      </c>
      <c r="G685" s="116" t="str">
        <f>IF(ISNONTEXT(D685),"",E685-MAX($F$2:F684))</f>
        <v/>
      </c>
      <c r="H685" s="97"/>
      <c r="I685" s="74" t="str">
        <f ca="1">IF(D685="N",COUNTIF(INDIRECT(ADDRESS(MATCH(Plages!$D$19,'Planning annuel mixing coater'!$B:$B),4)):D685,"N"),IF(D685="N1",COUNTIF($D$9:D685,"N1"),""))</f>
        <v/>
      </c>
      <c r="J685" s="96" t="str">
        <f>IF(D685="","",COUNTA(D674:D685)-(COUNTA(D685:D685)-1))</f>
        <v/>
      </c>
    </row>
    <row r="686" spans="1:10" thickBot="1">
      <c r="A686" s="117"/>
      <c r="B686" s="70">
        <f t="shared" si="45"/>
        <v>44478</v>
      </c>
      <c r="C686" s="82" t="str">
        <f t="shared" si="46"/>
        <v>samedi</v>
      </c>
      <c r="D686" s="87"/>
      <c r="E686" s="115" t="str">
        <f t="shared" si="47"/>
        <v/>
      </c>
      <c r="F686" s="115" t="str">
        <f t="shared" si="48"/>
        <v/>
      </c>
      <c r="G686" s="116" t="str">
        <f>IF(ISNONTEXT(D686),"",E686-MAX($F$2:F685))</f>
        <v/>
      </c>
      <c r="H686" s="97"/>
      <c r="I686" s="74" t="str">
        <f ca="1">IF(D686="N",COUNTIF(INDIRECT(ADDRESS(MATCH(Plages!$D$19,'Planning annuel mixing coater'!$B:$B),4)):D686,"N"),IF(D686="N1",COUNTIF($D$9:D686,"N1"),""))</f>
        <v/>
      </c>
      <c r="J686" s="96" t="str">
        <f>IF(D686="","",COUNTA(D674:D686)-(COUNTA(D686:D686)-1))</f>
        <v/>
      </c>
    </row>
    <row r="687" spans="1:10" s="77" customFormat="1" thickBot="1">
      <c r="A687" s="117"/>
      <c r="B687" s="75">
        <f t="shared" si="45"/>
        <v>44479</v>
      </c>
      <c r="C687" s="83" t="str">
        <f t="shared" si="46"/>
        <v>dimanche</v>
      </c>
      <c r="D687" s="88"/>
      <c r="E687" s="115" t="str">
        <f t="shared" si="47"/>
        <v/>
      </c>
      <c r="F687" s="115" t="str">
        <f t="shared" si="48"/>
        <v/>
      </c>
      <c r="G687" s="116" t="str">
        <f>IF(ISNONTEXT(D687),"",E687-MAX($F$2:F686))</f>
        <v/>
      </c>
      <c r="H687" s="98"/>
      <c r="I687" s="76" t="str">
        <f ca="1">IF(D687="N",COUNTIF(INDIRECT(ADDRESS(MATCH(Plages!$D$19,'Planning annuel mixing coater'!$B:$B),4)):D687,"N"),IF(D687="N1",COUNTIF($D$9:D687,"N1"),""))</f>
        <v/>
      </c>
      <c r="J687" s="99" t="str">
        <f>IF(D687="","",COUNTA(D674:D687)-(COUNTA(D687:D687)-1))</f>
        <v/>
      </c>
    </row>
    <row r="688" spans="1:10" ht="16.5" thickTop="1" thickBot="1">
      <c r="A688" s="117"/>
      <c r="B688" s="78">
        <f t="shared" si="45"/>
        <v>44480</v>
      </c>
      <c r="C688" s="81" t="str">
        <f t="shared" si="46"/>
        <v>lundi</v>
      </c>
      <c r="D688" s="89"/>
      <c r="E688" s="115" t="str">
        <f t="shared" si="47"/>
        <v/>
      </c>
      <c r="F688" s="115" t="str">
        <f t="shared" si="48"/>
        <v/>
      </c>
      <c r="G688" s="116" t="str">
        <f>IF(ISNONTEXT(D688),"",E688-MAX($F$2:F687))</f>
        <v/>
      </c>
      <c r="H688" s="100"/>
      <c r="I688" s="79" t="str">
        <f ca="1">IF(D688="N",COUNTIF(INDIRECT(ADDRESS(MATCH(Plages!$D$19,'Planning annuel mixing coater'!$B:$B),4)):D688,"N"),IF(D688="N1",COUNTIF($D$9:D688,"N1"),""))</f>
        <v/>
      </c>
      <c r="J688" s="101" t="str">
        <f>IF(D688="","",COUNTA(D688:D688)-(COUNTA(D688:D688)-1))</f>
        <v/>
      </c>
    </row>
    <row r="689" spans="1:10" thickBot="1">
      <c r="A689" s="117"/>
      <c r="B689" s="70">
        <f t="shared" si="45"/>
        <v>44481</v>
      </c>
      <c r="C689" s="82" t="str">
        <f t="shared" si="46"/>
        <v>mardi</v>
      </c>
      <c r="D689" s="87"/>
      <c r="E689" s="115" t="str">
        <f t="shared" si="47"/>
        <v/>
      </c>
      <c r="F689" s="115" t="str">
        <f t="shared" si="48"/>
        <v/>
      </c>
      <c r="G689" s="116" t="str">
        <f>IF(ISNONTEXT(D689),"",E689-MAX($F$2:F688))</f>
        <v/>
      </c>
      <c r="H689" s="97"/>
      <c r="I689" s="74" t="str">
        <f ca="1">IF(D689="N",COUNTIF(INDIRECT(ADDRESS(MATCH(Plages!$D$19,'Planning annuel mixing coater'!$B:$B),4)):D689,"N"),IF(D689="N1",COUNTIF($D$9:D689,"N1"),""))</f>
        <v/>
      </c>
      <c r="J689" s="96" t="str">
        <f>IF(D689="","",COUNTA(D688:D689)-(COUNTA(D689:D689)-1))</f>
        <v/>
      </c>
    </row>
    <row r="690" spans="1:10" thickBot="1">
      <c r="A690" s="117"/>
      <c r="B690" s="70">
        <f t="shared" si="45"/>
        <v>44482</v>
      </c>
      <c r="C690" s="82" t="str">
        <f t="shared" si="46"/>
        <v>mercredi</v>
      </c>
      <c r="D690" s="87"/>
      <c r="E690" s="115" t="str">
        <f t="shared" si="47"/>
        <v/>
      </c>
      <c r="F690" s="115" t="str">
        <f t="shared" si="48"/>
        <v/>
      </c>
      <c r="G690" s="116" t="str">
        <f>IF(ISNONTEXT(D690),"",E690-MAX($F$2:F689))</f>
        <v/>
      </c>
      <c r="H690" s="97"/>
      <c r="I690" s="74" t="str">
        <f ca="1">IF(D690="N",COUNTIF(INDIRECT(ADDRESS(MATCH(Plages!$D$19,'Planning annuel mixing coater'!$B:$B),4)):D690,"N"),IF(D690="N1",COUNTIF($D$9:D690,"N1"),""))</f>
        <v/>
      </c>
      <c r="J690" s="96" t="str">
        <f>IF(D690="","",COUNTA(D688:D690)-(COUNTA(D690:D690)-1))</f>
        <v/>
      </c>
    </row>
    <row r="691" spans="1:10" thickBot="1">
      <c r="A691" s="117"/>
      <c r="B691" s="70">
        <f t="shared" si="45"/>
        <v>44483</v>
      </c>
      <c r="C691" s="82" t="str">
        <f t="shared" si="46"/>
        <v>jeudi</v>
      </c>
      <c r="D691" s="87"/>
      <c r="E691" s="115" t="str">
        <f t="shared" si="47"/>
        <v/>
      </c>
      <c r="F691" s="115" t="str">
        <f t="shared" si="48"/>
        <v/>
      </c>
      <c r="G691" s="116" t="str">
        <f>IF(ISNONTEXT(D691),"",E691-MAX($F$2:F690))</f>
        <v/>
      </c>
      <c r="H691" s="97"/>
      <c r="I691" s="74" t="str">
        <f ca="1">IF(D691="N",COUNTIF(INDIRECT(ADDRESS(MATCH(Plages!$D$19,'Planning annuel mixing coater'!$B:$B),4)):D691,"N"),IF(D691="N1",COUNTIF($D$9:D691,"N1"),""))</f>
        <v/>
      </c>
      <c r="J691" s="96" t="str">
        <f>IF(D691="","",COUNTA(D688:D691)-(COUNTA(D691:D691)-1))</f>
        <v/>
      </c>
    </row>
    <row r="692" spans="1:10" thickBot="1">
      <c r="A692" s="117"/>
      <c r="B692" s="70">
        <f t="shared" si="45"/>
        <v>44484</v>
      </c>
      <c r="C692" s="82" t="str">
        <f t="shared" si="46"/>
        <v>vendredi</v>
      </c>
      <c r="D692" s="87"/>
      <c r="E692" s="115" t="str">
        <f t="shared" si="47"/>
        <v/>
      </c>
      <c r="F692" s="115" t="str">
        <f t="shared" si="48"/>
        <v/>
      </c>
      <c r="G692" s="116" t="str">
        <f>IF(ISNONTEXT(D692),"",E692-MAX($F$2:F691))</f>
        <v/>
      </c>
      <c r="H692" s="97"/>
      <c r="I692" s="74" t="str">
        <f ca="1">IF(D692="N",COUNTIF(INDIRECT(ADDRESS(MATCH(Plages!$D$19,'Planning annuel mixing coater'!$B:$B),4)):D692,"N"),IF(D692="N1",COUNTIF($D$9:D692,"N1"),""))</f>
        <v/>
      </c>
      <c r="J692" s="96" t="str">
        <f>IF(D692="","",COUNTA(D688:D692)-(COUNTA(D692:D692)-1))</f>
        <v/>
      </c>
    </row>
    <row r="693" spans="1:10" thickBot="1">
      <c r="A693" s="117"/>
      <c r="B693" s="70">
        <f t="shared" si="45"/>
        <v>44485</v>
      </c>
      <c r="C693" s="82" t="str">
        <f t="shared" si="46"/>
        <v>samedi</v>
      </c>
      <c r="D693" s="87"/>
      <c r="E693" s="115" t="str">
        <f t="shared" si="47"/>
        <v/>
      </c>
      <c r="F693" s="115" t="str">
        <f t="shared" si="48"/>
        <v/>
      </c>
      <c r="G693" s="116" t="str">
        <f>IF(ISNONTEXT(D693),"",E693-MAX($F$2:F692))</f>
        <v/>
      </c>
      <c r="H693" s="97"/>
      <c r="I693" s="74" t="str">
        <f ca="1">IF(D693="N",COUNTIF(INDIRECT(ADDRESS(MATCH(Plages!$D$19,'Planning annuel mixing coater'!$B:$B),4)):D693,"N"),IF(D693="N1",COUNTIF($D$9:D693,"N1"),""))</f>
        <v/>
      </c>
      <c r="J693" s="96" t="str">
        <f>IF(D693="","",COUNTA(D688:D693)-(COUNTA(D693:D693)-1))</f>
        <v/>
      </c>
    </row>
    <row r="694" spans="1:10" thickBot="1">
      <c r="A694" s="117"/>
      <c r="B694" s="70">
        <f t="shared" si="45"/>
        <v>44486</v>
      </c>
      <c r="C694" s="82" t="str">
        <f t="shared" si="46"/>
        <v>dimanche</v>
      </c>
      <c r="D694" s="87"/>
      <c r="E694" s="115" t="str">
        <f t="shared" si="47"/>
        <v/>
      </c>
      <c r="F694" s="115" t="str">
        <f t="shared" si="48"/>
        <v/>
      </c>
      <c r="G694" s="116" t="str">
        <f>IF(ISNONTEXT(D694),"",E694-MAX($F$2:F693))</f>
        <v/>
      </c>
      <c r="H694" s="98"/>
      <c r="I694" s="74" t="str">
        <f ca="1">IF(D694="N",COUNTIF(INDIRECT(ADDRESS(MATCH(Plages!$D$19,'Planning annuel mixing coater'!$B:$B),4)):D694,"N"),IF(D694="N1",COUNTIF($D$9:D694,"N1"),""))</f>
        <v/>
      </c>
      <c r="J694" s="96" t="str">
        <f>IF(D694="","",COUNTA(D688:D694)-(COUNTA(D694:D694)-1))</f>
        <v/>
      </c>
    </row>
    <row r="695" spans="1:10" thickBot="1">
      <c r="A695" s="117"/>
      <c r="B695" s="70">
        <f t="shared" si="45"/>
        <v>44487</v>
      </c>
      <c r="C695" s="82" t="str">
        <f t="shared" si="46"/>
        <v>lundi</v>
      </c>
      <c r="D695" s="87"/>
      <c r="E695" s="115" t="str">
        <f t="shared" si="47"/>
        <v/>
      </c>
      <c r="F695" s="115" t="str">
        <f t="shared" si="48"/>
        <v/>
      </c>
      <c r="G695" s="116" t="str">
        <f>IF(ISNONTEXT(D695),"",E695-MAX($F$2:F694))</f>
        <v/>
      </c>
      <c r="H695" s="97"/>
      <c r="I695" s="74" t="str">
        <f ca="1">IF(D695="N",COUNTIF(INDIRECT(ADDRESS(MATCH(Plages!$D$19,'Planning annuel mixing coater'!$B:$B),4)):D695,"N"),IF(D695="N1",COUNTIF($D$9:D695,"N1"),""))</f>
        <v/>
      </c>
      <c r="J695" s="96" t="str">
        <f>IF(D695="","",COUNTA(D688:D695)-(COUNTA(D695:D695)-1))</f>
        <v/>
      </c>
    </row>
    <row r="696" spans="1:10" thickBot="1">
      <c r="A696" s="117"/>
      <c r="B696" s="70">
        <f t="shared" si="45"/>
        <v>44488</v>
      </c>
      <c r="C696" s="82" t="str">
        <f t="shared" si="46"/>
        <v>mardi</v>
      </c>
      <c r="D696" s="87"/>
      <c r="E696" s="115" t="str">
        <f t="shared" si="47"/>
        <v/>
      </c>
      <c r="F696" s="115" t="str">
        <f t="shared" si="48"/>
        <v/>
      </c>
      <c r="G696" s="116" t="str">
        <f>IF(ISNONTEXT(D696),"",E696-MAX($F$2:F695))</f>
        <v/>
      </c>
      <c r="H696" s="97"/>
      <c r="I696" s="74" t="str">
        <f ca="1">IF(D696="N",COUNTIF(INDIRECT(ADDRESS(MATCH(Plages!$D$19,'Planning annuel mixing coater'!$B:$B),4)):D696,"N"),IF(D696="N1",COUNTIF($D$9:D696,"N1"),""))</f>
        <v/>
      </c>
      <c r="J696" s="96" t="str">
        <f>IF(D696="","",COUNTA(D688:D696)-(COUNTA(D696:D696)-1))</f>
        <v/>
      </c>
    </row>
    <row r="697" spans="1:10" thickBot="1">
      <c r="A697" s="117"/>
      <c r="B697" s="70">
        <f t="shared" si="45"/>
        <v>44489</v>
      </c>
      <c r="C697" s="82" t="str">
        <f t="shared" si="46"/>
        <v>mercredi</v>
      </c>
      <c r="D697" s="87"/>
      <c r="E697" s="115" t="str">
        <f t="shared" si="47"/>
        <v/>
      </c>
      <c r="F697" s="115" t="str">
        <f t="shared" si="48"/>
        <v/>
      </c>
      <c r="G697" s="116" t="str">
        <f>IF(ISNONTEXT(D697),"",E697-MAX($F$2:F696))</f>
        <v/>
      </c>
      <c r="H697" s="97"/>
      <c r="I697" s="74" t="str">
        <f ca="1">IF(D697="N",COUNTIF(INDIRECT(ADDRESS(MATCH(Plages!$D$19,'Planning annuel mixing coater'!$B:$B),4)):D697,"N"),IF(D697="N1",COUNTIF($D$9:D697,"N1"),""))</f>
        <v/>
      </c>
      <c r="J697" s="96" t="str">
        <f>IF(D697="","",COUNTA(D688:D697)-(COUNTA(D697:D697)-1))</f>
        <v/>
      </c>
    </row>
    <row r="698" spans="1:10" thickBot="1">
      <c r="A698" s="117"/>
      <c r="B698" s="70">
        <f t="shared" si="45"/>
        <v>44490</v>
      </c>
      <c r="C698" s="82" t="str">
        <f t="shared" si="46"/>
        <v>jeudi</v>
      </c>
      <c r="D698" s="87"/>
      <c r="E698" s="115" t="str">
        <f t="shared" si="47"/>
        <v/>
      </c>
      <c r="F698" s="115" t="str">
        <f t="shared" si="48"/>
        <v/>
      </c>
      <c r="G698" s="116" t="str">
        <f>IF(ISNONTEXT(D698),"",E698-MAX($F$2:F697))</f>
        <v/>
      </c>
      <c r="H698" s="97"/>
      <c r="I698" s="74" t="str">
        <f ca="1">IF(D698="N",COUNTIF(INDIRECT(ADDRESS(MATCH(Plages!$D$19,'Planning annuel mixing coater'!$B:$B),4)):D698,"N"),IF(D698="N1",COUNTIF($D$9:D698,"N1"),""))</f>
        <v/>
      </c>
      <c r="J698" s="96" t="str">
        <f>IF(D698="","",COUNTA(D688:D698)-(COUNTA(D698:D698)-1))</f>
        <v/>
      </c>
    </row>
    <row r="699" spans="1:10" thickBot="1">
      <c r="A699" s="117"/>
      <c r="B699" s="70">
        <f t="shared" si="45"/>
        <v>44491</v>
      </c>
      <c r="C699" s="82" t="str">
        <f t="shared" si="46"/>
        <v>vendredi</v>
      </c>
      <c r="D699" s="87"/>
      <c r="E699" s="115" t="str">
        <f t="shared" si="47"/>
        <v/>
      </c>
      <c r="F699" s="115" t="str">
        <f t="shared" si="48"/>
        <v/>
      </c>
      <c r="G699" s="116" t="str">
        <f>IF(ISNONTEXT(D699),"",E699-MAX($F$2:F698))</f>
        <v/>
      </c>
      <c r="H699" s="97"/>
      <c r="I699" s="74" t="str">
        <f ca="1">IF(D699="N",COUNTIF(INDIRECT(ADDRESS(MATCH(Plages!$D$19,'Planning annuel mixing coater'!$B:$B),4)):D699,"N"),IF(D699="N1",COUNTIF($D$9:D699,"N1"),""))</f>
        <v/>
      </c>
      <c r="J699" s="96" t="str">
        <f>IF(D699="","",COUNTA(D688:D699)-(COUNTA(D699:D699)-1))</f>
        <v/>
      </c>
    </row>
    <row r="700" spans="1:10" thickBot="1">
      <c r="A700" s="117"/>
      <c r="B700" s="70">
        <f t="shared" si="45"/>
        <v>44492</v>
      </c>
      <c r="C700" s="82" t="str">
        <f t="shared" si="46"/>
        <v>samedi</v>
      </c>
      <c r="D700" s="87"/>
      <c r="E700" s="115" t="str">
        <f t="shared" si="47"/>
        <v/>
      </c>
      <c r="F700" s="115" t="str">
        <f t="shared" si="48"/>
        <v/>
      </c>
      <c r="G700" s="116" t="str">
        <f>IF(ISNONTEXT(D700),"",E700-MAX($F$2:F699))</f>
        <v/>
      </c>
      <c r="H700" s="97"/>
      <c r="I700" s="74" t="str">
        <f ca="1">IF(D700="N",COUNTIF(INDIRECT(ADDRESS(MATCH(Plages!$D$19,'Planning annuel mixing coater'!$B:$B),4)):D700,"N"),IF(D700="N1",COUNTIF($D$9:D700,"N1"),""))</f>
        <v/>
      </c>
      <c r="J700" s="96" t="str">
        <f>IF(D700="","",COUNTA(D688:D700)-(COUNTA(D700:D700)-1))</f>
        <v/>
      </c>
    </row>
    <row r="701" spans="1:10" s="77" customFormat="1" thickBot="1">
      <c r="A701" s="117"/>
      <c r="B701" s="75">
        <f t="shared" si="45"/>
        <v>44493</v>
      </c>
      <c r="C701" s="83" t="str">
        <f t="shared" si="46"/>
        <v>dimanche</v>
      </c>
      <c r="D701" s="88"/>
      <c r="E701" s="115" t="str">
        <f t="shared" si="47"/>
        <v/>
      </c>
      <c r="F701" s="115" t="str">
        <f t="shared" si="48"/>
        <v/>
      </c>
      <c r="G701" s="116" t="str">
        <f>IF(ISNONTEXT(D701),"",E701-MAX($F$2:F700))</f>
        <v/>
      </c>
      <c r="H701" s="98"/>
      <c r="I701" s="76" t="str">
        <f ca="1">IF(D701="N",COUNTIF(INDIRECT(ADDRESS(MATCH(Plages!$D$19,'Planning annuel mixing coater'!$B:$B),4)):D701,"N"),IF(D701="N1",COUNTIF($D$9:D701,"N1"),""))</f>
        <v/>
      </c>
      <c r="J701" s="99" t="str">
        <f>IF(D701="","",COUNTA(D688:D701)-(COUNTA(D701:D701)-1))</f>
        <v/>
      </c>
    </row>
    <row r="702" spans="1:10" ht="16.5" thickTop="1" thickBot="1">
      <c r="A702" s="117"/>
      <c r="B702" s="78">
        <f t="shared" si="45"/>
        <v>44494</v>
      </c>
      <c r="C702" s="81" t="str">
        <f t="shared" si="46"/>
        <v>lundi</v>
      </c>
      <c r="D702" s="89"/>
      <c r="E702" s="115" t="str">
        <f t="shared" si="47"/>
        <v/>
      </c>
      <c r="F702" s="115" t="str">
        <f t="shared" si="48"/>
        <v/>
      </c>
      <c r="G702" s="116" t="str">
        <f>IF(ISNONTEXT(D702),"",E702-MAX($F$2:F701))</f>
        <v/>
      </c>
      <c r="H702" s="100"/>
      <c r="I702" s="79" t="str">
        <f ca="1">IF(D702="N",COUNTIF(INDIRECT(ADDRESS(MATCH(Plages!$D$19,'Planning annuel mixing coater'!$B:$B),4)):D702,"N"),IF(D702="N1",COUNTIF($D$9:D702,"N1"),""))</f>
        <v/>
      </c>
      <c r="J702" s="101" t="str">
        <f>IF(D702="","",COUNTA(D702:D702)-(COUNTA(D702:D702)-1))</f>
        <v/>
      </c>
    </row>
    <row r="703" spans="1:10" thickBot="1">
      <c r="A703" s="117"/>
      <c r="B703" s="70">
        <f t="shared" si="45"/>
        <v>44495</v>
      </c>
      <c r="C703" s="82" t="str">
        <f t="shared" si="46"/>
        <v>mardi</v>
      </c>
      <c r="D703" s="87"/>
      <c r="E703" s="115" t="str">
        <f t="shared" si="47"/>
        <v/>
      </c>
      <c r="F703" s="115" t="str">
        <f t="shared" si="48"/>
        <v/>
      </c>
      <c r="G703" s="116" t="str">
        <f>IF(ISNONTEXT(D703),"",E703-MAX($F$2:F702))</f>
        <v/>
      </c>
      <c r="H703" s="97"/>
      <c r="I703" s="74" t="str">
        <f ca="1">IF(D703="N",COUNTIF(INDIRECT(ADDRESS(MATCH(Plages!$D$19,'Planning annuel mixing coater'!$B:$B),4)):D703,"N"),IF(D703="N1",COUNTIF($D$9:D703,"N1"),""))</f>
        <v/>
      </c>
      <c r="J703" s="96" t="str">
        <f>IF(D703="","",COUNTA(D702:D703)-(COUNTA(D703:D703)-1))</f>
        <v/>
      </c>
    </row>
    <row r="704" spans="1:10" thickBot="1">
      <c r="A704" s="117"/>
      <c r="B704" s="70">
        <f t="shared" si="45"/>
        <v>44496</v>
      </c>
      <c r="C704" s="82" t="str">
        <f t="shared" si="46"/>
        <v>mercredi</v>
      </c>
      <c r="D704" s="87"/>
      <c r="E704" s="115" t="str">
        <f t="shared" si="47"/>
        <v/>
      </c>
      <c r="F704" s="115" t="str">
        <f t="shared" si="48"/>
        <v/>
      </c>
      <c r="G704" s="116" t="str">
        <f>IF(ISNONTEXT(D704),"",E704-MAX($F$2:F703))</f>
        <v/>
      </c>
      <c r="H704" s="97"/>
      <c r="I704" s="74" t="str">
        <f ca="1">IF(D704="N",COUNTIF(INDIRECT(ADDRESS(MATCH(Plages!$D$19,'Planning annuel mixing coater'!$B:$B),4)):D704,"N"),IF(D704="N1",COUNTIF($D$9:D704,"N1"),""))</f>
        <v/>
      </c>
      <c r="J704" s="96" t="str">
        <f>IF(D704="","",COUNTA(D702:D704)-(COUNTA(D704:D704)-1))</f>
        <v/>
      </c>
    </row>
    <row r="705" spans="1:10" thickBot="1">
      <c r="A705" s="117"/>
      <c r="B705" s="70">
        <f t="shared" si="45"/>
        <v>44497</v>
      </c>
      <c r="C705" s="82" t="str">
        <f t="shared" si="46"/>
        <v>jeudi</v>
      </c>
      <c r="D705" s="87"/>
      <c r="E705" s="115" t="str">
        <f t="shared" si="47"/>
        <v/>
      </c>
      <c r="F705" s="115" t="str">
        <f t="shared" si="48"/>
        <v/>
      </c>
      <c r="G705" s="116" t="str">
        <f>IF(ISNONTEXT(D705),"",E705-MAX($F$2:F704))</f>
        <v/>
      </c>
      <c r="H705" s="97"/>
      <c r="I705" s="74" t="str">
        <f ca="1">IF(D705="N",COUNTIF(INDIRECT(ADDRESS(MATCH(Plages!$D$19,'Planning annuel mixing coater'!$B:$B),4)):D705,"N"),IF(D705="N1",COUNTIF($D$9:D705,"N1"),""))</f>
        <v/>
      </c>
      <c r="J705" s="96" t="str">
        <f>IF(D705="","",COUNTA(D702:D705)-(COUNTA(D705:D705)-1))</f>
        <v/>
      </c>
    </row>
    <row r="706" spans="1:10" thickBot="1">
      <c r="A706" s="117"/>
      <c r="B706" s="70">
        <f t="shared" si="45"/>
        <v>44498</v>
      </c>
      <c r="C706" s="82" t="str">
        <f t="shared" si="46"/>
        <v>vendredi</v>
      </c>
      <c r="D706" s="87"/>
      <c r="E706" s="115" t="str">
        <f t="shared" si="47"/>
        <v/>
      </c>
      <c r="F706" s="115" t="str">
        <f t="shared" si="48"/>
        <v/>
      </c>
      <c r="G706" s="116" t="str">
        <f>IF(ISNONTEXT(D706),"",E706-MAX($F$2:F705))</f>
        <v/>
      </c>
      <c r="H706" s="97"/>
      <c r="I706" s="74" t="str">
        <f ca="1">IF(D706="N",COUNTIF(INDIRECT(ADDRESS(MATCH(Plages!$D$19,'Planning annuel mixing coater'!$B:$B),4)):D706,"N"),IF(D706="N1",COUNTIF($D$9:D706,"N1"),""))</f>
        <v/>
      </c>
      <c r="J706" s="96" t="str">
        <f>IF(D706="","",COUNTA(D702:D706)-(COUNTA(D706:D706)-1))</f>
        <v/>
      </c>
    </row>
    <row r="707" spans="1:10" thickBot="1">
      <c r="A707" s="117"/>
      <c r="B707" s="70">
        <f t="shared" si="45"/>
        <v>44499</v>
      </c>
      <c r="C707" s="82" t="str">
        <f t="shared" si="46"/>
        <v>samedi</v>
      </c>
      <c r="D707" s="87"/>
      <c r="E707" s="115" t="str">
        <f t="shared" si="47"/>
        <v/>
      </c>
      <c r="F707" s="115" t="str">
        <f t="shared" si="48"/>
        <v/>
      </c>
      <c r="G707" s="116" t="str">
        <f>IF(ISNONTEXT(D707),"",E707-MAX($F$2:F706))</f>
        <v/>
      </c>
      <c r="H707" s="97"/>
      <c r="I707" s="74" t="str">
        <f ca="1">IF(D707="N",COUNTIF(INDIRECT(ADDRESS(MATCH(Plages!$D$19,'Planning annuel mixing coater'!$B:$B),4)):D707,"N"),IF(D707="N1",COUNTIF($D$9:D707,"N1"),""))</f>
        <v/>
      </c>
      <c r="J707" s="96" t="str">
        <f>IF(D707="","",COUNTA(D702:D707)-(COUNTA(D707:D707)-1))</f>
        <v/>
      </c>
    </row>
    <row r="708" spans="1:10" thickBot="1">
      <c r="A708" s="117"/>
      <c r="B708" s="70">
        <f t="shared" ref="B708:B771" si="49">IF(B707="","",B707+1)</f>
        <v>44500</v>
      </c>
      <c r="C708" s="82" t="str">
        <f t="shared" si="46"/>
        <v>dimanche</v>
      </c>
      <c r="D708" s="87"/>
      <c r="E708" s="115" t="str">
        <f t="shared" si="47"/>
        <v/>
      </c>
      <c r="F708" s="115" t="str">
        <f t="shared" si="48"/>
        <v/>
      </c>
      <c r="G708" s="116" t="str">
        <f>IF(ISNONTEXT(D708),"",E708-MAX($F$2:F707))</f>
        <v/>
      </c>
      <c r="H708" s="98"/>
      <c r="I708" s="74" t="str">
        <f ca="1">IF(D708="N",COUNTIF(INDIRECT(ADDRESS(MATCH(Plages!$D$19,'Planning annuel mixing coater'!$B:$B),4)):D708,"N"),IF(D708="N1",COUNTIF($D$9:D708,"N1"),""))</f>
        <v/>
      </c>
      <c r="J708" s="96" t="str">
        <f>IF(D708="","",COUNTA(D702:D708)-(COUNTA(D708:D708)-1))</f>
        <v/>
      </c>
    </row>
    <row r="709" spans="1:10" thickBot="1">
      <c r="A709" s="117"/>
      <c r="B709" s="70">
        <f t="shared" si="49"/>
        <v>44501</v>
      </c>
      <c r="C709" s="82" t="str">
        <f t="shared" si="46"/>
        <v>lundi</v>
      </c>
      <c r="D709" s="87"/>
      <c r="E709" s="115" t="str">
        <f t="shared" si="47"/>
        <v/>
      </c>
      <c r="F709" s="115" t="str">
        <f t="shared" si="48"/>
        <v/>
      </c>
      <c r="G709" s="116" t="str">
        <f>IF(ISNONTEXT(D709),"",E709-MAX($F$2:F708))</f>
        <v/>
      </c>
      <c r="H709" s="97"/>
      <c r="I709" s="74" t="str">
        <f ca="1">IF(D709="N",COUNTIF(INDIRECT(ADDRESS(MATCH(Plages!$D$19,'Planning annuel mixing coater'!$B:$B),4)):D709,"N"),IF(D709="N1",COUNTIF($D$9:D709,"N1"),""))</f>
        <v/>
      </c>
      <c r="J709" s="96" t="str">
        <f>IF(D709="","",COUNTA(D702:D709)-(COUNTA(D709:D709)-1))</f>
        <v/>
      </c>
    </row>
    <row r="710" spans="1:10" thickBot="1">
      <c r="A710" s="117"/>
      <c r="B710" s="70">
        <f t="shared" si="49"/>
        <v>44502</v>
      </c>
      <c r="C710" s="82" t="str">
        <f t="shared" si="46"/>
        <v>mardi</v>
      </c>
      <c r="D710" s="87"/>
      <c r="E710" s="115" t="str">
        <f t="shared" si="47"/>
        <v/>
      </c>
      <c r="F710" s="115" t="str">
        <f t="shared" si="48"/>
        <v/>
      </c>
      <c r="G710" s="116" t="str">
        <f>IF(ISNONTEXT(D710),"",E710-MAX($F$2:F709))</f>
        <v/>
      </c>
      <c r="H710" s="97"/>
      <c r="I710" s="74" t="str">
        <f ca="1">IF(D710="N",COUNTIF(INDIRECT(ADDRESS(MATCH(Plages!$D$19,'Planning annuel mixing coater'!$B:$B),4)):D710,"N"),IF(D710="N1",COUNTIF($D$9:D710,"N1"),""))</f>
        <v/>
      </c>
      <c r="J710" s="96" t="str">
        <f>IF(D710="","",COUNTA(D702:D710)-(COUNTA(D710:D710)-1))</f>
        <v/>
      </c>
    </row>
    <row r="711" spans="1:10" thickBot="1">
      <c r="A711" s="117"/>
      <c r="B711" s="70">
        <f t="shared" si="49"/>
        <v>44503</v>
      </c>
      <c r="C711" s="82" t="str">
        <f t="shared" si="46"/>
        <v>mercredi</v>
      </c>
      <c r="D711" s="87"/>
      <c r="E711" s="115" t="str">
        <f t="shared" si="47"/>
        <v/>
      </c>
      <c r="F711" s="115" t="str">
        <f t="shared" si="48"/>
        <v/>
      </c>
      <c r="G711" s="116" t="str">
        <f>IF(ISNONTEXT(D711),"",E711-MAX($F$2:F710))</f>
        <v/>
      </c>
      <c r="H711" s="97"/>
      <c r="I711" s="74" t="str">
        <f ca="1">IF(D711="N",COUNTIF(INDIRECT(ADDRESS(MATCH(Plages!$D$19,'Planning annuel mixing coater'!$B:$B),4)):D711,"N"),IF(D711="N1",COUNTIF($D$9:D711,"N1"),""))</f>
        <v/>
      </c>
      <c r="J711" s="96" t="str">
        <f>IF(D711="","",COUNTA(D702:D711)-(COUNTA(D711:D711)-1))</f>
        <v/>
      </c>
    </row>
    <row r="712" spans="1:10" thickBot="1">
      <c r="A712" s="117"/>
      <c r="B712" s="70">
        <f t="shared" si="49"/>
        <v>44504</v>
      </c>
      <c r="C712" s="82" t="str">
        <f t="shared" si="46"/>
        <v>jeudi</v>
      </c>
      <c r="D712" s="87"/>
      <c r="E712" s="115" t="str">
        <f t="shared" si="47"/>
        <v/>
      </c>
      <c r="F712" s="115" t="str">
        <f t="shared" si="48"/>
        <v/>
      </c>
      <c r="G712" s="116" t="str">
        <f>IF(ISNONTEXT(D712),"",E712-MAX($F$2:F711))</f>
        <v/>
      </c>
      <c r="H712" s="97"/>
      <c r="I712" s="74" t="str">
        <f ca="1">IF(D712="N",COUNTIF(INDIRECT(ADDRESS(MATCH(Plages!$D$19,'Planning annuel mixing coater'!$B:$B),4)):D712,"N"),IF(D712="N1",COUNTIF($D$9:D712,"N1"),""))</f>
        <v/>
      </c>
      <c r="J712" s="96" t="str">
        <f>IF(D712="","",COUNTA(D702:D712)-(COUNTA(D712:D712)-1))</f>
        <v/>
      </c>
    </row>
    <row r="713" spans="1:10" thickBot="1">
      <c r="A713" s="117"/>
      <c r="B713" s="70">
        <f t="shared" si="49"/>
        <v>44505</v>
      </c>
      <c r="C713" s="82" t="str">
        <f t="shared" si="46"/>
        <v>vendredi</v>
      </c>
      <c r="D713" s="87"/>
      <c r="E713" s="115" t="str">
        <f t="shared" si="47"/>
        <v/>
      </c>
      <c r="F713" s="115" t="str">
        <f t="shared" si="48"/>
        <v/>
      </c>
      <c r="G713" s="116" t="str">
        <f>IF(ISNONTEXT(D713),"",E713-MAX($F$2:F712))</f>
        <v/>
      </c>
      <c r="H713" s="97"/>
      <c r="I713" s="74" t="str">
        <f ca="1">IF(D713="N",COUNTIF(INDIRECT(ADDRESS(MATCH(Plages!$D$19,'Planning annuel mixing coater'!$B:$B),4)):D713,"N"),IF(D713="N1",COUNTIF($D$9:D713,"N1"),""))</f>
        <v/>
      </c>
      <c r="J713" s="96" t="str">
        <f>IF(D713="","",COUNTA(D702:D713)-(COUNTA(D713:D713)-1))</f>
        <v/>
      </c>
    </row>
    <row r="714" spans="1:10" thickBot="1">
      <c r="A714" s="117"/>
      <c r="B714" s="70">
        <f t="shared" si="49"/>
        <v>44506</v>
      </c>
      <c r="C714" s="82" t="str">
        <f t="shared" si="46"/>
        <v>samedi</v>
      </c>
      <c r="D714" s="87"/>
      <c r="E714" s="115" t="str">
        <f t="shared" si="47"/>
        <v/>
      </c>
      <c r="F714" s="115" t="str">
        <f t="shared" si="48"/>
        <v/>
      </c>
      <c r="G714" s="116" t="str">
        <f>IF(ISNONTEXT(D714),"",E714-MAX($F$2:F713))</f>
        <v/>
      </c>
      <c r="H714" s="97"/>
      <c r="I714" s="74" t="str">
        <f ca="1">IF(D714="N",COUNTIF(INDIRECT(ADDRESS(MATCH(Plages!$D$19,'Planning annuel mixing coater'!$B:$B),4)):D714,"N"),IF(D714="N1",COUNTIF($D$9:D714,"N1"),""))</f>
        <v/>
      </c>
      <c r="J714" s="96" t="str">
        <f>IF(D714="","",COUNTA(D702:D714)-(COUNTA(D714:D714)-1))</f>
        <v/>
      </c>
    </row>
    <row r="715" spans="1:10" s="77" customFormat="1" thickBot="1">
      <c r="A715" s="117"/>
      <c r="B715" s="75">
        <f t="shared" si="49"/>
        <v>44507</v>
      </c>
      <c r="C715" s="83" t="str">
        <f t="shared" si="46"/>
        <v>dimanche</v>
      </c>
      <c r="D715" s="88"/>
      <c r="E715" s="115" t="str">
        <f t="shared" si="47"/>
        <v/>
      </c>
      <c r="F715" s="115" t="str">
        <f t="shared" si="48"/>
        <v/>
      </c>
      <c r="G715" s="116" t="str">
        <f>IF(ISNONTEXT(D715),"",E715-MAX($F$2:F714))</f>
        <v/>
      </c>
      <c r="H715" s="98"/>
      <c r="I715" s="76" t="str">
        <f ca="1">IF(D715="N",COUNTIF(INDIRECT(ADDRESS(MATCH(Plages!$D$19,'Planning annuel mixing coater'!$B:$B),4)):D715,"N"),IF(D715="N1",COUNTIF($D$9:D715,"N1"),""))</f>
        <v/>
      </c>
      <c r="J715" s="99" t="str">
        <f>IF(D715="","",COUNTA(D702:D715)-(COUNTA(D715:D715)-1))</f>
        <v/>
      </c>
    </row>
    <row r="716" spans="1:10" ht="16.5" thickTop="1" thickBot="1">
      <c r="A716" s="117"/>
      <c r="B716" s="78">
        <f t="shared" si="49"/>
        <v>44508</v>
      </c>
      <c r="C716" s="81" t="str">
        <f t="shared" si="46"/>
        <v>lundi</v>
      </c>
      <c r="D716" s="89"/>
      <c r="E716" s="115" t="str">
        <f t="shared" si="47"/>
        <v/>
      </c>
      <c r="F716" s="115" t="str">
        <f t="shared" si="48"/>
        <v/>
      </c>
      <c r="G716" s="116" t="str">
        <f>IF(ISNONTEXT(D716),"",E716-MAX($F$2:F715))</f>
        <v/>
      </c>
      <c r="H716" s="100"/>
      <c r="I716" s="79" t="str">
        <f ca="1">IF(D716="N",COUNTIF(INDIRECT(ADDRESS(MATCH(Plages!$D$19,'Planning annuel mixing coater'!$B:$B),4)):D716,"N"),IF(D716="N1",COUNTIF($D$9:D716,"N1"),""))</f>
        <v/>
      </c>
      <c r="J716" s="101" t="str">
        <f>IF(D716="","",COUNTA(D716:D716)-(COUNTA(D716:D716)-1))</f>
        <v/>
      </c>
    </row>
    <row r="717" spans="1:10" thickBot="1">
      <c r="A717" s="117"/>
      <c r="B717" s="70">
        <f t="shared" si="49"/>
        <v>44509</v>
      </c>
      <c r="C717" s="82" t="str">
        <f t="shared" si="46"/>
        <v>mardi</v>
      </c>
      <c r="D717" s="87"/>
      <c r="E717" s="115" t="str">
        <f t="shared" si="47"/>
        <v/>
      </c>
      <c r="F717" s="115" t="str">
        <f t="shared" si="48"/>
        <v/>
      </c>
      <c r="G717" s="116" t="str">
        <f>IF(ISNONTEXT(D717),"",E717-MAX($F$2:F716))</f>
        <v/>
      </c>
      <c r="H717" s="97"/>
      <c r="I717" s="74" t="str">
        <f ca="1">IF(D717="N",COUNTIF(INDIRECT(ADDRESS(MATCH(Plages!$D$19,'Planning annuel mixing coater'!$B:$B),4)):D717,"N"),IF(D717="N1",COUNTIF($D$9:D717,"N1"),""))</f>
        <v/>
      </c>
      <c r="J717" s="96" t="str">
        <f>IF(D717="","",COUNTA(D716:D717)-(COUNTA(D717:D717)-1))</f>
        <v/>
      </c>
    </row>
    <row r="718" spans="1:10" thickBot="1">
      <c r="A718" s="117"/>
      <c r="B718" s="70">
        <f t="shared" si="49"/>
        <v>44510</v>
      </c>
      <c r="C718" s="82" t="str">
        <f t="shared" si="46"/>
        <v>mercredi</v>
      </c>
      <c r="D718" s="87"/>
      <c r="E718" s="115" t="str">
        <f t="shared" si="47"/>
        <v/>
      </c>
      <c r="F718" s="115" t="str">
        <f t="shared" si="48"/>
        <v/>
      </c>
      <c r="G718" s="116" t="str">
        <f>IF(ISNONTEXT(D718),"",E718-MAX($F$2:F717))</f>
        <v/>
      </c>
      <c r="H718" s="97"/>
      <c r="I718" s="74" t="str">
        <f ca="1">IF(D718="N",COUNTIF(INDIRECT(ADDRESS(MATCH(Plages!$D$19,'Planning annuel mixing coater'!$B:$B),4)):D718,"N"),IF(D718="N1",COUNTIF($D$9:D718,"N1"),""))</f>
        <v/>
      </c>
      <c r="J718" s="96" t="str">
        <f>IF(D718="","",COUNTA(D716:D718)-(COUNTA(D718:D718)-1))</f>
        <v/>
      </c>
    </row>
    <row r="719" spans="1:10" thickBot="1">
      <c r="A719" s="117"/>
      <c r="B719" s="70">
        <f t="shared" si="49"/>
        <v>44511</v>
      </c>
      <c r="C719" s="82" t="str">
        <f t="shared" si="46"/>
        <v>jeudi</v>
      </c>
      <c r="D719" s="87"/>
      <c r="E719" s="115" t="str">
        <f t="shared" si="47"/>
        <v/>
      </c>
      <c r="F719" s="115" t="str">
        <f t="shared" si="48"/>
        <v/>
      </c>
      <c r="G719" s="116" t="str">
        <f>IF(ISNONTEXT(D719),"",E719-MAX($F$2:F718))</f>
        <v/>
      </c>
      <c r="H719" s="97"/>
      <c r="I719" s="74" t="str">
        <f ca="1">IF(D719="N",COUNTIF(INDIRECT(ADDRESS(MATCH(Plages!$D$19,'Planning annuel mixing coater'!$B:$B),4)):D719,"N"),IF(D719="N1",COUNTIF($D$9:D719,"N1"),""))</f>
        <v/>
      </c>
      <c r="J719" s="96" t="str">
        <f>IF(D719="","",COUNTA(D716:D719)-(COUNTA(D719:D719)-1))</f>
        <v/>
      </c>
    </row>
    <row r="720" spans="1:10" thickBot="1">
      <c r="A720" s="117"/>
      <c r="B720" s="70">
        <f t="shared" si="49"/>
        <v>44512</v>
      </c>
      <c r="C720" s="82" t="str">
        <f t="shared" si="46"/>
        <v>vendredi</v>
      </c>
      <c r="D720" s="87"/>
      <c r="E720" s="115" t="str">
        <f t="shared" si="47"/>
        <v/>
      </c>
      <c r="F720" s="115" t="str">
        <f t="shared" si="48"/>
        <v/>
      </c>
      <c r="G720" s="116" t="str">
        <f>IF(ISNONTEXT(D720),"",E720-MAX($F$2:F719))</f>
        <v/>
      </c>
      <c r="H720" s="97"/>
      <c r="I720" s="74" t="str">
        <f ca="1">IF(D720="N",COUNTIF(INDIRECT(ADDRESS(MATCH(Plages!$D$19,'Planning annuel mixing coater'!$B:$B),4)):D720,"N"),IF(D720="N1",COUNTIF($D$9:D720,"N1"),""))</f>
        <v/>
      </c>
      <c r="J720" s="96" t="str">
        <f>IF(D720="","",COUNTA(D716:D720)-(COUNTA(D720:D720)-1))</f>
        <v/>
      </c>
    </row>
    <row r="721" spans="1:10" thickBot="1">
      <c r="A721" s="117"/>
      <c r="B721" s="70">
        <f t="shared" si="49"/>
        <v>44513</v>
      </c>
      <c r="C721" s="82" t="str">
        <f t="shared" si="46"/>
        <v>samedi</v>
      </c>
      <c r="D721" s="87"/>
      <c r="E721" s="115" t="str">
        <f t="shared" si="47"/>
        <v/>
      </c>
      <c r="F721" s="115" t="str">
        <f t="shared" si="48"/>
        <v/>
      </c>
      <c r="G721" s="116" t="str">
        <f>IF(ISNONTEXT(D721),"",E721-MAX($F$2:F720))</f>
        <v/>
      </c>
      <c r="H721" s="97"/>
      <c r="I721" s="74" t="str">
        <f ca="1">IF(D721="N",COUNTIF(INDIRECT(ADDRESS(MATCH(Plages!$D$19,'Planning annuel mixing coater'!$B:$B),4)):D721,"N"),IF(D721="N1",COUNTIF($D$9:D721,"N1"),""))</f>
        <v/>
      </c>
      <c r="J721" s="96" t="str">
        <f>IF(D721="","",COUNTA(D716:D721)-(COUNTA(D721:D721)-1))</f>
        <v/>
      </c>
    </row>
    <row r="722" spans="1:10" thickBot="1">
      <c r="A722" s="117"/>
      <c r="B722" s="70">
        <f t="shared" si="49"/>
        <v>44514</v>
      </c>
      <c r="C722" s="82" t="str">
        <f t="shared" si="46"/>
        <v>dimanche</v>
      </c>
      <c r="D722" s="87"/>
      <c r="E722" s="115" t="str">
        <f t="shared" si="47"/>
        <v/>
      </c>
      <c r="F722" s="115" t="str">
        <f t="shared" si="48"/>
        <v/>
      </c>
      <c r="G722" s="116" t="str">
        <f>IF(ISNONTEXT(D722),"",E722-MAX($F$2:F721))</f>
        <v/>
      </c>
      <c r="H722" s="98"/>
      <c r="I722" s="74" t="str">
        <f ca="1">IF(D722="N",COUNTIF(INDIRECT(ADDRESS(MATCH(Plages!$D$19,'Planning annuel mixing coater'!$B:$B),4)):D722,"N"),IF(D722="N1",COUNTIF($D$9:D722,"N1"),""))</f>
        <v/>
      </c>
      <c r="J722" s="96" t="str">
        <f>IF(D722="","",COUNTA(D716:D722)-(COUNTA(D722:D722)-1))</f>
        <v/>
      </c>
    </row>
    <row r="723" spans="1:10" thickBot="1">
      <c r="A723" s="117"/>
      <c r="B723" s="70">
        <f t="shared" si="49"/>
        <v>44515</v>
      </c>
      <c r="C723" s="82" t="str">
        <f t="shared" si="46"/>
        <v>lundi</v>
      </c>
      <c r="D723" s="87"/>
      <c r="E723" s="115" t="str">
        <f t="shared" si="47"/>
        <v/>
      </c>
      <c r="F723" s="115" t="str">
        <f t="shared" si="48"/>
        <v/>
      </c>
      <c r="G723" s="116" t="str">
        <f>IF(ISNONTEXT(D723),"",E723-MAX($F$2:F722))</f>
        <v/>
      </c>
      <c r="H723" s="97"/>
      <c r="I723" s="74" t="str">
        <f ca="1">IF(D723="N",COUNTIF(INDIRECT(ADDRESS(MATCH(Plages!$D$19,'Planning annuel mixing coater'!$B:$B),4)):D723,"N"),IF(D723="N1",COUNTIF($D$9:D723,"N1"),""))</f>
        <v/>
      </c>
      <c r="J723" s="96" t="str">
        <f>IF(D723="","",COUNTA(D716:D723)-(COUNTA(D723:D723)-1))</f>
        <v/>
      </c>
    </row>
    <row r="724" spans="1:10" thickBot="1">
      <c r="A724" s="117"/>
      <c r="B724" s="70">
        <f t="shared" si="49"/>
        <v>44516</v>
      </c>
      <c r="C724" s="82" t="str">
        <f t="shared" si="46"/>
        <v>mardi</v>
      </c>
      <c r="D724" s="87"/>
      <c r="E724" s="115" t="str">
        <f t="shared" si="47"/>
        <v/>
      </c>
      <c r="F724" s="115" t="str">
        <f t="shared" si="48"/>
        <v/>
      </c>
      <c r="G724" s="116" t="str">
        <f>IF(ISNONTEXT(D724),"",E724-MAX($F$2:F723))</f>
        <v/>
      </c>
      <c r="H724" s="97"/>
      <c r="I724" s="74" t="str">
        <f ca="1">IF(D724="N",COUNTIF(INDIRECT(ADDRESS(MATCH(Plages!$D$19,'Planning annuel mixing coater'!$B:$B),4)):D724,"N"),IF(D724="N1",COUNTIF($D$9:D724,"N1"),""))</f>
        <v/>
      </c>
      <c r="J724" s="96" t="str">
        <f>IF(D724="","",COUNTA(D716:D724)-(COUNTA(D724:D724)-1))</f>
        <v/>
      </c>
    </row>
    <row r="725" spans="1:10" thickBot="1">
      <c r="A725" s="117"/>
      <c r="B725" s="70">
        <f t="shared" si="49"/>
        <v>44517</v>
      </c>
      <c r="C725" s="82" t="str">
        <f t="shared" si="46"/>
        <v>mercredi</v>
      </c>
      <c r="D725" s="87"/>
      <c r="E725" s="115" t="str">
        <f t="shared" si="47"/>
        <v/>
      </c>
      <c r="F725" s="115" t="str">
        <f t="shared" si="48"/>
        <v/>
      </c>
      <c r="G725" s="116" t="str">
        <f>IF(ISNONTEXT(D725),"",E725-MAX($F$2:F724))</f>
        <v/>
      </c>
      <c r="H725" s="97"/>
      <c r="I725" s="74" t="str">
        <f ca="1">IF(D725="N",COUNTIF(INDIRECT(ADDRESS(MATCH(Plages!$D$19,'Planning annuel mixing coater'!$B:$B),4)):D725,"N"),IF(D725="N1",COUNTIF($D$9:D725,"N1"),""))</f>
        <v/>
      </c>
      <c r="J725" s="96" t="str">
        <f>IF(D725="","",COUNTA(D716:D725)-(COUNTA(D725:D725)-1))</f>
        <v/>
      </c>
    </row>
    <row r="726" spans="1:10" thickBot="1">
      <c r="A726" s="117"/>
      <c r="B726" s="70">
        <f t="shared" si="49"/>
        <v>44518</v>
      </c>
      <c r="C726" s="82" t="str">
        <f t="shared" si="46"/>
        <v>jeudi</v>
      </c>
      <c r="D726" s="87"/>
      <c r="E726" s="115" t="str">
        <f t="shared" si="47"/>
        <v/>
      </c>
      <c r="F726" s="115" t="str">
        <f t="shared" si="48"/>
        <v/>
      </c>
      <c r="G726" s="116" t="str">
        <f>IF(ISNONTEXT(D726),"",E726-MAX($F$2:F725))</f>
        <v/>
      </c>
      <c r="H726" s="97"/>
      <c r="I726" s="74" t="str">
        <f ca="1">IF(D726="N",COUNTIF(INDIRECT(ADDRESS(MATCH(Plages!$D$19,'Planning annuel mixing coater'!$B:$B),4)):D726,"N"),IF(D726="N1",COUNTIF($D$9:D726,"N1"),""))</f>
        <v/>
      </c>
      <c r="J726" s="96" t="str">
        <f>IF(D726="","",COUNTA(D716:D726)-(COUNTA(D726:D726)-1))</f>
        <v/>
      </c>
    </row>
    <row r="727" spans="1:10" thickBot="1">
      <c r="A727" s="117"/>
      <c r="B727" s="70">
        <f t="shared" si="49"/>
        <v>44519</v>
      </c>
      <c r="C727" s="82" t="str">
        <f t="shared" si="46"/>
        <v>vendredi</v>
      </c>
      <c r="D727" s="87"/>
      <c r="E727" s="115" t="str">
        <f t="shared" si="47"/>
        <v/>
      </c>
      <c r="F727" s="115" t="str">
        <f t="shared" si="48"/>
        <v/>
      </c>
      <c r="G727" s="116" t="str">
        <f>IF(ISNONTEXT(D727),"",E727-MAX($F$2:F726))</f>
        <v/>
      </c>
      <c r="H727" s="97"/>
      <c r="I727" s="74" t="str">
        <f ca="1">IF(D727="N",COUNTIF(INDIRECT(ADDRESS(MATCH(Plages!$D$19,'Planning annuel mixing coater'!$B:$B),4)):D727,"N"),IF(D727="N1",COUNTIF($D$9:D727,"N1"),""))</f>
        <v/>
      </c>
      <c r="J727" s="96" t="str">
        <f>IF(D727="","",COUNTA(D716:D727)-(COUNTA(D727:D727)-1))</f>
        <v/>
      </c>
    </row>
    <row r="728" spans="1:10" thickBot="1">
      <c r="A728" s="117"/>
      <c r="B728" s="70">
        <f t="shared" si="49"/>
        <v>44520</v>
      </c>
      <c r="C728" s="82" t="str">
        <f t="shared" si="46"/>
        <v>samedi</v>
      </c>
      <c r="D728" s="87"/>
      <c r="E728" s="115" t="str">
        <f t="shared" si="47"/>
        <v/>
      </c>
      <c r="F728" s="115" t="str">
        <f t="shared" si="48"/>
        <v/>
      </c>
      <c r="G728" s="116" t="str">
        <f>IF(ISNONTEXT(D728),"",E728-MAX($F$2:F727))</f>
        <v/>
      </c>
      <c r="H728" s="97"/>
      <c r="I728" s="74" t="str">
        <f ca="1">IF(D728="N",COUNTIF(INDIRECT(ADDRESS(MATCH(Plages!$D$19,'Planning annuel mixing coater'!$B:$B),4)):D728,"N"),IF(D728="N1",COUNTIF($D$9:D728,"N1"),""))</f>
        <v/>
      </c>
      <c r="J728" s="96" t="str">
        <f>IF(D728="","",COUNTA(D716:D728)-(COUNTA(D728:D728)-1))</f>
        <v/>
      </c>
    </row>
    <row r="729" spans="1:10" s="77" customFormat="1" thickBot="1">
      <c r="A729" s="117"/>
      <c r="B729" s="75">
        <f t="shared" si="49"/>
        <v>44521</v>
      </c>
      <c r="C729" s="83" t="str">
        <f t="shared" si="46"/>
        <v>dimanche</v>
      </c>
      <c r="D729" s="88"/>
      <c r="E729" s="115" t="str">
        <f t="shared" si="47"/>
        <v/>
      </c>
      <c r="F729" s="115" t="str">
        <f t="shared" si="48"/>
        <v/>
      </c>
      <c r="G729" s="116" t="str">
        <f>IF(ISNONTEXT(D729),"",E729-MAX($F$2:F728))</f>
        <v/>
      </c>
      <c r="H729" s="98"/>
      <c r="I729" s="76" t="str">
        <f ca="1">IF(D729="N",COUNTIF(INDIRECT(ADDRESS(MATCH(Plages!$D$19,'Planning annuel mixing coater'!$B:$B),4)):D729,"N"),IF(D729="N1",COUNTIF($D$9:D729,"N1"),""))</f>
        <v/>
      </c>
      <c r="J729" s="99" t="str">
        <f>IF(D729="","",COUNTA(D716:D729)-(COUNTA(D729:D729)-1))</f>
        <v/>
      </c>
    </row>
    <row r="730" spans="1:10" ht="16.5" thickTop="1" thickBot="1">
      <c r="A730" s="117"/>
      <c r="B730" s="78">
        <f t="shared" si="49"/>
        <v>44522</v>
      </c>
      <c r="C730" s="81" t="str">
        <f t="shared" si="46"/>
        <v>lundi</v>
      </c>
      <c r="D730" s="89"/>
      <c r="E730" s="115" t="str">
        <f t="shared" si="47"/>
        <v/>
      </c>
      <c r="F730" s="115" t="str">
        <f t="shared" si="48"/>
        <v/>
      </c>
      <c r="G730" s="116" t="str">
        <f>IF(ISNONTEXT(D730),"",E730-MAX($F$2:F729))</f>
        <v/>
      </c>
      <c r="H730" s="100"/>
      <c r="I730" s="79" t="str">
        <f ca="1">IF(D730="N",COUNTIF(INDIRECT(ADDRESS(MATCH(Plages!$D$19,'Planning annuel mixing coater'!$B:$B),4)):D730,"N"),IF(D730="N1",COUNTIF($D$9:D730,"N1"),""))</f>
        <v/>
      </c>
      <c r="J730" s="101" t="str">
        <f>IF(D730="","",COUNTA(D730:D730)-(COUNTA(D730:D730)-1))</f>
        <v/>
      </c>
    </row>
    <row r="731" spans="1:10" thickBot="1">
      <c r="A731" s="117"/>
      <c r="B731" s="70">
        <f t="shared" si="49"/>
        <v>44523</v>
      </c>
      <c r="C731" s="82" t="str">
        <f t="shared" si="46"/>
        <v>mardi</v>
      </c>
      <c r="D731" s="87"/>
      <c r="E731" s="115" t="str">
        <f t="shared" si="47"/>
        <v/>
      </c>
      <c r="F731" s="115" t="str">
        <f t="shared" si="48"/>
        <v/>
      </c>
      <c r="G731" s="116" t="str">
        <f>IF(ISNONTEXT(D731),"",E731-MAX($F$2:F730))</f>
        <v/>
      </c>
      <c r="H731" s="97"/>
      <c r="I731" s="74" t="str">
        <f ca="1">IF(D731="N",COUNTIF(INDIRECT(ADDRESS(MATCH(Plages!$D$19,'Planning annuel mixing coater'!$B:$B),4)):D731,"N"),IF(D731="N1",COUNTIF($D$9:D731,"N1"),""))</f>
        <v/>
      </c>
      <c r="J731" s="96" t="str">
        <f>IF(D731="","",COUNTA(D730:D731)-(COUNTA(D731:D731)-1))</f>
        <v/>
      </c>
    </row>
    <row r="732" spans="1:10" thickBot="1">
      <c r="A732" s="117"/>
      <c r="B732" s="70">
        <f t="shared" si="49"/>
        <v>44524</v>
      </c>
      <c r="C732" s="82" t="str">
        <f t="shared" si="46"/>
        <v>mercredi</v>
      </c>
      <c r="D732" s="87"/>
      <c r="E732" s="115" t="str">
        <f t="shared" si="47"/>
        <v/>
      </c>
      <c r="F732" s="115" t="str">
        <f t="shared" si="48"/>
        <v/>
      </c>
      <c r="G732" s="116" t="str">
        <f>IF(ISNONTEXT(D732),"",E732-MAX($F$2:F731))</f>
        <v/>
      </c>
      <c r="H732" s="97"/>
      <c r="I732" s="74" t="str">
        <f ca="1">IF(D732="N",COUNTIF(INDIRECT(ADDRESS(MATCH(Plages!$D$19,'Planning annuel mixing coater'!$B:$B),4)):D732,"N"),IF(D732="N1",COUNTIF($D$9:D732,"N1"),""))</f>
        <v/>
      </c>
      <c r="J732" s="96" t="str">
        <f>IF(D732="","",COUNTA(D730:D732)-(COUNTA(D732:D732)-1))</f>
        <v/>
      </c>
    </row>
    <row r="733" spans="1:10" thickBot="1">
      <c r="A733" s="117"/>
      <c r="B733" s="70">
        <f t="shared" si="49"/>
        <v>44525</v>
      </c>
      <c r="C733" s="82" t="str">
        <f t="shared" si="46"/>
        <v>jeudi</v>
      </c>
      <c r="D733" s="87"/>
      <c r="E733" s="115" t="str">
        <f t="shared" si="47"/>
        <v/>
      </c>
      <c r="F733" s="115" t="str">
        <f t="shared" si="48"/>
        <v/>
      </c>
      <c r="G733" s="116" t="str">
        <f>IF(ISNONTEXT(D733),"",E733-MAX($F$2:F732))</f>
        <v/>
      </c>
      <c r="H733" s="97"/>
      <c r="I733" s="74" t="str">
        <f ca="1">IF(D733="N",COUNTIF(INDIRECT(ADDRESS(MATCH(Plages!$D$19,'Planning annuel mixing coater'!$B:$B),4)):D733,"N"),IF(D733="N1",COUNTIF($D$9:D733,"N1"),""))</f>
        <v/>
      </c>
      <c r="J733" s="96" t="str">
        <f>IF(D733="","",COUNTA(D730:D733)-(COUNTA(D733:D733)-1))</f>
        <v/>
      </c>
    </row>
    <row r="734" spans="1:10" thickBot="1">
      <c r="A734" s="117"/>
      <c r="B734" s="70">
        <f t="shared" si="49"/>
        <v>44526</v>
      </c>
      <c r="C734" s="82" t="str">
        <f t="shared" ref="C734:C797" si="50">IF(B734="","",TEXT(B734,"jjjj"))</f>
        <v>vendredi</v>
      </c>
      <c r="D734" s="87"/>
      <c r="E734" s="115" t="str">
        <f t="shared" ref="E734:E797" si="51">IF(D734="","",B734+VLOOKUP(D734,Plageh,2,0))</f>
        <v/>
      </c>
      <c r="F734" s="115" t="str">
        <f t="shared" ref="F734:F797" si="52">IF(D734="","",B734+VLOOKUP(D734,Plageh,3,0))</f>
        <v/>
      </c>
      <c r="G734" s="116" t="str">
        <f>IF(ISNONTEXT(D734),"",E734-MAX($F$2:F733))</f>
        <v/>
      </c>
      <c r="H734" s="97"/>
      <c r="I734" s="74" t="str">
        <f ca="1">IF(D734="N",COUNTIF(INDIRECT(ADDRESS(MATCH(Plages!$D$19,'Planning annuel mixing coater'!$B:$B),4)):D734,"N"),IF(D734="N1",COUNTIF($D$9:D734,"N1"),""))</f>
        <v/>
      </c>
      <c r="J734" s="96" t="str">
        <f>IF(D734="","",COUNTA(D730:D734)-(COUNTA(D734:D734)-1))</f>
        <v/>
      </c>
    </row>
    <row r="735" spans="1:10" thickBot="1">
      <c r="A735" s="117"/>
      <c r="B735" s="70">
        <f t="shared" si="49"/>
        <v>44527</v>
      </c>
      <c r="C735" s="82" t="str">
        <f t="shared" si="50"/>
        <v>samedi</v>
      </c>
      <c r="D735" s="87"/>
      <c r="E735" s="115" t="str">
        <f t="shared" si="51"/>
        <v/>
      </c>
      <c r="F735" s="115" t="str">
        <f t="shared" si="52"/>
        <v/>
      </c>
      <c r="G735" s="116" t="str">
        <f>IF(ISNONTEXT(D735),"",E735-MAX($F$2:F734))</f>
        <v/>
      </c>
      <c r="H735" s="97"/>
      <c r="I735" s="74" t="str">
        <f ca="1">IF(D735="N",COUNTIF(INDIRECT(ADDRESS(MATCH(Plages!$D$19,'Planning annuel mixing coater'!$B:$B),4)):D735,"N"),IF(D735="N1",COUNTIF($D$9:D735,"N1"),""))</f>
        <v/>
      </c>
      <c r="J735" s="96" t="str">
        <f>IF(D735="","",COUNTA(D730:D735)-(COUNTA(D735:D735)-1))</f>
        <v/>
      </c>
    </row>
    <row r="736" spans="1:10" thickBot="1">
      <c r="A736" s="117"/>
      <c r="B736" s="70">
        <f t="shared" si="49"/>
        <v>44528</v>
      </c>
      <c r="C736" s="82" t="str">
        <f t="shared" si="50"/>
        <v>dimanche</v>
      </c>
      <c r="D736" s="87"/>
      <c r="E736" s="115" t="str">
        <f t="shared" si="51"/>
        <v/>
      </c>
      <c r="F736" s="115" t="str">
        <f t="shared" si="52"/>
        <v/>
      </c>
      <c r="G736" s="116" t="str">
        <f>IF(ISNONTEXT(D736),"",E736-MAX($F$2:F735))</f>
        <v/>
      </c>
      <c r="H736" s="98"/>
      <c r="I736" s="74" t="str">
        <f ca="1">IF(D736="N",COUNTIF(INDIRECT(ADDRESS(MATCH(Plages!$D$19,'Planning annuel mixing coater'!$B:$B),4)):D736,"N"),IF(D736="N1",COUNTIF($D$9:D736,"N1"),""))</f>
        <v/>
      </c>
      <c r="J736" s="96" t="str">
        <f>IF(D736="","",COUNTA(D730:D736)-(COUNTA(D736:D736)-1))</f>
        <v/>
      </c>
    </row>
    <row r="737" spans="1:10" thickBot="1">
      <c r="A737" s="117"/>
      <c r="B737" s="70">
        <f t="shared" si="49"/>
        <v>44529</v>
      </c>
      <c r="C737" s="82" t="str">
        <f t="shared" si="50"/>
        <v>lundi</v>
      </c>
      <c r="D737" s="87"/>
      <c r="E737" s="115" t="str">
        <f t="shared" si="51"/>
        <v/>
      </c>
      <c r="F737" s="115" t="str">
        <f t="shared" si="52"/>
        <v/>
      </c>
      <c r="G737" s="116" t="str">
        <f>IF(ISNONTEXT(D737),"",E737-MAX($F$2:F736))</f>
        <v/>
      </c>
      <c r="H737" s="97"/>
      <c r="I737" s="74" t="str">
        <f ca="1">IF(D737="N",COUNTIF(INDIRECT(ADDRESS(MATCH(Plages!$D$19,'Planning annuel mixing coater'!$B:$B),4)):D737,"N"),IF(D737="N1",COUNTIF($D$9:D737,"N1"),""))</f>
        <v/>
      </c>
      <c r="J737" s="96" t="str">
        <f>IF(D737="","",COUNTA(D730:D737)-(COUNTA(D737:D737)-1))</f>
        <v/>
      </c>
    </row>
    <row r="738" spans="1:10" thickBot="1">
      <c r="A738" s="117"/>
      <c r="B738" s="70">
        <f t="shared" si="49"/>
        <v>44530</v>
      </c>
      <c r="C738" s="82" t="str">
        <f t="shared" si="50"/>
        <v>mardi</v>
      </c>
      <c r="D738" s="87"/>
      <c r="E738" s="115" t="str">
        <f t="shared" si="51"/>
        <v/>
      </c>
      <c r="F738" s="115" t="str">
        <f t="shared" si="52"/>
        <v/>
      </c>
      <c r="G738" s="116" t="str">
        <f>IF(ISNONTEXT(D738),"",E738-MAX($F$2:F737))</f>
        <v/>
      </c>
      <c r="H738" s="97"/>
      <c r="I738" s="74" t="str">
        <f ca="1">IF(D738="N",COUNTIF(INDIRECT(ADDRESS(MATCH(Plages!$D$19,'Planning annuel mixing coater'!$B:$B),4)):D738,"N"),IF(D738="N1",COUNTIF($D$9:D738,"N1"),""))</f>
        <v/>
      </c>
      <c r="J738" s="96" t="str">
        <f>IF(D738="","",COUNTA(D730:D738)-(COUNTA(D738:D738)-1))</f>
        <v/>
      </c>
    </row>
    <row r="739" spans="1:10" thickBot="1">
      <c r="A739" s="117"/>
      <c r="B739" s="70">
        <f t="shared" si="49"/>
        <v>44531</v>
      </c>
      <c r="C739" s="82" t="str">
        <f t="shared" si="50"/>
        <v>mercredi</v>
      </c>
      <c r="D739" s="87"/>
      <c r="E739" s="115" t="str">
        <f t="shared" si="51"/>
        <v/>
      </c>
      <c r="F739" s="115" t="str">
        <f t="shared" si="52"/>
        <v/>
      </c>
      <c r="G739" s="116" t="str">
        <f>IF(ISNONTEXT(D739),"",E739-MAX($F$2:F738))</f>
        <v/>
      </c>
      <c r="H739" s="97"/>
      <c r="I739" s="74" t="str">
        <f ca="1">IF(D739="N",COUNTIF(INDIRECT(ADDRESS(MATCH(Plages!$D$19,'Planning annuel mixing coater'!$B:$B),4)):D739,"N"),IF(D739="N1",COUNTIF($D$9:D739,"N1"),""))</f>
        <v/>
      </c>
      <c r="J739" s="96" t="str">
        <f>IF(D739="","",COUNTA(D730:D739)-(COUNTA(D739:D739)-1))</f>
        <v/>
      </c>
    </row>
    <row r="740" spans="1:10" thickBot="1">
      <c r="A740" s="117"/>
      <c r="B740" s="70">
        <f t="shared" si="49"/>
        <v>44532</v>
      </c>
      <c r="C740" s="82" t="str">
        <f t="shared" si="50"/>
        <v>jeudi</v>
      </c>
      <c r="D740" s="87"/>
      <c r="E740" s="115" t="str">
        <f t="shared" si="51"/>
        <v/>
      </c>
      <c r="F740" s="115" t="str">
        <f t="shared" si="52"/>
        <v/>
      </c>
      <c r="G740" s="116" t="str">
        <f>IF(ISNONTEXT(D740),"",E740-MAX($F$2:F739))</f>
        <v/>
      </c>
      <c r="H740" s="97"/>
      <c r="I740" s="74" t="str">
        <f ca="1">IF(D740="N",COUNTIF(INDIRECT(ADDRESS(MATCH(Plages!$D$19,'Planning annuel mixing coater'!$B:$B),4)):D740,"N"),IF(D740="N1",COUNTIF($D$9:D740,"N1"),""))</f>
        <v/>
      </c>
      <c r="J740" s="96" t="str">
        <f>IF(D740="","",COUNTA(D730:D740)-(COUNTA(D740:D740)-1))</f>
        <v/>
      </c>
    </row>
    <row r="741" spans="1:10" thickBot="1">
      <c r="A741" s="117"/>
      <c r="B741" s="70">
        <f t="shared" si="49"/>
        <v>44533</v>
      </c>
      <c r="C741" s="82" t="str">
        <f t="shared" si="50"/>
        <v>vendredi</v>
      </c>
      <c r="D741" s="87"/>
      <c r="E741" s="115" t="str">
        <f t="shared" si="51"/>
        <v/>
      </c>
      <c r="F741" s="115" t="str">
        <f t="shared" si="52"/>
        <v/>
      </c>
      <c r="G741" s="116" t="str">
        <f>IF(ISNONTEXT(D741),"",E741-MAX($F$2:F740))</f>
        <v/>
      </c>
      <c r="H741" s="97"/>
      <c r="I741" s="74" t="str">
        <f ca="1">IF(D741="N",COUNTIF(INDIRECT(ADDRESS(MATCH(Plages!$D$19,'Planning annuel mixing coater'!$B:$B),4)):D741,"N"),IF(D741="N1",COUNTIF($D$9:D741,"N1"),""))</f>
        <v/>
      </c>
      <c r="J741" s="96" t="str">
        <f>IF(D741="","",COUNTA(D730:D741)-(COUNTA(D741:D741)-1))</f>
        <v/>
      </c>
    </row>
    <row r="742" spans="1:10" thickBot="1">
      <c r="A742" s="117"/>
      <c r="B742" s="70">
        <f t="shared" si="49"/>
        <v>44534</v>
      </c>
      <c r="C742" s="82" t="str">
        <f t="shared" si="50"/>
        <v>samedi</v>
      </c>
      <c r="D742" s="87"/>
      <c r="E742" s="115" t="str">
        <f t="shared" si="51"/>
        <v/>
      </c>
      <c r="F742" s="115" t="str">
        <f t="shared" si="52"/>
        <v/>
      </c>
      <c r="G742" s="116" t="str">
        <f>IF(ISNONTEXT(D742),"",E742-MAX($F$2:F741))</f>
        <v/>
      </c>
      <c r="H742" s="97"/>
      <c r="I742" s="74" t="str">
        <f ca="1">IF(D742="N",COUNTIF(INDIRECT(ADDRESS(MATCH(Plages!$D$19,'Planning annuel mixing coater'!$B:$B),4)):D742,"N"),IF(D742="N1",COUNTIF($D$9:D742,"N1"),""))</f>
        <v/>
      </c>
      <c r="J742" s="96" t="str">
        <f>IF(D742="","",COUNTA(D730:D742)-(COUNTA(D742:D742)-1))</f>
        <v/>
      </c>
    </row>
    <row r="743" spans="1:10" s="77" customFormat="1" thickBot="1">
      <c r="A743" s="117"/>
      <c r="B743" s="75">
        <f t="shared" si="49"/>
        <v>44535</v>
      </c>
      <c r="C743" s="83" t="str">
        <f t="shared" si="50"/>
        <v>dimanche</v>
      </c>
      <c r="D743" s="88"/>
      <c r="E743" s="115" t="str">
        <f t="shared" si="51"/>
        <v/>
      </c>
      <c r="F743" s="115" t="str">
        <f t="shared" si="52"/>
        <v/>
      </c>
      <c r="G743" s="116" t="str">
        <f>IF(ISNONTEXT(D743),"",E743-MAX($F$2:F742))</f>
        <v/>
      </c>
      <c r="H743" s="98"/>
      <c r="I743" s="76" t="str">
        <f ca="1">IF(D743="N",COUNTIF(INDIRECT(ADDRESS(MATCH(Plages!$D$19,'Planning annuel mixing coater'!$B:$B),4)):D743,"N"),IF(D743="N1",COUNTIF($D$9:D743,"N1"),""))</f>
        <v/>
      </c>
      <c r="J743" s="99" t="str">
        <f>IF(D743="","",COUNTA(D730:D743)-(COUNTA(D743:D743)-1))</f>
        <v/>
      </c>
    </row>
    <row r="744" spans="1:10" ht="16.5" thickTop="1" thickBot="1">
      <c r="A744" s="117"/>
      <c r="B744" s="78">
        <f t="shared" si="49"/>
        <v>44536</v>
      </c>
      <c r="C744" s="81" t="str">
        <f t="shared" si="50"/>
        <v>lundi</v>
      </c>
      <c r="D744" s="89"/>
      <c r="E744" s="115" t="str">
        <f t="shared" si="51"/>
        <v/>
      </c>
      <c r="F744" s="115" t="str">
        <f t="shared" si="52"/>
        <v/>
      </c>
      <c r="G744" s="116" t="str">
        <f>IF(ISNONTEXT(D744),"",E744-MAX($F$2:F743))</f>
        <v/>
      </c>
      <c r="H744" s="100"/>
      <c r="I744" s="79" t="str">
        <f ca="1">IF(D744="N",COUNTIF(INDIRECT(ADDRESS(MATCH(Plages!$D$19,'Planning annuel mixing coater'!$B:$B),4)):D744,"N"),IF(D744="N1",COUNTIF($D$9:D744,"N1"),""))</f>
        <v/>
      </c>
      <c r="J744" s="101" t="str">
        <f>IF(D744="","",COUNTA(D744:D744)-(COUNTA(D744:D744)-1))</f>
        <v/>
      </c>
    </row>
    <row r="745" spans="1:10" thickBot="1">
      <c r="A745" s="117"/>
      <c r="B745" s="70">
        <f t="shared" si="49"/>
        <v>44537</v>
      </c>
      <c r="C745" s="82" t="str">
        <f t="shared" si="50"/>
        <v>mardi</v>
      </c>
      <c r="D745" s="87"/>
      <c r="E745" s="115" t="str">
        <f t="shared" si="51"/>
        <v/>
      </c>
      <c r="F745" s="115" t="str">
        <f t="shared" si="52"/>
        <v/>
      </c>
      <c r="G745" s="116" t="str">
        <f>IF(ISNONTEXT(D745),"",E745-MAX($F$2:F744))</f>
        <v/>
      </c>
      <c r="H745" s="97"/>
      <c r="I745" s="74" t="str">
        <f ca="1">IF(D745="N",COUNTIF(INDIRECT(ADDRESS(MATCH(Plages!$D$19,'Planning annuel mixing coater'!$B:$B),4)):D745,"N"),IF(D745="N1",COUNTIF($D$9:D745,"N1"),""))</f>
        <v/>
      </c>
      <c r="J745" s="96" t="str">
        <f>IF(D745="","",COUNTA(D744:D745)-(COUNTA(D745:D745)-1))</f>
        <v/>
      </c>
    </row>
    <row r="746" spans="1:10" thickBot="1">
      <c r="A746" s="117"/>
      <c r="B746" s="70">
        <f t="shared" si="49"/>
        <v>44538</v>
      </c>
      <c r="C746" s="82" t="str">
        <f t="shared" si="50"/>
        <v>mercredi</v>
      </c>
      <c r="D746" s="87"/>
      <c r="E746" s="115" t="str">
        <f t="shared" si="51"/>
        <v/>
      </c>
      <c r="F746" s="115" t="str">
        <f t="shared" si="52"/>
        <v/>
      </c>
      <c r="G746" s="116" t="str">
        <f>IF(ISNONTEXT(D746),"",E746-MAX($F$2:F745))</f>
        <v/>
      </c>
      <c r="H746" s="97"/>
      <c r="I746" s="74" t="str">
        <f ca="1">IF(D746="N",COUNTIF(INDIRECT(ADDRESS(MATCH(Plages!$D$19,'Planning annuel mixing coater'!$B:$B),4)):D746,"N"),IF(D746="N1",COUNTIF($D$9:D746,"N1"),""))</f>
        <v/>
      </c>
      <c r="J746" s="96" t="str">
        <f>IF(D746="","",COUNTA(D744:D746)-(COUNTA(D746:D746)-1))</f>
        <v/>
      </c>
    </row>
    <row r="747" spans="1:10" thickBot="1">
      <c r="A747" s="117"/>
      <c r="B747" s="70">
        <f t="shared" si="49"/>
        <v>44539</v>
      </c>
      <c r="C747" s="82" t="str">
        <f t="shared" si="50"/>
        <v>jeudi</v>
      </c>
      <c r="D747" s="87"/>
      <c r="E747" s="115" t="str">
        <f t="shared" si="51"/>
        <v/>
      </c>
      <c r="F747" s="115" t="str">
        <f t="shared" si="52"/>
        <v/>
      </c>
      <c r="G747" s="116" t="str">
        <f>IF(ISNONTEXT(D747),"",E747-MAX($F$2:F746))</f>
        <v/>
      </c>
      <c r="H747" s="97"/>
      <c r="I747" s="74" t="str">
        <f ca="1">IF(D747="N",COUNTIF(INDIRECT(ADDRESS(MATCH(Plages!$D$19,'Planning annuel mixing coater'!$B:$B),4)):D747,"N"),IF(D747="N1",COUNTIF($D$9:D747,"N1"),""))</f>
        <v/>
      </c>
      <c r="J747" s="96" t="str">
        <f>IF(D747="","",COUNTA(D744:D747)-(COUNTA(D747:D747)-1))</f>
        <v/>
      </c>
    </row>
    <row r="748" spans="1:10" thickBot="1">
      <c r="A748" s="117"/>
      <c r="B748" s="70">
        <f t="shared" si="49"/>
        <v>44540</v>
      </c>
      <c r="C748" s="82" t="str">
        <f t="shared" si="50"/>
        <v>vendredi</v>
      </c>
      <c r="D748" s="87"/>
      <c r="E748" s="115" t="str">
        <f t="shared" si="51"/>
        <v/>
      </c>
      <c r="F748" s="115" t="str">
        <f t="shared" si="52"/>
        <v/>
      </c>
      <c r="G748" s="116" t="str">
        <f>IF(ISNONTEXT(D748),"",E748-MAX($F$2:F747))</f>
        <v/>
      </c>
      <c r="H748" s="97"/>
      <c r="I748" s="74" t="str">
        <f ca="1">IF(D748="N",COUNTIF(INDIRECT(ADDRESS(MATCH(Plages!$D$19,'Planning annuel mixing coater'!$B:$B),4)):D748,"N"),IF(D748="N1",COUNTIF($D$9:D748,"N1"),""))</f>
        <v/>
      </c>
      <c r="J748" s="96" t="str">
        <f>IF(D748="","",COUNTA(D744:D748)-(COUNTA(D748:D748)-1))</f>
        <v/>
      </c>
    </row>
    <row r="749" spans="1:10" thickBot="1">
      <c r="A749" s="117"/>
      <c r="B749" s="70">
        <f t="shared" si="49"/>
        <v>44541</v>
      </c>
      <c r="C749" s="82" t="str">
        <f t="shared" si="50"/>
        <v>samedi</v>
      </c>
      <c r="D749" s="87"/>
      <c r="E749" s="115" t="str">
        <f t="shared" si="51"/>
        <v/>
      </c>
      <c r="F749" s="115" t="str">
        <f t="shared" si="52"/>
        <v/>
      </c>
      <c r="G749" s="116" t="str">
        <f>IF(ISNONTEXT(D749),"",E749-MAX($F$2:F748))</f>
        <v/>
      </c>
      <c r="H749" s="97"/>
      <c r="I749" s="74" t="str">
        <f ca="1">IF(D749="N",COUNTIF(INDIRECT(ADDRESS(MATCH(Plages!$D$19,'Planning annuel mixing coater'!$B:$B),4)):D749,"N"),IF(D749="N1",COUNTIF($D$9:D749,"N1"),""))</f>
        <v/>
      </c>
      <c r="J749" s="96" t="str">
        <f>IF(D749="","",COUNTA(D744:D749)-(COUNTA(D749:D749)-1))</f>
        <v/>
      </c>
    </row>
    <row r="750" spans="1:10" thickBot="1">
      <c r="A750" s="117"/>
      <c r="B750" s="70">
        <f t="shared" si="49"/>
        <v>44542</v>
      </c>
      <c r="C750" s="82" t="str">
        <f t="shared" si="50"/>
        <v>dimanche</v>
      </c>
      <c r="D750" s="87"/>
      <c r="E750" s="115" t="str">
        <f t="shared" si="51"/>
        <v/>
      </c>
      <c r="F750" s="115" t="str">
        <f t="shared" si="52"/>
        <v/>
      </c>
      <c r="G750" s="116" t="str">
        <f>IF(ISNONTEXT(D750),"",E750-MAX($F$2:F749))</f>
        <v/>
      </c>
      <c r="H750" s="98"/>
      <c r="I750" s="74" t="str">
        <f ca="1">IF(D750="N",COUNTIF(INDIRECT(ADDRESS(MATCH(Plages!$D$19,'Planning annuel mixing coater'!$B:$B),4)):D750,"N"),IF(D750="N1",COUNTIF($D$9:D750,"N1"),""))</f>
        <v/>
      </c>
      <c r="J750" s="96" t="str">
        <f>IF(D750="","",COUNTA(D744:D750)-(COUNTA(D750:D750)-1))</f>
        <v/>
      </c>
    </row>
    <row r="751" spans="1:10" thickBot="1">
      <c r="A751" s="117"/>
      <c r="B751" s="70">
        <f t="shared" si="49"/>
        <v>44543</v>
      </c>
      <c r="C751" s="82" t="str">
        <f t="shared" si="50"/>
        <v>lundi</v>
      </c>
      <c r="D751" s="87"/>
      <c r="E751" s="115" t="str">
        <f t="shared" si="51"/>
        <v/>
      </c>
      <c r="F751" s="115" t="str">
        <f t="shared" si="52"/>
        <v/>
      </c>
      <c r="G751" s="116" t="str">
        <f>IF(ISNONTEXT(D751),"",E751-MAX($F$2:F750))</f>
        <v/>
      </c>
      <c r="H751" s="97"/>
      <c r="I751" s="74" t="str">
        <f ca="1">IF(D751="N",COUNTIF(INDIRECT(ADDRESS(MATCH(Plages!$D$19,'Planning annuel mixing coater'!$B:$B),4)):D751,"N"),IF(D751="N1",COUNTIF($D$9:D751,"N1"),""))</f>
        <v/>
      </c>
      <c r="J751" s="96" t="str">
        <f>IF(D751="","",COUNTA(D744:D751)-(COUNTA(D751:D751)-1))</f>
        <v/>
      </c>
    </row>
    <row r="752" spans="1:10" thickBot="1">
      <c r="A752" s="117"/>
      <c r="B752" s="70">
        <f t="shared" si="49"/>
        <v>44544</v>
      </c>
      <c r="C752" s="82" t="str">
        <f t="shared" si="50"/>
        <v>mardi</v>
      </c>
      <c r="D752" s="87"/>
      <c r="E752" s="115" t="str">
        <f t="shared" si="51"/>
        <v/>
      </c>
      <c r="F752" s="115" t="str">
        <f t="shared" si="52"/>
        <v/>
      </c>
      <c r="G752" s="116" t="str">
        <f>IF(ISNONTEXT(D752),"",E752-MAX($F$2:F751))</f>
        <v/>
      </c>
      <c r="H752" s="97"/>
      <c r="I752" s="74" t="str">
        <f ca="1">IF(D752="N",COUNTIF(INDIRECT(ADDRESS(MATCH(Plages!$D$19,'Planning annuel mixing coater'!$B:$B),4)):D752,"N"),IF(D752="N1",COUNTIF($D$9:D752,"N1"),""))</f>
        <v/>
      </c>
      <c r="J752" s="96" t="str">
        <f>IF(D752="","",COUNTA(D744:D752)-(COUNTA(D752:D752)-1))</f>
        <v/>
      </c>
    </row>
    <row r="753" spans="1:10" thickBot="1">
      <c r="A753" s="117"/>
      <c r="B753" s="70">
        <f t="shared" si="49"/>
        <v>44545</v>
      </c>
      <c r="C753" s="82" t="str">
        <f t="shared" si="50"/>
        <v>mercredi</v>
      </c>
      <c r="D753" s="87"/>
      <c r="E753" s="115" t="str">
        <f t="shared" si="51"/>
        <v/>
      </c>
      <c r="F753" s="115" t="str">
        <f t="shared" si="52"/>
        <v/>
      </c>
      <c r="G753" s="116" t="str">
        <f>IF(ISNONTEXT(D753),"",E753-MAX($F$2:F752))</f>
        <v/>
      </c>
      <c r="H753" s="97"/>
      <c r="I753" s="74" t="str">
        <f ca="1">IF(D753="N",COUNTIF(INDIRECT(ADDRESS(MATCH(Plages!$D$19,'Planning annuel mixing coater'!$B:$B),4)):D753,"N"),IF(D753="N1",COUNTIF($D$9:D753,"N1"),""))</f>
        <v/>
      </c>
      <c r="J753" s="96" t="str">
        <f>IF(D753="","",COUNTA(D744:D753)-(COUNTA(D753:D753)-1))</f>
        <v/>
      </c>
    </row>
    <row r="754" spans="1:10" thickBot="1">
      <c r="A754" s="117"/>
      <c r="B754" s="70">
        <f t="shared" si="49"/>
        <v>44546</v>
      </c>
      <c r="C754" s="82" t="str">
        <f t="shared" si="50"/>
        <v>jeudi</v>
      </c>
      <c r="D754" s="87"/>
      <c r="E754" s="115" t="str">
        <f t="shared" si="51"/>
        <v/>
      </c>
      <c r="F754" s="115" t="str">
        <f t="shared" si="52"/>
        <v/>
      </c>
      <c r="G754" s="116" t="str">
        <f>IF(ISNONTEXT(D754),"",E754-MAX($F$2:F753))</f>
        <v/>
      </c>
      <c r="H754" s="97"/>
      <c r="I754" s="74" t="str">
        <f ca="1">IF(D754="N",COUNTIF(INDIRECT(ADDRESS(MATCH(Plages!$D$19,'Planning annuel mixing coater'!$B:$B),4)):D754,"N"),IF(D754="N1",COUNTIF($D$9:D754,"N1"),""))</f>
        <v/>
      </c>
      <c r="J754" s="96" t="str">
        <f>IF(D754="","",COUNTA(D744:D754)-(COUNTA(D754:D754)-1))</f>
        <v/>
      </c>
    </row>
    <row r="755" spans="1:10" thickBot="1">
      <c r="A755" s="117"/>
      <c r="B755" s="70">
        <f t="shared" si="49"/>
        <v>44547</v>
      </c>
      <c r="C755" s="82" t="str">
        <f t="shared" si="50"/>
        <v>vendredi</v>
      </c>
      <c r="D755" s="87"/>
      <c r="E755" s="115" t="str">
        <f t="shared" si="51"/>
        <v/>
      </c>
      <c r="F755" s="115" t="str">
        <f t="shared" si="52"/>
        <v/>
      </c>
      <c r="G755" s="116" t="str">
        <f>IF(ISNONTEXT(D755),"",E755-MAX($F$2:F754))</f>
        <v/>
      </c>
      <c r="H755" s="97"/>
      <c r="I755" s="74" t="str">
        <f ca="1">IF(D755="N",COUNTIF(INDIRECT(ADDRESS(MATCH(Plages!$D$19,'Planning annuel mixing coater'!$B:$B),4)):D755,"N"),IF(D755="N1",COUNTIF($D$9:D755,"N1"),""))</f>
        <v/>
      </c>
      <c r="J755" s="96" t="str">
        <f>IF(D755="","",COUNTA(D744:D755)-(COUNTA(D755:D755)-1))</f>
        <v/>
      </c>
    </row>
    <row r="756" spans="1:10" thickBot="1">
      <c r="A756" s="117"/>
      <c r="B756" s="70">
        <f t="shared" si="49"/>
        <v>44548</v>
      </c>
      <c r="C756" s="82" t="str">
        <f t="shared" si="50"/>
        <v>samedi</v>
      </c>
      <c r="D756" s="87"/>
      <c r="E756" s="115" t="str">
        <f t="shared" si="51"/>
        <v/>
      </c>
      <c r="F756" s="115" t="str">
        <f t="shared" si="52"/>
        <v/>
      </c>
      <c r="G756" s="116" t="str">
        <f>IF(ISNONTEXT(D756),"",E756-MAX($F$2:F755))</f>
        <v/>
      </c>
      <c r="H756" s="97"/>
      <c r="I756" s="74" t="str">
        <f ca="1">IF(D756="N",COUNTIF(INDIRECT(ADDRESS(MATCH(Plages!$D$19,'Planning annuel mixing coater'!$B:$B),4)):D756,"N"),IF(D756="N1",COUNTIF($D$9:D756,"N1"),""))</f>
        <v/>
      </c>
      <c r="J756" s="96" t="str">
        <f>IF(D756="","",COUNTA(D744:D756)-(COUNTA(D756:D756)-1))</f>
        <v/>
      </c>
    </row>
    <row r="757" spans="1:10" s="77" customFormat="1" thickBot="1">
      <c r="A757" s="117"/>
      <c r="B757" s="75">
        <f t="shared" si="49"/>
        <v>44549</v>
      </c>
      <c r="C757" s="83" t="str">
        <f t="shared" si="50"/>
        <v>dimanche</v>
      </c>
      <c r="D757" s="88"/>
      <c r="E757" s="115" t="str">
        <f t="shared" si="51"/>
        <v/>
      </c>
      <c r="F757" s="115" t="str">
        <f t="shared" si="52"/>
        <v/>
      </c>
      <c r="G757" s="116" t="str">
        <f>IF(ISNONTEXT(D757),"",E757-MAX($F$2:F756))</f>
        <v/>
      </c>
      <c r="H757" s="98"/>
      <c r="I757" s="76" t="str">
        <f ca="1">IF(D757="N",COUNTIF(INDIRECT(ADDRESS(MATCH(Plages!$D$19,'Planning annuel mixing coater'!$B:$B),4)):D757,"N"),IF(D757="N1",COUNTIF($D$9:D757,"N1"),""))</f>
        <v/>
      </c>
      <c r="J757" s="99" t="str">
        <f>IF(D757="","",COUNTA(D744:D757)-(COUNTA(D757:D757)-1))</f>
        <v/>
      </c>
    </row>
    <row r="758" spans="1:10" ht="16.5" thickTop="1" thickBot="1">
      <c r="A758" s="117"/>
      <c r="B758" s="78">
        <f t="shared" si="49"/>
        <v>44550</v>
      </c>
      <c r="C758" s="81" t="str">
        <f t="shared" si="50"/>
        <v>lundi</v>
      </c>
      <c r="D758" s="89"/>
      <c r="E758" s="115" t="str">
        <f t="shared" si="51"/>
        <v/>
      </c>
      <c r="F758" s="115" t="str">
        <f t="shared" si="52"/>
        <v/>
      </c>
      <c r="G758" s="116" t="str">
        <f>IF(ISNONTEXT(D758),"",E758-MAX($F$2:F757))</f>
        <v/>
      </c>
      <c r="H758" s="100"/>
      <c r="I758" s="79" t="str">
        <f ca="1">IF(D758="N",COUNTIF(INDIRECT(ADDRESS(MATCH(Plages!$D$19,'Planning annuel mixing coater'!$B:$B),4)):D758,"N"),IF(D758="N1",COUNTIF($D$9:D758,"N1"),""))</f>
        <v/>
      </c>
      <c r="J758" s="101" t="str">
        <f>IF(D758="","",COUNTA(D758:D758)-(COUNTA(D758:D758)-1))</f>
        <v/>
      </c>
    </row>
    <row r="759" spans="1:10" thickBot="1">
      <c r="A759" s="117"/>
      <c r="B759" s="70">
        <f t="shared" si="49"/>
        <v>44551</v>
      </c>
      <c r="C759" s="82" t="str">
        <f t="shared" si="50"/>
        <v>mardi</v>
      </c>
      <c r="D759" s="87"/>
      <c r="E759" s="115" t="str">
        <f t="shared" si="51"/>
        <v/>
      </c>
      <c r="F759" s="115" t="str">
        <f t="shared" si="52"/>
        <v/>
      </c>
      <c r="G759" s="116" t="str">
        <f>IF(ISNONTEXT(D759),"",E759-MAX($F$2:F758))</f>
        <v/>
      </c>
      <c r="H759" s="97"/>
      <c r="I759" s="74" t="str">
        <f ca="1">IF(D759="N",COUNTIF(INDIRECT(ADDRESS(MATCH(Plages!$D$19,'Planning annuel mixing coater'!$B:$B),4)):D759,"N"),IF(D759="N1",COUNTIF($D$9:D759,"N1"),""))</f>
        <v/>
      </c>
      <c r="J759" s="96" t="str">
        <f>IF(D759="","",COUNTA(D758:D759)-(COUNTA(D759:D759)-1))</f>
        <v/>
      </c>
    </row>
    <row r="760" spans="1:10" thickBot="1">
      <c r="A760" s="117"/>
      <c r="B760" s="70">
        <f t="shared" si="49"/>
        <v>44552</v>
      </c>
      <c r="C760" s="82" t="str">
        <f t="shared" si="50"/>
        <v>mercredi</v>
      </c>
      <c r="D760" s="87"/>
      <c r="E760" s="115" t="str">
        <f t="shared" si="51"/>
        <v/>
      </c>
      <c r="F760" s="115" t="str">
        <f t="shared" si="52"/>
        <v/>
      </c>
      <c r="G760" s="116" t="str">
        <f>IF(ISNONTEXT(D760),"",E760-MAX($F$2:F759))</f>
        <v/>
      </c>
      <c r="H760" s="97"/>
      <c r="I760" s="74" t="str">
        <f ca="1">IF(D760="N",COUNTIF(INDIRECT(ADDRESS(MATCH(Plages!$D$19,'Planning annuel mixing coater'!$B:$B),4)):D760,"N"),IF(D760="N1",COUNTIF($D$9:D760,"N1"),""))</f>
        <v/>
      </c>
      <c r="J760" s="96" t="str">
        <f>IF(D760="","",COUNTA(D758:D760)-(COUNTA(D760:D760)-1))</f>
        <v/>
      </c>
    </row>
    <row r="761" spans="1:10" thickBot="1">
      <c r="A761" s="117"/>
      <c r="B761" s="70">
        <f t="shared" si="49"/>
        <v>44553</v>
      </c>
      <c r="C761" s="82" t="str">
        <f t="shared" si="50"/>
        <v>jeudi</v>
      </c>
      <c r="D761" s="87"/>
      <c r="E761" s="115" t="str">
        <f t="shared" si="51"/>
        <v/>
      </c>
      <c r="F761" s="115" t="str">
        <f t="shared" si="52"/>
        <v/>
      </c>
      <c r="G761" s="116" t="str">
        <f>IF(ISNONTEXT(D761),"",E761-MAX($F$2:F760))</f>
        <v/>
      </c>
      <c r="H761" s="97"/>
      <c r="I761" s="74" t="str">
        <f ca="1">IF(D761="N",COUNTIF(INDIRECT(ADDRESS(MATCH(Plages!$D$19,'Planning annuel mixing coater'!$B:$B),4)):D761,"N"),IF(D761="N1",COUNTIF($D$9:D761,"N1"),""))</f>
        <v/>
      </c>
      <c r="J761" s="96" t="str">
        <f>IF(D761="","",COUNTA(D758:D761)-(COUNTA(D761:D761)-1))</f>
        <v/>
      </c>
    </row>
    <row r="762" spans="1:10" thickBot="1">
      <c r="A762" s="117"/>
      <c r="B762" s="70">
        <f t="shared" si="49"/>
        <v>44554</v>
      </c>
      <c r="C762" s="82" t="str">
        <f t="shared" si="50"/>
        <v>vendredi</v>
      </c>
      <c r="D762" s="87"/>
      <c r="E762" s="115" t="str">
        <f t="shared" si="51"/>
        <v/>
      </c>
      <c r="F762" s="115" t="str">
        <f t="shared" si="52"/>
        <v/>
      </c>
      <c r="G762" s="116" t="str">
        <f>IF(ISNONTEXT(D762),"",E762-MAX($F$2:F761))</f>
        <v/>
      </c>
      <c r="H762" s="97"/>
      <c r="I762" s="74" t="str">
        <f ca="1">IF(D762="N",COUNTIF(INDIRECT(ADDRESS(MATCH(Plages!$D$19,'Planning annuel mixing coater'!$B:$B),4)):D762,"N"),IF(D762="N1",COUNTIF($D$9:D762,"N1"),""))</f>
        <v/>
      </c>
      <c r="J762" s="96" t="str">
        <f>IF(D762="","",COUNTA(D758:D762)-(COUNTA(D762:D762)-1))</f>
        <v/>
      </c>
    </row>
    <row r="763" spans="1:10" thickBot="1">
      <c r="A763" s="117"/>
      <c r="B763" s="70">
        <f t="shared" si="49"/>
        <v>44555</v>
      </c>
      <c r="C763" s="82" t="str">
        <f t="shared" si="50"/>
        <v>samedi</v>
      </c>
      <c r="D763" s="87"/>
      <c r="E763" s="115" t="str">
        <f t="shared" si="51"/>
        <v/>
      </c>
      <c r="F763" s="115" t="str">
        <f t="shared" si="52"/>
        <v/>
      </c>
      <c r="G763" s="116" t="str">
        <f>IF(ISNONTEXT(D763),"",E763-MAX($F$2:F762))</f>
        <v/>
      </c>
      <c r="H763" s="97"/>
      <c r="I763" s="74" t="str">
        <f ca="1">IF(D763="N",COUNTIF(INDIRECT(ADDRESS(MATCH(Plages!$D$19,'Planning annuel mixing coater'!$B:$B),4)):D763,"N"),IF(D763="N1",COUNTIF($D$9:D763,"N1"),""))</f>
        <v/>
      </c>
      <c r="J763" s="96" t="str">
        <f>IF(D763="","",COUNTA(D758:D763)-(COUNTA(D763:D763)-1))</f>
        <v/>
      </c>
    </row>
    <row r="764" spans="1:10" thickBot="1">
      <c r="A764" s="117"/>
      <c r="B764" s="70">
        <f t="shared" si="49"/>
        <v>44556</v>
      </c>
      <c r="C764" s="82" t="str">
        <f t="shared" si="50"/>
        <v>dimanche</v>
      </c>
      <c r="D764" s="87"/>
      <c r="E764" s="115" t="str">
        <f t="shared" si="51"/>
        <v/>
      </c>
      <c r="F764" s="115" t="str">
        <f t="shared" si="52"/>
        <v/>
      </c>
      <c r="G764" s="116" t="str">
        <f>IF(ISNONTEXT(D764),"",E764-MAX($F$2:F763))</f>
        <v/>
      </c>
      <c r="H764" s="98"/>
      <c r="I764" s="74" t="str">
        <f ca="1">IF(D764="N",COUNTIF(INDIRECT(ADDRESS(MATCH(Plages!$D$19,'Planning annuel mixing coater'!$B:$B),4)):D764,"N"),IF(D764="N1",COUNTIF($D$9:D764,"N1"),""))</f>
        <v/>
      </c>
      <c r="J764" s="96" t="str">
        <f>IF(D764="","",COUNTA(D758:D764)-(COUNTA(D764:D764)-1))</f>
        <v/>
      </c>
    </row>
    <row r="765" spans="1:10" thickBot="1">
      <c r="A765" s="117"/>
      <c r="B765" s="70">
        <f t="shared" si="49"/>
        <v>44557</v>
      </c>
      <c r="C765" s="82" t="str">
        <f t="shared" si="50"/>
        <v>lundi</v>
      </c>
      <c r="D765" s="87"/>
      <c r="E765" s="115" t="str">
        <f t="shared" si="51"/>
        <v/>
      </c>
      <c r="F765" s="115" t="str">
        <f t="shared" si="52"/>
        <v/>
      </c>
      <c r="G765" s="116" t="str">
        <f>IF(ISNONTEXT(D765),"",E765-MAX($F$2:F764))</f>
        <v/>
      </c>
      <c r="H765" s="97"/>
      <c r="I765" s="74" t="str">
        <f ca="1">IF(D765="N",COUNTIF(INDIRECT(ADDRESS(MATCH(Plages!$D$19,'Planning annuel mixing coater'!$B:$B),4)):D765,"N"),IF(D765="N1",COUNTIF($D$9:D765,"N1"),""))</f>
        <v/>
      </c>
      <c r="J765" s="96" t="str">
        <f>IF(D765="","",COUNTA(D758:D765)-(COUNTA(D765:D765)-1))</f>
        <v/>
      </c>
    </row>
    <row r="766" spans="1:10" thickBot="1">
      <c r="A766" s="117"/>
      <c r="B766" s="70">
        <f t="shared" si="49"/>
        <v>44558</v>
      </c>
      <c r="C766" s="82" t="str">
        <f t="shared" si="50"/>
        <v>mardi</v>
      </c>
      <c r="D766" s="87"/>
      <c r="E766" s="115" t="str">
        <f t="shared" si="51"/>
        <v/>
      </c>
      <c r="F766" s="115" t="str">
        <f t="shared" si="52"/>
        <v/>
      </c>
      <c r="G766" s="116" t="str">
        <f>IF(ISNONTEXT(D766),"",E766-MAX($F$2:F765))</f>
        <v/>
      </c>
      <c r="H766" s="97"/>
      <c r="I766" s="74" t="str">
        <f ca="1">IF(D766="N",COUNTIF(INDIRECT(ADDRESS(MATCH(Plages!$D$19,'Planning annuel mixing coater'!$B:$B),4)):D766,"N"),IF(D766="N1",COUNTIF($D$9:D766,"N1"),""))</f>
        <v/>
      </c>
      <c r="J766" s="96" t="str">
        <f>IF(D766="","",COUNTA(D758:D766)-(COUNTA(D766:D766)-1))</f>
        <v/>
      </c>
    </row>
    <row r="767" spans="1:10" thickBot="1">
      <c r="A767" s="117"/>
      <c r="B767" s="70">
        <f t="shared" si="49"/>
        <v>44559</v>
      </c>
      <c r="C767" s="82" t="str">
        <f t="shared" si="50"/>
        <v>mercredi</v>
      </c>
      <c r="D767" s="87"/>
      <c r="E767" s="115" t="str">
        <f t="shared" si="51"/>
        <v/>
      </c>
      <c r="F767" s="115" t="str">
        <f t="shared" si="52"/>
        <v/>
      </c>
      <c r="G767" s="116" t="str">
        <f>IF(ISNONTEXT(D767),"",E767-MAX($F$2:F766))</f>
        <v/>
      </c>
      <c r="H767" s="97"/>
      <c r="I767" s="74" t="str">
        <f ca="1">IF(D767="N",COUNTIF(INDIRECT(ADDRESS(MATCH(Plages!$D$19,'Planning annuel mixing coater'!$B:$B),4)):D767,"N"),IF(D767="N1",COUNTIF($D$9:D767,"N1"),""))</f>
        <v/>
      </c>
      <c r="J767" s="96" t="str">
        <f>IF(D767="","",COUNTA(D758:D767)-(COUNTA(D767:D767)-1))</f>
        <v/>
      </c>
    </row>
    <row r="768" spans="1:10" thickBot="1">
      <c r="A768" s="117"/>
      <c r="B768" s="70">
        <f t="shared" si="49"/>
        <v>44560</v>
      </c>
      <c r="C768" s="82" t="str">
        <f t="shared" si="50"/>
        <v>jeudi</v>
      </c>
      <c r="D768" s="87"/>
      <c r="E768" s="115" t="str">
        <f t="shared" si="51"/>
        <v/>
      </c>
      <c r="F768" s="115" t="str">
        <f t="shared" si="52"/>
        <v/>
      </c>
      <c r="G768" s="116" t="str">
        <f>IF(ISNONTEXT(D768),"",E768-MAX($F$2:F767))</f>
        <v/>
      </c>
      <c r="H768" s="97"/>
      <c r="I768" s="74" t="str">
        <f ca="1">IF(D768="N",COUNTIF(INDIRECT(ADDRESS(MATCH(Plages!$D$19,'Planning annuel mixing coater'!$B:$B),4)):D768,"N"),IF(D768="N1",COUNTIF($D$9:D768,"N1"),""))</f>
        <v/>
      </c>
      <c r="J768" s="96" t="str">
        <f>IF(D768="","",COUNTA(D758:D768)-(COUNTA(D768:D768)-1))</f>
        <v/>
      </c>
    </row>
    <row r="769" spans="1:10" thickBot="1">
      <c r="A769" s="117"/>
      <c r="B769" s="70">
        <f t="shared" si="49"/>
        <v>44561</v>
      </c>
      <c r="C769" s="82" t="str">
        <f t="shared" si="50"/>
        <v>vendredi</v>
      </c>
      <c r="D769" s="87"/>
      <c r="E769" s="115" t="str">
        <f t="shared" si="51"/>
        <v/>
      </c>
      <c r="F769" s="115" t="str">
        <f t="shared" si="52"/>
        <v/>
      </c>
      <c r="G769" s="116" t="str">
        <f>IF(ISNONTEXT(D769),"",E769-MAX($F$2:F768))</f>
        <v/>
      </c>
      <c r="H769" s="97"/>
      <c r="I769" s="74" t="str">
        <f ca="1">IF(D769="N",COUNTIF(INDIRECT(ADDRESS(MATCH(Plages!$D$19,'Planning annuel mixing coater'!$B:$B),4)):D769,"N"),IF(D769="N1",COUNTIF($D$9:D769,"N1"),""))</f>
        <v/>
      </c>
      <c r="J769" s="96" t="str">
        <f>IF(D769="","",COUNTA(D758:D769)-(COUNTA(D769:D769)-1))</f>
        <v/>
      </c>
    </row>
    <row r="770" spans="1:10" thickBot="1">
      <c r="A770" s="117"/>
      <c r="B770" s="70">
        <f t="shared" si="49"/>
        <v>44562</v>
      </c>
      <c r="C770" s="82" t="str">
        <f t="shared" si="50"/>
        <v>samedi</v>
      </c>
      <c r="D770" s="87"/>
      <c r="E770" s="115" t="str">
        <f t="shared" si="51"/>
        <v/>
      </c>
      <c r="F770" s="115" t="str">
        <f t="shared" si="52"/>
        <v/>
      </c>
      <c r="G770" s="116" t="str">
        <f>IF(ISNONTEXT(D770),"",E770-MAX($F$2:F769))</f>
        <v/>
      </c>
      <c r="H770" s="97"/>
      <c r="I770" s="74" t="str">
        <f ca="1">IF(D770="N",COUNTIF(INDIRECT(ADDRESS(MATCH(Plages!$D$19,'Planning annuel mixing coater'!$B:$B),4)):D770,"N"),IF(D770="N1",COUNTIF($D$9:D770,"N1"),""))</f>
        <v/>
      </c>
      <c r="J770" s="96" t="str">
        <f>IF(D770="","",COUNTA(D758:D770)-(COUNTA(D770:D770)-1))</f>
        <v/>
      </c>
    </row>
    <row r="771" spans="1:10" s="77" customFormat="1" thickBot="1">
      <c r="A771" s="117"/>
      <c r="B771" s="75">
        <f t="shared" si="49"/>
        <v>44563</v>
      </c>
      <c r="C771" s="83" t="str">
        <f t="shared" si="50"/>
        <v>dimanche</v>
      </c>
      <c r="D771" s="88"/>
      <c r="E771" s="115" t="str">
        <f t="shared" si="51"/>
        <v/>
      </c>
      <c r="F771" s="115" t="str">
        <f t="shared" si="52"/>
        <v/>
      </c>
      <c r="G771" s="116" t="str">
        <f>IF(ISNONTEXT(D771),"",E771-MAX($F$2:F770))</f>
        <v/>
      </c>
      <c r="H771" s="98"/>
      <c r="I771" s="76" t="str">
        <f ca="1">IF(D771="N",COUNTIF(INDIRECT(ADDRESS(MATCH(Plages!$D$19,'Planning annuel mixing coater'!$B:$B),4)):D771,"N"),IF(D771="N1",COUNTIF($D$9:D771,"N1"),""))</f>
        <v/>
      </c>
      <c r="J771" s="99" t="str">
        <f>IF(D771="","",COUNTA(D758:D771)-(COUNTA(D771:D771)-1))</f>
        <v/>
      </c>
    </row>
    <row r="772" spans="1:10" ht="16.5" thickTop="1" thickBot="1">
      <c r="A772" s="117"/>
      <c r="B772" s="78">
        <f t="shared" ref="B772:B835" si="53">IF(B771="","",B771+1)</f>
        <v>44564</v>
      </c>
      <c r="C772" s="81" t="str">
        <f t="shared" si="50"/>
        <v>lundi</v>
      </c>
      <c r="D772" s="89"/>
      <c r="E772" s="115" t="str">
        <f t="shared" si="51"/>
        <v/>
      </c>
      <c r="F772" s="115" t="str">
        <f t="shared" si="52"/>
        <v/>
      </c>
      <c r="G772" s="116" t="str">
        <f>IF(ISNONTEXT(D772),"",E772-MAX($F$2:F771))</f>
        <v/>
      </c>
      <c r="H772" s="100"/>
      <c r="I772" s="79" t="str">
        <f ca="1">IF(D772="N",COUNTIF(INDIRECT(ADDRESS(MATCH(Plages!$D$19,'Planning annuel mixing coater'!$B:$B),4)):D772,"N"),IF(D772="N1",COUNTIF($D$9:D772,"N1"),""))</f>
        <v/>
      </c>
      <c r="J772" s="101" t="str">
        <f>IF(D772="","",COUNTA(D772:D772)-(COUNTA(D772:D772)-1))</f>
        <v/>
      </c>
    </row>
    <row r="773" spans="1:10" thickBot="1">
      <c r="A773" s="117"/>
      <c r="B773" s="70">
        <f t="shared" si="53"/>
        <v>44565</v>
      </c>
      <c r="C773" s="82" t="str">
        <f t="shared" si="50"/>
        <v>mardi</v>
      </c>
      <c r="D773" s="87"/>
      <c r="E773" s="115" t="str">
        <f t="shared" si="51"/>
        <v/>
      </c>
      <c r="F773" s="115" t="str">
        <f t="shared" si="52"/>
        <v/>
      </c>
      <c r="G773" s="116" t="str">
        <f>IF(ISNONTEXT(D773),"",E773-MAX($F$2:F772))</f>
        <v/>
      </c>
      <c r="H773" s="97"/>
      <c r="I773" s="74" t="str">
        <f ca="1">IF(D773="N",COUNTIF(INDIRECT(ADDRESS(MATCH(Plages!$D$19,'Planning annuel mixing coater'!$B:$B),4)):D773,"N"),IF(D773="N1",COUNTIF($D$9:D773,"N1"),""))</f>
        <v/>
      </c>
      <c r="J773" s="96" t="str">
        <f>IF(D773="","",COUNTA(D772:D773)-(COUNTA(D773:D773)-1))</f>
        <v/>
      </c>
    </row>
    <row r="774" spans="1:10" thickBot="1">
      <c r="A774" s="117"/>
      <c r="B774" s="70">
        <f t="shared" si="53"/>
        <v>44566</v>
      </c>
      <c r="C774" s="82" t="str">
        <f t="shared" si="50"/>
        <v>mercredi</v>
      </c>
      <c r="D774" s="87"/>
      <c r="E774" s="115" t="str">
        <f t="shared" si="51"/>
        <v/>
      </c>
      <c r="F774" s="115" t="str">
        <f t="shared" si="52"/>
        <v/>
      </c>
      <c r="G774" s="116" t="str">
        <f>IF(ISNONTEXT(D774),"",E774-MAX($F$2:F773))</f>
        <v/>
      </c>
      <c r="H774" s="97"/>
      <c r="I774" s="74" t="str">
        <f ca="1">IF(D774="N",COUNTIF(INDIRECT(ADDRESS(MATCH(Plages!$D$19,'Planning annuel mixing coater'!$B:$B),4)):D774,"N"),IF(D774="N1",COUNTIF($D$9:D774,"N1"),""))</f>
        <v/>
      </c>
      <c r="J774" s="96" t="str">
        <f>IF(D774="","",COUNTA(D772:D774)-(COUNTA(D774:D774)-1))</f>
        <v/>
      </c>
    </row>
    <row r="775" spans="1:10" thickBot="1">
      <c r="A775" s="117"/>
      <c r="B775" s="70">
        <f t="shared" si="53"/>
        <v>44567</v>
      </c>
      <c r="C775" s="82" t="str">
        <f t="shared" si="50"/>
        <v>jeudi</v>
      </c>
      <c r="D775" s="87"/>
      <c r="E775" s="115" t="str">
        <f t="shared" si="51"/>
        <v/>
      </c>
      <c r="F775" s="115" t="str">
        <f t="shared" si="52"/>
        <v/>
      </c>
      <c r="G775" s="116" t="str">
        <f>IF(ISNONTEXT(D775),"",E775-MAX($F$2:F774))</f>
        <v/>
      </c>
      <c r="H775" s="97"/>
      <c r="I775" s="74" t="str">
        <f ca="1">IF(D775="N",COUNTIF(INDIRECT(ADDRESS(MATCH(Plages!$D$19,'Planning annuel mixing coater'!$B:$B),4)):D775,"N"),IF(D775="N1",COUNTIF($D$9:D775,"N1"),""))</f>
        <v/>
      </c>
      <c r="J775" s="96" t="str">
        <f>IF(D775="","",COUNTA(D772:D775)-(COUNTA(D775:D775)-1))</f>
        <v/>
      </c>
    </row>
    <row r="776" spans="1:10" thickBot="1">
      <c r="A776" s="117"/>
      <c r="B776" s="70">
        <f t="shared" si="53"/>
        <v>44568</v>
      </c>
      <c r="C776" s="82" t="str">
        <f t="shared" si="50"/>
        <v>vendredi</v>
      </c>
      <c r="D776" s="87"/>
      <c r="E776" s="115" t="str">
        <f t="shared" si="51"/>
        <v/>
      </c>
      <c r="F776" s="115" t="str">
        <f t="shared" si="52"/>
        <v/>
      </c>
      <c r="G776" s="116" t="str">
        <f>IF(ISNONTEXT(D776),"",E776-MAX($F$2:F775))</f>
        <v/>
      </c>
      <c r="H776" s="97"/>
      <c r="I776" s="74" t="str">
        <f ca="1">IF(D776="N",COUNTIF(INDIRECT(ADDRESS(MATCH(Plages!$D$19,'Planning annuel mixing coater'!$B:$B),4)):D776,"N"),IF(D776="N1",COUNTIF($D$9:D776,"N1"),""))</f>
        <v/>
      </c>
      <c r="J776" s="96" t="str">
        <f>IF(D776="","",COUNTA(D772:D776)-(COUNTA(D776:D776)-1))</f>
        <v/>
      </c>
    </row>
    <row r="777" spans="1:10" thickBot="1">
      <c r="A777" s="117"/>
      <c r="B777" s="70">
        <f t="shared" si="53"/>
        <v>44569</v>
      </c>
      <c r="C777" s="82" t="str">
        <f t="shared" si="50"/>
        <v>samedi</v>
      </c>
      <c r="D777" s="87"/>
      <c r="E777" s="115" t="str">
        <f t="shared" si="51"/>
        <v/>
      </c>
      <c r="F777" s="115" t="str">
        <f t="shared" si="52"/>
        <v/>
      </c>
      <c r="G777" s="116" t="str">
        <f>IF(ISNONTEXT(D777),"",E777-MAX($F$2:F776))</f>
        <v/>
      </c>
      <c r="H777" s="97"/>
      <c r="I777" s="74" t="str">
        <f ca="1">IF(D777="N",COUNTIF(INDIRECT(ADDRESS(MATCH(Plages!$D$19,'Planning annuel mixing coater'!$B:$B),4)):D777,"N"),IF(D777="N1",COUNTIF($D$9:D777,"N1"),""))</f>
        <v/>
      </c>
      <c r="J777" s="96" t="str">
        <f>IF(D777="","",COUNTA(D772:D777)-(COUNTA(D777:D777)-1))</f>
        <v/>
      </c>
    </row>
    <row r="778" spans="1:10" thickBot="1">
      <c r="A778" s="117"/>
      <c r="B778" s="70">
        <f t="shared" si="53"/>
        <v>44570</v>
      </c>
      <c r="C778" s="82" t="str">
        <f t="shared" si="50"/>
        <v>dimanche</v>
      </c>
      <c r="D778" s="87"/>
      <c r="E778" s="115" t="str">
        <f t="shared" si="51"/>
        <v/>
      </c>
      <c r="F778" s="115" t="str">
        <f t="shared" si="52"/>
        <v/>
      </c>
      <c r="G778" s="116" t="str">
        <f>IF(ISNONTEXT(D778),"",E778-MAX($F$2:F777))</f>
        <v/>
      </c>
      <c r="H778" s="98"/>
      <c r="I778" s="74" t="str">
        <f ca="1">IF(D778="N",COUNTIF(INDIRECT(ADDRESS(MATCH(Plages!$D$19,'Planning annuel mixing coater'!$B:$B),4)):D778,"N"),IF(D778="N1",COUNTIF($D$9:D778,"N1"),""))</f>
        <v/>
      </c>
      <c r="J778" s="96" t="str">
        <f>IF(D778="","",COUNTA(D772:D778)-(COUNTA(D778:D778)-1))</f>
        <v/>
      </c>
    </row>
    <row r="779" spans="1:10" thickBot="1">
      <c r="A779" s="117"/>
      <c r="B779" s="70">
        <f t="shared" si="53"/>
        <v>44571</v>
      </c>
      <c r="C779" s="82" t="str">
        <f t="shared" si="50"/>
        <v>lundi</v>
      </c>
      <c r="D779" s="87"/>
      <c r="E779" s="115" t="str">
        <f t="shared" si="51"/>
        <v/>
      </c>
      <c r="F779" s="115" t="str">
        <f t="shared" si="52"/>
        <v/>
      </c>
      <c r="G779" s="116" t="str">
        <f>IF(ISNONTEXT(D779),"",E779-MAX($F$2:F778))</f>
        <v/>
      </c>
      <c r="H779" s="97"/>
      <c r="I779" s="74" t="str">
        <f ca="1">IF(D779="N",COUNTIF(INDIRECT(ADDRESS(MATCH(Plages!$D$19,'Planning annuel mixing coater'!$B:$B),4)):D779,"N"),IF(D779="N1",COUNTIF($D$9:D779,"N1"),""))</f>
        <v/>
      </c>
      <c r="J779" s="96" t="str">
        <f>IF(D779="","",COUNTA(D772:D779)-(COUNTA(D779:D779)-1))</f>
        <v/>
      </c>
    </row>
    <row r="780" spans="1:10" thickBot="1">
      <c r="A780" s="117"/>
      <c r="B780" s="70">
        <f t="shared" si="53"/>
        <v>44572</v>
      </c>
      <c r="C780" s="82" t="str">
        <f t="shared" si="50"/>
        <v>mardi</v>
      </c>
      <c r="D780" s="87"/>
      <c r="E780" s="115" t="str">
        <f t="shared" si="51"/>
        <v/>
      </c>
      <c r="F780" s="115" t="str">
        <f t="shared" si="52"/>
        <v/>
      </c>
      <c r="G780" s="116" t="str">
        <f>IF(ISNONTEXT(D780),"",E780-MAX($F$2:F779))</f>
        <v/>
      </c>
      <c r="H780" s="97"/>
      <c r="I780" s="74" t="str">
        <f ca="1">IF(D780="N",COUNTIF(INDIRECT(ADDRESS(MATCH(Plages!$D$19,'Planning annuel mixing coater'!$B:$B),4)):D780,"N"),IF(D780="N1",COUNTIF($D$9:D780,"N1"),""))</f>
        <v/>
      </c>
      <c r="J780" s="96" t="str">
        <f>IF(D780="","",COUNTA(D772:D780)-(COUNTA(D780:D780)-1))</f>
        <v/>
      </c>
    </row>
    <row r="781" spans="1:10" thickBot="1">
      <c r="A781" s="117"/>
      <c r="B781" s="70">
        <f t="shared" si="53"/>
        <v>44573</v>
      </c>
      <c r="C781" s="82" t="str">
        <f t="shared" si="50"/>
        <v>mercredi</v>
      </c>
      <c r="D781" s="87"/>
      <c r="E781" s="115" t="str">
        <f t="shared" si="51"/>
        <v/>
      </c>
      <c r="F781" s="115" t="str">
        <f t="shared" si="52"/>
        <v/>
      </c>
      <c r="G781" s="116" t="str">
        <f>IF(ISNONTEXT(D781),"",E781-MAX($F$2:F780))</f>
        <v/>
      </c>
      <c r="H781" s="97"/>
      <c r="I781" s="74" t="str">
        <f ca="1">IF(D781="N",COUNTIF(INDIRECT(ADDRESS(MATCH(Plages!$D$19,'Planning annuel mixing coater'!$B:$B),4)):D781,"N"),IF(D781="N1",COUNTIF($D$9:D781,"N1"),""))</f>
        <v/>
      </c>
      <c r="J781" s="96" t="str">
        <f>IF(D781="","",COUNTA(D772:D781)-(COUNTA(D781:D781)-1))</f>
        <v/>
      </c>
    </row>
    <row r="782" spans="1:10" thickBot="1">
      <c r="A782" s="117"/>
      <c r="B782" s="70">
        <f t="shared" si="53"/>
        <v>44574</v>
      </c>
      <c r="C782" s="82" t="str">
        <f t="shared" si="50"/>
        <v>jeudi</v>
      </c>
      <c r="D782" s="87"/>
      <c r="E782" s="115" t="str">
        <f t="shared" si="51"/>
        <v/>
      </c>
      <c r="F782" s="115" t="str">
        <f t="shared" si="52"/>
        <v/>
      </c>
      <c r="G782" s="116" t="str">
        <f>IF(ISNONTEXT(D782),"",E782-MAX($F$2:F781))</f>
        <v/>
      </c>
      <c r="H782" s="97"/>
      <c r="I782" s="74" t="str">
        <f ca="1">IF(D782="N",COUNTIF(INDIRECT(ADDRESS(MATCH(Plages!$D$19,'Planning annuel mixing coater'!$B:$B),4)):D782,"N"),IF(D782="N1",COUNTIF($D$9:D782,"N1"),""))</f>
        <v/>
      </c>
      <c r="J782" s="96" t="str">
        <f>IF(D782="","",COUNTA(D772:D782)-(COUNTA(D782:D782)-1))</f>
        <v/>
      </c>
    </row>
    <row r="783" spans="1:10" thickBot="1">
      <c r="A783" s="117"/>
      <c r="B783" s="70">
        <f t="shared" si="53"/>
        <v>44575</v>
      </c>
      <c r="C783" s="82" t="str">
        <f t="shared" si="50"/>
        <v>vendredi</v>
      </c>
      <c r="D783" s="87"/>
      <c r="E783" s="115" t="str">
        <f t="shared" si="51"/>
        <v/>
      </c>
      <c r="F783" s="115" t="str">
        <f t="shared" si="52"/>
        <v/>
      </c>
      <c r="G783" s="116" t="str">
        <f>IF(ISNONTEXT(D783),"",E783-MAX($F$2:F782))</f>
        <v/>
      </c>
      <c r="H783" s="97"/>
      <c r="I783" s="74" t="str">
        <f ca="1">IF(D783="N",COUNTIF(INDIRECT(ADDRESS(MATCH(Plages!$D$19,'Planning annuel mixing coater'!$B:$B),4)):D783,"N"),IF(D783="N1",COUNTIF($D$9:D783,"N1"),""))</f>
        <v/>
      </c>
      <c r="J783" s="96" t="str">
        <f>IF(D783="","",COUNTA(D772:D783)-(COUNTA(D783:D783)-1))</f>
        <v/>
      </c>
    </row>
    <row r="784" spans="1:10" thickBot="1">
      <c r="A784" s="117"/>
      <c r="B784" s="70">
        <f t="shared" si="53"/>
        <v>44576</v>
      </c>
      <c r="C784" s="82" t="str">
        <f t="shared" si="50"/>
        <v>samedi</v>
      </c>
      <c r="D784" s="87"/>
      <c r="E784" s="115" t="str">
        <f t="shared" si="51"/>
        <v/>
      </c>
      <c r="F784" s="115" t="str">
        <f t="shared" si="52"/>
        <v/>
      </c>
      <c r="G784" s="116" t="str">
        <f>IF(ISNONTEXT(D784),"",E784-MAX($F$2:F783))</f>
        <v/>
      </c>
      <c r="H784" s="97"/>
      <c r="I784" s="74" t="str">
        <f ca="1">IF(D784="N",COUNTIF(INDIRECT(ADDRESS(MATCH(Plages!$D$19,'Planning annuel mixing coater'!$B:$B),4)):D784,"N"),IF(D784="N1",COUNTIF($D$9:D784,"N1"),""))</f>
        <v/>
      </c>
      <c r="J784" s="96" t="str">
        <f>IF(D784="","",COUNTA(D772:D784)-(COUNTA(D784:D784)-1))</f>
        <v/>
      </c>
    </row>
    <row r="785" spans="1:10" s="77" customFormat="1" thickBot="1">
      <c r="A785" s="117"/>
      <c r="B785" s="75">
        <f t="shared" si="53"/>
        <v>44577</v>
      </c>
      <c r="C785" s="83" t="str">
        <f t="shared" si="50"/>
        <v>dimanche</v>
      </c>
      <c r="D785" s="88"/>
      <c r="E785" s="115" t="str">
        <f t="shared" si="51"/>
        <v/>
      </c>
      <c r="F785" s="115" t="str">
        <f t="shared" si="52"/>
        <v/>
      </c>
      <c r="G785" s="116" t="str">
        <f>IF(ISNONTEXT(D785),"",E785-MAX($F$2:F784))</f>
        <v/>
      </c>
      <c r="H785" s="98"/>
      <c r="I785" s="76" t="str">
        <f ca="1">IF(D785="N",COUNTIF(INDIRECT(ADDRESS(MATCH(Plages!$D$19,'Planning annuel mixing coater'!$B:$B),4)):D785,"N"),IF(D785="N1",COUNTIF($D$9:D785,"N1"),""))</f>
        <v/>
      </c>
      <c r="J785" s="99" t="str">
        <f>IF(D785="","",COUNTA(D772:D785)-(COUNTA(D785:D785)-1))</f>
        <v/>
      </c>
    </row>
    <row r="786" spans="1:10" ht="16.5" thickTop="1" thickBot="1">
      <c r="A786" s="117"/>
      <c r="B786" s="78">
        <f t="shared" si="53"/>
        <v>44578</v>
      </c>
      <c r="C786" s="81" t="str">
        <f t="shared" si="50"/>
        <v>lundi</v>
      </c>
      <c r="D786" s="89"/>
      <c r="E786" s="115" t="str">
        <f t="shared" si="51"/>
        <v/>
      </c>
      <c r="F786" s="115" t="str">
        <f t="shared" si="52"/>
        <v/>
      </c>
      <c r="G786" s="116" t="str">
        <f>IF(ISNONTEXT(D786),"",E786-MAX($F$2:F785))</f>
        <v/>
      </c>
      <c r="H786" s="100"/>
      <c r="I786" s="79" t="str">
        <f ca="1">IF(D786="N",COUNTIF(INDIRECT(ADDRESS(MATCH(Plages!$D$19,'Planning annuel mixing coater'!$B:$B),4)):D786,"N"),IF(D786="N1",COUNTIF($D$9:D786,"N1"),""))</f>
        <v/>
      </c>
      <c r="J786" s="101" t="str">
        <f>IF(D786="","",COUNTA(D786:D786)-(COUNTA(D786:D786)-1))</f>
        <v/>
      </c>
    </row>
    <row r="787" spans="1:10" thickBot="1">
      <c r="A787" s="117"/>
      <c r="B787" s="70">
        <f t="shared" si="53"/>
        <v>44579</v>
      </c>
      <c r="C787" s="82" t="str">
        <f t="shared" si="50"/>
        <v>mardi</v>
      </c>
      <c r="D787" s="87"/>
      <c r="E787" s="115" t="str">
        <f t="shared" si="51"/>
        <v/>
      </c>
      <c r="F787" s="115" t="str">
        <f t="shared" si="52"/>
        <v/>
      </c>
      <c r="G787" s="116" t="str">
        <f>IF(ISNONTEXT(D787),"",E787-MAX($F$2:F786))</f>
        <v/>
      </c>
      <c r="H787" s="97"/>
      <c r="I787" s="74" t="str">
        <f ca="1">IF(D787="N",COUNTIF(INDIRECT(ADDRESS(MATCH(Plages!$D$19,'Planning annuel mixing coater'!$B:$B),4)):D787,"N"),IF(D787="N1",COUNTIF($D$9:D787,"N1"),""))</f>
        <v/>
      </c>
      <c r="J787" s="96" t="str">
        <f>IF(D787="","",COUNTA(D786:D787)-(COUNTA(D787:D787)-1))</f>
        <v/>
      </c>
    </row>
    <row r="788" spans="1:10" thickBot="1">
      <c r="A788" s="117"/>
      <c r="B788" s="70">
        <f t="shared" si="53"/>
        <v>44580</v>
      </c>
      <c r="C788" s="82" t="str">
        <f t="shared" si="50"/>
        <v>mercredi</v>
      </c>
      <c r="D788" s="87"/>
      <c r="E788" s="115" t="str">
        <f t="shared" si="51"/>
        <v/>
      </c>
      <c r="F788" s="115" t="str">
        <f t="shared" si="52"/>
        <v/>
      </c>
      <c r="G788" s="116" t="str">
        <f>IF(ISNONTEXT(D788),"",E788-MAX($F$2:F787))</f>
        <v/>
      </c>
      <c r="H788" s="97"/>
      <c r="I788" s="74" t="str">
        <f ca="1">IF(D788="N",COUNTIF(INDIRECT(ADDRESS(MATCH(Plages!$D$19,'Planning annuel mixing coater'!$B:$B),4)):D788,"N"),IF(D788="N1",COUNTIF($D$9:D788,"N1"),""))</f>
        <v/>
      </c>
      <c r="J788" s="96" t="str">
        <f>IF(D788="","",COUNTA(D786:D788)-(COUNTA(D788:D788)-1))</f>
        <v/>
      </c>
    </row>
    <row r="789" spans="1:10" thickBot="1">
      <c r="A789" s="117"/>
      <c r="B789" s="70">
        <f t="shared" si="53"/>
        <v>44581</v>
      </c>
      <c r="C789" s="82" t="str">
        <f t="shared" si="50"/>
        <v>jeudi</v>
      </c>
      <c r="D789" s="87"/>
      <c r="E789" s="115" t="str">
        <f t="shared" si="51"/>
        <v/>
      </c>
      <c r="F789" s="115" t="str">
        <f t="shared" si="52"/>
        <v/>
      </c>
      <c r="G789" s="116" t="str">
        <f>IF(ISNONTEXT(D789),"",E789-MAX($F$2:F788))</f>
        <v/>
      </c>
      <c r="H789" s="97"/>
      <c r="I789" s="74" t="str">
        <f ca="1">IF(D789="N",COUNTIF(INDIRECT(ADDRESS(MATCH(Plages!$D$19,'Planning annuel mixing coater'!$B:$B),4)):D789,"N"),IF(D789="N1",COUNTIF($D$9:D789,"N1"),""))</f>
        <v/>
      </c>
      <c r="J789" s="96" t="str">
        <f>IF(D789="","",COUNTA(D786:D789)-(COUNTA(D789:D789)-1))</f>
        <v/>
      </c>
    </row>
    <row r="790" spans="1:10" thickBot="1">
      <c r="A790" s="117"/>
      <c r="B790" s="70">
        <f t="shared" si="53"/>
        <v>44582</v>
      </c>
      <c r="C790" s="82" t="str">
        <f t="shared" si="50"/>
        <v>vendredi</v>
      </c>
      <c r="D790" s="87"/>
      <c r="E790" s="115" t="str">
        <f t="shared" si="51"/>
        <v/>
      </c>
      <c r="F790" s="115" t="str">
        <f t="shared" si="52"/>
        <v/>
      </c>
      <c r="G790" s="116" t="str">
        <f>IF(ISNONTEXT(D790),"",E790-MAX($F$2:F789))</f>
        <v/>
      </c>
      <c r="H790" s="97"/>
      <c r="I790" s="74" t="str">
        <f ca="1">IF(D790="N",COUNTIF(INDIRECT(ADDRESS(MATCH(Plages!$D$19,'Planning annuel mixing coater'!$B:$B),4)):D790,"N"),IF(D790="N1",COUNTIF($D$9:D790,"N1"),""))</f>
        <v/>
      </c>
      <c r="J790" s="96" t="str">
        <f>IF(D790="","",COUNTA(D786:D790)-(COUNTA(D790:D790)-1))</f>
        <v/>
      </c>
    </row>
    <row r="791" spans="1:10" thickBot="1">
      <c r="A791" s="117"/>
      <c r="B791" s="70">
        <f t="shared" si="53"/>
        <v>44583</v>
      </c>
      <c r="C791" s="82" t="str">
        <f t="shared" si="50"/>
        <v>samedi</v>
      </c>
      <c r="D791" s="87"/>
      <c r="E791" s="115" t="str">
        <f t="shared" si="51"/>
        <v/>
      </c>
      <c r="F791" s="115" t="str">
        <f t="shared" si="52"/>
        <v/>
      </c>
      <c r="G791" s="116" t="str">
        <f>IF(ISNONTEXT(D791),"",E791-MAX($F$2:F790))</f>
        <v/>
      </c>
      <c r="H791" s="97"/>
      <c r="I791" s="74" t="str">
        <f ca="1">IF(D791="N",COUNTIF(INDIRECT(ADDRESS(MATCH(Plages!$D$19,'Planning annuel mixing coater'!$B:$B),4)):D791,"N"),IF(D791="N1",COUNTIF($D$9:D791,"N1"),""))</f>
        <v/>
      </c>
      <c r="J791" s="96" t="str">
        <f>IF(D791="","",COUNTA(D786:D791)-(COUNTA(D791:D791)-1))</f>
        <v/>
      </c>
    </row>
    <row r="792" spans="1:10" thickBot="1">
      <c r="A792" s="117"/>
      <c r="B792" s="70">
        <f t="shared" si="53"/>
        <v>44584</v>
      </c>
      <c r="C792" s="82" t="str">
        <f t="shared" si="50"/>
        <v>dimanche</v>
      </c>
      <c r="D792" s="87"/>
      <c r="E792" s="115" t="str">
        <f t="shared" si="51"/>
        <v/>
      </c>
      <c r="F792" s="115" t="str">
        <f t="shared" si="52"/>
        <v/>
      </c>
      <c r="G792" s="116" t="str">
        <f>IF(ISNONTEXT(D792),"",E792-MAX($F$2:F791))</f>
        <v/>
      </c>
      <c r="H792" s="98"/>
      <c r="I792" s="74" t="str">
        <f ca="1">IF(D792="N",COUNTIF(INDIRECT(ADDRESS(MATCH(Plages!$D$19,'Planning annuel mixing coater'!$B:$B),4)):D792,"N"),IF(D792="N1",COUNTIF($D$9:D792,"N1"),""))</f>
        <v/>
      </c>
      <c r="J792" s="96" t="str">
        <f>IF(D792="","",COUNTA(D786:D792)-(COUNTA(D792:D792)-1))</f>
        <v/>
      </c>
    </row>
    <row r="793" spans="1:10" thickBot="1">
      <c r="A793" s="117"/>
      <c r="B793" s="70">
        <f t="shared" si="53"/>
        <v>44585</v>
      </c>
      <c r="C793" s="82" t="str">
        <f t="shared" si="50"/>
        <v>lundi</v>
      </c>
      <c r="D793" s="87"/>
      <c r="E793" s="115" t="str">
        <f t="shared" si="51"/>
        <v/>
      </c>
      <c r="F793" s="115" t="str">
        <f t="shared" si="52"/>
        <v/>
      </c>
      <c r="G793" s="116" t="str">
        <f>IF(ISNONTEXT(D793),"",E793-MAX($F$2:F792))</f>
        <v/>
      </c>
      <c r="H793" s="97"/>
      <c r="I793" s="74" t="str">
        <f ca="1">IF(D793="N",COUNTIF(INDIRECT(ADDRESS(MATCH(Plages!$D$19,'Planning annuel mixing coater'!$B:$B),4)):D793,"N"),IF(D793="N1",COUNTIF($D$9:D793,"N1"),""))</f>
        <v/>
      </c>
      <c r="J793" s="96" t="str">
        <f>IF(D793="","",COUNTA(D786:D793)-(COUNTA(D793:D793)-1))</f>
        <v/>
      </c>
    </row>
    <row r="794" spans="1:10" thickBot="1">
      <c r="A794" s="117"/>
      <c r="B794" s="70">
        <f t="shared" si="53"/>
        <v>44586</v>
      </c>
      <c r="C794" s="82" t="str">
        <f t="shared" si="50"/>
        <v>mardi</v>
      </c>
      <c r="D794" s="87"/>
      <c r="E794" s="115" t="str">
        <f t="shared" si="51"/>
        <v/>
      </c>
      <c r="F794" s="115" t="str">
        <f t="shared" si="52"/>
        <v/>
      </c>
      <c r="G794" s="116" t="str">
        <f>IF(ISNONTEXT(D794),"",E794-MAX($F$2:F793))</f>
        <v/>
      </c>
      <c r="H794" s="97"/>
      <c r="I794" s="74" t="str">
        <f ca="1">IF(D794="N",COUNTIF(INDIRECT(ADDRESS(MATCH(Plages!$D$19,'Planning annuel mixing coater'!$B:$B),4)):D794,"N"),IF(D794="N1",COUNTIF($D$9:D794,"N1"),""))</f>
        <v/>
      </c>
      <c r="J794" s="96" t="str">
        <f>IF(D794="","",COUNTA(D786:D794)-(COUNTA(D794:D794)-1))</f>
        <v/>
      </c>
    </row>
    <row r="795" spans="1:10" thickBot="1">
      <c r="A795" s="117"/>
      <c r="B795" s="70">
        <f t="shared" si="53"/>
        <v>44587</v>
      </c>
      <c r="C795" s="82" t="str">
        <f t="shared" si="50"/>
        <v>mercredi</v>
      </c>
      <c r="D795" s="87"/>
      <c r="E795" s="115" t="str">
        <f t="shared" si="51"/>
        <v/>
      </c>
      <c r="F795" s="115" t="str">
        <f t="shared" si="52"/>
        <v/>
      </c>
      <c r="G795" s="116" t="str">
        <f>IF(ISNONTEXT(D795),"",E795-MAX($F$2:F794))</f>
        <v/>
      </c>
      <c r="H795" s="97"/>
      <c r="I795" s="74" t="str">
        <f ca="1">IF(D795="N",COUNTIF(INDIRECT(ADDRESS(MATCH(Plages!$D$19,'Planning annuel mixing coater'!$B:$B),4)):D795,"N"),IF(D795="N1",COUNTIF($D$9:D795,"N1"),""))</f>
        <v/>
      </c>
      <c r="J795" s="96" t="str">
        <f>IF(D795="","",COUNTA(D786:D795)-(COUNTA(D795:D795)-1))</f>
        <v/>
      </c>
    </row>
    <row r="796" spans="1:10" thickBot="1">
      <c r="A796" s="117"/>
      <c r="B796" s="70">
        <f t="shared" si="53"/>
        <v>44588</v>
      </c>
      <c r="C796" s="82" t="str">
        <f t="shared" si="50"/>
        <v>jeudi</v>
      </c>
      <c r="D796" s="87"/>
      <c r="E796" s="115" t="str">
        <f t="shared" si="51"/>
        <v/>
      </c>
      <c r="F796" s="115" t="str">
        <f t="shared" si="52"/>
        <v/>
      </c>
      <c r="G796" s="116" t="str">
        <f>IF(ISNONTEXT(D796),"",E796-MAX($F$2:F795))</f>
        <v/>
      </c>
      <c r="H796" s="97"/>
      <c r="I796" s="74" t="str">
        <f ca="1">IF(D796="N",COUNTIF(INDIRECT(ADDRESS(MATCH(Plages!$D$19,'Planning annuel mixing coater'!$B:$B),4)):D796,"N"),IF(D796="N1",COUNTIF($D$9:D796,"N1"),""))</f>
        <v/>
      </c>
      <c r="J796" s="96" t="str">
        <f>IF(D796="","",COUNTA(D786:D796)-(COUNTA(D796:D796)-1))</f>
        <v/>
      </c>
    </row>
    <row r="797" spans="1:10" thickBot="1">
      <c r="A797" s="117"/>
      <c r="B797" s="70">
        <f t="shared" si="53"/>
        <v>44589</v>
      </c>
      <c r="C797" s="82" t="str">
        <f t="shared" si="50"/>
        <v>vendredi</v>
      </c>
      <c r="D797" s="87"/>
      <c r="E797" s="115" t="str">
        <f t="shared" si="51"/>
        <v/>
      </c>
      <c r="F797" s="115" t="str">
        <f t="shared" si="52"/>
        <v/>
      </c>
      <c r="G797" s="116" t="str">
        <f>IF(ISNONTEXT(D797),"",E797-MAX($F$2:F796))</f>
        <v/>
      </c>
      <c r="H797" s="97"/>
      <c r="I797" s="74" t="str">
        <f ca="1">IF(D797="N",COUNTIF(INDIRECT(ADDRESS(MATCH(Plages!$D$19,'Planning annuel mixing coater'!$B:$B),4)):D797,"N"),IF(D797="N1",COUNTIF($D$9:D797,"N1"),""))</f>
        <v/>
      </c>
      <c r="J797" s="96" t="str">
        <f>IF(D797="","",COUNTA(D786:D797)-(COUNTA(D797:D797)-1))</f>
        <v/>
      </c>
    </row>
    <row r="798" spans="1:10" thickBot="1">
      <c r="A798" s="117"/>
      <c r="B798" s="70">
        <f t="shared" si="53"/>
        <v>44590</v>
      </c>
      <c r="C798" s="82" t="str">
        <f t="shared" ref="C798:C861" si="54">IF(B798="","",TEXT(B798,"jjjj"))</f>
        <v>samedi</v>
      </c>
      <c r="D798" s="87"/>
      <c r="E798" s="115" t="str">
        <f t="shared" ref="E798:E861" si="55">IF(D798="","",B798+VLOOKUP(D798,Plageh,2,0))</f>
        <v/>
      </c>
      <c r="F798" s="115" t="str">
        <f t="shared" ref="F798:F861" si="56">IF(D798="","",B798+VLOOKUP(D798,Plageh,3,0))</f>
        <v/>
      </c>
      <c r="G798" s="116" t="str">
        <f>IF(ISNONTEXT(D798),"",E798-MAX($F$2:F797))</f>
        <v/>
      </c>
      <c r="H798" s="97"/>
      <c r="I798" s="74" t="str">
        <f ca="1">IF(D798="N",COUNTIF(INDIRECT(ADDRESS(MATCH(Plages!$D$19,'Planning annuel mixing coater'!$B:$B),4)):D798,"N"),IF(D798="N1",COUNTIF($D$9:D798,"N1"),""))</f>
        <v/>
      </c>
      <c r="J798" s="96" t="str">
        <f>IF(D798="","",COUNTA(D786:D798)-(COUNTA(D798:D798)-1))</f>
        <v/>
      </c>
    </row>
    <row r="799" spans="1:10" s="77" customFormat="1" thickBot="1">
      <c r="A799" s="117"/>
      <c r="B799" s="75">
        <f t="shared" si="53"/>
        <v>44591</v>
      </c>
      <c r="C799" s="83" t="str">
        <f t="shared" si="54"/>
        <v>dimanche</v>
      </c>
      <c r="D799" s="88"/>
      <c r="E799" s="115" t="str">
        <f t="shared" si="55"/>
        <v/>
      </c>
      <c r="F799" s="115" t="str">
        <f t="shared" si="56"/>
        <v/>
      </c>
      <c r="G799" s="116" t="str">
        <f>IF(ISNONTEXT(D799),"",E799-MAX($F$2:F798))</f>
        <v/>
      </c>
      <c r="H799" s="98"/>
      <c r="I799" s="76" t="str">
        <f ca="1">IF(D799="N",COUNTIF(INDIRECT(ADDRESS(MATCH(Plages!$D$19,'Planning annuel mixing coater'!$B:$B),4)):D799,"N"),IF(D799="N1",COUNTIF($D$9:D799,"N1"),""))</f>
        <v/>
      </c>
      <c r="J799" s="99" t="str">
        <f>IF(D799="","",COUNTA(D786:D799)-(COUNTA(D799:D799)-1))</f>
        <v/>
      </c>
    </row>
    <row r="800" spans="1:10" ht="16.5" thickTop="1" thickBot="1">
      <c r="A800" s="117"/>
      <c r="B800" s="78">
        <f t="shared" si="53"/>
        <v>44592</v>
      </c>
      <c r="C800" s="81" t="str">
        <f t="shared" si="54"/>
        <v>lundi</v>
      </c>
      <c r="D800" s="89"/>
      <c r="E800" s="115" t="str">
        <f t="shared" si="55"/>
        <v/>
      </c>
      <c r="F800" s="115" t="str">
        <f t="shared" si="56"/>
        <v/>
      </c>
      <c r="G800" s="116" t="str">
        <f>IF(ISNONTEXT(D800),"",E800-MAX($F$2:F799))</f>
        <v/>
      </c>
      <c r="H800" s="100"/>
      <c r="I800" s="79" t="str">
        <f ca="1">IF(D800="N",COUNTIF(INDIRECT(ADDRESS(MATCH(Plages!$D$19,'Planning annuel mixing coater'!$B:$B),4)):D800,"N"),IF(D800="N1",COUNTIF($D$9:D800,"N1"),""))</f>
        <v/>
      </c>
      <c r="J800" s="101" t="str">
        <f>IF(D800="","",COUNTA(D800:D800)-(COUNTA(D800:D800)-1))</f>
        <v/>
      </c>
    </row>
    <row r="801" spans="1:10" thickBot="1">
      <c r="A801" s="117"/>
      <c r="B801" s="70">
        <f t="shared" si="53"/>
        <v>44593</v>
      </c>
      <c r="C801" s="82" t="str">
        <f t="shared" si="54"/>
        <v>mardi</v>
      </c>
      <c r="D801" s="87"/>
      <c r="E801" s="115" t="str">
        <f t="shared" si="55"/>
        <v/>
      </c>
      <c r="F801" s="115" t="str">
        <f t="shared" si="56"/>
        <v/>
      </c>
      <c r="G801" s="116" t="str">
        <f>IF(ISNONTEXT(D801),"",E801-MAX($F$2:F800))</f>
        <v/>
      </c>
      <c r="H801" s="97"/>
      <c r="I801" s="74" t="str">
        <f ca="1">IF(D801="N",COUNTIF(INDIRECT(ADDRESS(MATCH(Plages!$D$19,'Planning annuel mixing coater'!$B:$B),4)):D801,"N"),IF(D801="N1",COUNTIF($D$9:D801,"N1"),""))</f>
        <v/>
      </c>
      <c r="J801" s="96" t="str">
        <f>IF(D801="","",COUNTA(D800:D801)-(COUNTA(D801:D801)-1))</f>
        <v/>
      </c>
    </row>
    <row r="802" spans="1:10" thickBot="1">
      <c r="A802" s="117"/>
      <c r="B802" s="70">
        <f t="shared" si="53"/>
        <v>44594</v>
      </c>
      <c r="C802" s="82" t="str">
        <f t="shared" si="54"/>
        <v>mercredi</v>
      </c>
      <c r="D802" s="87"/>
      <c r="E802" s="115" t="str">
        <f t="shared" si="55"/>
        <v/>
      </c>
      <c r="F802" s="115" t="str">
        <f t="shared" si="56"/>
        <v/>
      </c>
      <c r="G802" s="116" t="str">
        <f>IF(ISNONTEXT(D802),"",E802-MAX($F$2:F801))</f>
        <v/>
      </c>
      <c r="H802" s="97"/>
      <c r="I802" s="74" t="str">
        <f ca="1">IF(D802="N",COUNTIF(INDIRECT(ADDRESS(MATCH(Plages!$D$19,'Planning annuel mixing coater'!$B:$B),4)):D802,"N"),IF(D802="N1",COUNTIF($D$9:D802,"N1"),""))</f>
        <v/>
      </c>
      <c r="J802" s="96" t="str">
        <f>IF(D802="","",COUNTA(D800:D802)-(COUNTA(D802:D802)-1))</f>
        <v/>
      </c>
    </row>
    <row r="803" spans="1:10" thickBot="1">
      <c r="A803" s="117"/>
      <c r="B803" s="70">
        <f t="shared" si="53"/>
        <v>44595</v>
      </c>
      <c r="C803" s="82" t="str">
        <f t="shared" si="54"/>
        <v>jeudi</v>
      </c>
      <c r="D803" s="87"/>
      <c r="E803" s="115" t="str">
        <f t="shared" si="55"/>
        <v/>
      </c>
      <c r="F803" s="115" t="str">
        <f t="shared" si="56"/>
        <v/>
      </c>
      <c r="G803" s="116" t="str">
        <f>IF(ISNONTEXT(D803),"",E803-MAX($F$2:F802))</f>
        <v/>
      </c>
      <c r="H803" s="97"/>
      <c r="I803" s="74" t="str">
        <f ca="1">IF(D803="N",COUNTIF(INDIRECT(ADDRESS(MATCH(Plages!$D$19,'Planning annuel mixing coater'!$B:$B),4)):D803,"N"),IF(D803="N1",COUNTIF($D$9:D803,"N1"),""))</f>
        <v/>
      </c>
      <c r="J803" s="96" t="str">
        <f>IF(D803="","",COUNTA(D800:D803)-(COUNTA(D803:D803)-1))</f>
        <v/>
      </c>
    </row>
    <row r="804" spans="1:10" thickBot="1">
      <c r="A804" s="117"/>
      <c r="B804" s="70">
        <f t="shared" si="53"/>
        <v>44596</v>
      </c>
      <c r="C804" s="82" t="str">
        <f t="shared" si="54"/>
        <v>vendredi</v>
      </c>
      <c r="D804" s="87"/>
      <c r="E804" s="115" t="str">
        <f t="shared" si="55"/>
        <v/>
      </c>
      <c r="F804" s="115" t="str">
        <f t="shared" si="56"/>
        <v/>
      </c>
      <c r="G804" s="116" t="str">
        <f>IF(ISNONTEXT(D804),"",E804-MAX($F$2:F803))</f>
        <v/>
      </c>
      <c r="H804" s="97"/>
      <c r="I804" s="74" t="str">
        <f ca="1">IF(D804="N",COUNTIF(INDIRECT(ADDRESS(MATCH(Plages!$D$19,'Planning annuel mixing coater'!$B:$B),4)):D804,"N"),IF(D804="N1",COUNTIF($D$9:D804,"N1"),""))</f>
        <v/>
      </c>
      <c r="J804" s="96" t="str">
        <f>IF(D804="","",COUNTA(D800:D804)-(COUNTA(D804:D804)-1))</f>
        <v/>
      </c>
    </row>
    <row r="805" spans="1:10" thickBot="1">
      <c r="A805" s="117"/>
      <c r="B805" s="70">
        <f t="shared" si="53"/>
        <v>44597</v>
      </c>
      <c r="C805" s="82" t="str">
        <f t="shared" si="54"/>
        <v>samedi</v>
      </c>
      <c r="D805" s="87"/>
      <c r="E805" s="115" t="str">
        <f t="shared" si="55"/>
        <v/>
      </c>
      <c r="F805" s="115" t="str">
        <f t="shared" si="56"/>
        <v/>
      </c>
      <c r="G805" s="116" t="str">
        <f>IF(ISNONTEXT(D805),"",E805-MAX($F$2:F804))</f>
        <v/>
      </c>
      <c r="H805" s="97"/>
      <c r="I805" s="74" t="str">
        <f ca="1">IF(D805="N",COUNTIF(INDIRECT(ADDRESS(MATCH(Plages!$D$19,'Planning annuel mixing coater'!$B:$B),4)):D805,"N"),IF(D805="N1",COUNTIF($D$9:D805,"N1"),""))</f>
        <v/>
      </c>
      <c r="J805" s="96" t="str">
        <f>IF(D805="","",COUNTA(D800:D805)-(COUNTA(D805:D805)-1))</f>
        <v/>
      </c>
    </row>
    <row r="806" spans="1:10" thickBot="1">
      <c r="A806" s="117"/>
      <c r="B806" s="70">
        <f t="shared" si="53"/>
        <v>44598</v>
      </c>
      <c r="C806" s="82" t="str">
        <f t="shared" si="54"/>
        <v>dimanche</v>
      </c>
      <c r="D806" s="87"/>
      <c r="E806" s="115" t="str">
        <f t="shared" si="55"/>
        <v/>
      </c>
      <c r="F806" s="115" t="str">
        <f t="shared" si="56"/>
        <v/>
      </c>
      <c r="G806" s="116" t="str">
        <f>IF(ISNONTEXT(D806),"",E806-MAX($F$2:F805))</f>
        <v/>
      </c>
      <c r="H806" s="98"/>
      <c r="I806" s="74" t="str">
        <f ca="1">IF(D806="N",COUNTIF(INDIRECT(ADDRESS(MATCH(Plages!$D$19,'Planning annuel mixing coater'!$B:$B),4)):D806,"N"),IF(D806="N1",COUNTIF($D$9:D806,"N1"),""))</f>
        <v/>
      </c>
      <c r="J806" s="96" t="str">
        <f>IF(D806="","",COUNTA(D800:D806)-(COUNTA(D806:D806)-1))</f>
        <v/>
      </c>
    </row>
    <row r="807" spans="1:10" thickBot="1">
      <c r="A807" s="117"/>
      <c r="B807" s="70">
        <f t="shared" si="53"/>
        <v>44599</v>
      </c>
      <c r="C807" s="82" t="str">
        <f t="shared" si="54"/>
        <v>lundi</v>
      </c>
      <c r="D807" s="87"/>
      <c r="E807" s="115" t="str">
        <f t="shared" si="55"/>
        <v/>
      </c>
      <c r="F807" s="115" t="str">
        <f t="shared" si="56"/>
        <v/>
      </c>
      <c r="G807" s="116" t="str">
        <f>IF(ISNONTEXT(D807),"",E807-MAX($F$2:F806))</f>
        <v/>
      </c>
      <c r="H807" s="97"/>
      <c r="I807" s="74" t="str">
        <f ca="1">IF(D807="N",COUNTIF(INDIRECT(ADDRESS(MATCH(Plages!$D$19,'Planning annuel mixing coater'!$B:$B),4)):D807,"N"),IF(D807="N1",COUNTIF($D$9:D807,"N1"),""))</f>
        <v/>
      </c>
      <c r="J807" s="96" t="str">
        <f>IF(D807="","",COUNTA(D800:D807)-(COUNTA(D807:D807)-1))</f>
        <v/>
      </c>
    </row>
    <row r="808" spans="1:10" thickBot="1">
      <c r="A808" s="117"/>
      <c r="B808" s="70">
        <f t="shared" si="53"/>
        <v>44600</v>
      </c>
      <c r="C808" s="82" t="str">
        <f t="shared" si="54"/>
        <v>mardi</v>
      </c>
      <c r="D808" s="87"/>
      <c r="E808" s="115" t="str">
        <f t="shared" si="55"/>
        <v/>
      </c>
      <c r="F808" s="115" t="str">
        <f t="shared" si="56"/>
        <v/>
      </c>
      <c r="G808" s="116" t="str">
        <f>IF(ISNONTEXT(D808),"",E808-MAX($F$2:F807))</f>
        <v/>
      </c>
      <c r="H808" s="97"/>
      <c r="I808" s="74" t="str">
        <f ca="1">IF(D808="N",COUNTIF(INDIRECT(ADDRESS(MATCH(Plages!$D$19,'Planning annuel mixing coater'!$B:$B),4)):D808,"N"),IF(D808="N1",COUNTIF($D$9:D808,"N1"),""))</f>
        <v/>
      </c>
      <c r="J808" s="96" t="str">
        <f>IF(D808="","",COUNTA(D800:D808)-(COUNTA(D808:D808)-1))</f>
        <v/>
      </c>
    </row>
    <row r="809" spans="1:10" thickBot="1">
      <c r="A809" s="117"/>
      <c r="B809" s="70">
        <f t="shared" si="53"/>
        <v>44601</v>
      </c>
      <c r="C809" s="82" t="str">
        <f t="shared" si="54"/>
        <v>mercredi</v>
      </c>
      <c r="D809" s="87"/>
      <c r="E809" s="115" t="str">
        <f t="shared" si="55"/>
        <v/>
      </c>
      <c r="F809" s="115" t="str">
        <f t="shared" si="56"/>
        <v/>
      </c>
      <c r="G809" s="116" t="str">
        <f>IF(ISNONTEXT(D809),"",E809-MAX($F$2:F808))</f>
        <v/>
      </c>
      <c r="H809" s="97"/>
      <c r="I809" s="74" t="str">
        <f ca="1">IF(D809="N",COUNTIF(INDIRECT(ADDRESS(MATCH(Plages!$D$19,'Planning annuel mixing coater'!$B:$B),4)):D809,"N"),IF(D809="N1",COUNTIF($D$9:D809,"N1"),""))</f>
        <v/>
      </c>
      <c r="J809" s="96" t="str">
        <f>IF(D809="","",COUNTA(D800:D809)-(COUNTA(D809:D809)-1))</f>
        <v/>
      </c>
    </row>
    <row r="810" spans="1:10" thickBot="1">
      <c r="A810" s="117"/>
      <c r="B810" s="70">
        <f t="shared" si="53"/>
        <v>44602</v>
      </c>
      <c r="C810" s="82" t="str">
        <f t="shared" si="54"/>
        <v>jeudi</v>
      </c>
      <c r="D810" s="87"/>
      <c r="E810" s="115" t="str">
        <f t="shared" si="55"/>
        <v/>
      </c>
      <c r="F810" s="115" t="str">
        <f t="shared" si="56"/>
        <v/>
      </c>
      <c r="G810" s="116" t="str">
        <f>IF(ISNONTEXT(D810),"",E810-MAX($F$2:F809))</f>
        <v/>
      </c>
      <c r="H810" s="97"/>
      <c r="I810" s="74" t="str">
        <f ca="1">IF(D810="N",COUNTIF(INDIRECT(ADDRESS(MATCH(Plages!$D$19,'Planning annuel mixing coater'!$B:$B),4)):D810,"N"),IF(D810="N1",COUNTIF($D$9:D810,"N1"),""))</f>
        <v/>
      </c>
      <c r="J810" s="96" t="str">
        <f>IF(D810="","",COUNTA(D800:D810)-(COUNTA(D810:D810)-1))</f>
        <v/>
      </c>
    </row>
    <row r="811" spans="1:10" thickBot="1">
      <c r="A811" s="117"/>
      <c r="B811" s="70">
        <f t="shared" si="53"/>
        <v>44603</v>
      </c>
      <c r="C811" s="82" t="str">
        <f t="shared" si="54"/>
        <v>vendredi</v>
      </c>
      <c r="D811" s="87"/>
      <c r="E811" s="115" t="str">
        <f t="shared" si="55"/>
        <v/>
      </c>
      <c r="F811" s="115" t="str">
        <f t="shared" si="56"/>
        <v/>
      </c>
      <c r="G811" s="116" t="str">
        <f>IF(ISNONTEXT(D811),"",E811-MAX($F$2:F810))</f>
        <v/>
      </c>
      <c r="H811" s="97"/>
      <c r="I811" s="74" t="str">
        <f ca="1">IF(D811="N",COUNTIF(INDIRECT(ADDRESS(MATCH(Plages!$D$19,'Planning annuel mixing coater'!$B:$B),4)):D811,"N"),IF(D811="N1",COUNTIF($D$9:D811,"N1"),""))</f>
        <v/>
      </c>
      <c r="J811" s="96" t="str">
        <f>IF(D811="","",COUNTA(D800:D811)-(COUNTA(D811:D811)-1))</f>
        <v/>
      </c>
    </row>
    <row r="812" spans="1:10" thickBot="1">
      <c r="A812" s="117"/>
      <c r="B812" s="70">
        <f t="shared" si="53"/>
        <v>44604</v>
      </c>
      <c r="C812" s="82" t="str">
        <f t="shared" si="54"/>
        <v>samedi</v>
      </c>
      <c r="D812" s="87"/>
      <c r="E812" s="115" t="str">
        <f t="shared" si="55"/>
        <v/>
      </c>
      <c r="F812" s="115" t="str">
        <f t="shared" si="56"/>
        <v/>
      </c>
      <c r="G812" s="116" t="str">
        <f>IF(ISNONTEXT(D812),"",E812-MAX($F$2:F811))</f>
        <v/>
      </c>
      <c r="H812" s="97"/>
      <c r="I812" s="74" t="str">
        <f ca="1">IF(D812="N",COUNTIF(INDIRECT(ADDRESS(MATCH(Plages!$D$19,'Planning annuel mixing coater'!$B:$B),4)):D812,"N"),IF(D812="N1",COUNTIF($D$9:D812,"N1"),""))</f>
        <v/>
      </c>
      <c r="J812" s="96" t="str">
        <f>IF(D812="","",COUNTA(D800:D812)-(COUNTA(D812:D812)-1))</f>
        <v/>
      </c>
    </row>
    <row r="813" spans="1:10" s="77" customFormat="1" thickBot="1">
      <c r="A813" s="117"/>
      <c r="B813" s="75">
        <f t="shared" si="53"/>
        <v>44605</v>
      </c>
      <c r="C813" s="83" t="str">
        <f t="shared" si="54"/>
        <v>dimanche</v>
      </c>
      <c r="D813" s="88"/>
      <c r="E813" s="115" t="str">
        <f t="shared" si="55"/>
        <v/>
      </c>
      <c r="F813" s="115" t="str">
        <f t="shared" si="56"/>
        <v/>
      </c>
      <c r="G813" s="116" t="str">
        <f>IF(ISNONTEXT(D813),"",E813-MAX($F$2:F812))</f>
        <v/>
      </c>
      <c r="H813" s="98"/>
      <c r="I813" s="76" t="str">
        <f ca="1">IF(D813="N",COUNTIF(INDIRECT(ADDRESS(MATCH(Plages!$D$19,'Planning annuel mixing coater'!$B:$B),4)):D813,"N"),IF(D813="N1",COUNTIF($D$9:D813,"N1"),""))</f>
        <v/>
      </c>
      <c r="J813" s="99" t="str">
        <f>IF(D813="","",COUNTA(D800:D813)-(COUNTA(D813:D813)-1))</f>
        <v/>
      </c>
    </row>
    <row r="814" spans="1:10" ht="16.5" thickTop="1" thickBot="1">
      <c r="A814" s="117"/>
      <c r="B814" s="78">
        <f t="shared" si="53"/>
        <v>44606</v>
      </c>
      <c r="C814" s="81" t="str">
        <f t="shared" si="54"/>
        <v>lundi</v>
      </c>
      <c r="D814" s="89"/>
      <c r="E814" s="115" t="str">
        <f t="shared" si="55"/>
        <v/>
      </c>
      <c r="F814" s="115" t="str">
        <f t="shared" si="56"/>
        <v/>
      </c>
      <c r="G814" s="116" t="str">
        <f>IF(ISNONTEXT(D814),"",E814-MAX($F$2:F813))</f>
        <v/>
      </c>
      <c r="H814" s="100"/>
      <c r="I814" s="79" t="str">
        <f ca="1">IF(D814="N",COUNTIF(INDIRECT(ADDRESS(MATCH(Plages!$D$19,'Planning annuel mixing coater'!$B:$B),4)):D814,"N"),IF(D814="N1",COUNTIF($D$9:D814,"N1"),""))</f>
        <v/>
      </c>
      <c r="J814" s="101" t="str">
        <f>IF(D814="","",COUNTA(D814:D814)-(COUNTA(D814:D814)-1))</f>
        <v/>
      </c>
    </row>
    <row r="815" spans="1:10" thickBot="1">
      <c r="A815" s="117"/>
      <c r="B815" s="70">
        <f t="shared" si="53"/>
        <v>44607</v>
      </c>
      <c r="C815" s="82" t="str">
        <f t="shared" si="54"/>
        <v>mardi</v>
      </c>
      <c r="D815" s="87"/>
      <c r="E815" s="115" t="str">
        <f t="shared" si="55"/>
        <v/>
      </c>
      <c r="F815" s="115" t="str">
        <f t="shared" si="56"/>
        <v/>
      </c>
      <c r="G815" s="116" t="str">
        <f>IF(ISNONTEXT(D815),"",E815-MAX($F$2:F814))</f>
        <v/>
      </c>
      <c r="H815" s="97"/>
      <c r="I815" s="74" t="str">
        <f ca="1">IF(D815="N",COUNTIF(INDIRECT(ADDRESS(MATCH(Plages!$D$19,'Planning annuel mixing coater'!$B:$B),4)):D815,"N"),IF(D815="N1",COUNTIF($D$9:D815,"N1"),""))</f>
        <v/>
      </c>
      <c r="J815" s="96" t="str">
        <f>IF(D815="","",COUNTA(D814:D815)-(COUNTA(D815:D815)-1))</f>
        <v/>
      </c>
    </row>
    <row r="816" spans="1:10" thickBot="1">
      <c r="A816" s="117"/>
      <c r="B816" s="70">
        <f t="shared" si="53"/>
        <v>44608</v>
      </c>
      <c r="C816" s="82" t="str">
        <f t="shared" si="54"/>
        <v>mercredi</v>
      </c>
      <c r="D816" s="87"/>
      <c r="E816" s="115" t="str">
        <f t="shared" si="55"/>
        <v/>
      </c>
      <c r="F816" s="115" t="str">
        <f t="shared" si="56"/>
        <v/>
      </c>
      <c r="G816" s="116" t="str">
        <f>IF(ISNONTEXT(D816),"",E816-MAX($F$2:F815))</f>
        <v/>
      </c>
      <c r="H816" s="97"/>
      <c r="I816" s="74" t="str">
        <f ca="1">IF(D816="N",COUNTIF(INDIRECT(ADDRESS(MATCH(Plages!$D$19,'Planning annuel mixing coater'!$B:$B),4)):D816,"N"),IF(D816="N1",COUNTIF($D$9:D816,"N1"),""))</f>
        <v/>
      </c>
      <c r="J816" s="96" t="str">
        <f>IF(D816="","",COUNTA(D814:D816)-(COUNTA(D816:D816)-1))</f>
        <v/>
      </c>
    </row>
    <row r="817" spans="1:10" thickBot="1">
      <c r="A817" s="117"/>
      <c r="B817" s="70">
        <f t="shared" si="53"/>
        <v>44609</v>
      </c>
      <c r="C817" s="82" t="str">
        <f t="shared" si="54"/>
        <v>jeudi</v>
      </c>
      <c r="D817" s="87"/>
      <c r="E817" s="115" t="str">
        <f t="shared" si="55"/>
        <v/>
      </c>
      <c r="F817" s="115" t="str">
        <f t="shared" si="56"/>
        <v/>
      </c>
      <c r="G817" s="116" t="str">
        <f>IF(ISNONTEXT(D817),"",E817-MAX($F$2:F816))</f>
        <v/>
      </c>
      <c r="H817" s="97"/>
      <c r="I817" s="74" t="str">
        <f ca="1">IF(D817="N",COUNTIF(INDIRECT(ADDRESS(MATCH(Plages!$D$19,'Planning annuel mixing coater'!$B:$B),4)):D817,"N"),IF(D817="N1",COUNTIF($D$9:D817,"N1"),""))</f>
        <v/>
      </c>
      <c r="J817" s="96" t="str">
        <f>IF(D817="","",COUNTA(D814:D817)-(COUNTA(D817:D817)-1))</f>
        <v/>
      </c>
    </row>
    <row r="818" spans="1:10" thickBot="1">
      <c r="A818" s="117"/>
      <c r="B818" s="70">
        <f t="shared" si="53"/>
        <v>44610</v>
      </c>
      <c r="C818" s="82" t="str">
        <f t="shared" si="54"/>
        <v>vendredi</v>
      </c>
      <c r="D818" s="87"/>
      <c r="E818" s="115" t="str">
        <f t="shared" si="55"/>
        <v/>
      </c>
      <c r="F818" s="115" t="str">
        <f t="shared" si="56"/>
        <v/>
      </c>
      <c r="G818" s="116" t="str">
        <f>IF(ISNONTEXT(D818),"",E818-MAX($F$2:F817))</f>
        <v/>
      </c>
      <c r="H818" s="97"/>
      <c r="I818" s="74" t="str">
        <f ca="1">IF(D818="N",COUNTIF(INDIRECT(ADDRESS(MATCH(Plages!$D$19,'Planning annuel mixing coater'!$B:$B),4)):D818,"N"),IF(D818="N1",COUNTIF($D$9:D818,"N1"),""))</f>
        <v/>
      </c>
      <c r="J818" s="96" t="str">
        <f>IF(D818="","",COUNTA(D814:D818)-(COUNTA(D818:D818)-1))</f>
        <v/>
      </c>
    </row>
    <row r="819" spans="1:10" thickBot="1">
      <c r="A819" s="117"/>
      <c r="B819" s="70">
        <f t="shared" si="53"/>
        <v>44611</v>
      </c>
      <c r="C819" s="82" t="str">
        <f t="shared" si="54"/>
        <v>samedi</v>
      </c>
      <c r="D819" s="87"/>
      <c r="E819" s="115" t="str">
        <f t="shared" si="55"/>
        <v/>
      </c>
      <c r="F819" s="115" t="str">
        <f t="shared" si="56"/>
        <v/>
      </c>
      <c r="G819" s="116" t="str">
        <f>IF(ISNONTEXT(D819),"",E819-MAX($F$2:F818))</f>
        <v/>
      </c>
      <c r="H819" s="97"/>
      <c r="I819" s="74" t="str">
        <f ca="1">IF(D819="N",COUNTIF(INDIRECT(ADDRESS(MATCH(Plages!$D$19,'Planning annuel mixing coater'!$B:$B),4)):D819,"N"),IF(D819="N1",COUNTIF($D$9:D819,"N1"),""))</f>
        <v/>
      </c>
      <c r="J819" s="96" t="str">
        <f>IF(D819="","",COUNTA(D814:D819)-(COUNTA(D819:D819)-1))</f>
        <v/>
      </c>
    </row>
    <row r="820" spans="1:10" thickBot="1">
      <c r="A820" s="117"/>
      <c r="B820" s="70">
        <f t="shared" si="53"/>
        <v>44612</v>
      </c>
      <c r="C820" s="82" t="str">
        <f t="shared" si="54"/>
        <v>dimanche</v>
      </c>
      <c r="D820" s="87"/>
      <c r="E820" s="115" t="str">
        <f t="shared" si="55"/>
        <v/>
      </c>
      <c r="F820" s="115" t="str">
        <f t="shared" si="56"/>
        <v/>
      </c>
      <c r="G820" s="116" t="str">
        <f>IF(ISNONTEXT(D820),"",E820-MAX($F$2:F819))</f>
        <v/>
      </c>
      <c r="H820" s="98"/>
      <c r="I820" s="74" t="str">
        <f ca="1">IF(D820="N",COUNTIF(INDIRECT(ADDRESS(MATCH(Plages!$D$19,'Planning annuel mixing coater'!$B:$B),4)):D820,"N"),IF(D820="N1",COUNTIF($D$9:D820,"N1"),""))</f>
        <v/>
      </c>
      <c r="J820" s="96" t="str">
        <f>IF(D820="","",COUNTA(D814:D820)-(COUNTA(D820:D820)-1))</f>
        <v/>
      </c>
    </row>
    <row r="821" spans="1:10" thickBot="1">
      <c r="A821" s="117"/>
      <c r="B821" s="70">
        <f t="shared" si="53"/>
        <v>44613</v>
      </c>
      <c r="C821" s="82" t="str">
        <f t="shared" si="54"/>
        <v>lundi</v>
      </c>
      <c r="D821" s="87"/>
      <c r="E821" s="115" t="str">
        <f t="shared" si="55"/>
        <v/>
      </c>
      <c r="F821" s="115" t="str">
        <f t="shared" si="56"/>
        <v/>
      </c>
      <c r="G821" s="116" t="str">
        <f>IF(ISNONTEXT(D821),"",E821-MAX($F$2:F820))</f>
        <v/>
      </c>
      <c r="H821" s="97"/>
      <c r="I821" s="74" t="str">
        <f ca="1">IF(D821="N",COUNTIF(INDIRECT(ADDRESS(MATCH(Plages!$D$19,'Planning annuel mixing coater'!$B:$B),4)):D821,"N"),IF(D821="N1",COUNTIF($D$9:D821,"N1"),""))</f>
        <v/>
      </c>
      <c r="J821" s="96" t="str">
        <f>IF(D821="","",COUNTA(D814:D821)-(COUNTA(D821:D821)-1))</f>
        <v/>
      </c>
    </row>
    <row r="822" spans="1:10" thickBot="1">
      <c r="A822" s="117"/>
      <c r="B822" s="70">
        <f t="shared" si="53"/>
        <v>44614</v>
      </c>
      <c r="C822" s="82" t="str">
        <f t="shared" si="54"/>
        <v>mardi</v>
      </c>
      <c r="D822" s="87"/>
      <c r="E822" s="115" t="str">
        <f t="shared" si="55"/>
        <v/>
      </c>
      <c r="F822" s="115" t="str">
        <f t="shared" si="56"/>
        <v/>
      </c>
      <c r="G822" s="116" t="str">
        <f>IF(ISNONTEXT(D822),"",E822-MAX($F$2:F821))</f>
        <v/>
      </c>
      <c r="H822" s="97"/>
      <c r="I822" s="74" t="str">
        <f ca="1">IF(D822="N",COUNTIF(INDIRECT(ADDRESS(MATCH(Plages!$D$19,'Planning annuel mixing coater'!$B:$B),4)):D822,"N"),IF(D822="N1",COUNTIF($D$9:D822,"N1"),""))</f>
        <v/>
      </c>
      <c r="J822" s="96" t="str">
        <f>IF(D822="","",COUNTA(D814:D822)-(COUNTA(D822:D822)-1))</f>
        <v/>
      </c>
    </row>
    <row r="823" spans="1:10" thickBot="1">
      <c r="A823" s="117"/>
      <c r="B823" s="70">
        <f t="shared" si="53"/>
        <v>44615</v>
      </c>
      <c r="C823" s="82" t="str">
        <f t="shared" si="54"/>
        <v>mercredi</v>
      </c>
      <c r="D823" s="87"/>
      <c r="E823" s="115" t="str">
        <f t="shared" si="55"/>
        <v/>
      </c>
      <c r="F823" s="115" t="str">
        <f t="shared" si="56"/>
        <v/>
      </c>
      <c r="G823" s="116" t="str">
        <f>IF(ISNONTEXT(D823),"",E823-MAX($F$2:F822))</f>
        <v/>
      </c>
      <c r="H823" s="97"/>
      <c r="I823" s="74" t="str">
        <f ca="1">IF(D823="N",COUNTIF(INDIRECT(ADDRESS(MATCH(Plages!$D$19,'Planning annuel mixing coater'!$B:$B),4)):D823,"N"),IF(D823="N1",COUNTIF($D$9:D823,"N1"),""))</f>
        <v/>
      </c>
      <c r="J823" s="96" t="str">
        <f>IF(D823="","",COUNTA(D814:D823)-(COUNTA(D823:D823)-1))</f>
        <v/>
      </c>
    </row>
    <row r="824" spans="1:10" thickBot="1">
      <c r="A824" s="117"/>
      <c r="B824" s="70">
        <f t="shared" si="53"/>
        <v>44616</v>
      </c>
      <c r="C824" s="82" t="str">
        <f t="shared" si="54"/>
        <v>jeudi</v>
      </c>
      <c r="D824" s="87"/>
      <c r="E824" s="115" t="str">
        <f t="shared" si="55"/>
        <v/>
      </c>
      <c r="F824" s="115" t="str">
        <f t="shared" si="56"/>
        <v/>
      </c>
      <c r="G824" s="116" t="str">
        <f>IF(ISNONTEXT(D824),"",E824-MAX($F$2:F823))</f>
        <v/>
      </c>
      <c r="H824" s="97"/>
      <c r="I824" s="74" t="str">
        <f ca="1">IF(D824="N",COUNTIF(INDIRECT(ADDRESS(MATCH(Plages!$D$19,'Planning annuel mixing coater'!$B:$B),4)):D824,"N"),IF(D824="N1",COUNTIF($D$9:D824,"N1"),""))</f>
        <v/>
      </c>
      <c r="J824" s="96" t="str">
        <f>IF(D824="","",COUNTA(D814:D824)-(COUNTA(D824:D824)-1))</f>
        <v/>
      </c>
    </row>
    <row r="825" spans="1:10" thickBot="1">
      <c r="A825" s="117"/>
      <c r="B825" s="70">
        <f t="shared" si="53"/>
        <v>44617</v>
      </c>
      <c r="C825" s="82" t="str">
        <f t="shared" si="54"/>
        <v>vendredi</v>
      </c>
      <c r="D825" s="87"/>
      <c r="E825" s="115" t="str">
        <f t="shared" si="55"/>
        <v/>
      </c>
      <c r="F825" s="115" t="str">
        <f t="shared" si="56"/>
        <v/>
      </c>
      <c r="G825" s="116" t="str">
        <f>IF(ISNONTEXT(D825),"",E825-MAX($F$2:F824))</f>
        <v/>
      </c>
      <c r="H825" s="97"/>
      <c r="I825" s="74" t="str">
        <f ca="1">IF(D825="N",COUNTIF(INDIRECT(ADDRESS(MATCH(Plages!$D$19,'Planning annuel mixing coater'!$B:$B),4)):D825,"N"),IF(D825="N1",COUNTIF($D$9:D825,"N1"),""))</f>
        <v/>
      </c>
      <c r="J825" s="96" t="str">
        <f>IF(D825="","",COUNTA(D814:D825)-(COUNTA(D825:D825)-1))</f>
        <v/>
      </c>
    </row>
    <row r="826" spans="1:10" thickBot="1">
      <c r="A826" s="117"/>
      <c r="B826" s="70">
        <f t="shared" si="53"/>
        <v>44618</v>
      </c>
      <c r="C826" s="82" t="str">
        <f t="shared" si="54"/>
        <v>samedi</v>
      </c>
      <c r="D826" s="87"/>
      <c r="E826" s="115" t="str">
        <f t="shared" si="55"/>
        <v/>
      </c>
      <c r="F826" s="115" t="str">
        <f t="shared" si="56"/>
        <v/>
      </c>
      <c r="G826" s="116" t="str">
        <f>IF(ISNONTEXT(D826),"",E826-MAX($F$2:F825))</f>
        <v/>
      </c>
      <c r="H826" s="97"/>
      <c r="I826" s="74" t="str">
        <f ca="1">IF(D826="N",COUNTIF(INDIRECT(ADDRESS(MATCH(Plages!$D$19,'Planning annuel mixing coater'!$B:$B),4)):D826,"N"),IF(D826="N1",COUNTIF($D$9:D826,"N1"),""))</f>
        <v/>
      </c>
      <c r="J826" s="96" t="str">
        <f>IF(D826="","",COUNTA(D814:D826)-(COUNTA(D826:D826)-1))</f>
        <v/>
      </c>
    </row>
    <row r="827" spans="1:10" s="77" customFormat="1" thickBot="1">
      <c r="A827" s="117"/>
      <c r="B827" s="75">
        <f t="shared" si="53"/>
        <v>44619</v>
      </c>
      <c r="C827" s="83" t="str">
        <f t="shared" si="54"/>
        <v>dimanche</v>
      </c>
      <c r="D827" s="88"/>
      <c r="E827" s="115" t="str">
        <f t="shared" si="55"/>
        <v/>
      </c>
      <c r="F827" s="115" t="str">
        <f t="shared" si="56"/>
        <v/>
      </c>
      <c r="G827" s="116" t="str">
        <f>IF(ISNONTEXT(D827),"",E827-MAX($F$2:F826))</f>
        <v/>
      </c>
      <c r="H827" s="98"/>
      <c r="I827" s="76" t="str">
        <f ca="1">IF(D827="N",COUNTIF(INDIRECT(ADDRESS(MATCH(Plages!$D$19,'Planning annuel mixing coater'!$B:$B),4)):D827,"N"),IF(D827="N1",COUNTIF($D$9:D827,"N1"),""))</f>
        <v/>
      </c>
      <c r="J827" s="99" t="str">
        <f>IF(D827="","",COUNTA(D814:D827)-(COUNTA(D827:D827)-1))</f>
        <v/>
      </c>
    </row>
    <row r="828" spans="1:10" ht="16.5" thickTop="1" thickBot="1">
      <c r="A828" s="117"/>
      <c r="B828" s="78">
        <f t="shared" si="53"/>
        <v>44620</v>
      </c>
      <c r="C828" s="81" t="str">
        <f t="shared" si="54"/>
        <v>lundi</v>
      </c>
      <c r="D828" s="89"/>
      <c r="E828" s="115" t="str">
        <f t="shared" si="55"/>
        <v/>
      </c>
      <c r="F828" s="115" t="str">
        <f t="shared" si="56"/>
        <v/>
      </c>
      <c r="G828" s="116" t="str">
        <f>IF(ISNONTEXT(D828),"",E828-MAX($F$2:F827))</f>
        <v/>
      </c>
      <c r="H828" s="100"/>
      <c r="I828" s="79" t="str">
        <f ca="1">IF(D828="N",COUNTIF(INDIRECT(ADDRESS(MATCH(Plages!$D$19,'Planning annuel mixing coater'!$B:$B),4)):D828,"N"),IF(D828="N1",COUNTIF($D$9:D828,"N1"),""))</f>
        <v/>
      </c>
      <c r="J828" s="101" t="str">
        <f>IF(D828="","",COUNTA(D828:D828)-(COUNTA(D828:D828)-1))</f>
        <v/>
      </c>
    </row>
    <row r="829" spans="1:10" thickBot="1">
      <c r="A829" s="117"/>
      <c r="B829" s="70">
        <f t="shared" si="53"/>
        <v>44621</v>
      </c>
      <c r="C829" s="82" t="str">
        <f t="shared" si="54"/>
        <v>mardi</v>
      </c>
      <c r="D829" s="87"/>
      <c r="E829" s="115" t="str">
        <f t="shared" si="55"/>
        <v/>
      </c>
      <c r="F829" s="115" t="str">
        <f t="shared" si="56"/>
        <v/>
      </c>
      <c r="G829" s="116" t="str">
        <f>IF(ISNONTEXT(D829),"",E829-MAX($F$2:F828))</f>
        <v/>
      </c>
      <c r="H829" s="97"/>
      <c r="I829" s="74" t="str">
        <f ca="1">IF(D829="N",COUNTIF(INDIRECT(ADDRESS(MATCH(Plages!$D$19,'Planning annuel mixing coater'!$B:$B),4)):D829,"N"),IF(D829="N1",COUNTIF($D$9:D829,"N1"),""))</f>
        <v/>
      </c>
      <c r="J829" s="96" t="str">
        <f>IF(D829="","",COUNTA(D828:D829)-(COUNTA(D829:D829)-1))</f>
        <v/>
      </c>
    </row>
    <row r="830" spans="1:10" thickBot="1">
      <c r="A830" s="117"/>
      <c r="B830" s="70">
        <f t="shared" si="53"/>
        <v>44622</v>
      </c>
      <c r="C830" s="82" t="str">
        <f t="shared" si="54"/>
        <v>mercredi</v>
      </c>
      <c r="D830" s="87"/>
      <c r="E830" s="115" t="str">
        <f t="shared" si="55"/>
        <v/>
      </c>
      <c r="F830" s="115" t="str">
        <f t="shared" si="56"/>
        <v/>
      </c>
      <c r="G830" s="116" t="str">
        <f>IF(ISNONTEXT(D830),"",E830-MAX($F$2:F829))</f>
        <v/>
      </c>
      <c r="H830" s="97"/>
      <c r="I830" s="74" t="str">
        <f ca="1">IF(D830="N",COUNTIF(INDIRECT(ADDRESS(MATCH(Plages!$D$19,'Planning annuel mixing coater'!$B:$B),4)):D830,"N"),IF(D830="N1",COUNTIF($D$9:D830,"N1"),""))</f>
        <v/>
      </c>
      <c r="J830" s="96" t="str">
        <f>IF(D830="","",COUNTA(D828:D830)-(COUNTA(D830:D830)-1))</f>
        <v/>
      </c>
    </row>
    <row r="831" spans="1:10" thickBot="1">
      <c r="A831" s="117"/>
      <c r="B831" s="70">
        <f t="shared" si="53"/>
        <v>44623</v>
      </c>
      <c r="C831" s="82" t="str">
        <f t="shared" si="54"/>
        <v>jeudi</v>
      </c>
      <c r="D831" s="87"/>
      <c r="E831" s="115" t="str">
        <f t="shared" si="55"/>
        <v/>
      </c>
      <c r="F831" s="115" t="str">
        <f t="shared" si="56"/>
        <v/>
      </c>
      <c r="G831" s="116" t="str">
        <f>IF(ISNONTEXT(D831),"",E831-MAX($F$2:F830))</f>
        <v/>
      </c>
      <c r="H831" s="97"/>
      <c r="I831" s="74" t="str">
        <f ca="1">IF(D831="N",COUNTIF(INDIRECT(ADDRESS(MATCH(Plages!$D$19,'Planning annuel mixing coater'!$B:$B),4)):D831,"N"),IF(D831="N1",COUNTIF($D$9:D831,"N1"),""))</f>
        <v/>
      </c>
      <c r="J831" s="96" t="str">
        <f>IF(D831="","",COUNTA(D828:D831)-(COUNTA(D831:D831)-1))</f>
        <v/>
      </c>
    </row>
    <row r="832" spans="1:10" thickBot="1">
      <c r="A832" s="117"/>
      <c r="B832" s="70">
        <f t="shared" si="53"/>
        <v>44624</v>
      </c>
      <c r="C832" s="82" t="str">
        <f t="shared" si="54"/>
        <v>vendredi</v>
      </c>
      <c r="D832" s="87"/>
      <c r="E832" s="115" t="str">
        <f t="shared" si="55"/>
        <v/>
      </c>
      <c r="F832" s="115" t="str">
        <f t="shared" si="56"/>
        <v/>
      </c>
      <c r="G832" s="116" t="str">
        <f>IF(ISNONTEXT(D832),"",E832-MAX($F$2:F831))</f>
        <v/>
      </c>
      <c r="H832" s="97"/>
      <c r="I832" s="74" t="str">
        <f ca="1">IF(D832="N",COUNTIF(INDIRECT(ADDRESS(MATCH(Plages!$D$19,'Planning annuel mixing coater'!$B:$B),4)):D832,"N"),IF(D832="N1",COUNTIF($D$9:D832,"N1"),""))</f>
        <v/>
      </c>
      <c r="J832" s="96" t="str">
        <f>IF(D832="","",COUNTA(D828:D832)-(COUNTA(D832:D832)-1))</f>
        <v/>
      </c>
    </row>
    <row r="833" spans="1:10" thickBot="1">
      <c r="A833" s="117"/>
      <c r="B833" s="70">
        <f t="shared" si="53"/>
        <v>44625</v>
      </c>
      <c r="C833" s="82" t="str">
        <f t="shared" si="54"/>
        <v>samedi</v>
      </c>
      <c r="D833" s="87"/>
      <c r="E833" s="115" t="str">
        <f t="shared" si="55"/>
        <v/>
      </c>
      <c r="F833" s="115" t="str">
        <f t="shared" si="56"/>
        <v/>
      </c>
      <c r="G833" s="116" t="str">
        <f>IF(ISNONTEXT(D833),"",E833-MAX($F$2:F832))</f>
        <v/>
      </c>
      <c r="H833" s="97"/>
      <c r="I833" s="74" t="str">
        <f ca="1">IF(D833="N",COUNTIF(INDIRECT(ADDRESS(MATCH(Plages!$D$19,'Planning annuel mixing coater'!$B:$B),4)):D833,"N"),IF(D833="N1",COUNTIF($D$9:D833,"N1"),""))</f>
        <v/>
      </c>
      <c r="J833" s="96" t="str">
        <f>IF(D833="","",COUNTA(D828:D833)-(COUNTA(D833:D833)-1))</f>
        <v/>
      </c>
    </row>
    <row r="834" spans="1:10" thickBot="1">
      <c r="A834" s="117"/>
      <c r="B834" s="70">
        <f t="shared" si="53"/>
        <v>44626</v>
      </c>
      <c r="C834" s="82" t="str">
        <f t="shared" si="54"/>
        <v>dimanche</v>
      </c>
      <c r="D834" s="87"/>
      <c r="E834" s="115" t="str">
        <f t="shared" si="55"/>
        <v/>
      </c>
      <c r="F834" s="115" t="str">
        <f t="shared" si="56"/>
        <v/>
      </c>
      <c r="G834" s="116" t="str">
        <f>IF(ISNONTEXT(D834),"",E834-MAX($F$2:F833))</f>
        <v/>
      </c>
      <c r="H834" s="98"/>
      <c r="I834" s="74" t="str">
        <f ca="1">IF(D834="N",COUNTIF(INDIRECT(ADDRESS(MATCH(Plages!$D$19,'Planning annuel mixing coater'!$B:$B),4)):D834,"N"),IF(D834="N1",COUNTIF($D$9:D834,"N1"),""))</f>
        <v/>
      </c>
      <c r="J834" s="96" t="str">
        <f>IF(D834="","",COUNTA(D828:D834)-(COUNTA(D834:D834)-1))</f>
        <v/>
      </c>
    </row>
    <row r="835" spans="1:10" thickBot="1">
      <c r="A835" s="117"/>
      <c r="B835" s="70">
        <f t="shared" si="53"/>
        <v>44627</v>
      </c>
      <c r="C835" s="82" t="str">
        <f t="shared" si="54"/>
        <v>lundi</v>
      </c>
      <c r="D835" s="87"/>
      <c r="E835" s="115" t="str">
        <f t="shared" si="55"/>
        <v/>
      </c>
      <c r="F835" s="115" t="str">
        <f t="shared" si="56"/>
        <v/>
      </c>
      <c r="G835" s="116" t="str">
        <f>IF(ISNONTEXT(D835),"",E835-MAX($F$2:F834))</f>
        <v/>
      </c>
      <c r="H835" s="97"/>
      <c r="I835" s="74" t="str">
        <f ca="1">IF(D835="N",COUNTIF(INDIRECT(ADDRESS(MATCH(Plages!$D$19,'Planning annuel mixing coater'!$B:$B),4)):D835,"N"),IF(D835="N1",COUNTIF($D$9:D835,"N1"),""))</f>
        <v/>
      </c>
      <c r="J835" s="96" t="str">
        <f>IF(D835="","",COUNTA(D828:D835)-(COUNTA(D835:D835)-1))</f>
        <v/>
      </c>
    </row>
    <row r="836" spans="1:10" thickBot="1">
      <c r="A836" s="117"/>
      <c r="B836" s="70">
        <f t="shared" ref="B836:B899" si="57">IF(B835="","",B835+1)</f>
        <v>44628</v>
      </c>
      <c r="C836" s="82" t="str">
        <f t="shared" si="54"/>
        <v>mardi</v>
      </c>
      <c r="D836" s="87"/>
      <c r="E836" s="115" t="str">
        <f t="shared" si="55"/>
        <v/>
      </c>
      <c r="F836" s="115" t="str">
        <f t="shared" si="56"/>
        <v/>
      </c>
      <c r="G836" s="116" t="str">
        <f>IF(ISNONTEXT(D836),"",E836-MAX($F$2:F835))</f>
        <v/>
      </c>
      <c r="H836" s="97"/>
      <c r="I836" s="74" t="str">
        <f ca="1">IF(D836="N",COUNTIF(INDIRECT(ADDRESS(MATCH(Plages!$D$19,'Planning annuel mixing coater'!$B:$B),4)):D836,"N"),IF(D836="N1",COUNTIF($D$9:D836,"N1"),""))</f>
        <v/>
      </c>
      <c r="J836" s="96" t="str">
        <f>IF(D836="","",COUNTA(D828:D836)-(COUNTA(D836:D836)-1))</f>
        <v/>
      </c>
    </row>
    <row r="837" spans="1:10" thickBot="1">
      <c r="A837" s="117"/>
      <c r="B837" s="70">
        <f t="shared" si="57"/>
        <v>44629</v>
      </c>
      <c r="C837" s="82" t="str">
        <f t="shared" si="54"/>
        <v>mercredi</v>
      </c>
      <c r="D837" s="87"/>
      <c r="E837" s="115" t="str">
        <f t="shared" si="55"/>
        <v/>
      </c>
      <c r="F837" s="115" t="str">
        <f t="shared" si="56"/>
        <v/>
      </c>
      <c r="G837" s="116" t="str">
        <f>IF(ISNONTEXT(D837),"",E837-MAX($F$2:F836))</f>
        <v/>
      </c>
      <c r="H837" s="97"/>
      <c r="I837" s="74" t="str">
        <f ca="1">IF(D837="N",COUNTIF(INDIRECT(ADDRESS(MATCH(Plages!$D$19,'Planning annuel mixing coater'!$B:$B),4)):D837,"N"),IF(D837="N1",COUNTIF($D$9:D837,"N1"),""))</f>
        <v/>
      </c>
      <c r="J837" s="96" t="str">
        <f>IF(D837="","",COUNTA(D828:D837)-(COUNTA(D837:D837)-1))</f>
        <v/>
      </c>
    </row>
    <row r="838" spans="1:10" thickBot="1">
      <c r="A838" s="117"/>
      <c r="B838" s="70">
        <f t="shared" si="57"/>
        <v>44630</v>
      </c>
      <c r="C838" s="82" t="str">
        <f t="shared" si="54"/>
        <v>jeudi</v>
      </c>
      <c r="D838" s="87"/>
      <c r="E838" s="115" t="str">
        <f t="shared" si="55"/>
        <v/>
      </c>
      <c r="F838" s="115" t="str">
        <f t="shared" si="56"/>
        <v/>
      </c>
      <c r="G838" s="116" t="str">
        <f>IF(ISNONTEXT(D838),"",E838-MAX($F$2:F837))</f>
        <v/>
      </c>
      <c r="H838" s="97"/>
      <c r="I838" s="74" t="str">
        <f ca="1">IF(D838="N",COUNTIF(INDIRECT(ADDRESS(MATCH(Plages!$D$19,'Planning annuel mixing coater'!$B:$B),4)):D838,"N"),IF(D838="N1",COUNTIF($D$9:D838,"N1"),""))</f>
        <v/>
      </c>
      <c r="J838" s="96" t="str">
        <f>IF(D838="","",COUNTA(D828:D838)-(COUNTA(D838:D838)-1))</f>
        <v/>
      </c>
    </row>
    <row r="839" spans="1:10" thickBot="1">
      <c r="A839" s="117"/>
      <c r="B839" s="70">
        <f t="shared" si="57"/>
        <v>44631</v>
      </c>
      <c r="C839" s="82" t="str">
        <f t="shared" si="54"/>
        <v>vendredi</v>
      </c>
      <c r="D839" s="87"/>
      <c r="E839" s="115" t="str">
        <f t="shared" si="55"/>
        <v/>
      </c>
      <c r="F839" s="115" t="str">
        <f t="shared" si="56"/>
        <v/>
      </c>
      <c r="G839" s="116" t="str">
        <f>IF(ISNONTEXT(D839),"",E839-MAX($F$2:F838))</f>
        <v/>
      </c>
      <c r="H839" s="97"/>
      <c r="I839" s="74" t="str">
        <f ca="1">IF(D839="N",COUNTIF(INDIRECT(ADDRESS(MATCH(Plages!$D$19,'Planning annuel mixing coater'!$B:$B),4)):D839,"N"),IF(D839="N1",COUNTIF($D$9:D839,"N1"),""))</f>
        <v/>
      </c>
      <c r="J839" s="96" t="str">
        <f>IF(D839="","",COUNTA(D828:D839)-(COUNTA(D839:D839)-1))</f>
        <v/>
      </c>
    </row>
    <row r="840" spans="1:10" thickBot="1">
      <c r="A840" s="117"/>
      <c r="B840" s="70">
        <f t="shared" si="57"/>
        <v>44632</v>
      </c>
      <c r="C840" s="82" t="str">
        <f t="shared" si="54"/>
        <v>samedi</v>
      </c>
      <c r="D840" s="87"/>
      <c r="E840" s="115" t="str">
        <f t="shared" si="55"/>
        <v/>
      </c>
      <c r="F840" s="115" t="str">
        <f t="shared" si="56"/>
        <v/>
      </c>
      <c r="G840" s="116" t="str">
        <f>IF(ISNONTEXT(D840),"",E840-MAX($F$2:F839))</f>
        <v/>
      </c>
      <c r="H840" s="97"/>
      <c r="I840" s="74" t="str">
        <f ca="1">IF(D840="N",COUNTIF(INDIRECT(ADDRESS(MATCH(Plages!$D$19,'Planning annuel mixing coater'!$B:$B),4)):D840,"N"),IF(D840="N1",COUNTIF($D$9:D840,"N1"),""))</f>
        <v/>
      </c>
      <c r="J840" s="96" t="str">
        <f>IF(D840="","",COUNTA(D828:D840)-(COUNTA(D840:D840)-1))</f>
        <v/>
      </c>
    </row>
    <row r="841" spans="1:10" s="77" customFormat="1" thickBot="1">
      <c r="A841" s="117"/>
      <c r="B841" s="75">
        <f t="shared" si="57"/>
        <v>44633</v>
      </c>
      <c r="C841" s="83" t="str">
        <f t="shared" si="54"/>
        <v>dimanche</v>
      </c>
      <c r="D841" s="88"/>
      <c r="E841" s="115" t="str">
        <f t="shared" si="55"/>
        <v/>
      </c>
      <c r="F841" s="115" t="str">
        <f t="shared" si="56"/>
        <v/>
      </c>
      <c r="G841" s="116" t="str">
        <f>IF(ISNONTEXT(D841),"",E841-MAX($F$2:F840))</f>
        <v/>
      </c>
      <c r="H841" s="98"/>
      <c r="I841" s="76" t="str">
        <f ca="1">IF(D841="N",COUNTIF(INDIRECT(ADDRESS(MATCH(Plages!$D$19,'Planning annuel mixing coater'!$B:$B),4)):D841,"N"),IF(D841="N1",COUNTIF($D$9:D841,"N1"),""))</f>
        <v/>
      </c>
      <c r="J841" s="99" t="str">
        <f>IF(D841="","",COUNTA(D828:D841)-(COUNTA(D841:D841)-1))</f>
        <v/>
      </c>
    </row>
    <row r="842" spans="1:10" ht="16.5" thickTop="1" thickBot="1">
      <c r="A842" s="117"/>
      <c r="B842" s="78">
        <f t="shared" si="57"/>
        <v>44634</v>
      </c>
      <c r="C842" s="81" t="str">
        <f t="shared" si="54"/>
        <v>lundi</v>
      </c>
      <c r="D842" s="89"/>
      <c r="E842" s="115" t="str">
        <f t="shared" si="55"/>
        <v/>
      </c>
      <c r="F842" s="115" t="str">
        <f t="shared" si="56"/>
        <v/>
      </c>
      <c r="G842" s="116" t="str">
        <f>IF(ISNONTEXT(D842),"",E842-MAX($F$2:F841))</f>
        <v/>
      </c>
      <c r="H842" s="100"/>
      <c r="I842" s="79" t="str">
        <f ca="1">IF(D842="N",COUNTIF(INDIRECT(ADDRESS(MATCH(Plages!$D$19,'Planning annuel mixing coater'!$B:$B),4)):D842,"N"),IF(D842="N1",COUNTIF($D$9:D842,"N1"),""))</f>
        <v/>
      </c>
      <c r="J842" s="101" t="str">
        <f>IF(D842="","",COUNTA(D842:D842)-(COUNTA(D842:D842)-1))</f>
        <v/>
      </c>
    </row>
    <row r="843" spans="1:10" thickBot="1">
      <c r="A843" s="117"/>
      <c r="B843" s="70">
        <f t="shared" si="57"/>
        <v>44635</v>
      </c>
      <c r="C843" s="82" t="str">
        <f t="shared" si="54"/>
        <v>mardi</v>
      </c>
      <c r="D843" s="87"/>
      <c r="E843" s="115" t="str">
        <f t="shared" si="55"/>
        <v/>
      </c>
      <c r="F843" s="115" t="str">
        <f t="shared" si="56"/>
        <v/>
      </c>
      <c r="G843" s="116" t="str">
        <f>IF(ISNONTEXT(D843),"",E843-MAX($F$2:F842))</f>
        <v/>
      </c>
      <c r="H843" s="97"/>
      <c r="I843" s="74" t="str">
        <f ca="1">IF(D843="N",COUNTIF(INDIRECT(ADDRESS(MATCH(Plages!$D$19,'Planning annuel mixing coater'!$B:$B),4)):D843,"N"),IF(D843="N1",COUNTIF($D$9:D843,"N1"),""))</f>
        <v/>
      </c>
      <c r="J843" s="96" t="str">
        <f>IF(D843="","",COUNTA(D842:D843)-(COUNTA(D843:D843)-1))</f>
        <v/>
      </c>
    </row>
    <row r="844" spans="1:10" thickBot="1">
      <c r="A844" s="117"/>
      <c r="B844" s="70">
        <f t="shared" si="57"/>
        <v>44636</v>
      </c>
      <c r="C844" s="82" t="str">
        <f t="shared" si="54"/>
        <v>mercredi</v>
      </c>
      <c r="D844" s="87"/>
      <c r="E844" s="115" t="str">
        <f t="shared" si="55"/>
        <v/>
      </c>
      <c r="F844" s="115" t="str">
        <f t="shared" si="56"/>
        <v/>
      </c>
      <c r="G844" s="116" t="str">
        <f>IF(ISNONTEXT(D844),"",E844-MAX($F$2:F843))</f>
        <v/>
      </c>
      <c r="H844" s="97"/>
      <c r="I844" s="74" t="str">
        <f ca="1">IF(D844="N",COUNTIF(INDIRECT(ADDRESS(MATCH(Plages!$D$19,'Planning annuel mixing coater'!$B:$B),4)):D844,"N"),IF(D844="N1",COUNTIF($D$9:D844,"N1"),""))</f>
        <v/>
      </c>
      <c r="J844" s="96" t="str">
        <f>IF(D844="","",COUNTA(D842:D844)-(COUNTA(D844:D844)-1))</f>
        <v/>
      </c>
    </row>
    <row r="845" spans="1:10" thickBot="1">
      <c r="A845" s="117"/>
      <c r="B845" s="70">
        <f t="shared" si="57"/>
        <v>44637</v>
      </c>
      <c r="C845" s="82" t="str">
        <f t="shared" si="54"/>
        <v>jeudi</v>
      </c>
      <c r="D845" s="87"/>
      <c r="E845" s="115" t="str">
        <f t="shared" si="55"/>
        <v/>
      </c>
      <c r="F845" s="115" t="str">
        <f t="shared" si="56"/>
        <v/>
      </c>
      <c r="G845" s="116" t="str">
        <f>IF(ISNONTEXT(D845),"",E845-MAX($F$2:F844))</f>
        <v/>
      </c>
      <c r="H845" s="97"/>
      <c r="I845" s="74" t="str">
        <f ca="1">IF(D845="N",COUNTIF(INDIRECT(ADDRESS(MATCH(Plages!$D$19,'Planning annuel mixing coater'!$B:$B),4)):D845,"N"),IF(D845="N1",COUNTIF($D$9:D845,"N1"),""))</f>
        <v/>
      </c>
      <c r="J845" s="96" t="str">
        <f>IF(D845="","",COUNTA(D842:D845)-(COUNTA(D845:D845)-1))</f>
        <v/>
      </c>
    </row>
    <row r="846" spans="1:10" thickBot="1">
      <c r="A846" s="117"/>
      <c r="B846" s="70">
        <f t="shared" si="57"/>
        <v>44638</v>
      </c>
      <c r="C846" s="82" t="str">
        <f t="shared" si="54"/>
        <v>vendredi</v>
      </c>
      <c r="D846" s="87"/>
      <c r="E846" s="115" t="str">
        <f t="shared" si="55"/>
        <v/>
      </c>
      <c r="F846" s="115" t="str">
        <f t="shared" si="56"/>
        <v/>
      </c>
      <c r="G846" s="116" t="str">
        <f>IF(ISNONTEXT(D846),"",E846-MAX($F$2:F845))</f>
        <v/>
      </c>
      <c r="H846" s="97"/>
      <c r="I846" s="74" t="str">
        <f ca="1">IF(D846="N",COUNTIF(INDIRECT(ADDRESS(MATCH(Plages!$D$19,'Planning annuel mixing coater'!$B:$B),4)):D846,"N"),IF(D846="N1",COUNTIF($D$9:D846,"N1"),""))</f>
        <v/>
      </c>
      <c r="J846" s="96" t="str">
        <f>IF(D846="","",COUNTA(D842:D846)-(COUNTA(D846:D846)-1))</f>
        <v/>
      </c>
    </row>
    <row r="847" spans="1:10" thickBot="1">
      <c r="A847" s="117"/>
      <c r="B847" s="70">
        <f t="shared" si="57"/>
        <v>44639</v>
      </c>
      <c r="C847" s="82" t="str">
        <f t="shared" si="54"/>
        <v>samedi</v>
      </c>
      <c r="D847" s="87"/>
      <c r="E847" s="115" t="str">
        <f t="shared" si="55"/>
        <v/>
      </c>
      <c r="F847" s="115" t="str">
        <f t="shared" si="56"/>
        <v/>
      </c>
      <c r="G847" s="116" t="str">
        <f>IF(ISNONTEXT(D847),"",E847-MAX($F$2:F846))</f>
        <v/>
      </c>
      <c r="H847" s="97"/>
      <c r="I847" s="74" t="str">
        <f ca="1">IF(D847="N",COUNTIF(INDIRECT(ADDRESS(MATCH(Plages!$D$19,'Planning annuel mixing coater'!$B:$B),4)):D847,"N"),IF(D847="N1",COUNTIF($D$9:D847,"N1"),""))</f>
        <v/>
      </c>
      <c r="J847" s="96" t="str">
        <f>IF(D847="","",COUNTA(D842:D847)-(COUNTA(D847:D847)-1))</f>
        <v/>
      </c>
    </row>
    <row r="848" spans="1:10" thickBot="1">
      <c r="A848" s="117"/>
      <c r="B848" s="70">
        <f t="shared" si="57"/>
        <v>44640</v>
      </c>
      <c r="C848" s="82" t="str">
        <f t="shared" si="54"/>
        <v>dimanche</v>
      </c>
      <c r="D848" s="87"/>
      <c r="E848" s="115" t="str">
        <f t="shared" si="55"/>
        <v/>
      </c>
      <c r="F848" s="115" t="str">
        <f t="shared" si="56"/>
        <v/>
      </c>
      <c r="G848" s="116" t="str">
        <f>IF(ISNONTEXT(D848),"",E848-MAX($F$2:F847))</f>
        <v/>
      </c>
      <c r="H848" s="98"/>
      <c r="I848" s="74" t="str">
        <f ca="1">IF(D848="N",COUNTIF(INDIRECT(ADDRESS(MATCH(Plages!$D$19,'Planning annuel mixing coater'!$B:$B),4)):D848,"N"),IF(D848="N1",COUNTIF($D$9:D848,"N1"),""))</f>
        <v/>
      </c>
      <c r="J848" s="96" t="str">
        <f>IF(D848="","",COUNTA(D842:D848)-(COUNTA(D848:D848)-1))</f>
        <v/>
      </c>
    </row>
    <row r="849" spans="1:10" thickBot="1">
      <c r="A849" s="117"/>
      <c r="B849" s="70">
        <f t="shared" si="57"/>
        <v>44641</v>
      </c>
      <c r="C849" s="82" t="str">
        <f t="shared" si="54"/>
        <v>lundi</v>
      </c>
      <c r="D849" s="87"/>
      <c r="E849" s="115" t="str">
        <f t="shared" si="55"/>
        <v/>
      </c>
      <c r="F849" s="115" t="str">
        <f t="shared" si="56"/>
        <v/>
      </c>
      <c r="G849" s="116" t="str">
        <f>IF(ISNONTEXT(D849),"",E849-MAX($F$2:F848))</f>
        <v/>
      </c>
      <c r="H849" s="97"/>
      <c r="I849" s="74" t="str">
        <f ca="1">IF(D849="N",COUNTIF(INDIRECT(ADDRESS(MATCH(Plages!$D$19,'Planning annuel mixing coater'!$B:$B),4)):D849,"N"),IF(D849="N1",COUNTIF($D$9:D849,"N1"),""))</f>
        <v/>
      </c>
      <c r="J849" s="96" t="str">
        <f>IF(D849="","",COUNTA(D842:D849)-(COUNTA(D849:D849)-1))</f>
        <v/>
      </c>
    </row>
    <row r="850" spans="1:10" thickBot="1">
      <c r="A850" s="117"/>
      <c r="B850" s="70">
        <f t="shared" si="57"/>
        <v>44642</v>
      </c>
      <c r="C850" s="82" t="str">
        <f t="shared" si="54"/>
        <v>mardi</v>
      </c>
      <c r="D850" s="87"/>
      <c r="E850" s="115" t="str">
        <f t="shared" si="55"/>
        <v/>
      </c>
      <c r="F850" s="115" t="str">
        <f t="shared" si="56"/>
        <v/>
      </c>
      <c r="G850" s="116" t="str">
        <f>IF(ISNONTEXT(D850),"",E850-MAX($F$2:F849))</f>
        <v/>
      </c>
      <c r="H850" s="97"/>
      <c r="I850" s="74" t="str">
        <f ca="1">IF(D850="N",COUNTIF(INDIRECT(ADDRESS(MATCH(Plages!$D$19,'Planning annuel mixing coater'!$B:$B),4)):D850,"N"),IF(D850="N1",COUNTIF($D$9:D850,"N1"),""))</f>
        <v/>
      </c>
      <c r="J850" s="96" t="str">
        <f>IF(D850="","",COUNTA(D842:D850)-(COUNTA(D850:D850)-1))</f>
        <v/>
      </c>
    </row>
    <row r="851" spans="1:10" thickBot="1">
      <c r="A851" s="117"/>
      <c r="B851" s="70">
        <f t="shared" si="57"/>
        <v>44643</v>
      </c>
      <c r="C851" s="82" t="str">
        <f t="shared" si="54"/>
        <v>mercredi</v>
      </c>
      <c r="D851" s="87"/>
      <c r="E851" s="115" t="str">
        <f t="shared" si="55"/>
        <v/>
      </c>
      <c r="F851" s="115" t="str">
        <f t="shared" si="56"/>
        <v/>
      </c>
      <c r="G851" s="116" t="str">
        <f>IF(ISNONTEXT(D851),"",E851-MAX($F$2:F850))</f>
        <v/>
      </c>
      <c r="H851" s="97"/>
      <c r="I851" s="74" t="str">
        <f ca="1">IF(D851="N",COUNTIF(INDIRECT(ADDRESS(MATCH(Plages!$D$19,'Planning annuel mixing coater'!$B:$B),4)):D851,"N"),IF(D851="N1",COUNTIF($D$9:D851,"N1"),""))</f>
        <v/>
      </c>
      <c r="J851" s="96" t="str">
        <f>IF(D851="","",COUNTA(D842:D851)-(COUNTA(D851:D851)-1))</f>
        <v/>
      </c>
    </row>
    <row r="852" spans="1:10" thickBot="1">
      <c r="A852" s="117"/>
      <c r="B852" s="70">
        <f t="shared" si="57"/>
        <v>44644</v>
      </c>
      <c r="C852" s="82" t="str">
        <f t="shared" si="54"/>
        <v>jeudi</v>
      </c>
      <c r="D852" s="87"/>
      <c r="E852" s="115" t="str">
        <f t="shared" si="55"/>
        <v/>
      </c>
      <c r="F852" s="115" t="str">
        <f t="shared" si="56"/>
        <v/>
      </c>
      <c r="G852" s="116" t="str">
        <f>IF(ISNONTEXT(D852),"",E852-MAX($F$2:F851))</f>
        <v/>
      </c>
      <c r="H852" s="97"/>
      <c r="I852" s="74" t="str">
        <f ca="1">IF(D852="N",COUNTIF(INDIRECT(ADDRESS(MATCH(Plages!$D$19,'Planning annuel mixing coater'!$B:$B),4)):D852,"N"),IF(D852="N1",COUNTIF($D$9:D852,"N1"),""))</f>
        <v/>
      </c>
      <c r="J852" s="96" t="str">
        <f>IF(D852="","",COUNTA(D842:D852)-(COUNTA(D852:D852)-1))</f>
        <v/>
      </c>
    </row>
    <row r="853" spans="1:10" thickBot="1">
      <c r="A853" s="117"/>
      <c r="B853" s="70">
        <f t="shared" si="57"/>
        <v>44645</v>
      </c>
      <c r="C853" s="82" t="str">
        <f t="shared" si="54"/>
        <v>vendredi</v>
      </c>
      <c r="D853" s="87"/>
      <c r="E853" s="115" t="str">
        <f t="shared" si="55"/>
        <v/>
      </c>
      <c r="F853" s="115" t="str">
        <f t="shared" si="56"/>
        <v/>
      </c>
      <c r="G853" s="116" t="str">
        <f>IF(ISNONTEXT(D853),"",E853-MAX($F$2:F852))</f>
        <v/>
      </c>
      <c r="H853" s="97"/>
      <c r="I853" s="74" t="str">
        <f ca="1">IF(D853="N",COUNTIF(INDIRECT(ADDRESS(MATCH(Plages!$D$19,'Planning annuel mixing coater'!$B:$B),4)):D853,"N"),IF(D853="N1",COUNTIF($D$9:D853,"N1"),""))</f>
        <v/>
      </c>
      <c r="J853" s="96" t="str">
        <f>IF(D853="","",COUNTA(D842:D853)-(COUNTA(D853:D853)-1))</f>
        <v/>
      </c>
    </row>
    <row r="854" spans="1:10" thickBot="1">
      <c r="A854" s="117"/>
      <c r="B854" s="70">
        <f t="shared" si="57"/>
        <v>44646</v>
      </c>
      <c r="C854" s="82" t="str">
        <f t="shared" si="54"/>
        <v>samedi</v>
      </c>
      <c r="D854" s="87"/>
      <c r="E854" s="115" t="str">
        <f t="shared" si="55"/>
        <v/>
      </c>
      <c r="F854" s="115" t="str">
        <f t="shared" si="56"/>
        <v/>
      </c>
      <c r="G854" s="116" t="str">
        <f>IF(ISNONTEXT(D854),"",E854-MAX($F$2:F853))</f>
        <v/>
      </c>
      <c r="H854" s="97"/>
      <c r="I854" s="74" t="str">
        <f ca="1">IF(D854="N",COUNTIF(INDIRECT(ADDRESS(MATCH(Plages!$D$19,'Planning annuel mixing coater'!$B:$B),4)):D854,"N"),IF(D854="N1",COUNTIF($D$9:D854,"N1"),""))</f>
        <v/>
      </c>
      <c r="J854" s="96" t="str">
        <f>IF(D854="","",COUNTA(D842:D854)-(COUNTA(D854:D854)-1))</f>
        <v/>
      </c>
    </row>
    <row r="855" spans="1:10" s="77" customFormat="1" thickBot="1">
      <c r="A855" s="117"/>
      <c r="B855" s="75">
        <f t="shared" si="57"/>
        <v>44647</v>
      </c>
      <c r="C855" s="83" t="str">
        <f t="shared" si="54"/>
        <v>dimanche</v>
      </c>
      <c r="D855" s="88"/>
      <c r="E855" s="115" t="str">
        <f t="shared" si="55"/>
        <v/>
      </c>
      <c r="F855" s="115" t="str">
        <f t="shared" si="56"/>
        <v/>
      </c>
      <c r="G855" s="116" t="str">
        <f>IF(ISNONTEXT(D855),"",E855-MAX($F$2:F854))</f>
        <v/>
      </c>
      <c r="H855" s="98"/>
      <c r="I855" s="76" t="str">
        <f ca="1">IF(D855="N",COUNTIF(INDIRECT(ADDRESS(MATCH(Plages!$D$19,'Planning annuel mixing coater'!$B:$B),4)):D855,"N"),IF(D855="N1",COUNTIF($D$9:D855,"N1"),""))</f>
        <v/>
      </c>
      <c r="J855" s="99" t="str">
        <f>IF(D855="","",COUNTA(D842:D855)-(COUNTA(D855:D855)-1))</f>
        <v/>
      </c>
    </row>
    <row r="856" spans="1:10" ht="16.5" thickTop="1" thickBot="1">
      <c r="A856" s="117"/>
      <c r="B856" s="78">
        <f t="shared" si="57"/>
        <v>44648</v>
      </c>
      <c r="C856" s="81" t="str">
        <f t="shared" si="54"/>
        <v>lundi</v>
      </c>
      <c r="D856" s="89"/>
      <c r="E856" s="115" t="str">
        <f t="shared" si="55"/>
        <v/>
      </c>
      <c r="F856" s="115" t="str">
        <f t="shared" si="56"/>
        <v/>
      </c>
      <c r="G856" s="116" t="str">
        <f>IF(ISNONTEXT(D856),"",E856-MAX($F$2:F855))</f>
        <v/>
      </c>
      <c r="H856" s="100"/>
      <c r="I856" s="79" t="str">
        <f ca="1">IF(D856="N",COUNTIF(INDIRECT(ADDRESS(MATCH(Plages!$D$19,'Planning annuel mixing coater'!$B:$B),4)):D856,"N"),IF(D856="N1",COUNTIF($D$9:D856,"N1"),""))</f>
        <v/>
      </c>
      <c r="J856" s="101" t="str">
        <f>IF(D856="","",COUNTA(D856:D856)-(COUNTA(D856:D856)-1))</f>
        <v/>
      </c>
    </row>
    <row r="857" spans="1:10" thickBot="1">
      <c r="A857" s="117"/>
      <c r="B857" s="70">
        <f t="shared" si="57"/>
        <v>44649</v>
      </c>
      <c r="C857" s="82" t="str">
        <f t="shared" si="54"/>
        <v>mardi</v>
      </c>
      <c r="D857" s="87"/>
      <c r="E857" s="115" t="str">
        <f t="shared" si="55"/>
        <v/>
      </c>
      <c r="F857" s="115" t="str">
        <f t="shared" si="56"/>
        <v/>
      </c>
      <c r="G857" s="116" t="str">
        <f>IF(ISNONTEXT(D857),"",E857-MAX($F$2:F856))</f>
        <v/>
      </c>
      <c r="H857" s="97"/>
      <c r="I857" s="74" t="str">
        <f ca="1">IF(D857="N",COUNTIF(INDIRECT(ADDRESS(MATCH(Plages!$D$19,'Planning annuel mixing coater'!$B:$B),4)):D857,"N"),IF(D857="N1",COUNTIF($D$9:D857,"N1"),""))</f>
        <v/>
      </c>
      <c r="J857" s="96" t="str">
        <f>IF(D857="","",COUNTA(D856:D857)-(COUNTA(D857:D857)-1))</f>
        <v/>
      </c>
    </row>
    <row r="858" spans="1:10" thickBot="1">
      <c r="A858" s="117"/>
      <c r="B858" s="70">
        <f t="shared" si="57"/>
        <v>44650</v>
      </c>
      <c r="C858" s="82" t="str">
        <f t="shared" si="54"/>
        <v>mercredi</v>
      </c>
      <c r="D858" s="87"/>
      <c r="E858" s="115" t="str">
        <f t="shared" si="55"/>
        <v/>
      </c>
      <c r="F858" s="115" t="str">
        <f t="shared" si="56"/>
        <v/>
      </c>
      <c r="G858" s="116" t="str">
        <f>IF(ISNONTEXT(D858),"",E858-MAX($F$2:F857))</f>
        <v/>
      </c>
      <c r="H858" s="97"/>
      <c r="I858" s="74" t="str">
        <f ca="1">IF(D858="N",COUNTIF(INDIRECT(ADDRESS(MATCH(Plages!$D$19,'Planning annuel mixing coater'!$B:$B),4)):D858,"N"),IF(D858="N1",COUNTIF($D$9:D858,"N1"),""))</f>
        <v/>
      </c>
      <c r="J858" s="96" t="str">
        <f>IF(D858="","",COUNTA(D856:D858)-(COUNTA(D858:D858)-1))</f>
        <v/>
      </c>
    </row>
    <row r="859" spans="1:10" thickBot="1">
      <c r="A859" s="117"/>
      <c r="B859" s="70">
        <f t="shared" si="57"/>
        <v>44651</v>
      </c>
      <c r="C859" s="82" t="str">
        <f t="shared" si="54"/>
        <v>jeudi</v>
      </c>
      <c r="D859" s="87"/>
      <c r="E859" s="115" t="str">
        <f t="shared" si="55"/>
        <v/>
      </c>
      <c r="F859" s="115" t="str">
        <f t="shared" si="56"/>
        <v/>
      </c>
      <c r="G859" s="116" t="str">
        <f>IF(ISNONTEXT(D859),"",E859-MAX($F$2:F858))</f>
        <v/>
      </c>
      <c r="H859" s="97"/>
      <c r="I859" s="74" t="str">
        <f ca="1">IF(D859="N",COUNTIF(INDIRECT(ADDRESS(MATCH(Plages!$D$19,'Planning annuel mixing coater'!$B:$B),4)):D859,"N"),IF(D859="N1",COUNTIF($D$9:D859,"N1"),""))</f>
        <v/>
      </c>
      <c r="J859" s="96" t="str">
        <f>IF(D859="","",COUNTA(D856:D859)-(COUNTA(D859:D859)-1))</f>
        <v/>
      </c>
    </row>
    <row r="860" spans="1:10" thickBot="1">
      <c r="A860" s="117"/>
      <c r="B860" s="70">
        <f t="shared" si="57"/>
        <v>44652</v>
      </c>
      <c r="C860" s="82" t="str">
        <f t="shared" si="54"/>
        <v>vendredi</v>
      </c>
      <c r="D860" s="87"/>
      <c r="E860" s="115" t="str">
        <f t="shared" si="55"/>
        <v/>
      </c>
      <c r="F860" s="115" t="str">
        <f t="shared" si="56"/>
        <v/>
      </c>
      <c r="G860" s="116" t="str">
        <f>IF(ISNONTEXT(D860),"",E860-MAX($F$2:F859))</f>
        <v/>
      </c>
      <c r="H860" s="97"/>
      <c r="I860" s="74" t="str">
        <f ca="1">IF(D860="N",COUNTIF(INDIRECT(ADDRESS(MATCH(Plages!$D$19,'Planning annuel mixing coater'!$B:$B),4)):D860,"N"),IF(D860="N1",COUNTIF($D$9:D860,"N1"),""))</f>
        <v/>
      </c>
      <c r="J860" s="96" t="str">
        <f>IF(D860="","",COUNTA(D856:D860)-(COUNTA(D860:D860)-1))</f>
        <v/>
      </c>
    </row>
    <row r="861" spans="1:10" thickBot="1">
      <c r="A861" s="117"/>
      <c r="B861" s="70">
        <f t="shared" si="57"/>
        <v>44653</v>
      </c>
      <c r="C861" s="82" t="str">
        <f t="shared" si="54"/>
        <v>samedi</v>
      </c>
      <c r="D861" s="87"/>
      <c r="E861" s="115" t="str">
        <f t="shared" si="55"/>
        <v/>
      </c>
      <c r="F861" s="115" t="str">
        <f t="shared" si="56"/>
        <v/>
      </c>
      <c r="G861" s="116" t="str">
        <f>IF(ISNONTEXT(D861),"",E861-MAX($F$2:F860))</f>
        <v/>
      </c>
      <c r="H861" s="97"/>
      <c r="I861" s="74" t="str">
        <f ca="1">IF(D861="N",COUNTIF(INDIRECT(ADDRESS(MATCH(Plages!$D$19,'Planning annuel mixing coater'!$B:$B),4)):D861,"N"),IF(D861="N1",COUNTIF($D$9:D861,"N1"),""))</f>
        <v/>
      </c>
      <c r="J861" s="96" t="str">
        <f>IF(D861="","",COUNTA(D856:D861)-(COUNTA(D861:D861)-1))</f>
        <v/>
      </c>
    </row>
    <row r="862" spans="1:10" thickBot="1">
      <c r="A862" s="117"/>
      <c r="B862" s="70">
        <f t="shared" si="57"/>
        <v>44654</v>
      </c>
      <c r="C862" s="82" t="str">
        <f t="shared" ref="C862:C925" si="58">IF(B862="","",TEXT(B862,"jjjj"))</f>
        <v>dimanche</v>
      </c>
      <c r="D862" s="87"/>
      <c r="E862" s="115" t="str">
        <f t="shared" ref="E862:E925" si="59">IF(D862="","",B862+VLOOKUP(D862,Plageh,2,0))</f>
        <v/>
      </c>
      <c r="F862" s="115" t="str">
        <f t="shared" ref="F862:F925" si="60">IF(D862="","",B862+VLOOKUP(D862,Plageh,3,0))</f>
        <v/>
      </c>
      <c r="G862" s="116" t="str">
        <f>IF(ISNONTEXT(D862),"",E862-MAX($F$2:F861))</f>
        <v/>
      </c>
      <c r="H862" s="98"/>
      <c r="I862" s="74" t="str">
        <f ca="1">IF(D862="N",COUNTIF(INDIRECT(ADDRESS(MATCH(Plages!$D$19,'Planning annuel mixing coater'!$B:$B),4)):D862,"N"),IF(D862="N1",COUNTIF($D$9:D862,"N1"),""))</f>
        <v/>
      </c>
      <c r="J862" s="96" t="str">
        <f>IF(D862="","",COUNTA(D856:D862)-(COUNTA(D862:D862)-1))</f>
        <v/>
      </c>
    </row>
    <row r="863" spans="1:10" thickBot="1">
      <c r="A863" s="117"/>
      <c r="B863" s="70">
        <f t="shared" si="57"/>
        <v>44655</v>
      </c>
      <c r="C863" s="82" t="str">
        <f t="shared" si="58"/>
        <v>lundi</v>
      </c>
      <c r="D863" s="87"/>
      <c r="E863" s="115" t="str">
        <f t="shared" si="59"/>
        <v/>
      </c>
      <c r="F863" s="115" t="str">
        <f t="shared" si="60"/>
        <v/>
      </c>
      <c r="G863" s="116" t="str">
        <f>IF(ISNONTEXT(D863),"",E863-MAX($F$2:F862))</f>
        <v/>
      </c>
      <c r="H863" s="97"/>
      <c r="I863" s="74" t="str">
        <f ca="1">IF(D863="N",COUNTIF(INDIRECT(ADDRESS(MATCH(Plages!$D$19,'Planning annuel mixing coater'!$B:$B),4)):D863,"N"),IF(D863="N1",COUNTIF($D$9:D863,"N1"),""))</f>
        <v/>
      </c>
      <c r="J863" s="96" t="str">
        <f>IF(D863="","",COUNTA(D856:D863)-(COUNTA(D863:D863)-1))</f>
        <v/>
      </c>
    </row>
    <row r="864" spans="1:10" thickBot="1">
      <c r="A864" s="117"/>
      <c r="B864" s="70">
        <f t="shared" si="57"/>
        <v>44656</v>
      </c>
      <c r="C864" s="82" t="str">
        <f t="shared" si="58"/>
        <v>mardi</v>
      </c>
      <c r="D864" s="87"/>
      <c r="E864" s="115" t="str">
        <f t="shared" si="59"/>
        <v/>
      </c>
      <c r="F864" s="115" t="str">
        <f t="shared" si="60"/>
        <v/>
      </c>
      <c r="G864" s="116" t="str">
        <f>IF(ISNONTEXT(D864),"",E864-MAX($F$2:F863))</f>
        <v/>
      </c>
      <c r="H864" s="97"/>
      <c r="I864" s="74" t="str">
        <f ca="1">IF(D864="N",COUNTIF(INDIRECT(ADDRESS(MATCH(Plages!$D$19,'Planning annuel mixing coater'!$B:$B),4)):D864,"N"),IF(D864="N1",COUNTIF($D$9:D864,"N1"),""))</f>
        <v/>
      </c>
      <c r="J864" s="96" t="str">
        <f>IF(D864="","",COUNTA(D856:D864)-(COUNTA(D864:D864)-1))</f>
        <v/>
      </c>
    </row>
    <row r="865" spans="1:10" thickBot="1">
      <c r="A865" s="117"/>
      <c r="B865" s="70">
        <f t="shared" si="57"/>
        <v>44657</v>
      </c>
      <c r="C865" s="82" t="str">
        <f t="shared" si="58"/>
        <v>mercredi</v>
      </c>
      <c r="D865" s="87"/>
      <c r="E865" s="115" t="str">
        <f t="shared" si="59"/>
        <v/>
      </c>
      <c r="F865" s="115" t="str">
        <f t="shared" si="60"/>
        <v/>
      </c>
      <c r="G865" s="116" t="str">
        <f>IF(ISNONTEXT(D865),"",E865-MAX($F$2:F864))</f>
        <v/>
      </c>
      <c r="H865" s="97"/>
      <c r="I865" s="74" t="str">
        <f ca="1">IF(D865="N",COUNTIF(INDIRECT(ADDRESS(MATCH(Plages!$D$19,'Planning annuel mixing coater'!$B:$B),4)):D865,"N"),IF(D865="N1",COUNTIF($D$9:D865,"N1"),""))</f>
        <v/>
      </c>
      <c r="J865" s="96" t="str">
        <f>IF(D865="","",COUNTA(D856:D865)-(COUNTA(D865:D865)-1))</f>
        <v/>
      </c>
    </row>
    <row r="866" spans="1:10" thickBot="1">
      <c r="A866" s="117"/>
      <c r="B866" s="70">
        <f t="shared" si="57"/>
        <v>44658</v>
      </c>
      <c r="C866" s="82" t="str">
        <f t="shared" si="58"/>
        <v>jeudi</v>
      </c>
      <c r="D866" s="87"/>
      <c r="E866" s="115" t="str">
        <f t="shared" si="59"/>
        <v/>
      </c>
      <c r="F866" s="115" t="str">
        <f t="shared" si="60"/>
        <v/>
      </c>
      <c r="G866" s="116" t="str">
        <f>IF(ISNONTEXT(D866),"",E866-MAX($F$2:F865))</f>
        <v/>
      </c>
      <c r="H866" s="97"/>
      <c r="I866" s="74" t="str">
        <f ca="1">IF(D866="N",COUNTIF(INDIRECT(ADDRESS(MATCH(Plages!$D$19,'Planning annuel mixing coater'!$B:$B),4)):D866,"N"),IF(D866="N1",COUNTIF($D$9:D866,"N1"),""))</f>
        <v/>
      </c>
      <c r="J866" s="96" t="str">
        <f>IF(D866="","",COUNTA(D856:D866)-(COUNTA(D866:D866)-1))</f>
        <v/>
      </c>
    </row>
    <row r="867" spans="1:10" thickBot="1">
      <c r="A867" s="117"/>
      <c r="B867" s="70">
        <f t="shared" si="57"/>
        <v>44659</v>
      </c>
      <c r="C867" s="82" t="str">
        <f t="shared" si="58"/>
        <v>vendredi</v>
      </c>
      <c r="D867" s="87"/>
      <c r="E867" s="115" t="str">
        <f t="shared" si="59"/>
        <v/>
      </c>
      <c r="F867" s="115" t="str">
        <f t="shared" si="60"/>
        <v/>
      </c>
      <c r="G867" s="116" t="str">
        <f>IF(ISNONTEXT(D867),"",E867-MAX($F$2:F866))</f>
        <v/>
      </c>
      <c r="H867" s="97"/>
      <c r="I867" s="74" t="str">
        <f ca="1">IF(D867="N",COUNTIF(INDIRECT(ADDRESS(MATCH(Plages!$D$19,'Planning annuel mixing coater'!$B:$B),4)):D867,"N"),IF(D867="N1",COUNTIF($D$9:D867,"N1"),""))</f>
        <v/>
      </c>
      <c r="J867" s="96" t="str">
        <f>IF(D867="","",COUNTA(D856:D867)-(COUNTA(D867:D867)-1))</f>
        <v/>
      </c>
    </row>
    <row r="868" spans="1:10" thickBot="1">
      <c r="A868" s="117"/>
      <c r="B868" s="70">
        <f t="shared" si="57"/>
        <v>44660</v>
      </c>
      <c r="C868" s="82" t="str">
        <f t="shared" si="58"/>
        <v>samedi</v>
      </c>
      <c r="D868" s="87"/>
      <c r="E868" s="115" t="str">
        <f t="shared" si="59"/>
        <v/>
      </c>
      <c r="F868" s="115" t="str">
        <f t="shared" si="60"/>
        <v/>
      </c>
      <c r="G868" s="116" t="str">
        <f>IF(ISNONTEXT(D868),"",E868-MAX($F$2:F867))</f>
        <v/>
      </c>
      <c r="H868" s="97"/>
      <c r="I868" s="74" t="str">
        <f ca="1">IF(D868="N",COUNTIF(INDIRECT(ADDRESS(MATCH(Plages!$D$19,'Planning annuel mixing coater'!$B:$B),4)):D868,"N"),IF(D868="N1",COUNTIF($D$9:D868,"N1"),""))</f>
        <v/>
      </c>
      <c r="J868" s="96" t="str">
        <f>IF(D868="","",COUNTA(D856:D868)-(COUNTA(D868:D868)-1))</f>
        <v/>
      </c>
    </row>
    <row r="869" spans="1:10" s="77" customFormat="1" thickBot="1">
      <c r="A869" s="117"/>
      <c r="B869" s="75">
        <f t="shared" si="57"/>
        <v>44661</v>
      </c>
      <c r="C869" s="83" t="str">
        <f t="shared" si="58"/>
        <v>dimanche</v>
      </c>
      <c r="D869" s="88"/>
      <c r="E869" s="115" t="str">
        <f t="shared" si="59"/>
        <v/>
      </c>
      <c r="F869" s="115" t="str">
        <f t="shared" si="60"/>
        <v/>
      </c>
      <c r="G869" s="116" t="str">
        <f>IF(ISNONTEXT(D869),"",E869-MAX($F$2:F868))</f>
        <v/>
      </c>
      <c r="H869" s="98"/>
      <c r="I869" s="76" t="str">
        <f ca="1">IF(D869="N",COUNTIF(INDIRECT(ADDRESS(MATCH(Plages!$D$19,'Planning annuel mixing coater'!$B:$B),4)):D869,"N"),IF(D869="N1",COUNTIF($D$9:D869,"N1"),""))</f>
        <v/>
      </c>
      <c r="J869" s="99" t="str">
        <f>IF(D869="","",COUNTA(D856:D869)-(COUNTA(D869:D869)-1))</f>
        <v/>
      </c>
    </row>
    <row r="870" spans="1:10" ht="16.5" thickTop="1" thickBot="1">
      <c r="A870" s="117"/>
      <c r="B870" s="78">
        <f t="shared" si="57"/>
        <v>44662</v>
      </c>
      <c r="C870" s="81" t="str">
        <f t="shared" si="58"/>
        <v>lundi</v>
      </c>
      <c r="D870" s="89"/>
      <c r="E870" s="115" t="str">
        <f t="shared" si="59"/>
        <v/>
      </c>
      <c r="F870" s="115" t="str">
        <f t="shared" si="60"/>
        <v/>
      </c>
      <c r="G870" s="116" t="str">
        <f>IF(ISNONTEXT(D870),"",E870-MAX($F$2:F869))</f>
        <v/>
      </c>
      <c r="H870" s="100"/>
      <c r="I870" s="79" t="str">
        <f ca="1">IF(D870="N",COUNTIF(INDIRECT(ADDRESS(MATCH(Plages!$D$19,'Planning annuel mixing coater'!$B:$B),4)):D870,"N"),IF(D870="N1",COUNTIF($D$9:D870,"N1"),""))</f>
        <v/>
      </c>
      <c r="J870" s="101" t="str">
        <f>IF(D870="","",COUNTA(D870:D870)-(COUNTA(D870:D870)-1))</f>
        <v/>
      </c>
    </row>
    <row r="871" spans="1:10" thickBot="1">
      <c r="A871" s="117"/>
      <c r="B871" s="70">
        <f t="shared" si="57"/>
        <v>44663</v>
      </c>
      <c r="C871" s="82" t="str">
        <f t="shared" si="58"/>
        <v>mardi</v>
      </c>
      <c r="D871" s="87"/>
      <c r="E871" s="115" t="str">
        <f t="shared" si="59"/>
        <v/>
      </c>
      <c r="F871" s="115" t="str">
        <f t="shared" si="60"/>
        <v/>
      </c>
      <c r="G871" s="116" t="str">
        <f>IF(ISNONTEXT(D871),"",E871-MAX($F$2:F870))</f>
        <v/>
      </c>
      <c r="H871" s="97"/>
      <c r="I871" s="74" t="str">
        <f ca="1">IF(D871="N",COUNTIF(INDIRECT(ADDRESS(MATCH(Plages!$D$19,'Planning annuel mixing coater'!$B:$B),4)):D871,"N"),IF(D871="N1",COUNTIF($D$9:D871,"N1"),""))</f>
        <v/>
      </c>
      <c r="J871" s="96" t="str">
        <f>IF(D871="","",COUNTA(D870:D871)-(COUNTA(D871:D871)-1))</f>
        <v/>
      </c>
    </row>
    <row r="872" spans="1:10" thickBot="1">
      <c r="A872" s="117"/>
      <c r="B872" s="70">
        <f t="shared" si="57"/>
        <v>44664</v>
      </c>
      <c r="C872" s="82" t="str">
        <f t="shared" si="58"/>
        <v>mercredi</v>
      </c>
      <c r="D872" s="87"/>
      <c r="E872" s="115" t="str">
        <f t="shared" si="59"/>
        <v/>
      </c>
      <c r="F872" s="115" t="str">
        <f t="shared" si="60"/>
        <v/>
      </c>
      <c r="G872" s="116" t="str">
        <f>IF(ISNONTEXT(D872),"",E872-MAX($F$2:F871))</f>
        <v/>
      </c>
      <c r="H872" s="97"/>
      <c r="I872" s="74" t="str">
        <f ca="1">IF(D872="N",COUNTIF(INDIRECT(ADDRESS(MATCH(Plages!$D$19,'Planning annuel mixing coater'!$B:$B),4)):D872,"N"),IF(D872="N1",COUNTIF($D$9:D872,"N1"),""))</f>
        <v/>
      </c>
      <c r="J872" s="96" t="str">
        <f>IF(D872="","",COUNTA(D870:D872)-(COUNTA(D872:D872)-1))</f>
        <v/>
      </c>
    </row>
    <row r="873" spans="1:10" thickBot="1">
      <c r="A873" s="117"/>
      <c r="B873" s="70">
        <f t="shared" si="57"/>
        <v>44665</v>
      </c>
      <c r="C873" s="82" t="str">
        <f t="shared" si="58"/>
        <v>jeudi</v>
      </c>
      <c r="D873" s="87"/>
      <c r="E873" s="115" t="str">
        <f t="shared" si="59"/>
        <v/>
      </c>
      <c r="F873" s="115" t="str">
        <f t="shared" si="60"/>
        <v/>
      </c>
      <c r="G873" s="116" t="str">
        <f>IF(ISNONTEXT(D873),"",E873-MAX($F$2:F872))</f>
        <v/>
      </c>
      <c r="H873" s="97"/>
      <c r="I873" s="74" t="str">
        <f ca="1">IF(D873="N",COUNTIF(INDIRECT(ADDRESS(MATCH(Plages!$D$19,'Planning annuel mixing coater'!$B:$B),4)):D873,"N"),IF(D873="N1",COUNTIF($D$9:D873,"N1"),""))</f>
        <v/>
      </c>
      <c r="J873" s="96" t="str">
        <f>IF(D873="","",COUNTA(D870:D873)-(COUNTA(D873:D873)-1))</f>
        <v/>
      </c>
    </row>
    <row r="874" spans="1:10" thickBot="1">
      <c r="A874" s="117"/>
      <c r="B874" s="70">
        <f t="shared" si="57"/>
        <v>44666</v>
      </c>
      <c r="C874" s="82" t="str">
        <f t="shared" si="58"/>
        <v>vendredi</v>
      </c>
      <c r="D874" s="87"/>
      <c r="E874" s="115" t="str">
        <f t="shared" si="59"/>
        <v/>
      </c>
      <c r="F874" s="115" t="str">
        <f t="shared" si="60"/>
        <v/>
      </c>
      <c r="G874" s="116" t="str">
        <f>IF(ISNONTEXT(D874),"",E874-MAX($F$2:F873))</f>
        <v/>
      </c>
      <c r="H874" s="97"/>
      <c r="I874" s="74" t="str">
        <f ca="1">IF(D874="N",COUNTIF(INDIRECT(ADDRESS(MATCH(Plages!$D$19,'Planning annuel mixing coater'!$B:$B),4)):D874,"N"),IF(D874="N1",COUNTIF($D$9:D874,"N1"),""))</f>
        <v/>
      </c>
      <c r="J874" s="96" t="str">
        <f>IF(D874="","",COUNTA(D870:D874)-(COUNTA(D874:D874)-1))</f>
        <v/>
      </c>
    </row>
    <row r="875" spans="1:10" thickBot="1">
      <c r="A875" s="117"/>
      <c r="B875" s="70">
        <f t="shared" si="57"/>
        <v>44667</v>
      </c>
      <c r="C875" s="82" t="str">
        <f t="shared" si="58"/>
        <v>samedi</v>
      </c>
      <c r="D875" s="87"/>
      <c r="E875" s="115" t="str">
        <f t="shared" si="59"/>
        <v/>
      </c>
      <c r="F875" s="115" t="str">
        <f t="shared" si="60"/>
        <v/>
      </c>
      <c r="G875" s="116" t="str">
        <f>IF(ISNONTEXT(D875),"",E875-MAX($F$2:F874))</f>
        <v/>
      </c>
      <c r="H875" s="97"/>
      <c r="I875" s="74" t="str">
        <f ca="1">IF(D875="N",COUNTIF(INDIRECT(ADDRESS(MATCH(Plages!$D$19,'Planning annuel mixing coater'!$B:$B),4)):D875,"N"),IF(D875="N1",COUNTIF($D$9:D875,"N1"),""))</f>
        <v/>
      </c>
      <c r="J875" s="96" t="str">
        <f>IF(D875="","",COUNTA(D870:D875)-(COUNTA(D875:D875)-1))</f>
        <v/>
      </c>
    </row>
    <row r="876" spans="1:10" thickBot="1">
      <c r="A876" s="117"/>
      <c r="B876" s="70">
        <f t="shared" si="57"/>
        <v>44668</v>
      </c>
      <c r="C876" s="82" t="str">
        <f t="shared" si="58"/>
        <v>dimanche</v>
      </c>
      <c r="D876" s="87"/>
      <c r="E876" s="115" t="str">
        <f t="shared" si="59"/>
        <v/>
      </c>
      <c r="F876" s="115" t="str">
        <f t="shared" si="60"/>
        <v/>
      </c>
      <c r="G876" s="116" t="str">
        <f>IF(ISNONTEXT(D876),"",E876-MAX($F$2:F875))</f>
        <v/>
      </c>
      <c r="H876" s="98"/>
      <c r="I876" s="74" t="str">
        <f ca="1">IF(D876="N",COUNTIF(INDIRECT(ADDRESS(MATCH(Plages!$D$19,'Planning annuel mixing coater'!$B:$B),4)):D876,"N"),IF(D876="N1",COUNTIF($D$9:D876,"N1"),""))</f>
        <v/>
      </c>
      <c r="J876" s="96" t="str">
        <f>IF(D876="","",COUNTA(D870:D876)-(COUNTA(D876:D876)-1))</f>
        <v/>
      </c>
    </row>
    <row r="877" spans="1:10" thickBot="1">
      <c r="A877" s="117"/>
      <c r="B877" s="70">
        <f t="shared" si="57"/>
        <v>44669</v>
      </c>
      <c r="C877" s="82" t="str">
        <f t="shared" si="58"/>
        <v>lundi</v>
      </c>
      <c r="D877" s="87"/>
      <c r="E877" s="115" t="str">
        <f t="shared" si="59"/>
        <v/>
      </c>
      <c r="F877" s="115" t="str">
        <f t="shared" si="60"/>
        <v/>
      </c>
      <c r="G877" s="116" t="str">
        <f>IF(ISNONTEXT(D877),"",E877-MAX($F$2:F876))</f>
        <v/>
      </c>
      <c r="H877" s="97"/>
      <c r="I877" s="74" t="str">
        <f ca="1">IF(D877="N",COUNTIF(INDIRECT(ADDRESS(MATCH(Plages!$D$19,'Planning annuel mixing coater'!$B:$B),4)):D877,"N"),IF(D877="N1",COUNTIF($D$9:D877,"N1"),""))</f>
        <v/>
      </c>
      <c r="J877" s="96" t="str">
        <f>IF(D877="","",COUNTA(D870:D877)-(COUNTA(D877:D877)-1))</f>
        <v/>
      </c>
    </row>
    <row r="878" spans="1:10" thickBot="1">
      <c r="A878" s="117"/>
      <c r="B878" s="70">
        <f t="shared" si="57"/>
        <v>44670</v>
      </c>
      <c r="C878" s="82" t="str">
        <f t="shared" si="58"/>
        <v>mardi</v>
      </c>
      <c r="D878" s="87"/>
      <c r="E878" s="115" t="str">
        <f t="shared" si="59"/>
        <v/>
      </c>
      <c r="F878" s="115" t="str">
        <f t="shared" si="60"/>
        <v/>
      </c>
      <c r="G878" s="116" t="str">
        <f>IF(ISNONTEXT(D878),"",E878-MAX($F$2:F877))</f>
        <v/>
      </c>
      <c r="H878" s="97"/>
      <c r="I878" s="74" t="str">
        <f ca="1">IF(D878="N",COUNTIF(INDIRECT(ADDRESS(MATCH(Plages!$D$19,'Planning annuel mixing coater'!$B:$B),4)):D878,"N"),IF(D878="N1",COUNTIF($D$9:D878,"N1"),""))</f>
        <v/>
      </c>
      <c r="J878" s="96" t="str">
        <f>IF(D878="","",COUNTA(D870:D878)-(COUNTA(D878:D878)-1))</f>
        <v/>
      </c>
    </row>
    <row r="879" spans="1:10" thickBot="1">
      <c r="A879" s="117"/>
      <c r="B879" s="70">
        <f t="shared" si="57"/>
        <v>44671</v>
      </c>
      <c r="C879" s="82" t="str">
        <f t="shared" si="58"/>
        <v>mercredi</v>
      </c>
      <c r="D879" s="87"/>
      <c r="E879" s="115" t="str">
        <f t="shared" si="59"/>
        <v/>
      </c>
      <c r="F879" s="115" t="str">
        <f t="shared" si="60"/>
        <v/>
      </c>
      <c r="G879" s="116" t="str">
        <f>IF(ISNONTEXT(D879),"",E879-MAX($F$2:F878))</f>
        <v/>
      </c>
      <c r="H879" s="97"/>
      <c r="I879" s="74" t="str">
        <f ca="1">IF(D879="N",COUNTIF(INDIRECT(ADDRESS(MATCH(Plages!$D$19,'Planning annuel mixing coater'!$B:$B),4)):D879,"N"),IF(D879="N1",COUNTIF($D$9:D879,"N1"),""))</f>
        <v/>
      </c>
      <c r="J879" s="96" t="str">
        <f>IF(D879="","",COUNTA(D870:D879)-(COUNTA(D879:D879)-1))</f>
        <v/>
      </c>
    </row>
    <row r="880" spans="1:10" thickBot="1">
      <c r="A880" s="117"/>
      <c r="B880" s="70">
        <f t="shared" si="57"/>
        <v>44672</v>
      </c>
      <c r="C880" s="82" t="str">
        <f t="shared" si="58"/>
        <v>jeudi</v>
      </c>
      <c r="D880" s="87"/>
      <c r="E880" s="115" t="str">
        <f t="shared" si="59"/>
        <v/>
      </c>
      <c r="F880" s="115" t="str">
        <f t="shared" si="60"/>
        <v/>
      </c>
      <c r="G880" s="116" t="str">
        <f>IF(ISNONTEXT(D880),"",E880-MAX($F$2:F879))</f>
        <v/>
      </c>
      <c r="H880" s="97"/>
      <c r="I880" s="74" t="str">
        <f ca="1">IF(D880="N",COUNTIF(INDIRECT(ADDRESS(MATCH(Plages!$D$19,'Planning annuel mixing coater'!$B:$B),4)):D880,"N"),IF(D880="N1",COUNTIF($D$9:D880,"N1"),""))</f>
        <v/>
      </c>
      <c r="J880" s="96" t="str">
        <f>IF(D880="","",COUNTA(D870:D880)-(COUNTA(D880:D880)-1))</f>
        <v/>
      </c>
    </row>
    <row r="881" spans="1:10" thickBot="1">
      <c r="A881" s="117"/>
      <c r="B881" s="70">
        <f t="shared" si="57"/>
        <v>44673</v>
      </c>
      <c r="C881" s="82" t="str">
        <f t="shared" si="58"/>
        <v>vendredi</v>
      </c>
      <c r="D881" s="87"/>
      <c r="E881" s="115" t="str">
        <f t="shared" si="59"/>
        <v/>
      </c>
      <c r="F881" s="115" t="str">
        <f t="shared" si="60"/>
        <v/>
      </c>
      <c r="G881" s="116" t="str">
        <f>IF(ISNONTEXT(D881),"",E881-MAX($F$2:F880))</f>
        <v/>
      </c>
      <c r="H881" s="97"/>
      <c r="I881" s="74" t="str">
        <f ca="1">IF(D881="N",COUNTIF(INDIRECT(ADDRESS(MATCH(Plages!$D$19,'Planning annuel mixing coater'!$B:$B),4)):D881,"N"),IF(D881="N1",COUNTIF($D$9:D881,"N1"),""))</f>
        <v/>
      </c>
      <c r="J881" s="96" t="str">
        <f>IF(D881="","",COUNTA(D870:D881)-(COUNTA(D881:D881)-1))</f>
        <v/>
      </c>
    </row>
    <row r="882" spans="1:10" thickBot="1">
      <c r="A882" s="117"/>
      <c r="B882" s="70">
        <f t="shared" si="57"/>
        <v>44674</v>
      </c>
      <c r="C882" s="82" t="str">
        <f t="shared" si="58"/>
        <v>samedi</v>
      </c>
      <c r="D882" s="87"/>
      <c r="E882" s="115" t="str">
        <f t="shared" si="59"/>
        <v/>
      </c>
      <c r="F882" s="115" t="str">
        <f t="shared" si="60"/>
        <v/>
      </c>
      <c r="G882" s="116" t="str">
        <f>IF(ISNONTEXT(D882),"",E882-MAX($F$2:F881))</f>
        <v/>
      </c>
      <c r="H882" s="97"/>
      <c r="I882" s="74" t="str">
        <f ca="1">IF(D882="N",COUNTIF(INDIRECT(ADDRESS(MATCH(Plages!$D$19,'Planning annuel mixing coater'!$B:$B),4)):D882,"N"),IF(D882="N1",COUNTIF($D$9:D882,"N1"),""))</f>
        <v/>
      </c>
      <c r="J882" s="96" t="str">
        <f>IF(D882="","",COUNTA(D870:D882)-(COUNTA(D882:D882)-1))</f>
        <v/>
      </c>
    </row>
    <row r="883" spans="1:10" s="77" customFormat="1" thickBot="1">
      <c r="A883" s="117"/>
      <c r="B883" s="75">
        <f t="shared" si="57"/>
        <v>44675</v>
      </c>
      <c r="C883" s="83" t="str">
        <f t="shared" si="58"/>
        <v>dimanche</v>
      </c>
      <c r="D883" s="88"/>
      <c r="E883" s="115" t="str">
        <f t="shared" si="59"/>
        <v/>
      </c>
      <c r="F883" s="115" t="str">
        <f t="shared" si="60"/>
        <v/>
      </c>
      <c r="G883" s="116" t="str">
        <f>IF(ISNONTEXT(D883),"",E883-MAX($F$2:F882))</f>
        <v/>
      </c>
      <c r="H883" s="98"/>
      <c r="I883" s="76" t="str">
        <f ca="1">IF(D883="N",COUNTIF(INDIRECT(ADDRESS(MATCH(Plages!$D$19,'Planning annuel mixing coater'!$B:$B),4)):D883,"N"),IF(D883="N1",COUNTIF($D$9:D883,"N1"),""))</f>
        <v/>
      </c>
      <c r="J883" s="99" t="str">
        <f>IF(D883="","",COUNTA(D870:D883)-(COUNTA(D883:D883)-1))</f>
        <v/>
      </c>
    </row>
    <row r="884" spans="1:10" ht="16.5" thickTop="1" thickBot="1">
      <c r="A884" s="117"/>
      <c r="B884" s="78">
        <f t="shared" si="57"/>
        <v>44676</v>
      </c>
      <c r="C884" s="81" t="str">
        <f t="shared" si="58"/>
        <v>lundi</v>
      </c>
      <c r="D884" s="89"/>
      <c r="E884" s="115" t="str">
        <f t="shared" si="59"/>
        <v/>
      </c>
      <c r="F884" s="115" t="str">
        <f t="shared" si="60"/>
        <v/>
      </c>
      <c r="G884" s="116" t="str">
        <f>IF(ISNONTEXT(D884),"",E884-MAX($F$2:F883))</f>
        <v/>
      </c>
      <c r="H884" s="100"/>
      <c r="I884" s="79" t="str">
        <f ca="1">IF(D884="N",COUNTIF(INDIRECT(ADDRESS(MATCH(Plages!$D$19,'Planning annuel mixing coater'!$B:$B),4)):D884,"N"),IF(D884="N1",COUNTIF($D$9:D884,"N1"),""))</f>
        <v/>
      </c>
      <c r="J884" s="101" t="str">
        <f>IF(D884="","",COUNTA(D884:D884)-(COUNTA(D884:D884)-1))</f>
        <v/>
      </c>
    </row>
    <row r="885" spans="1:10" thickBot="1">
      <c r="A885" s="117"/>
      <c r="B885" s="70">
        <f t="shared" si="57"/>
        <v>44677</v>
      </c>
      <c r="C885" s="82" t="str">
        <f t="shared" si="58"/>
        <v>mardi</v>
      </c>
      <c r="D885" s="87"/>
      <c r="E885" s="115" t="str">
        <f t="shared" si="59"/>
        <v/>
      </c>
      <c r="F885" s="115" t="str">
        <f t="shared" si="60"/>
        <v/>
      </c>
      <c r="G885" s="116" t="str">
        <f>IF(ISNONTEXT(D885),"",E885-MAX($F$2:F884))</f>
        <v/>
      </c>
      <c r="H885" s="97"/>
      <c r="I885" s="74" t="str">
        <f ca="1">IF(D885="N",COUNTIF(INDIRECT(ADDRESS(MATCH(Plages!$D$19,'Planning annuel mixing coater'!$B:$B),4)):D885,"N"),IF(D885="N1",COUNTIF($D$9:D885,"N1"),""))</f>
        <v/>
      </c>
      <c r="J885" s="96" t="str">
        <f>IF(D885="","",COUNTA(D884:D885)-(COUNTA(D885:D885)-1))</f>
        <v/>
      </c>
    </row>
    <row r="886" spans="1:10" thickBot="1">
      <c r="A886" s="117"/>
      <c r="B886" s="70">
        <f t="shared" si="57"/>
        <v>44678</v>
      </c>
      <c r="C886" s="82" t="str">
        <f t="shared" si="58"/>
        <v>mercredi</v>
      </c>
      <c r="D886" s="87"/>
      <c r="E886" s="115" t="str">
        <f t="shared" si="59"/>
        <v/>
      </c>
      <c r="F886" s="115" t="str">
        <f t="shared" si="60"/>
        <v/>
      </c>
      <c r="G886" s="116" t="str">
        <f>IF(ISNONTEXT(D886),"",E886-MAX($F$2:F885))</f>
        <v/>
      </c>
      <c r="H886" s="97"/>
      <c r="I886" s="74" t="str">
        <f ca="1">IF(D886="N",COUNTIF(INDIRECT(ADDRESS(MATCH(Plages!$D$19,'Planning annuel mixing coater'!$B:$B),4)):D886,"N"),IF(D886="N1",COUNTIF($D$9:D886,"N1"),""))</f>
        <v/>
      </c>
      <c r="J886" s="96" t="str">
        <f>IF(D886="","",COUNTA(D884:D886)-(COUNTA(D886:D886)-1))</f>
        <v/>
      </c>
    </row>
    <row r="887" spans="1:10" thickBot="1">
      <c r="A887" s="117"/>
      <c r="B887" s="70">
        <f t="shared" si="57"/>
        <v>44679</v>
      </c>
      <c r="C887" s="82" t="str">
        <f t="shared" si="58"/>
        <v>jeudi</v>
      </c>
      <c r="D887" s="87"/>
      <c r="E887" s="115" t="str">
        <f t="shared" si="59"/>
        <v/>
      </c>
      <c r="F887" s="115" t="str">
        <f t="shared" si="60"/>
        <v/>
      </c>
      <c r="G887" s="116" t="str">
        <f>IF(ISNONTEXT(D887),"",E887-MAX($F$2:F886))</f>
        <v/>
      </c>
      <c r="H887" s="97"/>
      <c r="I887" s="74" t="str">
        <f ca="1">IF(D887="N",COUNTIF(INDIRECT(ADDRESS(MATCH(Plages!$D$19,'Planning annuel mixing coater'!$B:$B),4)):D887,"N"),IF(D887="N1",COUNTIF($D$9:D887,"N1"),""))</f>
        <v/>
      </c>
      <c r="J887" s="96" t="str">
        <f>IF(D887="","",COUNTA(D884:D887)-(COUNTA(D887:D887)-1))</f>
        <v/>
      </c>
    </row>
    <row r="888" spans="1:10" thickBot="1">
      <c r="A888" s="117"/>
      <c r="B888" s="70">
        <f t="shared" si="57"/>
        <v>44680</v>
      </c>
      <c r="C888" s="82" t="str">
        <f t="shared" si="58"/>
        <v>vendredi</v>
      </c>
      <c r="D888" s="87"/>
      <c r="E888" s="115" t="str">
        <f t="shared" si="59"/>
        <v/>
      </c>
      <c r="F888" s="115" t="str">
        <f t="shared" si="60"/>
        <v/>
      </c>
      <c r="G888" s="116" t="str">
        <f>IF(ISNONTEXT(D888),"",E888-MAX($F$2:F887))</f>
        <v/>
      </c>
      <c r="H888" s="97"/>
      <c r="I888" s="74" t="str">
        <f ca="1">IF(D888="N",COUNTIF(INDIRECT(ADDRESS(MATCH(Plages!$D$19,'Planning annuel mixing coater'!$B:$B),4)):D888,"N"),IF(D888="N1",COUNTIF($D$9:D888,"N1"),""))</f>
        <v/>
      </c>
      <c r="J888" s="96" t="str">
        <f>IF(D888="","",COUNTA(D884:D888)-(COUNTA(D888:D888)-1))</f>
        <v/>
      </c>
    </row>
    <row r="889" spans="1:10" thickBot="1">
      <c r="A889" s="117"/>
      <c r="B889" s="70">
        <f t="shared" si="57"/>
        <v>44681</v>
      </c>
      <c r="C889" s="82" t="str">
        <f t="shared" si="58"/>
        <v>samedi</v>
      </c>
      <c r="D889" s="87"/>
      <c r="E889" s="115" t="str">
        <f t="shared" si="59"/>
        <v/>
      </c>
      <c r="F889" s="115" t="str">
        <f t="shared" si="60"/>
        <v/>
      </c>
      <c r="G889" s="116" t="str">
        <f>IF(ISNONTEXT(D889),"",E889-MAX($F$2:F888))</f>
        <v/>
      </c>
      <c r="H889" s="97"/>
      <c r="I889" s="74" t="str">
        <f ca="1">IF(D889="N",COUNTIF(INDIRECT(ADDRESS(MATCH(Plages!$D$19,'Planning annuel mixing coater'!$B:$B),4)):D889,"N"),IF(D889="N1",COUNTIF($D$9:D889,"N1"),""))</f>
        <v/>
      </c>
      <c r="J889" s="96" t="str">
        <f>IF(D889="","",COUNTA(D884:D889)-(COUNTA(D889:D889)-1))</f>
        <v/>
      </c>
    </row>
    <row r="890" spans="1:10" thickBot="1">
      <c r="A890" s="117"/>
      <c r="B890" s="70">
        <f t="shared" si="57"/>
        <v>44682</v>
      </c>
      <c r="C890" s="82" t="str">
        <f t="shared" si="58"/>
        <v>dimanche</v>
      </c>
      <c r="D890" s="87"/>
      <c r="E890" s="115" t="str">
        <f t="shared" si="59"/>
        <v/>
      </c>
      <c r="F890" s="115" t="str">
        <f t="shared" si="60"/>
        <v/>
      </c>
      <c r="G890" s="116" t="str">
        <f>IF(ISNONTEXT(D890),"",E890-MAX($F$2:F889))</f>
        <v/>
      </c>
      <c r="H890" s="98"/>
      <c r="I890" s="74" t="str">
        <f ca="1">IF(D890="N",COUNTIF(INDIRECT(ADDRESS(MATCH(Plages!$D$19,'Planning annuel mixing coater'!$B:$B),4)):D890,"N"),IF(D890="N1",COUNTIF($D$9:D890,"N1"),""))</f>
        <v/>
      </c>
      <c r="J890" s="96" t="str">
        <f>IF(D890="","",COUNTA(D884:D890)-(COUNTA(D890:D890)-1))</f>
        <v/>
      </c>
    </row>
    <row r="891" spans="1:10" thickBot="1">
      <c r="A891" s="117"/>
      <c r="B891" s="70">
        <f t="shared" si="57"/>
        <v>44683</v>
      </c>
      <c r="C891" s="82" t="str">
        <f t="shared" si="58"/>
        <v>lundi</v>
      </c>
      <c r="D891" s="87"/>
      <c r="E891" s="115" t="str">
        <f t="shared" si="59"/>
        <v/>
      </c>
      <c r="F891" s="115" t="str">
        <f t="shared" si="60"/>
        <v/>
      </c>
      <c r="G891" s="116" t="str">
        <f>IF(ISNONTEXT(D891),"",E891-MAX($F$2:F890))</f>
        <v/>
      </c>
      <c r="H891" s="97"/>
      <c r="I891" s="74" t="str">
        <f ca="1">IF(D891="N",COUNTIF(INDIRECT(ADDRESS(MATCH(Plages!$D$19,'Planning annuel mixing coater'!$B:$B),4)):D891,"N"),IF(D891="N1",COUNTIF($D$9:D891,"N1"),""))</f>
        <v/>
      </c>
      <c r="J891" s="96" t="str">
        <f>IF(D891="","",COUNTA(D884:D891)-(COUNTA(D891:D891)-1))</f>
        <v/>
      </c>
    </row>
    <row r="892" spans="1:10" thickBot="1">
      <c r="A892" s="117"/>
      <c r="B892" s="70">
        <f t="shared" si="57"/>
        <v>44684</v>
      </c>
      <c r="C892" s="82" t="str">
        <f t="shared" si="58"/>
        <v>mardi</v>
      </c>
      <c r="D892" s="87"/>
      <c r="E892" s="115" t="str">
        <f t="shared" si="59"/>
        <v/>
      </c>
      <c r="F892" s="115" t="str">
        <f t="shared" si="60"/>
        <v/>
      </c>
      <c r="G892" s="116" t="str">
        <f>IF(ISNONTEXT(D892),"",E892-MAX($F$2:F891))</f>
        <v/>
      </c>
      <c r="H892" s="97"/>
      <c r="I892" s="74" t="str">
        <f ca="1">IF(D892="N",COUNTIF(INDIRECT(ADDRESS(MATCH(Plages!$D$19,'Planning annuel mixing coater'!$B:$B),4)):D892,"N"),IF(D892="N1",COUNTIF($D$9:D892,"N1"),""))</f>
        <v/>
      </c>
      <c r="J892" s="96" t="str">
        <f>IF(D892="","",COUNTA(D884:D892)-(COUNTA(D892:D892)-1))</f>
        <v/>
      </c>
    </row>
    <row r="893" spans="1:10" thickBot="1">
      <c r="A893" s="117"/>
      <c r="B893" s="70">
        <f t="shared" si="57"/>
        <v>44685</v>
      </c>
      <c r="C893" s="82" t="str">
        <f t="shared" si="58"/>
        <v>mercredi</v>
      </c>
      <c r="D893" s="87"/>
      <c r="E893" s="115" t="str">
        <f t="shared" si="59"/>
        <v/>
      </c>
      <c r="F893" s="115" t="str">
        <f t="shared" si="60"/>
        <v/>
      </c>
      <c r="G893" s="116" t="str">
        <f>IF(ISNONTEXT(D893),"",E893-MAX($F$2:F892))</f>
        <v/>
      </c>
      <c r="H893" s="97"/>
      <c r="I893" s="74" t="str">
        <f ca="1">IF(D893="N",COUNTIF(INDIRECT(ADDRESS(MATCH(Plages!$D$19,'Planning annuel mixing coater'!$B:$B),4)):D893,"N"),IF(D893="N1",COUNTIF($D$9:D893,"N1"),""))</f>
        <v/>
      </c>
      <c r="J893" s="96" t="str">
        <f>IF(D893="","",COUNTA(D884:D893)-(COUNTA(D893:D893)-1))</f>
        <v/>
      </c>
    </row>
    <row r="894" spans="1:10" thickBot="1">
      <c r="A894" s="117"/>
      <c r="B894" s="70">
        <f t="shared" si="57"/>
        <v>44686</v>
      </c>
      <c r="C894" s="82" t="str">
        <f t="shared" si="58"/>
        <v>jeudi</v>
      </c>
      <c r="D894" s="87"/>
      <c r="E894" s="115" t="str">
        <f t="shared" si="59"/>
        <v/>
      </c>
      <c r="F894" s="115" t="str">
        <f t="shared" si="60"/>
        <v/>
      </c>
      <c r="G894" s="116" t="str">
        <f>IF(ISNONTEXT(D894),"",E894-MAX($F$2:F893))</f>
        <v/>
      </c>
      <c r="H894" s="97"/>
      <c r="I894" s="74" t="str">
        <f ca="1">IF(D894="N",COUNTIF(INDIRECT(ADDRESS(MATCH(Plages!$D$19,'Planning annuel mixing coater'!$B:$B),4)):D894,"N"),IF(D894="N1",COUNTIF($D$9:D894,"N1"),""))</f>
        <v/>
      </c>
      <c r="J894" s="96" t="str">
        <f>IF(D894="","",COUNTA(D884:D894)-(COUNTA(D894:D894)-1))</f>
        <v/>
      </c>
    </row>
    <row r="895" spans="1:10" thickBot="1">
      <c r="A895" s="117"/>
      <c r="B895" s="70">
        <f t="shared" si="57"/>
        <v>44687</v>
      </c>
      <c r="C895" s="82" t="str">
        <f t="shared" si="58"/>
        <v>vendredi</v>
      </c>
      <c r="D895" s="87"/>
      <c r="E895" s="115" t="str">
        <f t="shared" si="59"/>
        <v/>
      </c>
      <c r="F895" s="115" t="str">
        <f t="shared" si="60"/>
        <v/>
      </c>
      <c r="G895" s="116" t="str">
        <f>IF(ISNONTEXT(D895),"",E895-MAX($F$2:F894))</f>
        <v/>
      </c>
      <c r="H895" s="97"/>
      <c r="I895" s="74" t="str">
        <f ca="1">IF(D895="N",COUNTIF(INDIRECT(ADDRESS(MATCH(Plages!$D$19,'Planning annuel mixing coater'!$B:$B),4)):D895,"N"),IF(D895="N1",COUNTIF($D$9:D895,"N1"),""))</f>
        <v/>
      </c>
      <c r="J895" s="96" t="str">
        <f>IF(D895="","",COUNTA(D884:D895)-(COUNTA(D895:D895)-1))</f>
        <v/>
      </c>
    </row>
    <row r="896" spans="1:10" thickBot="1">
      <c r="A896" s="117"/>
      <c r="B896" s="70">
        <f t="shared" si="57"/>
        <v>44688</v>
      </c>
      <c r="C896" s="82" t="str">
        <f t="shared" si="58"/>
        <v>samedi</v>
      </c>
      <c r="D896" s="87"/>
      <c r="E896" s="115" t="str">
        <f t="shared" si="59"/>
        <v/>
      </c>
      <c r="F896" s="115" t="str">
        <f t="shared" si="60"/>
        <v/>
      </c>
      <c r="G896" s="116" t="str">
        <f>IF(ISNONTEXT(D896),"",E896-MAX($F$2:F895))</f>
        <v/>
      </c>
      <c r="H896" s="97"/>
      <c r="I896" s="74" t="str">
        <f ca="1">IF(D896="N",COUNTIF(INDIRECT(ADDRESS(MATCH(Plages!$D$19,'Planning annuel mixing coater'!$B:$B),4)):D896,"N"),IF(D896="N1",COUNTIF($D$9:D896,"N1"),""))</f>
        <v/>
      </c>
      <c r="J896" s="96" t="str">
        <f>IF(D896="","",COUNTA(D884:D896)-(COUNTA(D896:D896)-1))</f>
        <v/>
      </c>
    </row>
    <row r="897" spans="1:10" s="77" customFormat="1" thickBot="1">
      <c r="A897" s="117"/>
      <c r="B897" s="75">
        <f t="shared" si="57"/>
        <v>44689</v>
      </c>
      <c r="C897" s="83" t="str">
        <f t="shared" si="58"/>
        <v>dimanche</v>
      </c>
      <c r="D897" s="88"/>
      <c r="E897" s="115" t="str">
        <f t="shared" si="59"/>
        <v/>
      </c>
      <c r="F897" s="115" t="str">
        <f t="shared" si="60"/>
        <v/>
      </c>
      <c r="G897" s="116" t="str">
        <f>IF(ISNONTEXT(D897),"",E897-MAX($F$2:F896))</f>
        <v/>
      </c>
      <c r="H897" s="98"/>
      <c r="I897" s="76" t="str">
        <f ca="1">IF(D897="N",COUNTIF(INDIRECT(ADDRESS(MATCH(Plages!$D$19,'Planning annuel mixing coater'!$B:$B),4)):D897,"N"),IF(D897="N1",COUNTIF($D$9:D897,"N1"),""))</f>
        <v/>
      </c>
      <c r="J897" s="99" t="str">
        <f>IF(D897="","",COUNTA(D884:D897)-(COUNTA(D897:D897)-1))</f>
        <v/>
      </c>
    </row>
    <row r="898" spans="1:10" ht="16.5" thickTop="1" thickBot="1">
      <c r="A898" s="117"/>
      <c r="B898" s="78">
        <f t="shared" si="57"/>
        <v>44690</v>
      </c>
      <c r="C898" s="81" t="str">
        <f t="shared" si="58"/>
        <v>lundi</v>
      </c>
      <c r="D898" s="89"/>
      <c r="E898" s="115" t="str">
        <f t="shared" si="59"/>
        <v/>
      </c>
      <c r="F898" s="115" t="str">
        <f t="shared" si="60"/>
        <v/>
      </c>
      <c r="G898" s="116" t="str">
        <f>IF(ISNONTEXT(D898),"",E898-MAX($F$2:F897))</f>
        <v/>
      </c>
      <c r="H898" s="100"/>
      <c r="I898" s="79" t="str">
        <f ca="1">IF(D898="N",COUNTIF(INDIRECT(ADDRESS(MATCH(Plages!$D$19,'Planning annuel mixing coater'!$B:$B),4)):D898,"N"),IF(D898="N1",COUNTIF($D$9:D898,"N1"),""))</f>
        <v/>
      </c>
      <c r="J898" s="101" t="str">
        <f>IF(D898="","",COUNTA(D898:D898)-(COUNTA(D898:D898)-1))</f>
        <v/>
      </c>
    </row>
    <row r="899" spans="1:10" thickBot="1">
      <c r="A899" s="117"/>
      <c r="B899" s="70">
        <f t="shared" si="57"/>
        <v>44691</v>
      </c>
      <c r="C899" s="82" t="str">
        <f t="shared" si="58"/>
        <v>mardi</v>
      </c>
      <c r="D899" s="87"/>
      <c r="E899" s="115" t="str">
        <f t="shared" si="59"/>
        <v/>
      </c>
      <c r="F899" s="115" t="str">
        <f t="shared" si="60"/>
        <v/>
      </c>
      <c r="G899" s="116" t="str">
        <f>IF(ISNONTEXT(D899),"",E899-MAX($F$2:F898))</f>
        <v/>
      </c>
      <c r="H899" s="97"/>
      <c r="I899" s="74" t="str">
        <f ca="1">IF(D899="N",COUNTIF(INDIRECT(ADDRESS(MATCH(Plages!$D$19,'Planning annuel mixing coater'!$B:$B),4)):D899,"N"),IF(D899="N1",COUNTIF($D$9:D899,"N1"),""))</f>
        <v/>
      </c>
      <c r="J899" s="96" t="str">
        <f>IF(D899="","",COUNTA(D898:D899)-(COUNTA(D899:D899)-1))</f>
        <v/>
      </c>
    </row>
    <row r="900" spans="1:10" thickBot="1">
      <c r="A900" s="117"/>
      <c r="B900" s="70">
        <f t="shared" ref="B900:B963" si="61">IF(B899="","",B899+1)</f>
        <v>44692</v>
      </c>
      <c r="C900" s="82" t="str">
        <f t="shared" si="58"/>
        <v>mercredi</v>
      </c>
      <c r="D900" s="87"/>
      <c r="E900" s="115" t="str">
        <f t="shared" si="59"/>
        <v/>
      </c>
      <c r="F900" s="115" t="str">
        <f t="shared" si="60"/>
        <v/>
      </c>
      <c r="G900" s="116" t="str">
        <f>IF(ISNONTEXT(D900),"",E900-MAX($F$2:F899))</f>
        <v/>
      </c>
      <c r="H900" s="97"/>
      <c r="I900" s="74" t="str">
        <f ca="1">IF(D900="N",COUNTIF(INDIRECT(ADDRESS(MATCH(Plages!$D$19,'Planning annuel mixing coater'!$B:$B),4)):D900,"N"),IF(D900="N1",COUNTIF($D$9:D900,"N1"),""))</f>
        <v/>
      </c>
      <c r="J900" s="96" t="str">
        <f>IF(D900="","",COUNTA(D898:D900)-(COUNTA(D900:D900)-1))</f>
        <v/>
      </c>
    </row>
    <row r="901" spans="1:10" thickBot="1">
      <c r="A901" s="117"/>
      <c r="B901" s="70">
        <f t="shared" si="61"/>
        <v>44693</v>
      </c>
      <c r="C901" s="82" t="str">
        <f t="shared" si="58"/>
        <v>jeudi</v>
      </c>
      <c r="D901" s="87"/>
      <c r="E901" s="115" t="str">
        <f t="shared" si="59"/>
        <v/>
      </c>
      <c r="F901" s="115" t="str">
        <f t="shared" si="60"/>
        <v/>
      </c>
      <c r="G901" s="116" t="str">
        <f>IF(ISNONTEXT(D901),"",E901-MAX($F$2:F900))</f>
        <v/>
      </c>
      <c r="H901" s="97"/>
      <c r="I901" s="74" t="str">
        <f ca="1">IF(D901="N",COUNTIF(INDIRECT(ADDRESS(MATCH(Plages!$D$19,'Planning annuel mixing coater'!$B:$B),4)):D901,"N"),IF(D901="N1",COUNTIF($D$9:D901,"N1"),""))</f>
        <v/>
      </c>
      <c r="J901" s="96" t="str">
        <f>IF(D901="","",COUNTA(D898:D901)-(COUNTA(D901:D901)-1))</f>
        <v/>
      </c>
    </row>
    <row r="902" spans="1:10" thickBot="1">
      <c r="A902" s="117"/>
      <c r="B902" s="70">
        <f t="shared" si="61"/>
        <v>44694</v>
      </c>
      <c r="C902" s="82" t="str">
        <f t="shared" si="58"/>
        <v>vendredi</v>
      </c>
      <c r="D902" s="87"/>
      <c r="E902" s="115" t="str">
        <f t="shared" si="59"/>
        <v/>
      </c>
      <c r="F902" s="115" t="str">
        <f t="shared" si="60"/>
        <v/>
      </c>
      <c r="G902" s="116" t="str">
        <f>IF(ISNONTEXT(D902),"",E902-MAX($F$2:F901))</f>
        <v/>
      </c>
      <c r="H902" s="97"/>
      <c r="I902" s="74" t="str">
        <f ca="1">IF(D902="N",COUNTIF(INDIRECT(ADDRESS(MATCH(Plages!$D$19,'Planning annuel mixing coater'!$B:$B),4)):D902,"N"),IF(D902="N1",COUNTIF($D$9:D902,"N1"),""))</f>
        <v/>
      </c>
      <c r="J902" s="96" t="str">
        <f>IF(D902="","",COUNTA(D898:D902)-(COUNTA(D902:D902)-1))</f>
        <v/>
      </c>
    </row>
    <row r="903" spans="1:10" thickBot="1">
      <c r="A903" s="117"/>
      <c r="B903" s="70">
        <f t="shared" si="61"/>
        <v>44695</v>
      </c>
      <c r="C903" s="82" t="str">
        <f t="shared" si="58"/>
        <v>samedi</v>
      </c>
      <c r="D903" s="87"/>
      <c r="E903" s="115" t="str">
        <f t="shared" si="59"/>
        <v/>
      </c>
      <c r="F903" s="115" t="str">
        <f t="shared" si="60"/>
        <v/>
      </c>
      <c r="G903" s="116" t="str">
        <f>IF(ISNONTEXT(D903),"",E903-MAX($F$2:F902))</f>
        <v/>
      </c>
      <c r="H903" s="97"/>
      <c r="I903" s="74" t="str">
        <f ca="1">IF(D903="N",COUNTIF(INDIRECT(ADDRESS(MATCH(Plages!$D$19,'Planning annuel mixing coater'!$B:$B),4)):D903,"N"),IF(D903="N1",COUNTIF($D$9:D903,"N1"),""))</f>
        <v/>
      </c>
      <c r="J903" s="96" t="str">
        <f>IF(D903="","",COUNTA(D898:D903)-(COUNTA(D903:D903)-1))</f>
        <v/>
      </c>
    </row>
    <row r="904" spans="1:10" thickBot="1">
      <c r="A904" s="117"/>
      <c r="B904" s="70">
        <f t="shared" si="61"/>
        <v>44696</v>
      </c>
      <c r="C904" s="82" t="str">
        <f t="shared" si="58"/>
        <v>dimanche</v>
      </c>
      <c r="D904" s="87"/>
      <c r="E904" s="115" t="str">
        <f t="shared" si="59"/>
        <v/>
      </c>
      <c r="F904" s="115" t="str">
        <f t="shared" si="60"/>
        <v/>
      </c>
      <c r="G904" s="116" t="str">
        <f>IF(ISNONTEXT(D904),"",E904-MAX($F$2:F903))</f>
        <v/>
      </c>
      <c r="H904" s="98"/>
      <c r="I904" s="74" t="str">
        <f ca="1">IF(D904="N",COUNTIF(INDIRECT(ADDRESS(MATCH(Plages!$D$19,'Planning annuel mixing coater'!$B:$B),4)):D904,"N"),IF(D904="N1",COUNTIF($D$9:D904,"N1"),""))</f>
        <v/>
      </c>
      <c r="J904" s="96" t="str">
        <f>IF(D904="","",COUNTA(D898:D904)-(COUNTA(D904:D904)-1))</f>
        <v/>
      </c>
    </row>
    <row r="905" spans="1:10" thickBot="1">
      <c r="A905" s="117"/>
      <c r="B905" s="70">
        <f t="shared" si="61"/>
        <v>44697</v>
      </c>
      <c r="C905" s="82" t="str">
        <f t="shared" si="58"/>
        <v>lundi</v>
      </c>
      <c r="D905" s="87"/>
      <c r="E905" s="115" t="str">
        <f t="shared" si="59"/>
        <v/>
      </c>
      <c r="F905" s="115" t="str">
        <f t="shared" si="60"/>
        <v/>
      </c>
      <c r="G905" s="116" t="str">
        <f>IF(ISNONTEXT(D905),"",E905-MAX($F$2:F904))</f>
        <v/>
      </c>
      <c r="H905" s="97"/>
      <c r="I905" s="74" t="str">
        <f ca="1">IF(D905="N",COUNTIF(INDIRECT(ADDRESS(MATCH(Plages!$D$19,'Planning annuel mixing coater'!$B:$B),4)):D905,"N"),IF(D905="N1",COUNTIF($D$9:D905,"N1"),""))</f>
        <v/>
      </c>
      <c r="J905" s="96" t="str">
        <f>IF(D905="","",COUNTA(D898:D905)-(COUNTA(D905:D905)-1))</f>
        <v/>
      </c>
    </row>
    <row r="906" spans="1:10" thickBot="1">
      <c r="A906" s="117"/>
      <c r="B906" s="70">
        <f t="shared" si="61"/>
        <v>44698</v>
      </c>
      <c r="C906" s="82" t="str">
        <f t="shared" si="58"/>
        <v>mardi</v>
      </c>
      <c r="D906" s="87"/>
      <c r="E906" s="115" t="str">
        <f t="shared" si="59"/>
        <v/>
      </c>
      <c r="F906" s="115" t="str">
        <f t="shared" si="60"/>
        <v/>
      </c>
      <c r="G906" s="116" t="str">
        <f>IF(ISNONTEXT(D906),"",E906-MAX($F$2:F905))</f>
        <v/>
      </c>
      <c r="H906" s="97"/>
      <c r="I906" s="74" t="str">
        <f ca="1">IF(D906="N",COUNTIF(INDIRECT(ADDRESS(MATCH(Plages!$D$19,'Planning annuel mixing coater'!$B:$B),4)):D906,"N"),IF(D906="N1",COUNTIF($D$9:D906,"N1"),""))</f>
        <v/>
      </c>
      <c r="J906" s="96" t="str">
        <f>IF(D906="","",COUNTA(D898:D906)-(COUNTA(D906:D906)-1))</f>
        <v/>
      </c>
    </row>
    <row r="907" spans="1:10" thickBot="1">
      <c r="A907" s="117"/>
      <c r="B907" s="70">
        <f t="shared" si="61"/>
        <v>44699</v>
      </c>
      <c r="C907" s="82" t="str">
        <f t="shared" si="58"/>
        <v>mercredi</v>
      </c>
      <c r="D907" s="87"/>
      <c r="E907" s="115" t="str">
        <f t="shared" si="59"/>
        <v/>
      </c>
      <c r="F907" s="115" t="str">
        <f t="shared" si="60"/>
        <v/>
      </c>
      <c r="G907" s="116" t="str">
        <f>IF(ISNONTEXT(D907),"",E907-MAX($F$2:F906))</f>
        <v/>
      </c>
      <c r="H907" s="97"/>
      <c r="I907" s="74" t="str">
        <f ca="1">IF(D907="N",COUNTIF(INDIRECT(ADDRESS(MATCH(Plages!$D$19,'Planning annuel mixing coater'!$B:$B),4)):D907,"N"),IF(D907="N1",COUNTIF($D$9:D907,"N1"),""))</f>
        <v/>
      </c>
      <c r="J907" s="96" t="str">
        <f>IF(D907="","",COUNTA(D898:D907)-(COUNTA(D907:D907)-1))</f>
        <v/>
      </c>
    </row>
    <row r="908" spans="1:10" thickBot="1">
      <c r="A908" s="117"/>
      <c r="B908" s="70">
        <f t="shared" si="61"/>
        <v>44700</v>
      </c>
      <c r="C908" s="82" t="str">
        <f t="shared" si="58"/>
        <v>jeudi</v>
      </c>
      <c r="D908" s="87"/>
      <c r="E908" s="115" t="str">
        <f t="shared" si="59"/>
        <v/>
      </c>
      <c r="F908" s="115" t="str">
        <f t="shared" si="60"/>
        <v/>
      </c>
      <c r="G908" s="116" t="str">
        <f>IF(ISNONTEXT(D908),"",E908-MAX($F$2:F907))</f>
        <v/>
      </c>
      <c r="H908" s="97"/>
      <c r="I908" s="74" t="str">
        <f ca="1">IF(D908="N",COUNTIF(INDIRECT(ADDRESS(MATCH(Plages!$D$19,'Planning annuel mixing coater'!$B:$B),4)):D908,"N"),IF(D908="N1",COUNTIF($D$9:D908,"N1"),""))</f>
        <v/>
      </c>
      <c r="J908" s="96" t="str">
        <f>IF(D908="","",COUNTA(D898:D908)-(COUNTA(D908:D908)-1))</f>
        <v/>
      </c>
    </row>
    <row r="909" spans="1:10" thickBot="1">
      <c r="A909" s="117"/>
      <c r="B909" s="70">
        <f t="shared" si="61"/>
        <v>44701</v>
      </c>
      <c r="C909" s="82" t="str">
        <f t="shared" si="58"/>
        <v>vendredi</v>
      </c>
      <c r="D909" s="87"/>
      <c r="E909" s="115" t="str">
        <f t="shared" si="59"/>
        <v/>
      </c>
      <c r="F909" s="115" t="str">
        <f t="shared" si="60"/>
        <v/>
      </c>
      <c r="G909" s="116" t="str">
        <f>IF(ISNONTEXT(D909),"",E909-MAX($F$2:F908))</f>
        <v/>
      </c>
      <c r="H909" s="97"/>
      <c r="I909" s="74" t="str">
        <f ca="1">IF(D909="N",COUNTIF(INDIRECT(ADDRESS(MATCH(Plages!$D$19,'Planning annuel mixing coater'!$B:$B),4)):D909,"N"),IF(D909="N1",COUNTIF($D$9:D909,"N1"),""))</f>
        <v/>
      </c>
      <c r="J909" s="96" t="str">
        <f>IF(D909="","",COUNTA(D898:D909)-(COUNTA(D909:D909)-1))</f>
        <v/>
      </c>
    </row>
    <row r="910" spans="1:10" thickBot="1">
      <c r="A910" s="117"/>
      <c r="B910" s="70">
        <f t="shared" si="61"/>
        <v>44702</v>
      </c>
      <c r="C910" s="82" t="str">
        <f t="shared" si="58"/>
        <v>samedi</v>
      </c>
      <c r="D910" s="87"/>
      <c r="E910" s="115" t="str">
        <f t="shared" si="59"/>
        <v/>
      </c>
      <c r="F910" s="115" t="str">
        <f t="shared" si="60"/>
        <v/>
      </c>
      <c r="G910" s="116" t="str">
        <f>IF(ISNONTEXT(D910),"",E910-MAX($F$2:F909))</f>
        <v/>
      </c>
      <c r="H910" s="97"/>
      <c r="I910" s="74" t="str">
        <f ca="1">IF(D910="N",COUNTIF(INDIRECT(ADDRESS(MATCH(Plages!$D$19,'Planning annuel mixing coater'!$B:$B),4)):D910,"N"),IF(D910="N1",COUNTIF($D$9:D910,"N1"),""))</f>
        <v/>
      </c>
      <c r="J910" s="96" t="str">
        <f>IF(D910="","",COUNTA(D898:D910)-(COUNTA(D910:D910)-1))</f>
        <v/>
      </c>
    </row>
    <row r="911" spans="1:10" s="77" customFormat="1" thickBot="1">
      <c r="A911" s="117"/>
      <c r="B911" s="75">
        <f t="shared" si="61"/>
        <v>44703</v>
      </c>
      <c r="C911" s="83" t="str">
        <f t="shared" si="58"/>
        <v>dimanche</v>
      </c>
      <c r="D911" s="88"/>
      <c r="E911" s="115" t="str">
        <f t="shared" si="59"/>
        <v/>
      </c>
      <c r="F911" s="115" t="str">
        <f t="shared" si="60"/>
        <v/>
      </c>
      <c r="G911" s="116" t="str">
        <f>IF(ISNONTEXT(D911),"",E911-MAX($F$2:F910))</f>
        <v/>
      </c>
      <c r="H911" s="98"/>
      <c r="I911" s="76" t="str">
        <f ca="1">IF(D911="N",COUNTIF(INDIRECT(ADDRESS(MATCH(Plages!$D$19,'Planning annuel mixing coater'!$B:$B),4)):D911,"N"),IF(D911="N1",COUNTIF($D$9:D911,"N1"),""))</f>
        <v/>
      </c>
      <c r="J911" s="99" t="str">
        <f>IF(D911="","",COUNTA(D898:D911)-(COUNTA(D911:D911)-1))</f>
        <v/>
      </c>
    </row>
    <row r="912" spans="1:10" ht="16.5" thickTop="1" thickBot="1">
      <c r="A912" s="117"/>
      <c r="B912" s="78">
        <f t="shared" si="61"/>
        <v>44704</v>
      </c>
      <c r="C912" s="81" t="str">
        <f t="shared" si="58"/>
        <v>lundi</v>
      </c>
      <c r="D912" s="89"/>
      <c r="E912" s="115" t="str">
        <f t="shared" si="59"/>
        <v/>
      </c>
      <c r="F912" s="115" t="str">
        <f t="shared" si="60"/>
        <v/>
      </c>
      <c r="G912" s="116" t="str">
        <f>IF(ISNONTEXT(D912),"",E912-MAX($F$2:F911))</f>
        <v/>
      </c>
      <c r="H912" s="100"/>
      <c r="I912" s="79" t="str">
        <f ca="1">IF(D912="N",COUNTIF(INDIRECT(ADDRESS(MATCH(Plages!$D$19,'Planning annuel mixing coater'!$B:$B),4)):D912,"N"),IF(D912="N1",COUNTIF($D$9:D912,"N1"),""))</f>
        <v/>
      </c>
      <c r="J912" s="101" t="str">
        <f>IF(D912="","",COUNTA(D912:D912)-(COUNTA(D912:D912)-1))</f>
        <v/>
      </c>
    </row>
    <row r="913" spans="1:10" thickBot="1">
      <c r="A913" s="117"/>
      <c r="B913" s="70">
        <f t="shared" si="61"/>
        <v>44705</v>
      </c>
      <c r="C913" s="82" t="str">
        <f t="shared" si="58"/>
        <v>mardi</v>
      </c>
      <c r="D913" s="87"/>
      <c r="E913" s="115" t="str">
        <f t="shared" si="59"/>
        <v/>
      </c>
      <c r="F913" s="115" t="str">
        <f t="shared" si="60"/>
        <v/>
      </c>
      <c r="G913" s="116" t="str">
        <f>IF(ISNONTEXT(D913),"",E913-MAX($F$2:F912))</f>
        <v/>
      </c>
      <c r="H913" s="97"/>
      <c r="I913" s="74" t="str">
        <f ca="1">IF(D913="N",COUNTIF(INDIRECT(ADDRESS(MATCH(Plages!$D$19,'Planning annuel mixing coater'!$B:$B),4)):D913,"N"),IF(D913="N1",COUNTIF($D$9:D913,"N1"),""))</f>
        <v/>
      </c>
      <c r="J913" s="96" t="str">
        <f>IF(D913="","",COUNTA(D912:D913)-(COUNTA(D913:D913)-1))</f>
        <v/>
      </c>
    </row>
    <row r="914" spans="1:10" thickBot="1">
      <c r="A914" s="117"/>
      <c r="B914" s="70">
        <f t="shared" si="61"/>
        <v>44706</v>
      </c>
      <c r="C914" s="82" t="str">
        <f t="shared" si="58"/>
        <v>mercredi</v>
      </c>
      <c r="D914" s="87"/>
      <c r="E914" s="115" t="str">
        <f t="shared" si="59"/>
        <v/>
      </c>
      <c r="F914" s="115" t="str">
        <f t="shared" si="60"/>
        <v/>
      </c>
      <c r="G914" s="116" t="str">
        <f>IF(ISNONTEXT(D914),"",E914-MAX($F$2:F913))</f>
        <v/>
      </c>
      <c r="H914" s="97"/>
      <c r="I914" s="74" t="str">
        <f ca="1">IF(D914="N",COUNTIF(INDIRECT(ADDRESS(MATCH(Plages!$D$19,'Planning annuel mixing coater'!$B:$B),4)):D914,"N"),IF(D914="N1",COUNTIF($D$9:D914,"N1"),""))</f>
        <v/>
      </c>
      <c r="J914" s="96" t="str">
        <f>IF(D914="","",COUNTA(D912:D914)-(COUNTA(D914:D914)-1))</f>
        <v/>
      </c>
    </row>
    <row r="915" spans="1:10" thickBot="1">
      <c r="A915" s="117"/>
      <c r="B915" s="70">
        <f t="shared" si="61"/>
        <v>44707</v>
      </c>
      <c r="C915" s="82" t="str">
        <f t="shared" si="58"/>
        <v>jeudi</v>
      </c>
      <c r="D915" s="87"/>
      <c r="E915" s="115" t="str">
        <f t="shared" si="59"/>
        <v/>
      </c>
      <c r="F915" s="115" t="str">
        <f t="shared" si="60"/>
        <v/>
      </c>
      <c r="G915" s="116" t="str">
        <f>IF(ISNONTEXT(D915),"",E915-MAX($F$2:F914))</f>
        <v/>
      </c>
      <c r="H915" s="97"/>
      <c r="I915" s="74" t="str">
        <f ca="1">IF(D915="N",COUNTIF(INDIRECT(ADDRESS(MATCH(Plages!$D$19,'Planning annuel mixing coater'!$B:$B),4)):D915,"N"),IF(D915="N1",COUNTIF($D$9:D915,"N1"),""))</f>
        <v/>
      </c>
      <c r="J915" s="96" t="str">
        <f>IF(D915="","",COUNTA(D912:D915)-(COUNTA(D915:D915)-1))</f>
        <v/>
      </c>
    </row>
    <row r="916" spans="1:10" thickBot="1">
      <c r="A916" s="117"/>
      <c r="B916" s="70">
        <f t="shared" si="61"/>
        <v>44708</v>
      </c>
      <c r="C916" s="82" t="str">
        <f t="shared" si="58"/>
        <v>vendredi</v>
      </c>
      <c r="D916" s="87"/>
      <c r="E916" s="115" t="str">
        <f t="shared" si="59"/>
        <v/>
      </c>
      <c r="F916" s="115" t="str">
        <f t="shared" si="60"/>
        <v/>
      </c>
      <c r="G916" s="116" t="str">
        <f>IF(ISNONTEXT(D916),"",E916-MAX($F$2:F915))</f>
        <v/>
      </c>
      <c r="H916" s="97"/>
      <c r="I916" s="74" t="str">
        <f ca="1">IF(D916="N",COUNTIF(INDIRECT(ADDRESS(MATCH(Plages!$D$19,'Planning annuel mixing coater'!$B:$B),4)):D916,"N"),IF(D916="N1",COUNTIF($D$9:D916,"N1"),""))</f>
        <v/>
      </c>
      <c r="J916" s="96" t="str">
        <f>IF(D916="","",COUNTA(D912:D916)-(COUNTA(D916:D916)-1))</f>
        <v/>
      </c>
    </row>
    <row r="917" spans="1:10" thickBot="1">
      <c r="A917" s="117"/>
      <c r="B917" s="70">
        <f t="shared" si="61"/>
        <v>44709</v>
      </c>
      <c r="C917" s="82" t="str">
        <f t="shared" si="58"/>
        <v>samedi</v>
      </c>
      <c r="D917" s="87"/>
      <c r="E917" s="115" t="str">
        <f t="shared" si="59"/>
        <v/>
      </c>
      <c r="F917" s="115" t="str">
        <f t="shared" si="60"/>
        <v/>
      </c>
      <c r="G917" s="116" t="str">
        <f>IF(ISNONTEXT(D917),"",E917-MAX($F$2:F916))</f>
        <v/>
      </c>
      <c r="H917" s="97"/>
      <c r="I917" s="74" t="str">
        <f ca="1">IF(D917="N",COUNTIF(INDIRECT(ADDRESS(MATCH(Plages!$D$19,'Planning annuel mixing coater'!$B:$B),4)):D917,"N"),IF(D917="N1",COUNTIF($D$9:D917,"N1"),""))</f>
        <v/>
      </c>
      <c r="J917" s="96" t="str">
        <f>IF(D917="","",COUNTA(D912:D917)-(COUNTA(D917:D917)-1))</f>
        <v/>
      </c>
    </row>
    <row r="918" spans="1:10" thickBot="1">
      <c r="A918" s="117"/>
      <c r="B918" s="70">
        <f t="shared" si="61"/>
        <v>44710</v>
      </c>
      <c r="C918" s="82" t="str">
        <f t="shared" si="58"/>
        <v>dimanche</v>
      </c>
      <c r="D918" s="87"/>
      <c r="E918" s="115" t="str">
        <f t="shared" si="59"/>
        <v/>
      </c>
      <c r="F918" s="115" t="str">
        <f t="shared" si="60"/>
        <v/>
      </c>
      <c r="G918" s="116" t="str">
        <f>IF(ISNONTEXT(D918),"",E918-MAX($F$2:F917))</f>
        <v/>
      </c>
      <c r="H918" s="98"/>
      <c r="I918" s="74" t="str">
        <f ca="1">IF(D918="N",COUNTIF(INDIRECT(ADDRESS(MATCH(Plages!$D$19,'Planning annuel mixing coater'!$B:$B),4)):D918,"N"),IF(D918="N1",COUNTIF($D$9:D918,"N1"),""))</f>
        <v/>
      </c>
      <c r="J918" s="96" t="str">
        <f>IF(D918="","",COUNTA(D912:D918)-(COUNTA(D918:D918)-1))</f>
        <v/>
      </c>
    </row>
    <row r="919" spans="1:10" thickBot="1">
      <c r="A919" s="117"/>
      <c r="B919" s="70">
        <f t="shared" si="61"/>
        <v>44711</v>
      </c>
      <c r="C919" s="82" t="str">
        <f t="shared" si="58"/>
        <v>lundi</v>
      </c>
      <c r="D919" s="87"/>
      <c r="E919" s="115" t="str">
        <f t="shared" si="59"/>
        <v/>
      </c>
      <c r="F919" s="115" t="str">
        <f t="shared" si="60"/>
        <v/>
      </c>
      <c r="G919" s="116" t="str">
        <f>IF(ISNONTEXT(D919),"",E919-MAX($F$2:F918))</f>
        <v/>
      </c>
      <c r="H919" s="97"/>
      <c r="I919" s="74" t="str">
        <f ca="1">IF(D919="N",COUNTIF(INDIRECT(ADDRESS(MATCH(Plages!$D$19,'Planning annuel mixing coater'!$B:$B),4)):D919,"N"),IF(D919="N1",COUNTIF($D$9:D919,"N1"),""))</f>
        <v/>
      </c>
      <c r="J919" s="96" t="str">
        <f>IF(D919="","",COUNTA(D912:D919)-(COUNTA(D919:D919)-1))</f>
        <v/>
      </c>
    </row>
    <row r="920" spans="1:10" thickBot="1">
      <c r="A920" s="117"/>
      <c r="B920" s="70">
        <f t="shared" si="61"/>
        <v>44712</v>
      </c>
      <c r="C920" s="82" t="str">
        <f t="shared" si="58"/>
        <v>mardi</v>
      </c>
      <c r="D920" s="87"/>
      <c r="E920" s="115" t="str">
        <f t="shared" si="59"/>
        <v/>
      </c>
      <c r="F920" s="115" t="str">
        <f t="shared" si="60"/>
        <v/>
      </c>
      <c r="G920" s="116" t="str">
        <f>IF(ISNONTEXT(D920),"",E920-MAX($F$2:F919))</f>
        <v/>
      </c>
      <c r="H920" s="97"/>
      <c r="I920" s="74" t="str">
        <f ca="1">IF(D920="N",COUNTIF(INDIRECT(ADDRESS(MATCH(Plages!$D$19,'Planning annuel mixing coater'!$B:$B),4)):D920,"N"),IF(D920="N1",COUNTIF($D$9:D920,"N1"),""))</f>
        <v/>
      </c>
      <c r="J920" s="96" t="str">
        <f>IF(D920="","",COUNTA(D912:D920)-(COUNTA(D920:D920)-1))</f>
        <v/>
      </c>
    </row>
    <row r="921" spans="1:10" thickBot="1">
      <c r="A921" s="117"/>
      <c r="B921" s="70">
        <f t="shared" si="61"/>
        <v>44713</v>
      </c>
      <c r="C921" s="82" t="str">
        <f t="shared" si="58"/>
        <v>mercredi</v>
      </c>
      <c r="D921" s="87"/>
      <c r="E921" s="115" t="str">
        <f t="shared" si="59"/>
        <v/>
      </c>
      <c r="F921" s="115" t="str">
        <f t="shared" si="60"/>
        <v/>
      </c>
      <c r="G921" s="116" t="str">
        <f>IF(ISNONTEXT(D921),"",E921-MAX($F$2:F920))</f>
        <v/>
      </c>
      <c r="H921" s="97"/>
      <c r="I921" s="74" t="str">
        <f ca="1">IF(D921="N",COUNTIF(INDIRECT(ADDRESS(MATCH(Plages!$D$19,'Planning annuel mixing coater'!$B:$B),4)):D921,"N"),IF(D921="N1",COUNTIF($D$9:D921,"N1"),""))</f>
        <v/>
      </c>
      <c r="J921" s="96" t="str">
        <f>IF(D921="","",COUNTA(D912:D921)-(COUNTA(D921:D921)-1))</f>
        <v/>
      </c>
    </row>
    <row r="922" spans="1:10" thickBot="1">
      <c r="A922" s="117"/>
      <c r="B922" s="70">
        <f t="shared" si="61"/>
        <v>44714</v>
      </c>
      <c r="C922" s="82" t="str">
        <f t="shared" si="58"/>
        <v>jeudi</v>
      </c>
      <c r="D922" s="87"/>
      <c r="E922" s="115" t="str">
        <f t="shared" si="59"/>
        <v/>
      </c>
      <c r="F922" s="115" t="str">
        <f t="shared" si="60"/>
        <v/>
      </c>
      <c r="G922" s="116" t="str">
        <f>IF(ISNONTEXT(D922),"",E922-MAX($F$2:F921))</f>
        <v/>
      </c>
      <c r="H922" s="97"/>
      <c r="I922" s="74" t="str">
        <f ca="1">IF(D922="N",COUNTIF(INDIRECT(ADDRESS(MATCH(Plages!$D$19,'Planning annuel mixing coater'!$B:$B),4)):D922,"N"),IF(D922="N1",COUNTIF($D$9:D922,"N1"),""))</f>
        <v/>
      </c>
      <c r="J922" s="96" t="str">
        <f>IF(D922="","",COUNTA(D912:D922)-(COUNTA(D922:D922)-1))</f>
        <v/>
      </c>
    </row>
    <row r="923" spans="1:10" thickBot="1">
      <c r="A923" s="117"/>
      <c r="B923" s="70">
        <f t="shared" si="61"/>
        <v>44715</v>
      </c>
      <c r="C923" s="82" t="str">
        <f t="shared" si="58"/>
        <v>vendredi</v>
      </c>
      <c r="D923" s="87"/>
      <c r="E923" s="115" t="str">
        <f t="shared" si="59"/>
        <v/>
      </c>
      <c r="F923" s="115" t="str">
        <f t="shared" si="60"/>
        <v/>
      </c>
      <c r="G923" s="116" t="str">
        <f>IF(ISNONTEXT(D923),"",E923-MAX($F$2:F922))</f>
        <v/>
      </c>
      <c r="H923" s="97"/>
      <c r="I923" s="74" t="str">
        <f ca="1">IF(D923="N",COUNTIF(INDIRECT(ADDRESS(MATCH(Plages!$D$19,'Planning annuel mixing coater'!$B:$B),4)):D923,"N"),IF(D923="N1",COUNTIF($D$9:D923,"N1"),""))</f>
        <v/>
      </c>
      <c r="J923" s="96" t="str">
        <f>IF(D923="","",COUNTA(D912:D923)-(COUNTA(D923:D923)-1))</f>
        <v/>
      </c>
    </row>
    <row r="924" spans="1:10" thickBot="1">
      <c r="A924" s="117"/>
      <c r="B924" s="70">
        <f t="shared" si="61"/>
        <v>44716</v>
      </c>
      <c r="C924" s="82" t="str">
        <f t="shared" si="58"/>
        <v>samedi</v>
      </c>
      <c r="D924" s="87"/>
      <c r="E924" s="115" t="str">
        <f t="shared" si="59"/>
        <v/>
      </c>
      <c r="F924" s="115" t="str">
        <f t="shared" si="60"/>
        <v/>
      </c>
      <c r="G924" s="116" t="str">
        <f>IF(ISNONTEXT(D924),"",E924-MAX($F$2:F923))</f>
        <v/>
      </c>
      <c r="H924" s="97"/>
      <c r="I924" s="74" t="str">
        <f ca="1">IF(D924="N",COUNTIF(INDIRECT(ADDRESS(MATCH(Plages!$D$19,'Planning annuel mixing coater'!$B:$B),4)):D924,"N"),IF(D924="N1",COUNTIF($D$9:D924,"N1"),""))</f>
        <v/>
      </c>
      <c r="J924" s="96" t="str">
        <f>IF(D924="","",COUNTA(D912:D924)-(COUNTA(D924:D924)-1))</f>
        <v/>
      </c>
    </row>
    <row r="925" spans="1:10" s="77" customFormat="1" thickBot="1">
      <c r="A925" s="117"/>
      <c r="B925" s="75">
        <f t="shared" si="61"/>
        <v>44717</v>
      </c>
      <c r="C925" s="83" t="str">
        <f t="shared" si="58"/>
        <v>dimanche</v>
      </c>
      <c r="D925" s="88"/>
      <c r="E925" s="115" t="str">
        <f t="shared" si="59"/>
        <v/>
      </c>
      <c r="F925" s="115" t="str">
        <f t="shared" si="60"/>
        <v/>
      </c>
      <c r="G925" s="116" t="str">
        <f>IF(ISNONTEXT(D925),"",E925-MAX($F$2:F924))</f>
        <v/>
      </c>
      <c r="H925" s="98"/>
      <c r="I925" s="76" t="str">
        <f ca="1">IF(D925="N",COUNTIF(INDIRECT(ADDRESS(MATCH(Plages!$D$19,'Planning annuel mixing coater'!$B:$B),4)):D925,"N"),IF(D925="N1",COUNTIF($D$9:D925,"N1"),""))</f>
        <v/>
      </c>
      <c r="J925" s="99" t="str">
        <f>IF(D925="","",COUNTA(D912:D925)-(COUNTA(D925:D925)-1))</f>
        <v/>
      </c>
    </row>
    <row r="926" spans="1:10" ht="16.5" thickTop="1" thickBot="1">
      <c r="A926" s="117"/>
      <c r="B926" s="78">
        <f t="shared" si="61"/>
        <v>44718</v>
      </c>
      <c r="C926" s="81" t="str">
        <f t="shared" ref="C926:C989" si="62">IF(B926="","",TEXT(B926,"jjjj"))</f>
        <v>lundi</v>
      </c>
      <c r="D926" s="89"/>
      <c r="E926" s="115" t="str">
        <f t="shared" ref="E926:E989" si="63">IF(D926="","",B926+VLOOKUP(D926,Plageh,2,0))</f>
        <v/>
      </c>
      <c r="F926" s="115" t="str">
        <f t="shared" ref="F926:F989" si="64">IF(D926="","",B926+VLOOKUP(D926,Plageh,3,0))</f>
        <v/>
      </c>
      <c r="G926" s="116" t="str">
        <f>IF(ISNONTEXT(D926),"",E926-MAX($F$2:F925))</f>
        <v/>
      </c>
      <c r="H926" s="100"/>
      <c r="I926" s="79" t="str">
        <f ca="1">IF(D926="N",COUNTIF(INDIRECT(ADDRESS(MATCH(Plages!$D$19,'Planning annuel mixing coater'!$B:$B),4)):D926,"N"),IF(D926="N1",COUNTIF($D$9:D926,"N1"),""))</f>
        <v/>
      </c>
      <c r="J926" s="101" t="str">
        <f>IF(D926="","",COUNTA(D926:D926)-(COUNTA(D926:D926)-1))</f>
        <v/>
      </c>
    </row>
    <row r="927" spans="1:10" thickBot="1">
      <c r="A927" s="117"/>
      <c r="B927" s="70">
        <f t="shared" si="61"/>
        <v>44719</v>
      </c>
      <c r="C927" s="82" t="str">
        <f t="shared" si="62"/>
        <v>mardi</v>
      </c>
      <c r="D927" s="87"/>
      <c r="E927" s="115" t="str">
        <f t="shared" si="63"/>
        <v/>
      </c>
      <c r="F927" s="115" t="str">
        <f t="shared" si="64"/>
        <v/>
      </c>
      <c r="G927" s="116" t="str">
        <f>IF(ISNONTEXT(D927),"",E927-MAX($F$2:F926))</f>
        <v/>
      </c>
      <c r="H927" s="97"/>
      <c r="I927" s="74" t="str">
        <f ca="1">IF(D927="N",COUNTIF(INDIRECT(ADDRESS(MATCH(Plages!$D$19,'Planning annuel mixing coater'!$B:$B),4)):D927,"N"),IF(D927="N1",COUNTIF($D$9:D927,"N1"),""))</f>
        <v/>
      </c>
      <c r="J927" s="96" t="str">
        <f>IF(D927="","",COUNTA(D926:D927)-(COUNTA(D927:D927)-1))</f>
        <v/>
      </c>
    </row>
    <row r="928" spans="1:10" thickBot="1">
      <c r="A928" s="117"/>
      <c r="B928" s="70">
        <f t="shared" si="61"/>
        <v>44720</v>
      </c>
      <c r="C928" s="82" t="str">
        <f t="shared" si="62"/>
        <v>mercredi</v>
      </c>
      <c r="D928" s="87"/>
      <c r="E928" s="115" t="str">
        <f t="shared" si="63"/>
        <v/>
      </c>
      <c r="F928" s="115" t="str">
        <f t="shared" si="64"/>
        <v/>
      </c>
      <c r="G928" s="116" t="str">
        <f>IF(ISNONTEXT(D928),"",E928-MAX($F$2:F927))</f>
        <v/>
      </c>
      <c r="H928" s="97"/>
      <c r="I928" s="74" t="str">
        <f ca="1">IF(D928="N",COUNTIF(INDIRECT(ADDRESS(MATCH(Plages!$D$19,'Planning annuel mixing coater'!$B:$B),4)):D928,"N"),IF(D928="N1",COUNTIF($D$9:D928,"N1"),""))</f>
        <v/>
      </c>
      <c r="J928" s="96" t="str">
        <f>IF(D928="","",COUNTA(D926:D928)-(COUNTA(D928:D928)-1))</f>
        <v/>
      </c>
    </row>
    <row r="929" spans="1:10" thickBot="1">
      <c r="A929" s="117"/>
      <c r="B929" s="70">
        <f t="shared" si="61"/>
        <v>44721</v>
      </c>
      <c r="C929" s="82" t="str">
        <f t="shared" si="62"/>
        <v>jeudi</v>
      </c>
      <c r="D929" s="87"/>
      <c r="E929" s="115" t="str">
        <f t="shared" si="63"/>
        <v/>
      </c>
      <c r="F929" s="115" t="str">
        <f t="shared" si="64"/>
        <v/>
      </c>
      <c r="G929" s="116" t="str">
        <f>IF(ISNONTEXT(D929),"",E929-MAX($F$2:F928))</f>
        <v/>
      </c>
      <c r="H929" s="97"/>
      <c r="I929" s="74" t="str">
        <f ca="1">IF(D929="N",COUNTIF(INDIRECT(ADDRESS(MATCH(Plages!$D$19,'Planning annuel mixing coater'!$B:$B),4)):D929,"N"),IF(D929="N1",COUNTIF($D$9:D929,"N1"),""))</f>
        <v/>
      </c>
      <c r="J929" s="96" t="str">
        <f>IF(D929="","",COUNTA(D926:D929)-(COUNTA(D929:D929)-1))</f>
        <v/>
      </c>
    </row>
    <row r="930" spans="1:10" thickBot="1">
      <c r="A930" s="117"/>
      <c r="B930" s="70">
        <f t="shared" si="61"/>
        <v>44722</v>
      </c>
      <c r="C930" s="82" t="str">
        <f t="shared" si="62"/>
        <v>vendredi</v>
      </c>
      <c r="D930" s="87"/>
      <c r="E930" s="115" t="str">
        <f t="shared" si="63"/>
        <v/>
      </c>
      <c r="F930" s="115" t="str">
        <f t="shared" si="64"/>
        <v/>
      </c>
      <c r="G930" s="116" t="str">
        <f>IF(ISNONTEXT(D930),"",E930-MAX($F$2:F929))</f>
        <v/>
      </c>
      <c r="H930" s="97"/>
      <c r="I930" s="74" t="str">
        <f ca="1">IF(D930="N",COUNTIF(INDIRECT(ADDRESS(MATCH(Plages!$D$19,'Planning annuel mixing coater'!$B:$B),4)):D930,"N"),IF(D930="N1",COUNTIF($D$9:D930,"N1"),""))</f>
        <v/>
      </c>
      <c r="J930" s="96" t="str">
        <f>IF(D930="","",COUNTA(D926:D930)-(COUNTA(D930:D930)-1))</f>
        <v/>
      </c>
    </row>
    <row r="931" spans="1:10" thickBot="1">
      <c r="A931" s="117"/>
      <c r="B931" s="70">
        <f t="shared" si="61"/>
        <v>44723</v>
      </c>
      <c r="C931" s="82" t="str">
        <f t="shared" si="62"/>
        <v>samedi</v>
      </c>
      <c r="D931" s="87"/>
      <c r="E931" s="115" t="str">
        <f t="shared" si="63"/>
        <v/>
      </c>
      <c r="F931" s="115" t="str">
        <f t="shared" si="64"/>
        <v/>
      </c>
      <c r="G931" s="116" t="str">
        <f>IF(ISNONTEXT(D931),"",E931-MAX($F$2:F930))</f>
        <v/>
      </c>
      <c r="H931" s="97"/>
      <c r="I931" s="74" t="str">
        <f ca="1">IF(D931="N",COUNTIF(INDIRECT(ADDRESS(MATCH(Plages!$D$19,'Planning annuel mixing coater'!$B:$B),4)):D931,"N"),IF(D931="N1",COUNTIF($D$9:D931,"N1"),""))</f>
        <v/>
      </c>
      <c r="J931" s="96" t="str">
        <f>IF(D931="","",COUNTA(D926:D931)-(COUNTA(D931:D931)-1))</f>
        <v/>
      </c>
    </row>
    <row r="932" spans="1:10" thickBot="1">
      <c r="A932" s="117"/>
      <c r="B932" s="70">
        <f t="shared" si="61"/>
        <v>44724</v>
      </c>
      <c r="C932" s="82" t="str">
        <f t="shared" si="62"/>
        <v>dimanche</v>
      </c>
      <c r="D932" s="87"/>
      <c r="E932" s="115" t="str">
        <f t="shared" si="63"/>
        <v/>
      </c>
      <c r="F932" s="115" t="str">
        <f t="shared" si="64"/>
        <v/>
      </c>
      <c r="G932" s="116" t="str">
        <f>IF(ISNONTEXT(D932),"",E932-MAX($F$2:F931))</f>
        <v/>
      </c>
      <c r="H932" s="98"/>
      <c r="I932" s="74" t="str">
        <f ca="1">IF(D932="N",COUNTIF(INDIRECT(ADDRESS(MATCH(Plages!$D$19,'Planning annuel mixing coater'!$B:$B),4)):D932,"N"),IF(D932="N1",COUNTIF($D$9:D932,"N1"),""))</f>
        <v/>
      </c>
      <c r="J932" s="96" t="str">
        <f>IF(D932="","",COUNTA(D926:D932)-(COUNTA(D932:D932)-1))</f>
        <v/>
      </c>
    </row>
    <row r="933" spans="1:10" thickBot="1">
      <c r="A933" s="117"/>
      <c r="B933" s="70">
        <f t="shared" si="61"/>
        <v>44725</v>
      </c>
      <c r="C933" s="82" t="str">
        <f t="shared" si="62"/>
        <v>lundi</v>
      </c>
      <c r="D933" s="87"/>
      <c r="E933" s="115" t="str">
        <f t="shared" si="63"/>
        <v/>
      </c>
      <c r="F933" s="115" t="str">
        <f t="shared" si="64"/>
        <v/>
      </c>
      <c r="G933" s="116" t="str">
        <f>IF(ISNONTEXT(D933),"",E933-MAX($F$2:F932))</f>
        <v/>
      </c>
      <c r="H933" s="97"/>
      <c r="I933" s="74" t="str">
        <f ca="1">IF(D933="N",COUNTIF(INDIRECT(ADDRESS(MATCH(Plages!$D$19,'Planning annuel mixing coater'!$B:$B),4)):D933,"N"),IF(D933="N1",COUNTIF($D$9:D933,"N1"),""))</f>
        <v/>
      </c>
      <c r="J933" s="96" t="str">
        <f>IF(D933="","",COUNTA(D926:D933)-(COUNTA(D933:D933)-1))</f>
        <v/>
      </c>
    </row>
    <row r="934" spans="1:10" thickBot="1">
      <c r="A934" s="117"/>
      <c r="B934" s="70">
        <f t="shared" si="61"/>
        <v>44726</v>
      </c>
      <c r="C934" s="82" t="str">
        <f t="shared" si="62"/>
        <v>mardi</v>
      </c>
      <c r="D934" s="87"/>
      <c r="E934" s="115" t="str">
        <f t="shared" si="63"/>
        <v/>
      </c>
      <c r="F934" s="115" t="str">
        <f t="shared" si="64"/>
        <v/>
      </c>
      <c r="G934" s="116" t="str">
        <f>IF(ISNONTEXT(D934),"",E934-MAX($F$2:F933))</f>
        <v/>
      </c>
      <c r="H934" s="97"/>
      <c r="I934" s="74" t="str">
        <f ca="1">IF(D934="N",COUNTIF(INDIRECT(ADDRESS(MATCH(Plages!$D$19,'Planning annuel mixing coater'!$B:$B),4)):D934,"N"),IF(D934="N1",COUNTIF($D$9:D934,"N1"),""))</f>
        <v/>
      </c>
      <c r="J934" s="96" t="str">
        <f>IF(D934="","",COUNTA(D926:D934)-(COUNTA(D934:D934)-1))</f>
        <v/>
      </c>
    </row>
    <row r="935" spans="1:10" thickBot="1">
      <c r="A935" s="117"/>
      <c r="B935" s="70">
        <f t="shared" si="61"/>
        <v>44727</v>
      </c>
      <c r="C935" s="82" t="str">
        <f t="shared" si="62"/>
        <v>mercredi</v>
      </c>
      <c r="D935" s="87"/>
      <c r="E935" s="115" t="str">
        <f t="shared" si="63"/>
        <v/>
      </c>
      <c r="F935" s="115" t="str">
        <f t="shared" si="64"/>
        <v/>
      </c>
      <c r="G935" s="116" t="str">
        <f>IF(ISNONTEXT(D935),"",E935-MAX($F$2:F934))</f>
        <v/>
      </c>
      <c r="H935" s="97"/>
      <c r="I935" s="74" t="str">
        <f ca="1">IF(D935="N",COUNTIF(INDIRECT(ADDRESS(MATCH(Plages!$D$19,'Planning annuel mixing coater'!$B:$B),4)):D935,"N"),IF(D935="N1",COUNTIF($D$9:D935,"N1"),""))</f>
        <v/>
      </c>
      <c r="J935" s="96" t="str">
        <f>IF(D935="","",COUNTA(D926:D935)-(COUNTA(D935:D935)-1))</f>
        <v/>
      </c>
    </row>
    <row r="936" spans="1:10" thickBot="1">
      <c r="A936" s="117"/>
      <c r="B936" s="70">
        <f t="shared" si="61"/>
        <v>44728</v>
      </c>
      <c r="C936" s="82" t="str">
        <f t="shared" si="62"/>
        <v>jeudi</v>
      </c>
      <c r="D936" s="87"/>
      <c r="E936" s="115" t="str">
        <f t="shared" si="63"/>
        <v/>
      </c>
      <c r="F936" s="115" t="str">
        <f t="shared" si="64"/>
        <v/>
      </c>
      <c r="G936" s="116" t="str">
        <f>IF(ISNONTEXT(D936),"",E936-MAX($F$2:F935))</f>
        <v/>
      </c>
      <c r="H936" s="97"/>
      <c r="I936" s="74" t="str">
        <f ca="1">IF(D936="N",COUNTIF(INDIRECT(ADDRESS(MATCH(Plages!$D$19,'Planning annuel mixing coater'!$B:$B),4)):D936,"N"),IF(D936="N1",COUNTIF($D$9:D936,"N1"),""))</f>
        <v/>
      </c>
      <c r="J936" s="96" t="str">
        <f>IF(D936="","",COUNTA(D926:D936)-(COUNTA(D936:D936)-1))</f>
        <v/>
      </c>
    </row>
    <row r="937" spans="1:10" thickBot="1">
      <c r="A937" s="117"/>
      <c r="B937" s="70">
        <f t="shared" si="61"/>
        <v>44729</v>
      </c>
      <c r="C937" s="82" t="str">
        <f t="shared" si="62"/>
        <v>vendredi</v>
      </c>
      <c r="D937" s="87"/>
      <c r="E937" s="115" t="str">
        <f t="shared" si="63"/>
        <v/>
      </c>
      <c r="F937" s="115" t="str">
        <f t="shared" si="64"/>
        <v/>
      </c>
      <c r="G937" s="116" t="str">
        <f>IF(ISNONTEXT(D937),"",E937-MAX($F$2:F936))</f>
        <v/>
      </c>
      <c r="H937" s="97"/>
      <c r="I937" s="74" t="str">
        <f ca="1">IF(D937="N",COUNTIF(INDIRECT(ADDRESS(MATCH(Plages!$D$19,'Planning annuel mixing coater'!$B:$B),4)):D937,"N"),IF(D937="N1",COUNTIF($D$9:D937,"N1"),""))</f>
        <v/>
      </c>
      <c r="J937" s="96" t="str">
        <f>IF(D937="","",COUNTA(D926:D937)-(COUNTA(D937:D937)-1))</f>
        <v/>
      </c>
    </row>
    <row r="938" spans="1:10" thickBot="1">
      <c r="A938" s="117"/>
      <c r="B938" s="70">
        <f t="shared" si="61"/>
        <v>44730</v>
      </c>
      <c r="C938" s="82" t="str">
        <f t="shared" si="62"/>
        <v>samedi</v>
      </c>
      <c r="D938" s="87"/>
      <c r="E938" s="115" t="str">
        <f t="shared" si="63"/>
        <v/>
      </c>
      <c r="F938" s="115" t="str">
        <f t="shared" si="64"/>
        <v/>
      </c>
      <c r="G938" s="116" t="str">
        <f>IF(ISNONTEXT(D938),"",E938-MAX($F$2:F937))</f>
        <v/>
      </c>
      <c r="H938" s="97"/>
      <c r="I938" s="74" t="str">
        <f ca="1">IF(D938="N",COUNTIF(INDIRECT(ADDRESS(MATCH(Plages!$D$19,'Planning annuel mixing coater'!$B:$B),4)):D938,"N"),IF(D938="N1",COUNTIF($D$9:D938,"N1"),""))</f>
        <v/>
      </c>
      <c r="J938" s="96" t="str">
        <f>IF(D938="","",COUNTA(D926:D938)-(COUNTA(D938:D938)-1))</f>
        <v/>
      </c>
    </row>
    <row r="939" spans="1:10" s="77" customFormat="1" thickBot="1">
      <c r="A939" s="117"/>
      <c r="B939" s="75">
        <f t="shared" si="61"/>
        <v>44731</v>
      </c>
      <c r="C939" s="83" t="str">
        <f t="shared" si="62"/>
        <v>dimanche</v>
      </c>
      <c r="D939" s="88"/>
      <c r="E939" s="115" t="str">
        <f t="shared" si="63"/>
        <v/>
      </c>
      <c r="F939" s="115" t="str">
        <f t="shared" si="64"/>
        <v/>
      </c>
      <c r="G939" s="116" t="str">
        <f>IF(ISNONTEXT(D939),"",E939-MAX($F$2:F938))</f>
        <v/>
      </c>
      <c r="H939" s="98"/>
      <c r="I939" s="76" t="str">
        <f ca="1">IF(D939="N",COUNTIF(INDIRECT(ADDRESS(MATCH(Plages!$D$19,'Planning annuel mixing coater'!$B:$B),4)):D939,"N"),IF(D939="N1",COUNTIF($D$9:D939,"N1"),""))</f>
        <v/>
      </c>
      <c r="J939" s="99" t="str">
        <f>IF(D939="","",COUNTA(D926:D939)-(COUNTA(D939:D939)-1))</f>
        <v/>
      </c>
    </row>
    <row r="940" spans="1:10" ht="16.5" thickTop="1" thickBot="1">
      <c r="A940" s="117"/>
      <c r="B940" s="78">
        <f t="shared" si="61"/>
        <v>44732</v>
      </c>
      <c r="C940" s="81" t="str">
        <f t="shared" si="62"/>
        <v>lundi</v>
      </c>
      <c r="D940" s="89"/>
      <c r="E940" s="115" t="str">
        <f t="shared" si="63"/>
        <v/>
      </c>
      <c r="F940" s="115" t="str">
        <f t="shared" si="64"/>
        <v/>
      </c>
      <c r="G940" s="116" t="str">
        <f>IF(ISNONTEXT(D940),"",E940-MAX($F$2:F939))</f>
        <v/>
      </c>
      <c r="H940" s="100"/>
      <c r="I940" s="79" t="str">
        <f ca="1">IF(D940="N",COUNTIF(INDIRECT(ADDRESS(MATCH(Plages!$D$19,'Planning annuel mixing coater'!$B:$B),4)):D940,"N"),IF(D940="N1",COUNTIF($D$9:D940,"N1"),""))</f>
        <v/>
      </c>
      <c r="J940" s="101" t="str">
        <f>IF(D940="","",COUNTA(D940:D940)-(COUNTA(D940:D940)-1))</f>
        <v/>
      </c>
    </row>
    <row r="941" spans="1:10" thickBot="1">
      <c r="A941" s="117"/>
      <c r="B941" s="70">
        <f t="shared" si="61"/>
        <v>44733</v>
      </c>
      <c r="C941" s="82" t="str">
        <f t="shared" si="62"/>
        <v>mardi</v>
      </c>
      <c r="D941" s="87"/>
      <c r="E941" s="115" t="str">
        <f t="shared" si="63"/>
        <v/>
      </c>
      <c r="F941" s="115" t="str">
        <f t="shared" si="64"/>
        <v/>
      </c>
      <c r="G941" s="116" t="str">
        <f>IF(ISNONTEXT(D941),"",E941-MAX($F$2:F940))</f>
        <v/>
      </c>
      <c r="H941" s="97"/>
      <c r="I941" s="74" t="str">
        <f ca="1">IF(D941="N",COUNTIF(INDIRECT(ADDRESS(MATCH(Plages!$D$19,'Planning annuel mixing coater'!$B:$B),4)):D941,"N"),IF(D941="N1",COUNTIF($D$9:D941,"N1"),""))</f>
        <v/>
      </c>
      <c r="J941" s="96" t="str">
        <f>IF(D941="","",COUNTA(D940:D941)-(COUNTA(D941:D941)-1))</f>
        <v/>
      </c>
    </row>
    <row r="942" spans="1:10" thickBot="1">
      <c r="A942" s="117"/>
      <c r="B942" s="70">
        <f t="shared" si="61"/>
        <v>44734</v>
      </c>
      <c r="C942" s="82" t="str">
        <f t="shared" si="62"/>
        <v>mercredi</v>
      </c>
      <c r="D942" s="87"/>
      <c r="E942" s="115" t="str">
        <f t="shared" si="63"/>
        <v/>
      </c>
      <c r="F942" s="115" t="str">
        <f t="shared" si="64"/>
        <v/>
      </c>
      <c r="G942" s="116" t="str">
        <f>IF(ISNONTEXT(D942),"",E942-MAX($F$2:F941))</f>
        <v/>
      </c>
      <c r="H942" s="97"/>
      <c r="I942" s="74" t="str">
        <f ca="1">IF(D942="N",COUNTIF(INDIRECT(ADDRESS(MATCH(Plages!$D$19,'Planning annuel mixing coater'!$B:$B),4)):D942,"N"),IF(D942="N1",COUNTIF($D$9:D942,"N1"),""))</f>
        <v/>
      </c>
      <c r="J942" s="96" t="str">
        <f>IF(D942="","",COUNTA(D940:D942)-(COUNTA(D942:D942)-1))</f>
        <v/>
      </c>
    </row>
    <row r="943" spans="1:10" thickBot="1">
      <c r="A943" s="117"/>
      <c r="B943" s="70">
        <f t="shared" si="61"/>
        <v>44735</v>
      </c>
      <c r="C943" s="82" t="str">
        <f t="shared" si="62"/>
        <v>jeudi</v>
      </c>
      <c r="D943" s="87"/>
      <c r="E943" s="115" t="str">
        <f t="shared" si="63"/>
        <v/>
      </c>
      <c r="F943" s="115" t="str">
        <f t="shared" si="64"/>
        <v/>
      </c>
      <c r="G943" s="116" t="str">
        <f>IF(ISNONTEXT(D943),"",E943-MAX($F$2:F942))</f>
        <v/>
      </c>
      <c r="H943" s="97"/>
      <c r="I943" s="74" t="str">
        <f ca="1">IF(D943="N",COUNTIF(INDIRECT(ADDRESS(MATCH(Plages!$D$19,'Planning annuel mixing coater'!$B:$B),4)):D943,"N"),IF(D943="N1",COUNTIF($D$9:D943,"N1"),""))</f>
        <v/>
      </c>
      <c r="J943" s="96" t="str">
        <f>IF(D943="","",COUNTA(D940:D943)-(COUNTA(D943:D943)-1))</f>
        <v/>
      </c>
    </row>
    <row r="944" spans="1:10" thickBot="1">
      <c r="A944" s="117"/>
      <c r="B944" s="70">
        <f t="shared" si="61"/>
        <v>44736</v>
      </c>
      <c r="C944" s="82" t="str">
        <f t="shared" si="62"/>
        <v>vendredi</v>
      </c>
      <c r="D944" s="87"/>
      <c r="E944" s="115" t="str">
        <f t="shared" si="63"/>
        <v/>
      </c>
      <c r="F944" s="115" t="str">
        <f t="shared" si="64"/>
        <v/>
      </c>
      <c r="G944" s="116" t="str">
        <f>IF(ISNONTEXT(D944),"",E944-MAX($F$2:F943))</f>
        <v/>
      </c>
      <c r="H944" s="97"/>
      <c r="I944" s="74" t="str">
        <f ca="1">IF(D944="N",COUNTIF(INDIRECT(ADDRESS(MATCH(Plages!$D$19,'Planning annuel mixing coater'!$B:$B),4)):D944,"N"),IF(D944="N1",COUNTIF($D$9:D944,"N1"),""))</f>
        <v/>
      </c>
      <c r="J944" s="96" t="str">
        <f>IF(D944="","",COUNTA(D940:D944)-(COUNTA(D944:D944)-1))</f>
        <v/>
      </c>
    </row>
    <row r="945" spans="1:10" thickBot="1">
      <c r="A945" s="117"/>
      <c r="B945" s="70">
        <f t="shared" si="61"/>
        <v>44737</v>
      </c>
      <c r="C945" s="82" t="str">
        <f t="shared" si="62"/>
        <v>samedi</v>
      </c>
      <c r="D945" s="87"/>
      <c r="E945" s="115" t="str">
        <f t="shared" si="63"/>
        <v/>
      </c>
      <c r="F945" s="115" t="str">
        <f t="shared" si="64"/>
        <v/>
      </c>
      <c r="G945" s="116" t="str">
        <f>IF(ISNONTEXT(D945),"",E945-MAX($F$2:F944))</f>
        <v/>
      </c>
      <c r="H945" s="97"/>
      <c r="I945" s="74" t="str">
        <f ca="1">IF(D945="N",COUNTIF(INDIRECT(ADDRESS(MATCH(Plages!$D$19,'Planning annuel mixing coater'!$B:$B),4)):D945,"N"),IF(D945="N1",COUNTIF($D$9:D945,"N1"),""))</f>
        <v/>
      </c>
      <c r="J945" s="96" t="str">
        <f>IF(D945="","",COUNTA(D940:D945)-(COUNTA(D945:D945)-1))</f>
        <v/>
      </c>
    </row>
    <row r="946" spans="1:10" thickBot="1">
      <c r="A946" s="117"/>
      <c r="B946" s="70">
        <f t="shared" si="61"/>
        <v>44738</v>
      </c>
      <c r="C946" s="82" t="str">
        <f t="shared" si="62"/>
        <v>dimanche</v>
      </c>
      <c r="D946" s="87"/>
      <c r="E946" s="115" t="str">
        <f t="shared" si="63"/>
        <v/>
      </c>
      <c r="F946" s="115" t="str">
        <f t="shared" si="64"/>
        <v/>
      </c>
      <c r="G946" s="116" t="str">
        <f>IF(ISNONTEXT(D946),"",E946-MAX($F$2:F945))</f>
        <v/>
      </c>
      <c r="H946" s="98"/>
      <c r="I946" s="74" t="str">
        <f ca="1">IF(D946="N",COUNTIF(INDIRECT(ADDRESS(MATCH(Plages!$D$19,'Planning annuel mixing coater'!$B:$B),4)):D946,"N"),IF(D946="N1",COUNTIF($D$9:D946,"N1"),""))</f>
        <v/>
      </c>
      <c r="J946" s="96" t="str">
        <f>IF(D946="","",COUNTA(D940:D946)-(COUNTA(D946:D946)-1))</f>
        <v/>
      </c>
    </row>
    <row r="947" spans="1:10" thickBot="1">
      <c r="A947" s="117"/>
      <c r="B947" s="70">
        <f t="shared" si="61"/>
        <v>44739</v>
      </c>
      <c r="C947" s="82" t="str">
        <f t="shared" si="62"/>
        <v>lundi</v>
      </c>
      <c r="D947" s="87"/>
      <c r="E947" s="115" t="str">
        <f t="shared" si="63"/>
        <v/>
      </c>
      <c r="F947" s="115" t="str">
        <f t="shared" si="64"/>
        <v/>
      </c>
      <c r="G947" s="116" t="str">
        <f>IF(ISNONTEXT(D947),"",E947-MAX($F$2:F946))</f>
        <v/>
      </c>
      <c r="H947" s="97"/>
      <c r="I947" s="74" t="str">
        <f ca="1">IF(D947="N",COUNTIF(INDIRECT(ADDRESS(MATCH(Plages!$D$19,'Planning annuel mixing coater'!$B:$B),4)):D947,"N"),IF(D947="N1",COUNTIF($D$9:D947,"N1"),""))</f>
        <v/>
      </c>
      <c r="J947" s="96" t="str">
        <f>IF(D947="","",COUNTA(D940:D947)-(COUNTA(D947:D947)-1))</f>
        <v/>
      </c>
    </row>
    <row r="948" spans="1:10" thickBot="1">
      <c r="A948" s="117"/>
      <c r="B948" s="70">
        <f t="shared" si="61"/>
        <v>44740</v>
      </c>
      <c r="C948" s="82" t="str">
        <f t="shared" si="62"/>
        <v>mardi</v>
      </c>
      <c r="D948" s="87"/>
      <c r="E948" s="115" t="str">
        <f t="shared" si="63"/>
        <v/>
      </c>
      <c r="F948" s="115" t="str">
        <f t="shared" si="64"/>
        <v/>
      </c>
      <c r="G948" s="116" t="str">
        <f>IF(ISNONTEXT(D948),"",E948-MAX($F$2:F947))</f>
        <v/>
      </c>
      <c r="H948" s="97"/>
      <c r="I948" s="74" t="str">
        <f ca="1">IF(D948="N",COUNTIF(INDIRECT(ADDRESS(MATCH(Plages!$D$19,'Planning annuel mixing coater'!$B:$B),4)):D948,"N"),IF(D948="N1",COUNTIF($D$9:D948,"N1"),""))</f>
        <v/>
      </c>
      <c r="J948" s="96" t="str">
        <f>IF(D948="","",COUNTA(D940:D948)-(COUNTA(D948:D948)-1))</f>
        <v/>
      </c>
    </row>
    <row r="949" spans="1:10" thickBot="1">
      <c r="A949" s="117"/>
      <c r="B949" s="70">
        <f t="shared" si="61"/>
        <v>44741</v>
      </c>
      <c r="C949" s="82" t="str">
        <f t="shared" si="62"/>
        <v>mercredi</v>
      </c>
      <c r="D949" s="87"/>
      <c r="E949" s="115" t="str">
        <f t="shared" si="63"/>
        <v/>
      </c>
      <c r="F949" s="115" t="str">
        <f t="shared" si="64"/>
        <v/>
      </c>
      <c r="G949" s="116" t="str">
        <f>IF(ISNONTEXT(D949),"",E949-MAX($F$2:F948))</f>
        <v/>
      </c>
      <c r="H949" s="97"/>
      <c r="I949" s="74" t="str">
        <f ca="1">IF(D949="N",COUNTIF(INDIRECT(ADDRESS(MATCH(Plages!$D$19,'Planning annuel mixing coater'!$B:$B),4)):D949,"N"),IF(D949="N1",COUNTIF($D$9:D949,"N1"),""))</f>
        <v/>
      </c>
      <c r="J949" s="96" t="str">
        <f>IF(D949="","",COUNTA(D940:D949)-(COUNTA(D949:D949)-1))</f>
        <v/>
      </c>
    </row>
    <row r="950" spans="1:10" thickBot="1">
      <c r="A950" s="117"/>
      <c r="B950" s="70">
        <f t="shared" si="61"/>
        <v>44742</v>
      </c>
      <c r="C950" s="82" t="str">
        <f t="shared" si="62"/>
        <v>jeudi</v>
      </c>
      <c r="D950" s="87"/>
      <c r="E950" s="115" t="str">
        <f t="shared" si="63"/>
        <v/>
      </c>
      <c r="F950" s="115" t="str">
        <f t="shared" si="64"/>
        <v/>
      </c>
      <c r="G950" s="116" t="str">
        <f>IF(ISNONTEXT(D950),"",E950-MAX($F$2:F949))</f>
        <v/>
      </c>
      <c r="H950" s="97"/>
      <c r="I950" s="74" t="str">
        <f ca="1">IF(D950="N",COUNTIF(INDIRECT(ADDRESS(MATCH(Plages!$D$19,'Planning annuel mixing coater'!$B:$B),4)):D950,"N"),IF(D950="N1",COUNTIF($D$9:D950,"N1"),""))</f>
        <v/>
      </c>
      <c r="J950" s="96" t="str">
        <f>IF(D950="","",COUNTA(D940:D950)-(COUNTA(D950:D950)-1))</f>
        <v/>
      </c>
    </row>
    <row r="951" spans="1:10" thickBot="1">
      <c r="A951" s="117"/>
      <c r="B951" s="70">
        <f t="shared" si="61"/>
        <v>44743</v>
      </c>
      <c r="C951" s="82" t="str">
        <f t="shared" si="62"/>
        <v>vendredi</v>
      </c>
      <c r="D951" s="87"/>
      <c r="E951" s="115" t="str">
        <f t="shared" si="63"/>
        <v/>
      </c>
      <c r="F951" s="115" t="str">
        <f t="shared" si="64"/>
        <v/>
      </c>
      <c r="G951" s="116" t="str">
        <f>IF(ISNONTEXT(D951),"",E951-MAX($F$2:F950))</f>
        <v/>
      </c>
      <c r="H951" s="97"/>
      <c r="I951" s="74" t="str">
        <f ca="1">IF(D951="N",COUNTIF(INDIRECT(ADDRESS(MATCH(Plages!$D$19,'Planning annuel mixing coater'!$B:$B),4)):D951,"N"),IF(D951="N1",COUNTIF($D$9:D951,"N1"),""))</f>
        <v/>
      </c>
      <c r="J951" s="96" t="str">
        <f>IF(D951="","",COUNTA(D940:D951)-(COUNTA(D951:D951)-1))</f>
        <v/>
      </c>
    </row>
    <row r="952" spans="1:10" thickBot="1">
      <c r="A952" s="117"/>
      <c r="B952" s="70">
        <f t="shared" si="61"/>
        <v>44744</v>
      </c>
      <c r="C952" s="82" t="str">
        <f t="shared" si="62"/>
        <v>samedi</v>
      </c>
      <c r="D952" s="87"/>
      <c r="E952" s="115" t="str">
        <f t="shared" si="63"/>
        <v/>
      </c>
      <c r="F952" s="115" t="str">
        <f t="shared" si="64"/>
        <v/>
      </c>
      <c r="G952" s="116" t="str">
        <f>IF(ISNONTEXT(D952),"",E952-MAX($F$2:F951))</f>
        <v/>
      </c>
      <c r="H952" s="97"/>
      <c r="I952" s="74" t="str">
        <f ca="1">IF(D952="N",COUNTIF(INDIRECT(ADDRESS(MATCH(Plages!$D$19,'Planning annuel mixing coater'!$B:$B),4)):D952,"N"),IF(D952="N1",COUNTIF($D$9:D952,"N1"),""))</f>
        <v/>
      </c>
      <c r="J952" s="96" t="str">
        <f>IF(D952="","",COUNTA(D940:D952)-(COUNTA(D952:D952)-1))</f>
        <v/>
      </c>
    </row>
    <row r="953" spans="1:10" s="77" customFormat="1" thickBot="1">
      <c r="A953" s="117"/>
      <c r="B953" s="75">
        <f t="shared" si="61"/>
        <v>44745</v>
      </c>
      <c r="C953" s="83" t="str">
        <f t="shared" si="62"/>
        <v>dimanche</v>
      </c>
      <c r="D953" s="88"/>
      <c r="E953" s="115" t="str">
        <f t="shared" si="63"/>
        <v/>
      </c>
      <c r="F953" s="115" t="str">
        <f t="shared" si="64"/>
        <v/>
      </c>
      <c r="G953" s="116" t="str">
        <f>IF(ISNONTEXT(D953),"",E953-MAX($F$2:F952))</f>
        <v/>
      </c>
      <c r="H953" s="98"/>
      <c r="I953" s="76" t="str">
        <f ca="1">IF(D953="N",COUNTIF(INDIRECT(ADDRESS(MATCH(Plages!$D$19,'Planning annuel mixing coater'!$B:$B),4)):D953,"N"),IF(D953="N1",COUNTIF($D$9:D953,"N1"),""))</f>
        <v/>
      </c>
      <c r="J953" s="99" t="str">
        <f>IF(D953="","",COUNTA(D940:D953)-(COUNTA(D953:D953)-1))</f>
        <v/>
      </c>
    </row>
    <row r="954" spans="1:10" ht="16.5" thickTop="1" thickBot="1">
      <c r="A954" s="117"/>
      <c r="B954" s="78">
        <f t="shared" si="61"/>
        <v>44746</v>
      </c>
      <c r="C954" s="81" t="str">
        <f t="shared" si="62"/>
        <v>lundi</v>
      </c>
      <c r="D954" s="89"/>
      <c r="E954" s="115" t="str">
        <f t="shared" si="63"/>
        <v/>
      </c>
      <c r="F954" s="115" t="str">
        <f t="shared" si="64"/>
        <v/>
      </c>
      <c r="G954" s="116" t="str">
        <f>IF(ISNONTEXT(D954),"",E954-MAX($F$2:F953))</f>
        <v/>
      </c>
      <c r="H954" s="100"/>
      <c r="I954" s="79" t="str">
        <f ca="1">IF(D954="N",COUNTIF(INDIRECT(ADDRESS(MATCH(Plages!$D$19,'Planning annuel mixing coater'!$B:$B),4)):D954,"N"),IF(D954="N1",COUNTIF($D$9:D954,"N1"),""))</f>
        <v/>
      </c>
      <c r="J954" s="101" t="str">
        <f>IF(D954="","",COUNTA(D954:D954)-(COUNTA(D954:D954)-1))</f>
        <v/>
      </c>
    </row>
    <row r="955" spans="1:10" thickBot="1">
      <c r="A955" s="117"/>
      <c r="B955" s="70">
        <f t="shared" si="61"/>
        <v>44747</v>
      </c>
      <c r="C955" s="82" t="str">
        <f t="shared" si="62"/>
        <v>mardi</v>
      </c>
      <c r="D955" s="87"/>
      <c r="E955" s="115" t="str">
        <f t="shared" si="63"/>
        <v/>
      </c>
      <c r="F955" s="115" t="str">
        <f t="shared" si="64"/>
        <v/>
      </c>
      <c r="G955" s="116" t="str">
        <f>IF(ISNONTEXT(D955),"",E955-MAX($F$2:F954))</f>
        <v/>
      </c>
      <c r="H955" s="97"/>
      <c r="I955" s="74" t="str">
        <f ca="1">IF(D955="N",COUNTIF(INDIRECT(ADDRESS(MATCH(Plages!$D$19,'Planning annuel mixing coater'!$B:$B),4)):D955,"N"),IF(D955="N1",COUNTIF($D$9:D955,"N1"),""))</f>
        <v/>
      </c>
      <c r="J955" s="96" t="str">
        <f>IF(D955="","",COUNTA(D954:D955)-(COUNTA(D955:D955)-1))</f>
        <v/>
      </c>
    </row>
    <row r="956" spans="1:10" thickBot="1">
      <c r="A956" s="117"/>
      <c r="B956" s="70">
        <f t="shared" si="61"/>
        <v>44748</v>
      </c>
      <c r="C956" s="82" t="str">
        <f t="shared" si="62"/>
        <v>mercredi</v>
      </c>
      <c r="D956" s="87"/>
      <c r="E956" s="115" t="str">
        <f t="shared" si="63"/>
        <v/>
      </c>
      <c r="F956" s="115" t="str">
        <f t="shared" si="64"/>
        <v/>
      </c>
      <c r="G956" s="116" t="str">
        <f>IF(ISNONTEXT(D956),"",E956-MAX($F$2:F955))</f>
        <v/>
      </c>
      <c r="H956" s="97"/>
      <c r="I956" s="74" t="str">
        <f ca="1">IF(D956="N",COUNTIF(INDIRECT(ADDRESS(MATCH(Plages!$D$19,'Planning annuel mixing coater'!$B:$B),4)):D956,"N"),IF(D956="N1",COUNTIF($D$9:D956,"N1"),""))</f>
        <v/>
      </c>
      <c r="J956" s="96" t="str">
        <f>IF(D956="","",COUNTA(D954:D956)-(COUNTA(D956:D956)-1))</f>
        <v/>
      </c>
    </row>
    <row r="957" spans="1:10" thickBot="1">
      <c r="A957" s="117"/>
      <c r="B957" s="70">
        <f t="shared" si="61"/>
        <v>44749</v>
      </c>
      <c r="C957" s="82" t="str">
        <f t="shared" si="62"/>
        <v>jeudi</v>
      </c>
      <c r="D957" s="87"/>
      <c r="E957" s="115" t="str">
        <f t="shared" si="63"/>
        <v/>
      </c>
      <c r="F957" s="115" t="str">
        <f t="shared" si="64"/>
        <v/>
      </c>
      <c r="G957" s="116" t="str">
        <f>IF(ISNONTEXT(D957),"",E957-MAX($F$2:F956))</f>
        <v/>
      </c>
      <c r="H957" s="97"/>
      <c r="I957" s="74" t="str">
        <f ca="1">IF(D957="N",COUNTIF(INDIRECT(ADDRESS(MATCH(Plages!$D$19,'Planning annuel mixing coater'!$B:$B),4)):D957,"N"),IF(D957="N1",COUNTIF($D$9:D957,"N1"),""))</f>
        <v/>
      </c>
      <c r="J957" s="96" t="str">
        <f>IF(D957="","",COUNTA(D954:D957)-(COUNTA(D957:D957)-1))</f>
        <v/>
      </c>
    </row>
    <row r="958" spans="1:10" thickBot="1">
      <c r="A958" s="117"/>
      <c r="B958" s="70">
        <f t="shared" si="61"/>
        <v>44750</v>
      </c>
      <c r="C958" s="82" t="str">
        <f t="shared" si="62"/>
        <v>vendredi</v>
      </c>
      <c r="D958" s="87"/>
      <c r="E958" s="115" t="str">
        <f t="shared" si="63"/>
        <v/>
      </c>
      <c r="F958" s="115" t="str">
        <f t="shared" si="64"/>
        <v/>
      </c>
      <c r="G958" s="116" t="str">
        <f>IF(ISNONTEXT(D958),"",E958-MAX($F$2:F957))</f>
        <v/>
      </c>
      <c r="H958" s="97"/>
      <c r="I958" s="74" t="str">
        <f ca="1">IF(D958="N",COUNTIF(INDIRECT(ADDRESS(MATCH(Plages!$D$19,'Planning annuel mixing coater'!$B:$B),4)):D958,"N"),IF(D958="N1",COUNTIF($D$9:D958,"N1"),""))</f>
        <v/>
      </c>
      <c r="J958" s="96" t="str">
        <f>IF(D958="","",COUNTA(D954:D958)-(COUNTA(D958:D958)-1))</f>
        <v/>
      </c>
    </row>
    <row r="959" spans="1:10" thickBot="1">
      <c r="A959" s="117"/>
      <c r="B959" s="70">
        <f t="shared" si="61"/>
        <v>44751</v>
      </c>
      <c r="C959" s="82" t="str">
        <f t="shared" si="62"/>
        <v>samedi</v>
      </c>
      <c r="D959" s="87"/>
      <c r="E959" s="115" t="str">
        <f t="shared" si="63"/>
        <v/>
      </c>
      <c r="F959" s="115" t="str">
        <f t="shared" si="64"/>
        <v/>
      </c>
      <c r="G959" s="116" t="str">
        <f>IF(ISNONTEXT(D959),"",E959-MAX($F$2:F958))</f>
        <v/>
      </c>
      <c r="H959" s="97"/>
      <c r="I959" s="74" t="str">
        <f ca="1">IF(D959="N",COUNTIF(INDIRECT(ADDRESS(MATCH(Plages!$D$19,'Planning annuel mixing coater'!$B:$B),4)):D959,"N"),IF(D959="N1",COUNTIF($D$9:D959,"N1"),""))</f>
        <v/>
      </c>
      <c r="J959" s="96" t="str">
        <f>IF(D959="","",COUNTA(D954:D959)-(COUNTA(D959:D959)-1))</f>
        <v/>
      </c>
    </row>
    <row r="960" spans="1:10" thickBot="1">
      <c r="A960" s="117"/>
      <c r="B960" s="70">
        <f t="shared" si="61"/>
        <v>44752</v>
      </c>
      <c r="C960" s="82" t="str">
        <f t="shared" si="62"/>
        <v>dimanche</v>
      </c>
      <c r="D960" s="87"/>
      <c r="E960" s="115" t="str">
        <f t="shared" si="63"/>
        <v/>
      </c>
      <c r="F960" s="115" t="str">
        <f t="shared" si="64"/>
        <v/>
      </c>
      <c r="G960" s="116" t="str">
        <f>IF(ISNONTEXT(D960),"",E960-MAX($F$2:F959))</f>
        <v/>
      </c>
      <c r="H960" s="98"/>
      <c r="I960" s="74" t="str">
        <f ca="1">IF(D960="N",COUNTIF(INDIRECT(ADDRESS(MATCH(Plages!$D$19,'Planning annuel mixing coater'!$B:$B),4)):D960,"N"),IF(D960="N1",COUNTIF($D$9:D960,"N1"),""))</f>
        <v/>
      </c>
      <c r="J960" s="96" t="str">
        <f>IF(D960="","",COUNTA(D954:D960)-(COUNTA(D960:D960)-1))</f>
        <v/>
      </c>
    </row>
    <row r="961" spans="1:10" thickBot="1">
      <c r="A961" s="117"/>
      <c r="B961" s="70">
        <f t="shared" si="61"/>
        <v>44753</v>
      </c>
      <c r="C961" s="82" t="str">
        <f t="shared" si="62"/>
        <v>lundi</v>
      </c>
      <c r="D961" s="87"/>
      <c r="E961" s="115" t="str">
        <f t="shared" si="63"/>
        <v/>
      </c>
      <c r="F961" s="115" t="str">
        <f t="shared" si="64"/>
        <v/>
      </c>
      <c r="G961" s="116" t="str">
        <f>IF(ISNONTEXT(D961),"",E961-MAX($F$2:F960))</f>
        <v/>
      </c>
      <c r="H961" s="97"/>
      <c r="I961" s="74" t="str">
        <f ca="1">IF(D961="N",COUNTIF(INDIRECT(ADDRESS(MATCH(Plages!$D$19,'Planning annuel mixing coater'!$B:$B),4)):D961,"N"),IF(D961="N1",COUNTIF($D$9:D961,"N1"),""))</f>
        <v/>
      </c>
      <c r="J961" s="96" t="str">
        <f>IF(D961="","",COUNTA(D954:D961)-(COUNTA(D961:D961)-1))</f>
        <v/>
      </c>
    </row>
    <row r="962" spans="1:10" thickBot="1">
      <c r="A962" s="117"/>
      <c r="B962" s="70">
        <f t="shared" si="61"/>
        <v>44754</v>
      </c>
      <c r="C962" s="82" t="str">
        <f t="shared" si="62"/>
        <v>mardi</v>
      </c>
      <c r="D962" s="87"/>
      <c r="E962" s="115" t="str">
        <f t="shared" si="63"/>
        <v/>
      </c>
      <c r="F962" s="115" t="str">
        <f t="shared" si="64"/>
        <v/>
      </c>
      <c r="G962" s="116" t="str">
        <f>IF(ISNONTEXT(D962),"",E962-MAX($F$2:F961))</f>
        <v/>
      </c>
      <c r="H962" s="97"/>
      <c r="I962" s="74" t="str">
        <f ca="1">IF(D962="N",COUNTIF(INDIRECT(ADDRESS(MATCH(Plages!$D$19,'Planning annuel mixing coater'!$B:$B),4)):D962,"N"),IF(D962="N1",COUNTIF($D$9:D962,"N1"),""))</f>
        <v/>
      </c>
      <c r="J962" s="96" t="str">
        <f>IF(D962="","",COUNTA(D954:D962)-(COUNTA(D962:D962)-1))</f>
        <v/>
      </c>
    </row>
    <row r="963" spans="1:10" thickBot="1">
      <c r="A963" s="117"/>
      <c r="B963" s="70">
        <f t="shared" si="61"/>
        <v>44755</v>
      </c>
      <c r="C963" s="82" t="str">
        <f t="shared" si="62"/>
        <v>mercredi</v>
      </c>
      <c r="D963" s="87"/>
      <c r="E963" s="115" t="str">
        <f t="shared" si="63"/>
        <v/>
      </c>
      <c r="F963" s="115" t="str">
        <f t="shared" si="64"/>
        <v/>
      </c>
      <c r="G963" s="116" t="str">
        <f>IF(ISNONTEXT(D963),"",E963-MAX($F$2:F962))</f>
        <v/>
      </c>
      <c r="H963" s="97"/>
      <c r="I963" s="74" t="str">
        <f ca="1">IF(D963="N",COUNTIF(INDIRECT(ADDRESS(MATCH(Plages!$D$19,'Planning annuel mixing coater'!$B:$B),4)):D963,"N"),IF(D963="N1",COUNTIF($D$9:D963,"N1"),""))</f>
        <v/>
      </c>
      <c r="J963" s="96" t="str">
        <f>IF(D963="","",COUNTA(D954:D963)-(COUNTA(D963:D963)-1))</f>
        <v/>
      </c>
    </row>
    <row r="964" spans="1:10" thickBot="1">
      <c r="A964" s="117"/>
      <c r="B964" s="70">
        <f t="shared" ref="B964:B1027" si="65">IF(B963="","",B963+1)</f>
        <v>44756</v>
      </c>
      <c r="C964" s="82" t="str">
        <f t="shared" si="62"/>
        <v>jeudi</v>
      </c>
      <c r="D964" s="87"/>
      <c r="E964" s="115" t="str">
        <f t="shared" si="63"/>
        <v/>
      </c>
      <c r="F964" s="115" t="str">
        <f t="shared" si="64"/>
        <v/>
      </c>
      <c r="G964" s="116" t="str">
        <f>IF(ISNONTEXT(D964),"",E964-MAX($F$2:F963))</f>
        <v/>
      </c>
      <c r="H964" s="97"/>
      <c r="I964" s="74" t="str">
        <f ca="1">IF(D964="N",COUNTIF(INDIRECT(ADDRESS(MATCH(Plages!$D$19,'Planning annuel mixing coater'!$B:$B),4)):D964,"N"),IF(D964="N1",COUNTIF($D$9:D964,"N1"),""))</f>
        <v/>
      </c>
      <c r="J964" s="96" t="str">
        <f>IF(D964="","",COUNTA(D954:D964)-(COUNTA(D964:D964)-1))</f>
        <v/>
      </c>
    </row>
    <row r="965" spans="1:10" thickBot="1">
      <c r="A965" s="117"/>
      <c r="B965" s="70">
        <f t="shared" si="65"/>
        <v>44757</v>
      </c>
      <c r="C965" s="82" t="str">
        <f t="shared" si="62"/>
        <v>vendredi</v>
      </c>
      <c r="D965" s="87"/>
      <c r="E965" s="115" t="str">
        <f t="shared" si="63"/>
        <v/>
      </c>
      <c r="F965" s="115" t="str">
        <f t="shared" si="64"/>
        <v/>
      </c>
      <c r="G965" s="116" t="str">
        <f>IF(ISNONTEXT(D965),"",E965-MAX($F$2:F964))</f>
        <v/>
      </c>
      <c r="H965" s="97"/>
      <c r="I965" s="74" t="str">
        <f ca="1">IF(D965="N",COUNTIF(INDIRECT(ADDRESS(MATCH(Plages!$D$19,'Planning annuel mixing coater'!$B:$B),4)):D965,"N"),IF(D965="N1",COUNTIF($D$9:D965,"N1"),""))</f>
        <v/>
      </c>
      <c r="J965" s="96" t="str">
        <f>IF(D965="","",COUNTA(D954:D965)-(COUNTA(D965:D965)-1))</f>
        <v/>
      </c>
    </row>
    <row r="966" spans="1:10" thickBot="1">
      <c r="A966" s="117"/>
      <c r="B966" s="70">
        <f t="shared" si="65"/>
        <v>44758</v>
      </c>
      <c r="C966" s="82" t="str">
        <f t="shared" si="62"/>
        <v>samedi</v>
      </c>
      <c r="D966" s="87"/>
      <c r="E966" s="115" t="str">
        <f t="shared" si="63"/>
        <v/>
      </c>
      <c r="F966" s="115" t="str">
        <f t="shared" si="64"/>
        <v/>
      </c>
      <c r="G966" s="116" t="str">
        <f>IF(ISNONTEXT(D966),"",E966-MAX($F$2:F965))</f>
        <v/>
      </c>
      <c r="H966" s="97"/>
      <c r="I966" s="74" t="str">
        <f ca="1">IF(D966="N",COUNTIF(INDIRECT(ADDRESS(MATCH(Plages!$D$19,'Planning annuel mixing coater'!$B:$B),4)):D966,"N"),IF(D966="N1",COUNTIF($D$9:D966,"N1"),""))</f>
        <v/>
      </c>
      <c r="J966" s="96" t="str">
        <f>IF(D966="","",COUNTA(D954:D966)-(COUNTA(D966:D966)-1))</f>
        <v/>
      </c>
    </row>
    <row r="967" spans="1:10" s="77" customFormat="1" thickBot="1">
      <c r="A967" s="117"/>
      <c r="B967" s="75">
        <f t="shared" si="65"/>
        <v>44759</v>
      </c>
      <c r="C967" s="83" t="str">
        <f t="shared" si="62"/>
        <v>dimanche</v>
      </c>
      <c r="D967" s="88"/>
      <c r="E967" s="115" t="str">
        <f t="shared" si="63"/>
        <v/>
      </c>
      <c r="F967" s="115" t="str">
        <f t="shared" si="64"/>
        <v/>
      </c>
      <c r="G967" s="116" t="str">
        <f>IF(ISNONTEXT(D967),"",E967-MAX($F$2:F966))</f>
        <v/>
      </c>
      <c r="H967" s="98"/>
      <c r="I967" s="76" t="str">
        <f ca="1">IF(D967="N",COUNTIF(INDIRECT(ADDRESS(MATCH(Plages!$D$19,'Planning annuel mixing coater'!$B:$B),4)):D967,"N"),IF(D967="N1",COUNTIF($D$9:D967,"N1"),""))</f>
        <v/>
      </c>
      <c r="J967" s="99" t="str">
        <f>IF(D967="","",COUNTA(D954:D967)-(COUNTA(D967:D967)-1))</f>
        <v/>
      </c>
    </row>
    <row r="968" spans="1:10" ht="16.5" thickTop="1" thickBot="1">
      <c r="A968" s="117"/>
      <c r="B968" s="78">
        <f t="shared" si="65"/>
        <v>44760</v>
      </c>
      <c r="C968" s="81" t="str">
        <f t="shared" si="62"/>
        <v>lundi</v>
      </c>
      <c r="D968" s="89"/>
      <c r="E968" s="115" t="str">
        <f t="shared" si="63"/>
        <v/>
      </c>
      <c r="F968" s="115" t="str">
        <f t="shared" si="64"/>
        <v/>
      </c>
      <c r="G968" s="116" t="str">
        <f>IF(ISNONTEXT(D968),"",E968-MAX($F$2:F967))</f>
        <v/>
      </c>
      <c r="H968" s="100"/>
      <c r="I968" s="79" t="str">
        <f ca="1">IF(D968="N",COUNTIF(INDIRECT(ADDRESS(MATCH(Plages!$D$19,'Planning annuel mixing coater'!$B:$B),4)):D968,"N"),IF(D968="N1",COUNTIF($D$9:D968,"N1"),""))</f>
        <v/>
      </c>
      <c r="J968" s="101" t="str">
        <f>IF(D968="","",COUNTA(D968:D968)-(COUNTA(D968:D968)-1))</f>
        <v/>
      </c>
    </row>
    <row r="969" spans="1:10" thickBot="1">
      <c r="A969" s="117"/>
      <c r="B969" s="70">
        <f t="shared" si="65"/>
        <v>44761</v>
      </c>
      <c r="C969" s="82" t="str">
        <f t="shared" si="62"/>
        <v>mardi</v>
      </c>
      <c r="D969" s="87"/>
      <c r="E969" s="115" t="str">
        <f t="shared" si="63"/>
        <v/>
      </c>
      <c r="F969" s="115" t="str">
        <f t="shared" si="64"/>
        <v/>
      </c>
      <c r="G969" s="116" t="str">
        <f>IF(ISNONTEXT(D969),"",E969-MAX($F$2:F968))</f>
        <v/>
      </c>
      <c r="H969" s="97"/>
      <c r="I969" s="74" t="str">
        <f ca="1">IF(D969="N",COUNTIF(INDIRECT(ADDRESS(MATCH(Plages!$D$19,'Planning annuel mixing coater'!$B:$B),4)):D969,"N"),IF(D969="N1",COUNTIF($D$9:D969,"N1"),""))</f>
        <v/>
      </c>
      <c r="J969" s="96" t="str">
        <f>IF(D969="","",COUNTA(D968:D969)-(COUNTA(D969:D969)-1))</f>
        <v/>
      </c>
    </row>
    <row r="970" spans="1:10" thickBot="1">
      <c r="A970" s="117"/>
      <c r="B970" s="70">
        <f t="shared" si="65"/>
        <v>44762</v>
      </c>
      <c r="C970" s="82" t="str">
        <f t="shared" si="62"/>
        <v>mercredi</v>
      </c>
      <c r="D970" s="87"/>
      <c r="E970" s="115" t="str">
        <f t="shared" si="63"/>
        <v/>
      </c>
      <c r="F970" s="115" t="str">
        <f t="shared" si="64"/>
        <v/>
      </c>
      <c r="G970" s="116" t="str">
        <f>IF(ISNONTEXT(D970),"",E970-MAX($F$2:F969))</f>
        <v/>
      </c>
      <c r="H970" s="97"/>
      <c r="I970" s="74" t="str">
        <f ca="1">IF(D970="N",COUNTIF(INDIRECT(ADDRESS(MATCH(Plages!$D$19,'Planning annuel mixing coater'!$B:$B),4)):D970,"N"),IF(D970="N1",COUNTIF($D$9:D970,"N1"),""))</f>
        <v/>
      </c>
      <c r="J970" s="96" t="str">
        <f>IF(D970="","",COUNTA(D968:D970)-(COUNTA(D970:D970)-1))</f>
        <v/>
      </c>
    </row>
    <row r="971" spans="1:10" thickBot="1">
      <c r="A971" s="117"/>
      <c r="B971" s="70">
        <f t="shared" si="65"/>
        <v>44763</v>
      </c>
      <c r="C971" s="82" t="str">
        <f t="shared" si="62"/>
        <v>jeudi</v>
      </c>
      <c r="D971" s="87"/>
      <c r="E971" s="115" t="str">
        <f t="shared" si="63"/>
        <v/>
      </c>
      <c r="F971" s="115" t="str">
        <f t="shared" si="64"/>
        <v/>
      </c>
      <c r="G971" s="116" t="str">
        <f>IF(ISNONTEXT(D971),"",E971-MAX($F$2:F970))</f>
        <v/>
      </c>
      <c r="H971" s="97"/>
      <c r="I971" s="74" t="str">
        <f ca="1">IF(D971="N",COUNTIF(INDIRECT(ADDRESS(MATCH(Plages!$D$19,'Planning annuel mixing coater'!$B:$B),4)):D971,"N"),IF(D971="N1",COUNTIF($D$9:D971,"N1"),""))</f>
        <v/>
      </c>
      <c r="J971" s="96" t="str">
        <f>IF(D971="","",COUNTA(D968:D971)-(COUNTA(D971:D971)-1))</f>
        <v/>
      </c>
    </row>
    <row r="972" spans="1:10" thickBot="1">
      <c r="A972" s="117"/>
      <c r="B972" s="70">
        <f t="shared" si="65"/>
        <v>44764</v>
      </c>
      <c r="C972" s="82" t="str">
        <f t="shared" si="62"/>
        <v>vendredi</v>
      </c>
      <c r="D972" s="87"/>
      <c r="E972" s="115" t="str">
        <f t="shared" si="63"/>
        <v/>
      </c>
      <c r="F972" s="115" t="str">
        <f t="shared" si="64"/>
        <v/>
      </c>
      <c r="G972" s="116" t="str">
        <f>IF(ISNONTEXT(D972),"",E972-MAX($F$2:F971))</f>
        <v/>
      </c>
      <c r="H972" s="97"/>
      <c r="I972" s="74" t="str">
        <f ca="1">IF(D972="N",COUNTIF(INDIRECT(ADDRESS(MATCH(Plages!$D$19,'Planning annuel mixing coater'!$B:$B),4)):D972,"N"),IF(D972="N1",COUNTIF($D$9:D972,"N1"),""))</f>
        <v/>
      </c>
      <c r="J972" s="96" t="str">
        <f>IF(D972="","",COUNTA(D968:D972)-(COUNTA(D972:D972)-1))</f>
        <v/>
      </c>
    </row>
    <row r="973" spans="1:10" thickBot="1">
      <c r="A973" s="117"/>
      <c r="B973" s="70">
        <f t="shared" si="65"/>
        <v>44765</v>
      </c>
      <c r="C973" s="82" t="str">
        <f t="shared" si="62"/>
        <v>samedi</v>
      </c>
      <c r="D973" s="87"/>
      <c r="E973" s="115" t="str">
        <f t="shared" si="63"/>
        <v/>
      </c>
      <c r="F973" s="115" t="str">
        <f t="shared" si="64"/>
        <v/>
      </c>
      <c r="G973" s="116" t="str">
        <f>IF(ISNONTEXT(D973),"",E973-MAX($F$2:F972))</f>
        <v/>
      </c>
      <c r="H973" s="97"/>
      <c r="I973" s="74" t="str">
        <f ca="1">IF(D973="N",COUNTIF(INDIRECT(ADDRESS(MATCH(Plages!$D$19,'Planning annuel mixing coater'!$B:$B),4)):D973,"N"),IF(D973="N1",COUNTIF($D$9:D973,"N1"),""))</f>
        <v/>
      </c>
      <c r="J973" s="96" t="str">
        <f>IF(D973="","",COUNTA(D968:D973)-(COUNTA(D973:D973)-1))</f>
        <v/>
      </c>
    </row>
    <row r="974" spans="1:10" thickBot="1">
      <c r="A974" s="117"/>
      <c r="B974" s="70">
        <f t="shared" si="65"/>
        <v>44766</v>
      </c>
      <c r="C974" s="82" t="str">
        <f t="shared" si="62"/>
        <v>dimanche</v>
      </c>
      <c r="D974" s="87"/>
      <c r="E974" s="115" t="str">
        <f t="shared" si="63"/>
        <v/>
      </c>
      <c r="F974" s="115" t="str">
        <f t="shared" si="64"/>
        <v/>
      </c>
      <c r="G974" s="116" t="str">
        <f>IF(ISNONTEXT(D974),"",E974-MAX($F$2:F973))</f>
        <v/>
      </c>
      <c r="H974" s="98"/>
      <c r="I974" s="74" t="str">
        <f ca="1">IF(D974="N",COUNTIF(INDIRECT(ADDRESS(MATCH(Plages!$D$19,'Planning annuel mixing coater'!$B:$B),4)):D974,"N"),IF(D974="N1",COUNTIF($D$9:D974,"N1"),""))</f>
        <v/>
      </c>
      <c r="J974" s="96" t="str">
        <f>IF(D974="","",COUNTA(D968:D974)-(COUNTA(D974:D974)-1))</f>
        <v/>
      </c>
    </row>
    <row r="975" spans="1:10" thickBot="1">
      <c r="A975" s="117"/>
      <c r="B975" s="70">
        <f t="shared" si="65"/>
        <v>44767</v>
      </c>
      <c r="C975" s="82" t="str">
        <f t="shared" si="62"/>
        <v>lundi</v>
      </c>
      <c r="D975" s="87"/>
      <c r="E975" s="115" t="str">
        <f t="shared" si="63"/>
        <v/>
      </c>
      <c r="F975" s="115" t="str">
        <f t="shared" si="64"/>
        <v/>
      </c>
      <c r="G975" s="116" t="str">
        <f>IF(ISNONTEXT(D975),"",E975-MAX($F$2:F974))</f>
        <v/>
      </c>
      <c r="H975" s="97"/>
      <c r="I975" s="74" t="str">
        <f ca="1">IF(D975="N",COUNTIF(INDIRECT(ADDRESS(MATCH(Plages!$D$19,'Planning annuel mixing coater'!$B:$B),4)):D975,"N"),IF(D975="N1",COUNTIF($D$9:D975,"N1"),""))</f>
        <v/>
      </c>
      <c r="J975" s="96" t="str">
        <f>IF(D975="","",COUNTA(D968:D975)-(COUNTA(D975:D975)-1))</f>
        <v/>
      </c>
    </row>
    <row r="976" spans="1:10" thickBot="1">
      <c r="A976" s="117"/>
      <c r="B976" s="70">
        <f t="shared" si="65"/>
        <v>44768</v>
      </c>
      <c r="C976" s="82" t="str">
        <f t="shared" si="62"/>
        <v>mardi</v>
      </c>
      <c r="D976" s="87"/>
      <c r="E976" s="115" t="str">
        <f t="shared" si="63"/>
        <v/>
      </c>
      <c r="F976" s="115" t="str">
        <f t="shared" si="64"/>
        <v/>
      </c>
      <c r="G976" s="116" t="str">
        <f>IF(ISNONTEXT(D976),"",E976-MAX($F$2:F975))</f>
        <v/>
      </c>
      <c r="H976" s="97"/>
      <c r="I976" s="74" t="str">
        <f ca="1">IF(D976="N",COUNTIF(INDIRECT(ADDRESS(MATCH(Plages!$D$19,'Planning annuel mixing coater'!$B:$B),4)):D976,"N"),IF(D976="N1",COUNTIF($D$9:D976,"N1"),""))</f>
        <v/>
      </c>
      <c r="J976" s="96" t="str">
        <f>IF(D976="","",COUNTA(D968:D976)-(COUNTA(D976:D976)-1))</f>
        <v/>
      </c>
    </row>
    <row r="977" spans="1:10" thickBot="1">
      <c r="A977" s="117"/>
      <c r="B977" s="70">
        <f t="shared" si="65"/>
        <v>44769</v>
      </c>
      <c r="C977" s="82" t="str">
        <f t="shared" si="62"/>
        <v>mercredi</v>
      </c>
      <c r="D977" s="87"/>
      <c r="E977" s="115" t="str">
        <f t="shared" si="63"/>
        <v/>
      </c>
      <c r="F977" s="115" t="str">
        <f t="shared" si="64"/>
        <v/>
      </c>
      <c r="G977" s="116" t="str">
        <f>IF(ISNONTEXT(D977),"",E977-MAX($F$2:F976))</f>
        <v/>
      </c>
      <c r="H977" s="97"/>
      <c r="I977" s="74" t="str">
        <f ca="1">IF(D977="N",COUNTIF(INDIRECT(ADDRESS(MATCH(Plages!$D$19,'Planning annuel mixing coater'!$B:$B),4)):D977,"N"),IF(D977="N1",COUNTIF($D$9:D977,"N1"),""))</f>
        <v/>
      </c>
      <c r="J977" s="96" t="str">
        <f>IF(D977="","",COUNTA(D968:D977)-(COUNTA(D977:D977)-1))</f>
        <v/>
      </c>
    </row>
    <row r="978" spans="1:10" thickBot="1">
      <c r="A978" s="117"/>
      <c r="B978" s="70">
        <f t="shared" si="65"/>
        <v>44770</v>
      </c>
      <c r="C978" s="82" t="str">
        <f t="shared" si="62"/>
        <v>jeudi</v>
      </c>
      <c r="D978" s="87"/>
      <c r="E978" s="115" t="str">
        <f t="shared" si="63"/>
        <v/>
      </c>
      <c r="F978" s="115" t="str">
        <f t="shared" si="64"/>
        <v/>
      </c>
      <c r="G978" s="116" t="str">
        <f>IF(ISNONTEXT(D978),"",E978-MAX($F$2:F977))</f>
        <v/>
      </c>
      <c r="H978" s="97"/>
      <c r="I978" s="74" t="str">
        <f ca="1">IF(D978="N",COUNTIF(INDIRECT(ADDRESS(MATCH(Plages!$D$19,'Planning annuel mixing coater'!$B:$B),4)):D978,"N"),IF(D978="N1",COUNTIF($D$9:D978,"N1"),""))</f>
        <v/>
      </c>
      <c r="J978" s="96" t="str">
        <f>IF(D978="","",COUNTA(D968:D978)-(COUNTA(D978:D978)-1))</f>
        <v/>
      </c>
    </row>
    <row r="979" spans="1:10" thickBot="1">
      <c r="A979" s="117"/>
      <c r="B979" s="70">
        <f t="shared" si="65"/>
        <v>44771</v>
      </c>
      <c r="C979" s="82" t="str">
        <f t="shared" si="62"/>
        <v>vendredi</v>
      </c>
      <c r="D979" s="87"/>
      <c r="E979" s="115" t="str">
        <f t="shared" si="63"/>
        <v/>
      </c>
      <c r="F979" s="115" t="str">
        <f t="shared" si="64"/>
        <v/>
      </c>
      <c r="G979" s="116" t="str">
        <f>IF(ISNONTEXT(D979),"",E979-MAX($F$2:F978))</f>
        <v/>
      </c>
      <c r="H979" s="97"/>
      <c r="I979" s="74" t="str">
        <f ca="1">IF(D979="N",COUNTIF(INDIRECT(ADDRESS(MATCH(Plages!$D$19,'Planning annuel mixing coater'!$B:$B),4)):D979,"N"),IF(D979="N1",COUNTIF($D$9:D979,"N1"),""))</f>
        <v/>
      </c>
      <c r="J979" s="96" t="str">
        <f>IF(D979="","",COUNTA(D968:D979)-(COUNTA(D979:D979)-1))</f>
        <v/>
      </c>
    </row>
    <row r="980" spans="1:10" thickBot="1">
      <c r="A980" s="117"/>
      <c r="B980" s="70">
        <f t="shared" si="65"/>
        <v>44772</v>
      </c>
      <c r="C980" s="82" t="str">
        <f t="shared" si="62"/>
        <v>samedi</v>
      </c>
      <c r="D980" s="87"/>
      <c r="E980" s="115" t="str">
        <f t="shared" si="63"/>
        <v/>
      </c>
      <c r="F980" s="115" t="str">
        <f t="shared" si="64"/>
        <v/>
      </c>
      <c r="G980" s="116" t="str">
        <f>IF(ISNONTEXT(D980),"",E980-MAX($F$2:F979))</f>
        <v/>
      </c>
      <c r="H980" s="97"/>
      <c r="I980" s="74" t="str">
        <f ca="1">IF(D980="N",COUNTIF(INDIRECT(ADDRESS(MATCH(Plages!$D$19,'Planning annuel mixing coater'!$B:$B),4)):D980,"N"),IF(D980="N1",COUNTIF($D$9:D980,"N1"),""))</f>
        <v/>
      </c>
      <c r="J980" s="96" t="str">
        <f>IF(D980="","",COUNTA(D968:D980)-(COUNTA(D980:D980)-1))</f>
        <v/>
      </c>
    </row>
    <row r="981" spans="1:10" s="77" customFormat="1" thickBot="1">
      <c r="A981" s="117"/>
      <c r="B981" s="75">
        <f t="shared" si="65"/>
        <v>44773</v>
      </c>
      <c r="C981" s="83" t="str">
        <f t="shared" si="62"/>
        <v>dimanche</v>
      </c>
      <c r="D981" s="88"/>
      <c r="E981" s="115" t="str">
        <f t="shared" si="63"/>
        <v/>
      </c>
      <c r="F981" s="115" t="str">
        <f t="shared" si="64"/>
        <v/>
      </c>
      <c r="G981" s="116" t="str">
        <f>IF(ISNONTEXT(D981),"",E981-MAX($F$2:F980))</f>
        <v/>
      </c>
      <c r="H981" s="98"/>
      <c r="I981" s="76" t="str">
        <f ca="1">IF(D981="N",COUNTIF(INDIRECT(ADDRESS(MATCH(Plages!$D$19,'Planning annuel mixing coater'!$B:$B),4)):D981,"N"),IF(D981="N1",COUNTIF($D$9:D981,"N1"),""))</f>
        <v/>
      </c>
      <c r="J981" s="99" t="str">
        <f>IF(D981="","",COUNTA(D968:D981)-(COUNTA(D981:D981)-1))</f>
        <v/>
      </c>
    </row>
    <row r="982" spans="1:10" ht="16.5" thickTop="1" thickBot="1">
      <c r="A982" s="117"/>
      <c r="B982" s="78">
        <f t="shared" si="65"/>
        <v>44774</v>
      </c>
      <c r="C982" s="81" t="str">
        <f t="shared" si="62"/>
        <v>lundi</v>
      </c>
      <c r="D982" s="89"/>
      <c r="E982" s="115" t="str">
        <f t="shared" si="63"/>
        <v/>
      </c>
      <c r="F982" s="115" t="str">
        <f t="shared" si="64"/>
        <v/>
      </c>
      <c r="G982" s="116" t="str">
        <f>IF(ISNONTEXT(D982),"",E982-MAX($F$2:F981))</f>
        <v/>
      </c>
      <c r="H982" s="100"/>
      <c r="I982" s="79" t="str">
        <f ca="1">IF(D982="N",COUNTIF(INDIRECT(ADDRESS(MATCH(Plages!$D$19,'Planning annuel mixing coater'!$B:$B),4)):D982,"N"),IF(D982="N1",COUNTIF($D$9:D982,"N1"),""))</f>
        <v/>
      </c>
      <c r="J982" s="101" t="str">
        <f>IF(D982="","",COUNTA(D982:D982)-(COUNTA(D982:D982)-1))</f>
        <v/>
      </c>
    </row>
    <row r="983" spans="1:10" thickBot="1">
      <c r="A983" s="117"/>
      <c r="B983" s="70">
        <f t="shared" si="65"/>
        <v>44775</v>
      </c>
      <c r="C983" s="82" t="str">
        <f t="shared" si="62"/>
        <v>mardi</v>
      </c>
      <c r="D983" s="87"/>
      <c r="E983" s="115" t="str">
        <f t="shared" si="63"/>
        <v/>
      </c>
      <c r="F983" s="115" t="str">
        <f t="shared" si="64"/>
        <v/>
      </c>
      <c r="G983" s="116" t="str">
        <f>IF(ISNONTEXT(D983),"",E983-MAX($F$2:F982))</f>
        <v/>
      </c>
      <c r="H983" s="97"/>
      <c r="I983" s="74" t="str">
        <f ca="1">IF(D983="N",COUNTIF(INDIRECT(ADDRESS(MATCH(Plages!$D$19,'Planning annuel mixing coater'!$B:$B),4)):D983,"N"),IF(D983="N1",COUNTIF($D$9:D983,"N1"),""))</f>
        <v/>
      </c>
      <c r="J983" s="96" t="str">
        <f>IF(D983="","",COUNTA(D982:D983)-(COUNTA(D983:D983)-1))</f>
        <v/>
      </c>
    </row>
    <row r="984" spans="1:10" thickBot="1">
      <c r="A984" s="117"/>
      <c r="B984" s="70">
        <f t="shared" si="65"/>
        <v>44776</v>
      </c>
      <c r="C984" s="82" t="str">
        <f t="shared" si="62"/>
        <v>mercredi</v>
      </c>
      <c r="D984" s="87"/>
      <c r="E984" s="115" t="str">
        <f t="shared" si="63"/>
        <v/>
      </c>
      <c r="F984" s="115" t="str">
        <f t="shared" si="64"/>
        <v/>
      </c>
      <c r="G984" s="116" t="str">
        <f>IF(ISNONTEXT(D984),"",E984-MAX($F$2:F983))</f>
        <v/>
      </c>
      <c r="H984" s="97"/>
      <c r="I984" s="74" t="str">
        <f ca="1">IF(D984="N",COUNTIF(INDIRECT(ADDRESS(MATCH(Plages!$D$19,'Planning annuel mixing coater'!$B:$B),4)):D984,"N"),IF(D984="N1",COUNTIF($D$9:D984,"N1"),""))</f>
        <v/>
      </c>
      <c r="J984" s="96" t="str">
        <f>IF(D984="","",COUNTA(D982:D984)-(COUNTA(D984:D984)-1))</f>
        <v/>
      </c>
    </row>
    <row r="985" spans="1:10" thickBot="1">
      <c r="A985" s="117"/>
      <c r="B985" s="70">
        <f t="shared" si="65"/>
        <v>44777</v>
      </c>
      <c r="C985" s="82" t="str">
        <f t="shared" si="62"/>
        <v>jeudi</v>
      </c>
      <c r="D985" s="87"/>
      <c r="E985" s="115" t="str">
        <f t="shared" si="63"/>
        <v/>
      </c>
      <c r="F985" s="115" t="str">
        <f t="shared" si="64"/>
        <v/>
      </c>
      <c r="G985" s="116" t="str">
        <f>IF(ISNONTEXT(D985),"",E985-MAX($F$2:F984))</f>
        <v/>
      </c>
      <c r="H985" s="97"/>
      <c r="I985" s="74" t="str">
        <f ca="1">IF(D985="N",COUNTIF(INDIRECT(ADDRESS(MATCH(Plages!$D$19,'Planning annuel mixing coater'!$B:$B),4)):D985,"N"),IF(D985="N1",COUNTIF($D$9:D985,"N1"),""))</f>
        <v/>
      </c>
      <c r="J985" s="96" t="str">
        <f>IF(D985="","",COUNTA(D982:D985)-(COUNTA(D985:D985)-1))</f>
        <v/>
      </c>
    </row>
    <row r="986" spans="1:10" thickBot="1">
      <c r="A986" s="117"/>
      <c r="B986" s="70">
        <f t="shared" si="65"/>
        <v>44778</v>
      </c>
      <c r="C986" s="82" t="str">
        <f t="shared" si="62"/>
        <v>vendredi</v>
      </c>
      <c r="D986" s="87"/>
      <c r="E986" s="115" t="str">
        <f t="shared" si="63"/>
        <v/>
      </c>
      <c r="F986" s="115" t="str">
        <f t="shared" si="64"/>
        <v/>
      </c>
      <c r="G986" s="116" t="str">
        <f>IF(ISNONTEXT(D986),"",E986-MAX($F$2:F985))</f>
        <v/>
      </c>
      <c r="H986" s="97"/>
      <c r="I986" s="74" t="str">
        <f ca="1">IF(D986="N",COUNTIF(INDIRECT(ADDRESS(MATCH(Plages!$D$19,'Planning annuel mixing coater'!$B:$B),4)):D986,"N"),IF(D986="N1",COUNTIF($D$9:D986,"N1"),""))</f>
        <v/>
      </c>
      <c r="J986" s="96" t="str">
        <f>IF(D986="","",COUNTA(D982:D986)-(COUNTA(D986:D986)-1))</f>
        <v/>
      </c>
    </row>
    <row r="987" spans="1:10" thickBot="1">
      <c r="A987" s="117"/>
      <c r="B987" s="70">
        <f t="shared" si="65"/>
        <v>44779</v>
      </c>
      <c r="C987" s="82" t="str">
        <f t="shared" si="62"/>
        <v>samedi</v>
      </c>
      <c r="D987" s="87"/>
      <c r="E987" s="115" t="str">
        <f t="shared" si="63"/>
        <v/>
      </c>
      <c r="F987" s="115" t="str">
        <f t="shared" si="64"/>
        <v/>
      </c>
      <c r="G987" s="116" t="str">
        <f>IF(ISNONTEXT(D987),"",E987-MAX($F$2:F986))</f>
        <v/>
      </c>
      <c r="H987" s="97"/>
      <c r="I987" s="74" t="str">
        <f ca="1">IF(D987="N",COUNTIF(INDIRECT(ADDRESS(MATCH(Plages!$D$19,'Planning annuel mixing coater'!$B:$B),4)):D987,"N"),IF(D987="N1",COUNTIF($D$9:D987,"N1"),""))</f>
        <v/>
      </c>
      <c r="J987" s="96" t="str">
        <f>IF(D987="","",COUNTA(D982:D987)-(COUNTA(D987:D987)-1))</f>
        <v/>
      </c>
    </row>
    <row r="988" spans="1:10" thickBot="1">
      <c r="A988" s="117"/>
      <c r="B988" s="70">
        <f t="shared" si="65"/>
        <v>44780</v>
      </c>
      <c r="C988" s="82" t="str">
        <f t="shared" si="62"/>
        <v>dimanche</v>
      </c>
      <c r="D988" s="87"/>
      <c r="E988" s="115" t="str">
        <f t="shared" si="63"/>
        <v/>
      </c>
      <c r="F988" s="115" t="str">
        <f t="shared" si="64"/>
        <v/>
      </c>
      <c r="G988" s="116" t="str">
        <f>IF(ISNONTEXT(D988),"",E988-MAX($F$2:F987))</f>
        <v/>
      </c>
      <c r="H988" s="98"/>
      <c r="I988" s="74" t="str">
        <f ca="1">IF(D988="N",COUNTIF(INDIRECT(ADDRESS(MATCH(Plages!$D$19,'Planning annuel mixing coater'!$B:$B),4)):D988,"N"),IF(D988="N1",COUNTIF($D$9:D988,"N1"),""))</f>
        <v/>
      </c>
      <c r="J988" s="96" t="str">
        <f>IF(D988="","",COUNTA(D982:D988)-(COUNTA(D988:D988)-1))</f>
        <v/>
      </c>
    </row>
    <row r="989" spans="1:10" thickBot="1">
      <c r="A989" s="117"/>
      <c r="B989" s="70">
        <f t="shared" si="65"/>
        <v>44781</v>
      </c>
      <c r="C989" s="82" t="str">
        <f t="shared" si="62"/>
        <v>lundi</v>
      </c>
      <c r="D989" s="87"/>
      <c r="E989" s="115" t="str">
        <f t="shared" si="63"/>
        <v/>
      </c>
      <c r="F989" s="115" t="str">
        <f t="shared" si="64"/>
        <v/>
      </c>
      <c r="G989" s="116" t="str">
        <f>IF(ISNONTEXT(D989),"",E989-MAX($F$2:F988))</f>
        <v/>
      </c>
      <c r="H989" s="97"/>
      <c r="I989" s="74" t="str">
        <f ca="1">IF(D989="N",COUNTIF(INDIRECT(ADDRESS(MATCH(Plages!$D$19,'Planning annuel mixing coater'!$B:$B),4)):D989,"N"),IF(D989="N1",COUNTIF($D$9:D989,"N1"),""))</f>
        <v/>
      </c>
      <c r="J989" s="96" t="str">
        <f>IF(D989="","",COUNTA(D982:D989)-(COUNTA(D989:D989)-1))</f>
        <v/>
      </c>
    </row>
    <row r="990" spans="1:10" thickBot="1">
      <c r="A990" s="117"/>
      <c r="B990" s="70">
        <f t="shared" si="65"/>
        <v>44782</v>
      </c>
      <c r="C990" s="82" t="str">
        <f t="shared" ref="C990:C1053" si="66">IF(B990="","",TEXT(B990,"jjjj"))</f>
        <v>mardi</v>
      </c>
      <c r="D990" s="87"/>
      <c r="E990" s="115" t="str">
        <f t="shared" ref="E990:E1053" si="67">IF(D990="","",B990+VLOOKUP(D990,Plageh,2,0))</f>
        <v/>
      </c>
      <c r="F990" s="115" t="str">
        <f t="shared" ref="F990:F1053" si="68">IF(D990="","",B990+VLOOKUP(D990,Plageh,3,0))</f>
        <v/>
      </c>
      <c r="G990" s="116" t="str">
        <f>IF(ISNONTEXT(D990),"",E990-MAX($F$2:F989))</f>
        <v/>
      </c>
      <c r="H990" s="97"/>
      <c r="I990" s="74" t="str">
        <f ca="1">IF(D990="N",COUNTIF(INDIRECT(ADDRESS(MATCH(Plages!$D$19,'Planning annuel mixing coater'!$B:$B),4)):D990,"N"),IF(D990="N1",COUNTIF($D$9:D990,"N1"),""))</f>
        <v/>
      </c>
      <c r="J990" s="96" t="str">
        <f>IF(D990="","",COUNTA(D982:D990)-(COUNTA(D990:D990)-1))</f>
        <v/>
      </c>
    </row>
    <row r="991" spans="1:10" thickBot="1">
      <c r="A991" s="117"/>
      <c r="B991" s="70">
        <f t="shared" si="65"/>
        <v>44783</v>
      </c>
      <c r="C991" s="82" t="str">
        <f t="shared" si="66"/>
        <v>mercredi</v>
      </c>
      <c r="D991" s="87"/>
      <c r="E991" s="115" t="str">
        <f t="shared" si="67"/>
        <v/>
      </c>
      <c r="F991" s="115" t="str">
        <f t="shared" si="68"/>
        <v/>
      </c>
      <c r="G991" s="116" t="str">
        <f>IF(ISNONTEXT(D991),"",E991-MAX($F$2:F990))</f>
        <v/>
      </c>
      <c r="H991" s="97"/>
      <c r="I991" s="74" t="str">
        <f ca="1">IF(D991="N",COUNTIF(INDIRECT(ADDRESS(MATCH(Plages!$D$19,'Planning annuel mixing coater'!$B:$B),4)):D991,"N"),IF(D991="N1",COUNTIF($D$9:D991,"N1"),""))</f>
        <v/>
      </c>
      <c r="J991" s="96" t="str">
        <f>IF(D991="","",COUNTA(D982:D991)-(COUNTA(D991:D991)-1))</f>
        <v/>
      </c>
    </row>
    <row r="992" spans="1:10" thickBot="1">
      <c r="A992" s="117"/>
      <c r="B992" s="70">
        <f t="shared" si="65"/>
        <v>44784</v>
      </c>
      <c r="C992" s="82" t="str">
        <f t="shared" si="66"/>
        <v>jeudi</v>
      </c>
      <c r="D992" s="87"/>
      <c r="E992" s="115" t="str">
        <f t="shared" si="67"/>
        <v/>
      </c>
      <c r="F992" s="115" t="str">
        <f t="shared" si="68"/>
        <v/>
      </c>
      <c r="G992" s="116" t="str">
        <f>IF(ISNONTEXT(D992),"",E992-MAX($F$2:F991))</f>
        <v/>
      </c>
      <c r="H992" s="97"/>
      <c r="I992" s="74" t="str">
        <f ca="1">IF(D992="N",COUNTIF(INDIRECT(ADDRESS(MATCH(Plages!$D$19,'Planning annuel mixing coater'!$B:$B),4)):D992,"N"),IF(D992="N1",COUNTIF($D$9:D992,"N1"),""))</f>
        <v/>
      </c>
      <c r="J992" s="96" t="str">
        <f>IF(D992="","",COUNTA(D982:D992)-(COUNTA(D992:D992)-1))</f>
        <v/>
      </c>
    </row>
    <row r="993" spans="1:10" thickBot="1">
      <c r="A993" s="117"/>
      <c r="B993" s="70">
        <f t="shared" si="65"/>
        <v>44785</v>
      </c>
      <c r="C993" s="82" t="str">
        <f t="shared" si="66"/>
        <v>vendredi</v>
      </c>
      <c r="D993" s="87"/>
      <c r="E993" s="115" t="str">
        <f t="shared" si="67"/>
        <v/>
      </c>
      <c r="F993" s="115" t="str">
        <f t="shared" si="68"/>
        <v/>
      </c>
      <c r="G993" s="116" t="str">
        <f>IF(ISNONTEXT(D993),"",E993-MAX($F$2:F992))</f>
        <v/>
      </c>
      <c r="H993" s="97"/>
      <c r="I993" s="74" t="str">
        <f ca="1">IF(D993="N",COUNTIF(INDIRECT(ADDRESS(MATCH(Plages!$D$19,'Planning annuel mixing coater'!$B:$B),4)):D993,"N"),IF(D993="N1",COUNTIF($D$9:D993,"N1"),""))</f>
        <v/>
      </c>
      <c r="J993" s="96" t="str">
        <f>IF(D993="","",COUNTA(D982:D993)-(COUNTA(D993:D993)-1))</f>
        <v/>
      </c>
    </row>
    <row r="994" spans="1:10" thickBot="1">
      <c r="A994" s="117"/>
      <c r="B994" s="70">
        <f t="shared" si="65"/>
        <v>44786</v>
      </c>
      <c r="C994" s="82" t="str">
        <f t="shared" si="66"/>
        <v>samedi</v>
      </c>
      <c r="D994" s="87"/>
      <c r="E994" s="115" t="str">
        <f t="shared" si="67"/>
        <v/>
      </c>
      <c r="F994" s="115" t="str">
        <f t="shared" si="68"/>
        <v/>
      </c>
      <c r="G994" s="116" t="str">
        <f>IF(ISNONTEXT(D994),"",E994-MAX($F$2:F993))</f>
        <v/>
      </c>
      <c r="H994" s="97"/>
      <c r="I994" s="74" t="str">
        <f ca="1">IF(D994="N",COUNTIF(INDIRECT(ADDRESS(MATCH(Plages!$D$19,'Planning annuel mixing coater'!$B:$B),4)):D994,"N"),IF(D994="N1",COUNTIF($D$9:D994,"N1"),""))</f>
        <v/>
      </c>
      <c r="J994" s="96" t="str">
        <f>IF(D994="","",COUNTA(D982:D994)-(COUNTA(D994:D994)-1))</f>
        <v/>
      </c>
    </row>
    <row r="995" spans="1:10" s="77" customFormat="1" thickBot="1">
      <c r="A995" s="117"/>
      <c r="B995" s="75">
        <f t="shared" si="65"/>
        <v>44787</v>
      </c>
      <c r="C995" s="83" t="str">
        <f t="shared" si="66"/>
        <v>dimanche</v>
      </c>
      <c r="D995" s="88"/>
      <c r="E995" s="115" t="str">
        <f t="shared" si="67"/>
        <v/>
      </c>
      <c r="F995" s="115" t="str">
        <f t="shared" si="68"/>
        <v/>
      </c>
      <c r="G995" s="116" t="str">
        <f>IF(ISNONTEXT(D995),"",E995-MAX($F$2:F994))</f>
        <v/>
      </c>
      <c r="H995" s="98"/>
      <c r="I995" s="76" t="str">
        <f ca="1">IF(D995="N",COUNTIF(INDIRECT(ADDRESS(MATCH(Plages!$D$19,'Planning annuel mixing coater'!$B:$B),4)):D995,"N"),IF(D995="N1",COUNTIF($D$9:D995,"N1"),""))</f>
        <v/>
      </c>
      <c r="J995" s="99" t="str">
        <f>IF(D995="","",COUNTA(D982:D995)-(COUNTA(D995:D995)-1))</f>
        <v/>
      </c>
    </row>
    <row r="996" spans="1:10" ht="16.5" thickTop="1" thickBot="1">
      <c r="A996" s="117"/>
      <c r="B996" s="78">
        <f t="shared" si="65"/>
        <v>44788</v>
      </c>
      <c r="C996" s="81" t="str">
        <f t="shared" si="66"/>
        <v>lundi</v>
      </c>
      <c r="D996" s="89"/>
      <c r="E996" s="115" t="str">
        <f t="shared" si="67"/>
        <v/>
      </c>
      <c r="F996" s="115" t="str">
        <f t="shared" si="68"/>
        <v/>
      </c>
      <c r="G996" s="116" t="str">
        <f>IF(ISNONTEXT(D996),"",E996-MAX($F$2:F995))</f>
        <v/>
      </c>
      <c r="H996" s="100"/>
      <c r="I996" s="79" t="str">
        <f ca="1">IF(D996="N",COUNTIF(INDIRECT(ADDRESS(MATCH(Plages!$D$19,'Planning annuel mixing coater'!$B:$B),4)):D996,"N"),IF(D996="N1",COUNTIF($D$9:D996,"N1"),""))</f>
        <v/>
      </c>
      <c r="J996" s="101" t="str">
        <f>IF(D996="","",COUNTA(D996:D996)-(COUNTA(D996:D996)-1))</f>
        <v/>
      </c>
    </row>
    <row r="997" spans="1:10" thickBot="1">
      <c r="A997" s="117"/>
      <c r="B997" s="70">
        <f t="shared" si="65"/>
        <v>44789</v>
      </c>
      <c r="C997" s="82" t="str">
        <f t="shared" si="66"/>
        <v>mardi</v>
      </c>
      <c r="D997" s="87"/>
      <c r="E997" s="115" t="str">
        <f t="shared" si="67"/>
        <v/>
      </c>
      <c r="F997" s="115" t="str">
        <f t="shared" si="68"/>
        <v/>
      </c>
      <c r="G997" s="116" t="str">
        <f>IF(ISNONTEXT(D997),"",E997-MAX($F$2:F996))</f>
        <v/>
      </c>
      <c r="H997" s="97"/>
      <c r="I997" s="74" t="str">
        <f ca="1">IF(D997="N",COUNTIF(INDIRECT(ADDRESS(MATCH(Plages!$D$19,'Planning annuel mixing coater'!$B:$B),4)):D997,"N"),IF(D997="N1",COUNTIF($D$9:D997,"N1"),""))</f>
        <v/>
      </c>
      <c r="J997" s="96" t="str">
        <f>IF(D997="","",COUNTA(D996:D997)-(COUNTA(D997:D997)-1))</f>
        <v/>
      </c>
    </row>
    <row r="998" spans="1:10" thickBot="1">
      <c r="A998" s="117"/>
      <c r="B998" s="70">
        <f t="shared" si="65"/>
        <v>44790</v>
      </c>
      <c r="C998" s="82" t="str">
        <f t="shared" si="66"/>
        <v>mercredi</v>
      </c>
      <c r="D998" s="87"/>
      <c r="E998" s="115" t="str">
        <f t="shared" si="67"/>
        <v/>
      </c>
      <c r="F998" s="115" t="str">
        <f t="shared" si="68"/>
        <v/>
      </c>
      <c r="G998" s="116" t="str">
        <f>IF(ISNONTEXT(D998),"",E998-MAX($F$2:F997))</f>
        <v/>
      </c>
      <c r="H998" s="97"/>
      <c r="I998" s="74" t="str">
        <f ca="1">IF(D998="N",COUNTIF(INDIRECT(ADDRESS(MATCH(Plages!$D$19,'Planning annuel mixing coater'!$B:$B),4)):D998,"N"),IF(D998="N1",COUNTIF($D$9:D998,"N1"),""))</f>
        <v/>
      </c>
      <c r="J998" s="96" t="str">
        <f>IF(D998="","",COUNTA(D996:D998)-(COUNTA(D998:D998)-1))</f>
        <v/>
      </c>
    </row>
    <row r="999" spans="1:10" thickBot="1">
      <c r="A999" s="117"/>
      <c r="B999" s="70">
        <f t="shared" si="65"/>
        <v>44791</v>
      </c>
      <c r="C999" s="82" t="str">
        <f t="shared" si="66"/>
        <v>jeudi</v>
      </c>
      <c r="D999" s="87"/>
      <c r="E999" s="115" t="str">
        <f t="shared" si="67"/>
        <v/>
      </c>
      <c r="F999" s="115" t="str">
        <f t="shared" si="68"/>
        <v/>
      </c>
      <c r="G999" s="116" t="str">
        <f>IF(ISNONTEXT(D999),"",E999-MAX($F$2:F998))</f>
        <v/>
      </c>
      <c r="H999" s="97"/>
      <c r="I999" s="74" t="str">
        <f ca="1">IF(D999="N",COUNTIF(INDIRECT(ADDRESS(MATCH(Plages!$D$19,'Planning annuel mixing coater'!$B:$B),4)):D999,"N"),IF(D999="N1",COUNTIF($D$9:D999,"N1"),""))</f>
        <v/>
      </c>
      <c r="J999" s="96" t="str">
        <f>IF(D999="","",COUNTA(D996:D999)-(COUNTA(D999:D999)-1))</f>
        <v/>
      </c>
    </row>
    <row r="1000" spans="1:10" thickBot="1">
      <c r="A1000" s="117"/>
      <c r="B1000" s="70">
        <f t="shared" si="65"/>
        <v>44792</v>
      </c>
      <c r="C1000" s="82" t="str">
        <f t="shared" si="66"/>
        <v>vendredi</v>
      </c>
      <c r="D1000" s="87"/>
      <c r="E1000" s="115" t="str">
        <f t="shared" si="67"/>
        <v/>
      </c>
      <c r="F1000" s="115" t="str">
        <f t="shared" si="68"/>
        <v/>
      </c>
      <c r="G1000" s="116" t="str">
        <f>IF(ISNONTEXT(D1000),"",E1000-MAX($F$2:F999))</f>
        <v/>
      </c>
      <c r="H1000" s="97"/>
      <c r="I1000" s="74" t="str">
        <f ca="1">IF(D1000="N",COUNTIF(INDIRECT(ADDRESS(MATCH(Plages!$D$19,'Planning annuel mixing coater'!$B:$B),4)):D1000,"N"),IF(D1000="N1",COUNTIF($D$9:D1000,"N1"),""))</f>
        <v/>
      </c>
      <c r="J1000" s="96" t="str">
        <f>IF(D1000="","",COUNTA(D996:D1000)-(COUNTA(D1000:D1000)-1))</f>
        <v/>
      </c>
    </row>
    <row r="1001" spans="1:10" thickBot="1">
      <c r="A1001" s="117"/>
      <c r="B1001" s="70">
        <f t="shared" si="65"/>
        <v>44793</v>
      </c>
      <c r="C1001" s="82" t="str">
        <f t="shared" si="66"/>
        <v>samedi</v>
      </c>
      <c r="D1001" s="87"/>
      <c r="E1001" s="115" t="str">
        <f t="shared" si="67"/>
        <v/>
      </c>
      <c r="F1001" s="115" t="str">
        <f t="shared" si="68"/>
        <v/>
      </c>
      <c r="G1001" s="116" t="str">
        <f>IF(ISNONTEXT(D1001),"",E1001-MAX($F$2:F1000))</f>
        <v/>
      </c>
      <c r="H1001" s="97"/>
      <c r="I1001" s="74" t="str">
        <f ca="1">IF(D1001="N",COUNTIF(INDIRECT(ADDRESS(MATCH(Plages!$D$19,'Planning annuel mixing coater'!$B:$B),4)):D1001,"N"),IF(D1001="N1",COUNTIF($D$9:D1001,"N1"),""))</f>
        <v/>
      </c>
      <c r="J1001" s="96" t="str">
        <f>IF(D1001="","",COUNTA(D996:D1001)-(COUNTA(D1001:D1001)-1))</f>
        <v/>
      </c>
    </row>
    <row r="1002" spans="1:10" thickBot="1">
      <c r="A1002" s="117"/>
      <c r="B1002" s="70">
        <f t="shared" si="65"/>
        <v>44794</v>
      </c>
      <c r="C1002" s="82" t="str">
        <f t="shared" si="66"/>
        <v>dimanche</v>
      </c>
      <c r="D1002" s="87"/>
      <c r="E1002" s="115" t="str">
        <f t="shared" si="67"/>
        <v/>
      </c>
      <c r="F1002" s="115" t="str">
        <f t="shared" si="68"/>
        <v/>
      </c>
      <c r="G1002" s="116" t="str">
        <f>IF(ISNONTEXT(D1002),"",E1002-MAX($F$2:F1001))</f>
        <v/>
      </c>
      <c r="H1002" s="98"/>
      <c r="I1002" s="74" t="str">
        <f ca="1">IF(D1002="N",COUNTIF(INDIRECT(ADDRESS(MATCH(Plages!$D$19,'Planning annuel mixing coater'!$B:$B),4)):D1002,"N"),IF(D1002="N1",COUNTIF($D$9:D1002,"N1"),""))</f>
        <v/>
      </c>
      <c r="J1002" s="96" t="str">
        <f>IF(D1002="","",COUNTA(D996:D1002)-(COUNTA(D1002:D1002)-1))</f>
        <v/>
      </c>
    </row>
    <row r="1003" spans="1:10" thickBot="1">
      <c r="A1003" s="117"/>
      <c r="B1003" s="70">
        <f t="shared" si="65"/>
        <v>44795</v>
      </c>
      <c r="C1003" s="82" t="str">
        <f t="shared" si="66"/>
        <v>lundi</v>
      </c>
      <c r="D1003" s="87"/>
      <c r="E1003" s="115" t="str">
        <f t="shared" si="67"/>
        <v/>
      </c>
      <c r="F1003" s="115" t="str">
        <f t="shared" si="68"/>
        <v/>
      </c>
      <c r="G1003" s="116" t="str">
        <f>IF(ISNONTEXT(D1003),"",E1003-MAX($F$2:F1002))</f>
        <v/>
      </c>
      <c r="H1003" s="97"/>
      <c r="I1003" s="74" t="str">
        <f ca="1">IF(D1003="N",COUNTIF(INDIRECT(ADDRESS(MATCH(Plages!$D$19,'Planning annuel mixing coater'!$B:$B),4)):D1003,"N"),IF(D1003="N1",COUNTIF($D$9:D1003,"N1"),""))</f>
        <v/>
      </c>
      <c r="J1003" s="96" t="str">
        <f>IF(D1003="","",COUNTA(D996:D1003)-(COUNTA(D1003:D1003)-1))</f>
        <v/>
      </c>
    </row>
    <row r="1004" spans="1:10" thickBot="1">
      <c r="A1004" s="117"/>
      <c r="B1004" s="70">
        <f t="shared" si="65"/>
        <v>44796</v>
      </c>
      <c r="C1004" s="82" t="str">
        <f t="shared" si="66"/>
        <v>mardi</v>
      </c>
      <c r="D1004" s="87"/>
      <c r="E1004" s="115" t="str">
        <f t="shared" si="67"/>
        <v/>
      </c>
      <c r="F1004" s="115" t="str">
        <f t="shared" si="68"/>
        <v/>
      </c>
      <c r="G1004" s="116" t="str">
        <f>IF(ISNONTEXT(D1004),"",E1004-MAX($F$2:F1003))</f>
        <v/>
      </c>
      <c r="H1004" s="97"/>
      <c r="I1004" s="74" t="str">
        <f ca="1">IF(D1004="N",COUNTIF(INDIRECT(ADDRESS(MATCH(Plages!$D$19,'Planning annuel mixing coater'!$B:$B),4)):D1004,"N"),IF(D1004="N1",COUNTIF($D$9:D1004,"N1"),""))</f>
        <v/>
      </c>
      <c r="J1004" s="96" t="str">
        <f>IF(D1004="","",COUNTA(D996:D1004)-(COUNTA(D1004:D1004)-1))</f>
        <v/>
      </c>
    </row>
    <row r="1005" spans="1:10" thickBot="1">
      <c r="A1005" s="117"/>
      <c r="B1005" s="70">
        <f t="shared" si="65"/>
        <v>44797</v>
      </c>
      <c r="C1005" s="82" t="str">
        <f t="shared" si="66"/>
        <v>mercredi</v>
      </c>
      <c r="D1005" s="87"/>
      <c r="E1005" s="115" t="str">
        <f t="shared" si="67"/>
        <v/>
      </c>
      <c r="F1005" s="115" t="str">
        <f t="shared" si="68"/>
        <v/>
      </c>
      <c r="G1005" s="116" t="str">
        <f>IF(ISNONTEXT(D1005),"",E1005-MAX($F$2:F1004))</f>
        <v/>
      </c>
      <c r="H1005" s="97"/>
      <c r="I1005" s="74" t="str">
        <f ca="1">IF(D1005="N",COUNTIF(INDIRECT(ADDRESS(MATCH(Plages!$D$19,'Planning annuel mixing coater'!$B:$B),4)):D1005,"N"),IF(D1005="N1",COUNTIF($D$9:D1005,"N1"),""))</f>
        <v/>
      </c>
      <c r="J1005" s="96" t="str">
        <f>IF(D1005="","",COUNTA(D996:D1005)-(COUNTA(D1005:D1005)-1))</f>
        <v/>
      </c>
    </row>
    <row r="1006" spans="1:10" thickBot="1">
      <c r="A1006" s="117"/>
      <c r="B1006" s="70">
        <f t="shared" si="65"/>
        <v>44798</v>
      </c>
      <c r="C1006" s="82" t="str">
        <f t="shared" si="66"/>
        <v>jeudi</v>
      </c>
      <c r="D1006" s="87"/>
      <c r="E1006" s="115" t="str">
        <f t="shared" si="67"/>
        <v/>
      </c>
      <c r="F1006" s="115" t="str">
        <f t="shared" si="68"/>
        <v/>
      </c>
      <c r="G1006" s="116" t="str">
        <f>IF(ISNONTEXT(D1006),"",E1006-MAX($F$2:F1005))</f>
        <v/>
      </c>
      <c r="H1006" s="97"/>
      <c r="I1006" s="74" t="str">
        <f ca="1">IF(D1006="N",COUNTIF(INDIRECT(ADDRESS(MATCH(Plages!$D$19,'Planning annuel mixing coater'!$B:$B),4)):D1006,"N"),IF(D1006="N1",COUNTIF($D$9:D1006,"N1"),""))</f>
        <v/>
      </c>
      <c r="J1006" s="96" t="str">
        <f>IF(D1006="","",COUNTA(D996:D1006)-(COUNTA(D1006:D1006)-1))</f>
        <v/>
      </c>
    </row>
    <row r="1007" spans="1:10" thickBot="1">
      <c r="A1007" s="117"/>
      <c r="B1007" s="70">
        <f t="shared" si="65"/>
        <v>44799</v>
      </c>
      <c r="C1007" s="82" t="str">
        <f t="shared" si="66"/>
        <v>vendredi</v>
      </c>
      <c r="D1007" s="87"/>
      <c r="E1007" s="115" t="str">
        <f t="shared" si="67"/>
        <v/>
      </c>
      <c r="F1007" s="115" t="str">
        <f t="shared" si="68"/>
        <v/>
      </c>
      <c r="G1007" s="116" t="str">
        <f>IF(ISNONTEXT(D1007),"",E1007-MAX($F$2:F1006))</f>
        <v/>
      </c>
      <c r="H1007" s="97"/>
      <c r="I1007" s="74" t="str">
        <f ca="1">IF(D1007="N",COUNTIF(INDIRECT(ADDRESS(MATCH(Plages!$D$19,'Planning annuel mixing coater'!$B:$B),4)):D1007,"N"),IF(D1007="N1",COUNTIF($D$9:D1007,"N1"),""))</f>
        <v/>
      </c>
      <c r="J1007" s="96" t="str">
        <f>IF(D1007="","",COUNTA(D996:D1007)-(COUNTA(D1007:D1007)-1))</f>
        <v/>
      </c>
    </row>
    <row r="1008" spans="1:10" thickBot="1">
      <c r="A1008" s="117"/>
      <c r="B1008" s="70">
        <f t="shared" si="65"/>
        <v>44800</v>
      </c>
      <c r="C1008" s="82" t="str">
        <f t="shared" si="66"/>
        <v>samedi</v>
      </c>
      <c r="D1008" s="87"/>
      <c r="E1008" s="115" t="str">
        <f t="shared" si="67"/>
        <v/>
      </c>
      <c r="F1008" s="115" t="str">
        <f t="shared" si="68"/>
        <v/>
      </c>
      <c r="G1008" s="116" t="str">
        <f>IF(ISNONTEXT(D1008),"",E1008-MAX($F$2:F1007))</f>
        <v/>
      </c>
      <c r="H1008" s="97"/>
      <c r="I1008" s="74" t="str">
        <f ca="1">IF(D1008="N",COUNTIF(INDIRECT(ADDRESS(MATCH(Plages!$D$19,'Planning annuel mixing coater'!$B:$B),4)):D1008,"N"),IF(D1008="N1",COUNTIF($D$9:D1008,"N1"),""))</f>
        <v/>
      </c>
      <c r="J1008" s="96" t="str">
        <f>IF(D1008="","",COUNTA(D996:D1008)-(COUNTA(D1008:D1008)-1))</f>
        <v/>
      </c>
    </row>
    <row r="1009" spans="1:10" s="77" customFormat="1" thickBot="1">
      <c r="A1009" s="117"/>
      <c r="B1009" s="75">
        <f t="shared" si="65"/>
        <v>44801</v>
      </c>
      <c r="C1009" s="83" t="str">
        <f t="shared" si="66"/>
        <v>dimanche</v>
      </c>
      <c r="D1009" s="88"/>
      <c r="E1009" s="115" t="str">
        <f t="shared" si="67"/>
        <v/>
      </c>
      <c r="F1009" s="115" t="str">
        <f t="shared" si="68"/>
        <v/>
      </c>
      <c r="G1009" s="116" t="str">
        <f>IF(ISNONTEXT(D1009),"",E1009-MAX($F$2:F1008))</f>
        <v/>
      </c>
      <c r="H1009" s="98"/>
      <c r="I1009" s="76" t="str">
        <f ca="1">IF(D1009="N",COUNTIF(INDIRECT(ADDRESS(MATCH(Plages!$D$19,'Planning annuel mixing coater'!$B:$B),4)):D1009,"N"),IF(D1009="N1",COUNTIF($D$9:D1009,"N1"),""))</f>
        <v/>
      </c>
      <c r="J1009" s="99" t="str">
        <f>IF(D1009="","",COUNTA(D996:D1009)-(COUNTA(D1009:D1009)-1))</f>
        <v/>
      </c>
    </row>
    <row r="1010" spans="1:10" ht="16.5" thickTop="1" thickBot="1">
      <c r="A1010" s="117"/>
      <c r="B1010" s="78">
        <f t="shared" si="65"/>
        <v>44802</v>
      </c>
      <c r="C1010" s="81" t="str">
        <f t="shared" si="66"/>
        <v>lundi</v>
      </c>
      <c r="D1010" s="89"/>
      <c r="E1010" s="115" t="str">
        <f t="shared" si="67"/>
        <v/>
      </c>
      <c r="F1010" s="115" t="str">
        <f t="shared" si="68"/>
        <v/>
      </c>
      <c r="G1010" s="116" t="str">
        <f>IF(ISNONTEXT(D1010),"",E1010-MAX($F$2:F1009))</f>
        <v/>
      </c>
      <c r="H1010" s="100"/>
      <c r="I1010" s="79" t="str">
        <f ca="1">IF(D1010="N",COUNTIF(INDIRECT(ADDRESS(MATCH(Plages!$D$19,'Planning annuel mixing coater'!$B:$B),4)):D1010,"N"),IF(D1010="N1",COUNTIF($D$9:D1010,"N1"),""))</f>
        <v/>
      </c>
      <c r="J1010" s="101" t="str">
        <f>IF(D1010="","",COUNTA(D1010:D1010)-(COUNTA(D1010:D1010)-1))</f>
        <v/>
      </c>
    </row>
    <row r="1011" spans="1:10" thickBot="1">
      <c r="A1011" s="117"/>
      <c r="B1011" s="70">
        <f t="shared" si="65"/>
        <v>44803</v>
      </c>
      <c r="C1011" s="82" t="str">
        <f t="shared" si="66"/>
        <v>mardi</v>
      </c>
      <c r="D1011" s="87"/>
      <c r="E1011" s="115" t="str">
        <f t="shared" si="67"/>
        <v/>
      </c>
      <c r="F1011" s="115" t="str">
        <f t="shared" si="68"/>
        <v/>
      </c>
      <c r="G1011" s="116" t="str">
        <f>IF(ISNONTEXT(D1011),"",E1011-MAX($F$2:F1010))</f>
        <v/>
      </c>
      <c r="H1011" s="97"/>
      <c r="I1011" s="74" t="str">
        <f ca="1">IF(D1011="N",COUNTIF(INDIRECT(ADDRESS(MATCH(Plages!$D$19,'Planning annuel mixing coater'!$B:$B),4)):D1011,"N"),IF(D1011="N1",COUNTIF($D$9:D1011,"N1"),""))</f>
        <v/>
      </c>
      <c r="J1011" s="96" t="str">
        <f>IF(D1011="","",COUNTA(D1010:D1011)-(COUNTA(D1011:D1011)-1))</f>
        <v/>
      </c>
    </row>
    <row r="1012" spans="1:10" thickBot="1">
      <c r="A1012" s="117"/>
      <c r="B1012" s="70">
        <f t="shared" si="65"/>
        <v>44804</v>
      </c>
      <c r="C1012" s="82" t="str">
        <f t="shared" si="66"/>
        <v>mercredi</v>
      </c>
      <c r="D1012" s="87"/>
      <c r="E1012" s="115" t="str">
        <f t="shared" si="67"/>
        <v/>
      </c>
      <c r="F1012" s="115" t="str">
        <f t="shared" si="68"/>
        <v/>
      </c>
      <c r="G1012" s="116" t="str">
        <f>IF(ISNONTEXT(D1012),"",E1012-MAX($F$2:F1011))</f>
        <v/>
      </c>
      <c r="H1012" s="97"/>
      <c r="I1012" s="74" t="str">
        <f ca="1">IF(D1012="N",COUNTIF(INDIRECT(ADDRESS(MATCH(Plages!$D$19,'Planning annuel mixing coater'!$B:$B),4)):D1012,"N"),IF(D1012="N1",COUNTIF($D$9:D1012,"N1"),""))</f>
        <v/>
      </c>
      <c r="J1012" s="96" t="str">
        <f>IF(D1012="","",COUNTA(D1010:D1012)-(COUNTA(D1012:D1012)-1))</f>
        <v/>
      </c>
    </row>
    <row r="1013" spans="1:10" thickBot="1">
      <c r="A1013" s="117"/>
      <c r="B1013" s="70">
        <f t="shared" si="65"/>
        <v>44805</v>
      </c>
      <c r="C1013" s="82" t="str">
        <f t="shared" si="66"/>
        <v>jeudi</v>
      </c>
      <c r="D1013" s="87"/>
      <c r="E1013" s="115" t="str">
        <f t="shared" si="67"/>
        <v/>
      </c>
      <c r="F1013" s="115" t="str">
        <f t="shared" si="68"/>
        <v/>
      </c>
      <c r="G1013" s="116" t="str">
        <f>IF(ISNONTEXT(D1013),"",E1013-MAX($F$2:F1012))</f>
        <v/>
      </c>
      <c r="H1013" s="97"/>
      <c r="I1013" s="74" t="str">
        <f ca="1">IF(D1013="N",COUNTIF(INDIRECT(ADDRESS(MATCH(Plages!$D$19,'Planning annuel mixing coater'!$B:$B),4)):D1013,"N"),IF(D1013="N1",COUNTIF($D$9:D1013,"N1"),""))</f>
        <v/>
      </c>
      <c r="J1013" s="96" t="str">
        <f>IF(D1013="","",COUNTA(D1010:D1013)-(COUNTA(D1013:D1013)-1))</f>
        <v/>
      </c>
    </row>
    <row r="1014" spans="1:10" thickBot="1">
      <c r="A1014" s="117"/>
      <c r="B1014" s="70">
        <f t="shared" si="65"/>
        <v>44806</v>
      </c>
      <c r="C1014" s="82" t="str">
        <f t="shared" si="66"/>
        <v>vendredi</v>
      </c>
      <c r="D1014" s="87"/>
      <c r="E1014" s="115" t="str">
        <f t="shared" si="67"/>
        <v/>
      </c>
      <c r="F1014" s="115" t="str">
        <f t="shared" si="68"/>
        <v/>
      </c>
      <c r="G1014" s="116" t="str">
        <f>IF(ISNONTEXT(D1014),"",E1014-MAX($F$2:F1013))</f>
        <v/>
      </c>
      <c r="H1014" s="97"/>
      <c r="I1014" s="74" t="str">
        <f ca="1">IF(D1014="N",COUNTIF(INDIRECT(ADDRESS(MATCH(Plages!$D$19,'Planning annuel mixing coater'!$B:$B),4)):D1014,"N"),IF(D1014="N1",COUNTIF($D$9:D1014,"N1"),""))</f>
        <v/>
      </c>
      <c r="J1014" s="96" t="str">
        <f>IF(D1014="","",COUNTA(D1010:D1014)-(COUNTA(D1014:D1014)-1))</f>
        <v/>
      </c>
    </row>
    <row r="1015" spans="1:10" thickBot="1">
      <c r="A1015" s="117"/>
      <c r="B1015" s="70">
        <f t="shared" si="65"/>
        <v>44807</v>
      </c>
      <c r="C1015" s="82" t="str">
        <f t="shared" si="66"/>
        <v>samedi</v>
      </c>
      <c r="D1015" s="87"/>
      <c r="E1015" s="115" t="str">
        <f t="shared" si="67"/>
        <v/>
      </c>
      <c r="F1015" s="115" t="str">
        <f t="shared" si="68"/>
        <v/>
      </c>
      <c r="G1015" s="116" t="str">
        <f>IF(ISNONTEXT(D1015),"",E1015-MAX($F$2:F1014))</f>
        <v/>
      </c>
      <c r="H1015" s="97"/>
      <c r="I1015" s="74" t="str">
        <f ca="1">IF(D1015="N",COUNTIF(INDIRECT(ADDRESS(MATCH(Plages!$D$19,'Planning annuel mixing coater'!$B:$B),4)):D1015,"N"),IF(D1015="N1",COUNTIF($D$9:D1015,"N1"),""))</f>
        <v/>
      </c>
      <c r="J1015" s="96" t="str">
        <f>IF(D1015="","",COUNTA(D1010:D1015)-(COUNTA(D1015:D1015)-1))</f>
        <v/>
      </c>
    </row>
    <row r="1016" spans="1:10" thickBot="1">
      <c r="A1016" s="117"/>
      <c r="B1016" s="70">
        <f t="shared" si="65"/>
        <v>44808</v>
      </c>
      <c r="C1016" s="82" t="str">
        <f t="shared" si="66"/>
        <v>dimanche</v>
      </c>
      <c r="D1016" s="87"/>
      <c r="E1016" s="115" t="str">
        <f t="shared" si="67"/>
        <v/>
      </c>
      <c r="F1016" s="115" t="str">
        <f t="shared" si="68"/>
        <v/>
      </c>
      <c r="G1016" s="116" t="str">
        <f>IF(ISNONTEXT(D1016),"",E1016-MAX($F$2:F1015))</f>
        <v/>
      </c>
      <c r="H1016" s="98"/>
      <c r="I1016" s="74" t="str">
        <f ca="1">IF(D1016="N",COUNTIF(INDIRECT(ADDRESS(MATCH(Plages!$D$19,'Planning annuel mixing coater'!$B:$B),4)):D1016,"N"),IF(D1016="N1",COUNTIF($D$9:D1016,"N1"),""))</f>
        <v/>
      </c>
      <c r="J1016" s="96" t="str">
        <f>IF(D1016="","",COUNTA(D1010:D1016)-(COUNTA(D1016:D1016)-1))</f>
        <v/>
      </c>
    </row>
    <row r="1017" spans="1:10" thickBot="1">
      <c r="A1017" s="117"/>
      <c r="B1017" s="70">
        <f t="shared" si="65"/>
        <v>44809</v>
      </c>
      <c r="C1017" s="82" t="str">
        <f t="shared" si="66"/>
        <v>lundi</v>
      </c>
      <c r="D1017" s="87"/>
      <c r="E1017" s="115" t="str">
        <f t="shared" si="67"/>
        <v/>
      </c>
      <c r="F1017" s="115" t="str">
        <f t="shared" si="68"/>
        <v/>
      </c>
      <c r="G1017" s="116" t="str">
        <f>IF(ISNONTEXT(D1017),"",E1017-MAX($F$2:F1016))</f>
        <v/>
      </c>
      <c r="H1017" s="97"/>
      <c r="I1017" s="74" t="str">
        <f ca="1">IF(D1017="N",COUNTIF(INDIRECT(ADDRESS(MATCH(Plages!$D$19,'Planning annuel mixing coater'!$B:$B),4)):D1017,"N"),IF(D1017="N1",COUNTIF($D$9:D1017,"N1"),""))</f>
        <v/>
      </c>
      <c r="J1017" s="96" t="str">
        <f>IF(D1017="","",COUNTA(D1010:D1017)-(COUNTA(D1017:D1017)-1))</f>
        <v/>
      </c>
    </row>
    <row r="1018" spans="1:10" thickBot="1">
      <c r="A1018" s="117"/>
      <c r="B1018" s="70">
        <f t="shared" si="65"/>
        <v>44810</v>
      </c>
      <c r="C1018" s="82" t="str">
        <f t="shared" si="66"/>
        <v>mardi</v>
      </c>
      <c r="D1018" s="87"/>
      <c r="E1018" s="115" t="str">
        <f t="shared" si="67"/>
        <v/>
      </c>
      <c r="F1018" s="115" t="str">
        <f t="shared" si="68"/>
        <v/>
      </c>
      <c r="G1018" s="116" t="str">
        <f>IF(ISNONTEXT(D1018),"",E1018-MAX($F$2:F1017))</f>
        <v/>
      </c>
      <c r="H1018" s="97"/>
      <c r="I1018" s="74" t="str">
        <f ca="1">IF(D1018="N",COUNTIF(INDIRECT(ADDRESS(MATCH(Plages!$D$19,'Planning annuel mixing coater'!$B:$B),4)):D1018,"N"),IF(D1018="N1",COUNTIF($D$9:D1018,"N1"),""))</f>
        <v/>
      </c>
      <c r="J1018" s="96" t="str">
        <f>IF(D1018="","",COUNTA(D1010:D1018)-(COUNTA(D1018:D1018)-1))</f>
        <v/>
      </c>
    </row>
    <row r="1019" spans="1:10" thickBot="1">
      <c r="A1019" s="117"/>
      <c r="B1019" s="70">
        <f t="shared" si="65"/>
        <v>44811</v>
      </c>
      <c r="C1019" s="82" t="str">
        <f t="shared" si="66"/>
        <v>mercredi</v>
      </c>
      <c r="D1019" s="87"/>
      <c r="E1019" s="115" t="str">
        <f t="shared" si="67"/>
        <v/>
      </c>
      <c r="F1019" s="115" t="str">
        <f t="shared" si="68"/>
        <v/>
      </c>
      <c r="G1019" s="116" t="str">
        <f>IF(ISNONTEXT(D1019),"",E1019-MAX($F$2:F1018))</f>
        <v/>
      </c>
      <c r="H1019" s="97"/>
      <c r="I1019" s="74" t="str">
        <f ca="1">IF(D1019="N",COUNTIF(INDIRECT(ADDRESS(MATCH(Plages!$D$19,'Planning annuel mixing coater'!$B:$B),4)):D1019,"N"),IF(D1019="N1",COUNTIF($D$9:D1019,"N1"),""))</f>
        <v/>
      </c>
      <c r="J1019" s="96" t="str">
        <f>IF(D1019="","",COUNTA(D1010:D1019)-(COUNTA(D1019:D1019)-1))</f>
        <v/>
      </c>
    </row>
    <row r="1020" spans="1:10" thickBot="1">
      <c r="A1020" s="117"/>
      <c r="B1020" s="70">
        <f t="shared" si="65"/>
        <v>44812</v>
      </c>
      <c r="C1020" s="82" t="str">
        <f t="shared" si="66"/>
        <v>jeudi</v>
      </c>
      <c r="D1020" s="87"/>
      <c r="E1020" s="115" t="str">
        <f t="shared" si="67"/>
        <v/>
      </c>
      <c r="F1020" s="115" t="str">
        <f t="shared" si="68"/>
        <v/>
      </c>
      <c r="G1020" s="116" t="str">
        <f>IF(ISNONTEXT(D1020),"",E1020-MAX($F$2:F1019))</f>
        <v/>
      </c>
      <c r="H1020" s="97"/>
      <c r="I1020" s="74" t="str">
        <f ca="1">IF(D1020="N",COUNTIF(INDIRECT(ADDRESS(MATCH(Plages!$D$19,'Planning annuel mixing coater'!$B:$B),4)):D1020,"N"),IF(D1020="N1",COUNTIF($D$9:D1020,"N1"),""))</f>
        <v/>
      </c>
      <c r="J1020" s="96" t="str">
        <f>IF(D1020="","",COUNTA(D1010:D1020)-(COUNTA(D1020:D1020)-1))</f>
        <v/>
      </c>
    </row>
    <row r="1021" spans="1:10" thickBot="1">
      <c r="A1021" s="117"/>
      <c r="B1021" s="70">
        <f t="shared" si="65"/>
        <v>44813</v>
      </c>
      <c r="C1021" s="82" t="str">
        <f t="shared" si="66"/>
        <v>vendredi</v>
      </c>
      <c r="D1021" s="87"/>
      <c r="E1021" s="115" t="str">
        <f t="shared" si="67"/>
        <v/>
      </c>
      <c r="F1021" s="115" t="str">
        <f t="shared" si="68"/>
        <v/>
      </c>
      <c r="G1021" s="116" t="str">
        <f>IF(ISNONTEXT(D1021),"",E1021-MAX($F$2:F1020))</f>
        <v/>
      </c>
      <c r="H1021" s="97"/>
      <c r="I1021" s="74" t="str">
        <f ca="1">IF(D1021="N",COUNTIF(INDIRECT(ADDRESS(MATCH(Plages!$D$19,'Planning annuel mixing coater'!$B:$B),4)):D1021,"N"),IF(D1021="N1",COUNTIF($D$9:D1021,"N1"),""))</f>
        <v/>
      </c>
      <c r="J1021" s="96" t="str">
        <f>IF(D1021="","",COUNTA(D1010:D1021)-(COUNTA(D1021:D1021)-1))</f>
        <v/>
      </c>
    </row>
    <row r="1022" spans="1:10" thickBot="1">
      <c r="A1022" s="117"/>
      <c r="B1022" s="70">
        <f t="shared" si="65"/>
        <v>44814</v>
      </c>
      <c r="C1022" s="82" t="str">
        <f t="shared" si="66"/>
        <v>samedi</v>
      </c>
      <c r="D1022" s="87"/>
      <c r="E1022" s="115" t="str">
        <f t="shared" si="67"/>
        <v/>
      </c>
      <c r="F1022" s="115" t="str">
        <f t="shared" si="68"/>
        <v/>
      </c>
      <c r="G1022" s="116" t="str">
        <f>IF(ISNONTEXT(D1022),"",E1022-MAX($F$2:F1021))</f>
        <v/>
      </c>
      <c r="H1022" s="97"/>
      <c r="I1022" s="74" t="str">
        <f ca="1">IF(D1022="N",COUNTIF(INDIRECT(ADDRESS(MATCH(Plages!$D$19,'Planning annuel mixing coater'!$B:$B),4)):D1022,"N"),IF(D1022="N1",COUNTIF($D$9:D1022,"N1"),""))</f>
        <v/>
      </c>
      <c r="J1022" s="96" t="str">
        <f>IF(D1022="","",COUNTA(D1010:D1022)-(COUNTA(D1022:D1022)-1))</f>
        <v/>
      </c>
    </row>
    <row r="1023" spans="1:10" s="77" customFormat="1" thickBot="1">
      <c r="A1023" s="117"/>
      <c r="B1023" s="75">
        <f t="shared" si="65"/>
        <v>44815</v>
      </c>
      <c r="C1023" s="83" t="str">
        <f t="shared" si="66"/>
        <v>dimanche</v>
      </c>
      <c r="D1023" s="88"/>
      <c r="E1023" s="115" t="str">
        <f t="shared" si="67"/>
        <v/>
      </c>
      <c r="F1023" s="115" t="str">
        <f t="shared" si="68"/>
        <v/>
      </c>
      <c r="G1023" s="116" t="str">
        <f>IF(ISNONTEXT(D1023),"",E1023-MAX($F$2:F1022))</f>
        <v/>
      </c>
      <c r="H1023" s="98"/>
      <c r="I1023" s="76" t="str">
        <f ca="1">IF(D1023="N",COUNTIF(INDIRECT(ADDRESS(MATCH(Plages!$D$19,'Planning annuel mixing coater'!$B:$B),4)):D1023,"N"),IF(D1023="N1",COUNTIF($D$9:D1023,"N1"),""))</f>
        <v/>
      </c>
      <c r="J1023" s="99" t="str">
        <f>IF(D1023="","",COUNTA(D1010:D1023)-(COUNTA(D1023:D1023)-1))</f>
        <v/>
      </c>
    </row>
    <row r="1024" spans="1:10" ht="16.5" thickTop="1" thickBot="1">
      <c r="A1024" s="117"/>
      <c r="B1024" s="78">
        <f t="shared" si="65"/>
        <v>44816</v>
      </c>
      <c r="C1024" s="81" t="str">
        <f t="shared" si="66"/>
        <v>lundi</v>
      </c>
      <c r="D1024" s="89"/>
      <c r="E1024" s="115" t="str">
        <f t="shared" si="67"/>
        <v/>
      </c>
      <c r="F1024" s="115" t="str">
        <f t="shared" si="68"/>
        <v/>
      </c>
      <c r="G1024" s="116" t="str">
        <f>IF(ISNONTEXT(D1024),"",E1024-MAX($F$2:F1023))</f>
        <v/>
      </c>
      <c r="H1024" s="100"/>
      <c r="I1024" s="79" t="str">
        <f ca="1">IF(D1024="N",COUNTIF(INDIRECT(ADDRESS(MATCH(Plages!$D$19,'Planning annuel mixing coater'!$B:$B),4)):D1024,"N"),IF(D1024="N1",COUNTIF($D$9:D1024,"N1"),""))</f>
        <v/>
      </c>
      <c r="J1024" s="101" t="str">
        <f>IF(D1024="","",COUNTA(D1024:D1024)-(COUNTA(D1024:D1024)-1))</f>
        <v/>
      </c>
    </row>
    <row r="1025" spans="1:10" thickBot="1">
      <c r="A1025" s="117"/>
      <c r="B1025" s="70">
        <f t="shared" si="65"/>
        <v>44817</v>
      </c>
      <c r="C1025" s="82" t="str">
        <f t="shared" si="66"/>
        <v>mardi</v>
      </c>
      <c r="D1025" s="87"/>
      <c r="E1025" s="115" t="str">
        <f t="shared" si="67"/>
        <v/>
      </c>
      <c r="F1025" s="115" t="str">
        <f t="shared" si="68"/>
        <v/>
      </c>
      <c r="G1025" s="116" t="str">
        <f>IF(ISNONTEXT(D1025),"",E1025-MAX($F$2:F1024))</f>
        <v/>
      </c>
      <c r="H1025" s="97"/>
      <c r="I1025" s="74" t="str">
        <f ca="1">IF(D1025="N",COUNTIF(INDIRECT(ADDRESS(MATCH(Plages!$D$19,'Planning annuel mixing coater'!$B:$B),4)):D1025,"N"),IF(D1025="N1",COUNTIF($D$9:D1025,"N1"),""))</f>
        <v/>
      </c>
      <c r="J1025" s="96" t="str">
        <f>IF(D1025="","",COUNTA(D1024:D1025)-(COUNTA(D1025:D1025)-1))</f>
        <v/>
      </c>
    </row>
    <row r="1026" spans="1:10" thickBot="1">
      <c r="A1026" s="117"/>
      <c r="B1026" s="70">
        <f t="shared" si="65"/>
        <v>44818</v>
      </c>
      <c r="C1026" s="82" t="str">
        <f t="shared" si="66"/>
        <v>mercredi</v>
      </c>
      <c r="D1026" s="87"/>
      <c r="E1026" s="115" t="str">
        <f t="shared" si="67"/>
        <v/>
      </c>
      <c r="F1026" s="115" t="str">
        <f t="shared" si="68"/>
        <v/>
      </c>
      <c r="G1026" s="116" t="str">
        <f>IF(ISNONTEXT(D1026),"",E1026-MAX($F$2:F1025))</f>
        <v/>
      </c>
      <c r="H1026" s="97"/>
      <c r="I1026" s="74" t="str">
        <f ca="1">IF(D1026="N",COUNTIF(INDIRECT(ADDRESS(MATCH(Plages!$D$19,'Planning annuel mixing coater'!$B:$B),4)):D1026,"N"),IF(D1026="N1",COUNTIF($D$9:D1026,"N1"),""))</f>
        <v/>
      </c>
      <c r="J1026" s="96" t="str">
        <f>IF(D1026="","",COUNTA(D1024:D1026)-(COUNTA(D1026:D1026)-1))</f>
        <v/>
      </c>
    </row>
    <row r="1027" spans="1:10" thickBot="1">
      <c r="A1027" s="117"/>
      <c r="B1027" s="70">
        <f t="shared" si="65"/>
        <v>44819</v>
      </c>
      <c r="C1027" s="82" t="str">
        <f t="shared" si="66"/>
        <v>jeudi</v>
      </c>
      <c r="D1027" s="87"/>
      <c r="E1027" s="115" t="str">
        <f t="shared" si="67"/>
        <v/>
      </c>
      <c r="F1027" s="115" t="str">
        <f t="shared" si="68"/>
        <v/>
      </c>
      <c r="G1027" s="116" t="str">
        <f>IF(ISNONTEXT(D1027),"",E1027-MAX($F$2:F1026))</f>
        <v/>
      </c>
      <c r="H1027" s="97"/>
      <c r="I1027" s="74" t="str">
        <f ca="1">IF(D1027="N",COUNTIF(INDIRECT(ADDRESS(MATCH(Plages!$D$19,'Planning annuel mixing coater'!$B:$B),4)):D1027,"N"),IF(D1027="N1",COUNTIF($D$9:D1027,"N1"),""))</f>
        <v/>
      </c>
      <c r="J1027" s="96" t="str">
        <f>IF(D1027="","",COUNTA(D1024:D1027)-(COUNTA(D1027:D1027)-1))</f>
        <v/>
      </c>
    </row>
    <row r="1028" spans="1:10" thickBot="1">
      <c r="A1028" s="117"/>
      <c r="B1028" s="70">
        <f t="shared" ref="B1028:B1091" si="69">IF(B1027="","",B1027+1)</f>
        <v>44820</v>
      </c>
      <c r="C1028" s="82" t="str">
        <f t="shared" si="66"/>
        <v>vendredi</v>
      </c>
      <c r="D1028" s="87"/>
      <c r="E1028" s="115" t="str">
        <f t="shared" si="67"/>
        <v/>
      </c>
      <c r="F1028" s="115" t="str">
        <f t="shared" si="68"/>
        <v/>
      </c>
      <c r="G1028" s="116" t="str">
        <f>IF(ISNONTEXT(D1028),"",E1028-MAX($F$2:F1027))</f>
        <v/>
      </c>
      <c r="H1028" s="97"/>
      <c r="I1028" s="74" t="str">
        <f ca="1">IF(D1028="N",COUNTIF(INDIRECT(ADDRESS(MATCH(Plages!$D$19,'Planning annuel mixing coater'!$B:$B),4)):D1028,"N"),IF(D1028="N1",COUNTIF($D$9:D1028,"N1"),""))</f>
        <v/>
      </c>
      <c r="J1028" s="96" t="str">
        <f>IF(D1028="","",COUNTA(D1024:D1028)-(COUNTA(D1028:D1028)-1))</f>
        <v/>
      </c>
    </row>
    <row r="1029" spans="1:10" thickBot="1">
      <c r="A1029" s="117"/>
      <c r="B1029" s="70">
        <f t="shared" si="69"/>
        <v>44821</v>
      </c>
      <c r="C1029" s="82" t="str">
        <f t="shared" si="66"/>
        <v>samedi</v>
      </c>
      <c r="D1029" s="87"/>
      <c r="E1029" s="115" t="str">
        <f t="shared" si="67"/>
        <v/>
      </c>
      <c r="F1029" s="115" t="str">
        <f t="shared" si="68"/>
        <v/>
      </c>
      <c r="G1029" s="116" t="str">
        <f>IF(ISNONTEXT(D1029),"",E1029-MAX($F$2:F1028))</f>
        <v/>
      </c>
      <c r="H1029" s="97"/>
      <c r="I1029" s="74" t="str">
        <f ca="1">IF(D1029="N",COUNTIF(INDIRECT(ADDRESS(MATCH(Plages!$D$19,'Planning annuel mixing coater'!$B:$B),4)):D1029,"N"),IF(D1029="N1",COUNTIF($D$9:D1029,"N1"),""))</f>
        <v/>
      </c>
      <c r="J1029" s="96" t="str">
        <f>IF(D1029="","",COUNTA(D1024:D1029)-(COUNTA(D1029:D1029)-1))</f>
        <v/>
      </c>
    </row>
    <row r="1030" spans="1:10" thickBot="1">
      <c r="A1030" s="117"/>
      <c r="B1030" s="70">
        <f t="shared" si="69"/>
        <v>44822</v>
      </c>
      <c r="C1030" s="82" t="str">
        <f t="shared" si="66"/>
        <v>dimanche</v>
      </c>
      <c r="D1030" s="87"/>
      <c r="E1030" s="115" t="str">
        <f t="shared" si="67"/>
        <v/>
      </c>
      <c r="F1030" s="115" t="str">
        <f t="shared" si="68"/>
        <v/>
      </c>
      <c r="G1030" s="116" t="str">
        <f>IF(ISNONTEXT(D1030),"",E1030-MAX($F$2:F1029))</f>
        <v/>
      </c>
      <c r="H1030" s="98"/>
      <c r="I1030" s="74" t="str">
        <f ca="1">IF(D1030="N",COUNTIF(INDIRECT(ADDRESS(MATCH(Plages!$D$19,'Planning annuel mixing coater'!$B:$B),4)):D1030,"N"),IF(D1030="N1",COUNTIF($D$9:D1030,"N1"),""))</f>
        <v/>
      </c>
      <c r="J1030" s="96" t="str">
        <f>IF(D1030="","",COUNTA(D1024:D1030)-(COUNTA(D1030:D1030)-1))</f>
        <v/>
      </c>
    </row>
    <row r="1031" spans="1:10" thickBot="1">
      <c r="A1031" s="117"/>
      <c r="B1031" s="70">
        <f t="shared" si="69"/>
        <v>44823</v>
      </c>
      <c r="C1031" s="82" t="str">
        <f t="shared" si="66"/>
        <v>lundi</v>
      </c>
      <c r="D1031" s="87"/>
      <c r="E1031" s="115" t="str">
        <f t="shared" si="67"/>
        <v/>
      </c>
      <c r="F1031" s="115" t="str">
        <f t="shared" si="68"/>
        <v/>
      </c>
      <c r="G1031" s="116" t="str">
        <f>IF(ISNONTEXT(D1031),"",E1031-MAX($F$2:F1030))</f>
        <v/>
      </c>
      <c r="H1031" s="97"/>
      <c r="I1031" s="74" t="str">
        <f ca="1">IF(D1031="N",COUNTIF(INDIRECT(ADDRESS(MATCH(Plages!$D$19,'Planning annuel mixing coater'!$B:$B),4)):D1031,"N"),IF(D1031="N1",COUNTIF($D$9:D1031,"N1"),""))</f>
        <v/>
      </c>
      <c r="J1031" s="96" t="str">
        <f>IF(D1031="","",COUNTA(D1024:D1031)-(COUNTA(D1031:D1031)-1))</f>
        <v/>
      </c>
    </row>
    <row r="1032" spans="1:10" thickBot="1">
      <c r="A1032" s="117"/>
      <c r="B1032" s="70">
        <f t="shared" si="69"/>
        <v>44824</v>
      </c>
      <c r="C1032" s="82" t="str">
        <f t="shared" si="66"/>
        <v>mardi</v>
      </c>
      <c r="D1032" s="87"/>
      <c r="E1032" s="115" t="str">
        <f t="shared" si="67"/>
        <v/>
      </c>
      <c r="F1032" s="115" t="str">
        <f t="shared" si="68"/>
        <v/>
      </c>
      <c r="G1032" s="116" t="str">
        <f>IF(ISNONTEXT(D1032),"",E1032-MAX($F$2:F1031))</f>
        <v/>
      </c>
      <c r="H1032" s="97"/>
      <c r="I1032" s="74" t="str">
        <f ca="1">IF(D1032="N",COUNTIF(INDIRECT(ADDRESS(MATCH(Plages!$D$19,'Planning annuel mixing coater'!$B:$B),4)):D1032,"N"),IF(D1032="N1",COUNTIF($D$9:D1032,"N1"),""))</f>
        <v/>
      </c>
      <c r="J1032" s="96" t="str">
        <f>IF(D1032="","",COUNTA(D1024:D1032)-(COUNTA(D1032:D1032)-1))</f>
        <v/>
      </c>
    </row>
    <row r="1033" spans="1:10" thickBot="1">
      <c r="A1033" s="117"/>
      <c r="B1033" s="70">
        <f t="shared" si="69"/>
        <v>44825</v>
      </c>
      <c r="C1033" s="82" t="str">
        <f t="shared" si="66"/>
        <v>mercredi</v>
      </c>
      <c r="D1033" s="87"/>
      <c r="E1033" s="115" t="str">
        <f t="shared" si="67"/>
        <v/>
      </c>
      <c r="F1033" s="115" t="str">
        <f t="shared" si="68"/>
        <v/>
      </c>
      <c r="G1033" s="116" t="str">
        <f>IF(ISNONTEXT(D1033),"",E1033-MAX($F$2:F1032))</f>
        <v/>
      </c>
      <c r="H1033" s="97"/>
      <c r="I1033" s="74" t="str">
        <f ca="1">IF(D1033="N",COUNTIF(INDIRECT(ADDRESS(MATCH(Plages!$D$19,'Planning annuel mixing coater'!$B:$B),4)):D1033,"N"),IF(D1033="N1",COUNTIF($D$9:D1033,"N1"),""))</f>
        <v/>
      </c>
      <c r="J1033" s="96" t="str">
        <f>IF(D1033="","",COUNTA(D1024:D1033)-(COUNTA(D1033:D1033)-1))</f>
        <v/>
      </c>
    </row>
    <row r="1034" spans="1:10" thickBot="1">
      <c r="A1034" s="117"/>
      <c r="B1034" s="70">
        <f t="shared" si="69"/>
        <v>44826</v>
      </c>
      <c r="C1034" s="82" t="str">
        <f t="shared" si="66"/>
        <v>jeudi</v>
      </c>
      <c r="D1034" s="87"/>
      <c r="E1034" s="115" t="str">
        <f t="shared" si="67"/>
        <v/>
      </c>
      <c r="F1034" s="115" t="str">
        <f t="shared" si="68"/>
        <v/>
      </c>
      <c r="G1034" s="116" t="str">
        <f>IF(ISNONTEXT(D1034),"",E1034-MAX($F$2:F1033))</f>
        <v/>
      </c>
      <c r="H1034" s="97"/>
      <c r="I1034" s="74" t="str">
        <f ca="1">IF(D1034="N",COUNTIF(INDIRECT(ADDRESS(MATCH(Plages!$D$19,'Planning annuel mixing coater'!$B:$B),4)):D1034,"N"),IF(D1034="N1",COUNTIF($D$9:D1034,"N1"),""))</f>
        <v/>
      </c>
      <c r="J1034" s="96" t="str">
        <f>IF(D1034="","",COUNTA(D1024:D1034)-(COUNTA(D1034:D1034)-1))</f>
        <v/>
      </c>
    </row>
    <row r="1035" spans="1:10" thickBot="1">
      <c r="A1035" s="117"/>
      <c r="B1035" s="70">
        <f t="shared" si="69"/>
        <v>44827</v>
      </c>
      <c r="C1035" s="82" t="str">
        <f t="shared" si="66"/>
        <v>vendredi</v>
      </c>
      <c r="D1035" s="87"/>
      <c r="E1035" s="115" t="str">
        <f t="shared" si="67"/>
        <v/>
      </c>
      <c r="F1035" s="115" t="str">
        <f t="shared" si="68"/>
        <v/>
      </c>
      <c r="G1035" s="116" t="str">
        <f>IF(ISNONTEXT(D1035),"",E1035-MAX($F$2:F1034))</f>
        <v/>
      </c>
      <c r="H1035" s="97"/>
      <c r="I1035" s="74" t="str">
        <f ca="1">IF(D1035="N",COUNTIF(INDIRECT(ADDRESS(MATCH(Plages!$D$19,'Planning annuel mixing coater'!$B:$B),4)):D1035,"N"),IF(D1035="N1",COUNTIF($D$9:D1035,"N1"),""))</f>
        <v/>
      </c>
      <c r="J1035" s="96" t="str">
        <f>IF(D1035="","",COUNTA(D1024:D1035)-(COUNTA(D1035:D1035)-1))</f>
        <v/>
      </c>
    </row>
    <row r="1036" spans="1:10" thickBot="1">
      <c r="A1036" s="117"/>
      <c r="B1036" s="70">
        <f t="shared" si="69"/>
        <v>44828</v>
      </c>
      <c r="C1036" s="82" t="str">
        <f t="shared" si="66"/>
        <v>samedi</v>
      </c>
      <c r="D1036" s="87"/>
      <c r="E1036" s="115" t="str">
        <f t="shared" si="67"/>
        <v/>
      </c>
      <c r="F1036" s="115" t="str">
        <f t="shared" si="68"/>
        <v/>
      </c>
      <c r="G1036" s="116" t="str">
        <f>IF(ISNONTEXT(D1036),"",E1036-MAX($F$2:F1035))</f>
        <v/>
      </c>
      <c r="H1036" s="97"/>
      <c r="I1036" s="74" t="str">
        <f ca="1">IF(D1036="N",COUNTIF(INDIRECT(ADDRESS(MATCH(Plages!$D$19,'Planning annuel mixing coater'!$B:$B),4)):D1036,"N"),IF(D1036="N1",COUNTIF($D$9:D1036,"N1"),""))</f>
        <v/>
      </c>
      <c r="J1036" s="96" t="str">
        <f>IF(D1036="","",COUNTA(D1024:D1036)-(COUNTA(D1036:D1036)-1))</f>
        <v/>
      </c>
    </row>
    <row r="1037" spans="1:10" s="77" customFormat="1" thickBot="1">
      <c r="A1037" s="117"/>
      <c r="B1037" s="75">
        <f t="shared" si="69"/>
        <v>44829</v>
      </c>
      <c r="C1037" s="83" t="str">
        <f t="shared" si="66"/>
        <v>dimanche</v>
      </c>
      <c r="D1037" s="88"/>
      <c r="E1037" s="115" t="str">
        <f t="shared" si="67"/>
        <v/>
      </c>
      <c r="F1037" s="115" t="str">
        <f t="shared" si="68"/>
        <v/>
      </c>
      <c r="G1037" s="116" t="str">
        <f>IF(ISNONTEXT(D1037),"",E1037-MAX($F$2:F1036))</f>
        <v/>
      </c>
      <c r="H1037" s="98"/>
      <c r="I1037" s="76" t="str">
        <f ca="1">IF(D1037="N",COUNTIF(INDIRECT(ADDRESS(MATCH(Plages!$D$19,'Planning annuel mixing coater'!$B:$B),4)):D1037,"N"),IF(D1037="N1",COUNTIF($D$9:D1037,"N1"),""))</f>
        <v/>
      </c>
      <c r="J1037" s="99" t="str">
        <f>IF(D1037="","",COUNTA(D1024:D1037)-(COUNTA(D1037:D1037)-1))</f>
        <v/>
      </c>
    </row>
    <row r="1038" spans="1:10" ht="16.5" thickTop="1" thickBot="1">
      <c r="A1038" s="117"/>
      <c r="B1038" s="78">
        <f t="shared" si="69"/>
        <v>44830</v>
      </c>
      <c r="C1038" s="81" t="str">
        <f t="shared" si="66"/>
        <v>lundi</v>
      </c>
      <c r="D1038" s="89"/>
      <c r="E1038" s="115" t="str">
        <f t="shared" si="67"/>
        <v/>
      </c>
      <c r="F1038" s="115" t="str">
        <f t="shared" si="68"/>
        <v/>
      </c>
      <c r="G1038" s="116" t="str">
        <f>IF(ISNONTEXT(D1038),"",E1038-MAX($F$2:F1037))</f>
        <v/>
      </c>
      <c r="H1038" s="100"/>
      <c r="I1038" s="79" t="str">
        <f ca="1">IF(D1038="N",COUNTIF(INDIRECT(ADDRESS(MATCH(Plages!$D$19,'Planning annuel mixing coater'!$B:$B),4)):D1038,"N"),IF(D1038="N1",COUNTIF($D$9:D1038,"N1"),""))</f>
        <v/>
      </c>
      <c r="J1038" s="101" t="str">
        <f>IF(D1038="","",COUNTA(D1038:D1038)-(COUNTA(D1038:D1038)-1))</f>
        <v/>
      </c>
    </row>
    <row r="1039" spans="1:10" thickBot="1">
      <c r="A1039" s="117"/>
      <c r="B1039" s="70">
        <f t="shared" si="69"/>
        <v>44831</v>
      </c>
      <c r="C1039" s="82" t="str">
        <f t="shared" si="66"/>
        <v>mardi</v>
      </c>
      <c r="D1039" s="87"/>
      <c r="E1039" s="115" t="str">
        <f t="shared" si="67"/>
        <v/>
      </c>
      <c r="F1039" s="115" t="str">
        <f t="shared" si="68"/>
        <v/>
      </c>
      <c r="G1039" s="116" t="str">
        <f>IF(ISNONTEXT(D1039),"",E1039-MAX($F$2:F1038))</f>
        <v/>
      </c>
      <c r="H1039" s="97"/>
      <c r="I1039" s="74" t="str">
        <f ca="1">IF(D1039="N",COUNTIF(INDIRECT(ADDRESS(MATCH(Plages!$D$19,'Planning annuel mixing coater'!$B:$B),4)):D1039,"N"),IF(D1039="N1",COUNTIF($D$9:D1039,"N1"),""))</f>
        <v/>
      </c>
      <c r="J1039" s="96" t="str">
        <f>IF(D1039="","",COUNTA(D1038:D1039)-(COUNTA(D1039:D1039)-1))</f>
        <v/>
      </c>
    </row>
    <row r="1040" spans="1:10" thickBot="1">
      <c r="A1040" s="117"/>
      <c r="B1040" s="70">
        <f t="shared" si="69"/>
        <v>44832</v>
      </c>
      <c r="C1040" s="82" t="str">
        <f t="shared" si="66"/>
        <v>mercredi</v>
      </c>
      <c r="D1040" s="87"/>
      <c r="E1040" s="115" t="str">
        <f t="shared" si="67"/>
        <v/>
      </c>
      <c r="F1040" s="115" t="str">
        <f t="shared" si="68"/>
        <v/>
      </c>
      <c r="G1040" s="116" t="str">
        <f>IF(ISNONTEXT(D1040),"",E1040-MAX($F$2:F1039))</f>
        <v/>
      </c>
      <c r="H1040" s="97"/>
      <c r="I1040" s="74" t="str">
        <f ca="1">IF(D1040="N",COUNTIF(INDIRECT(ADDRESS(MATCH(Plages!$D$19,'Planning annuel mixing coater'!$B:$B),4)):D1040,"N"),IF(D1040="N1",COUNTIF($D$9:D1040,"N1"),""))</f>
        <v/>
      </c>
      <c r="J1040" s="96" t="str">
        <f>IF(D1040="","",COUNTA(D1038:D1040)-(COUNTA(D1040:D1040)-1))</f>
        <v/>
      </c>
    </row>
    <row r="1041" spans="1:10" thickBot="1">
      <c r="A1041" s="117"/>
      <c r="B1041" s="70">
        <f t="shared" si="69"/>
        <v>44833</v>
      </c>
      <c r="C1041" s="82" t="str">
        <f t="shared" si="66"/>
        <v>jeudi</v>
      </c>
      <c r="D1041" s="87"/>
      <c r="E1041" s="115" t="str">
        <f t="shared" si="67"/>
        <v/>
      </c>
      <c r="F1041" s="115" t="str">
        <f t="shared" si="68"/>
        <v/>
      </c>
      <c r="G1041" s="116" t="str">
        <f>IF(ISNONTEXT(D1041),"",E1041-MAX($F$2:F1040))</f>
        <v/>
      </c>
      <c r="H1041" s="97"/>
      <c r="I1041" s="74" t="str">
        <f ca="1">IF(D1041="N",COUNTIF(INDIRECT(ADDRESS(MATCH(Plages!$D$19,'Planning annuel mixing coater'!$B:$B),4)):D1041,"N"),IF(D1041="N1",COUNTIF($D$9:D1041,"N1"),""))</f>
        <v/>
      </c>
      <c r="J1041" s="96" t="str">
        <f>IF(D1041="","",COUNTA(D1038:D1041)-(COUNTA(D1041:D1041)-1))</f>
        <v/>
      </c>
    </row>
    <row r="1042" spans="1:10" thickBot="1">
      <c r="A1042" s="117"/>
      <c r="B1042" s="70">
        <f t="shared" si="69"/>
        <v>44834</v>
      </c>
      <c r="C1042" s="82" t="str">
        <f t="shared" si="66"/>
        <v>vendredi</v>
      </c>
      <c r="D1042" s="87"/>
      <c r="E1042" s="115" t="str">
        <f t="shared" si="67"/>
        <v/>
      </c>
      <c r="F1042" s="115" t="str">
        <f t="shared" si="68"/>
        <v/>
      </c>
      <c r="G1042" s="116" t="str">
        <f>IF(ISNONTEXT(D1042),"",E1042-MAX($F$2:F1041))</f>
        <v/>
      </c>
      <c r="H1042" s="97"/>
      <c r="I1042" s="74" t="str">
        <f ca="1">IF(D1042="N",COUNTIF(INDIRECT(ADDRESS(MATCH(Plages!$D$19,'Planning annuel mixing coater'!$B:$B),4)):D1042,"N"),IF(D1042="N1",COUNTIF($D$9:D1042,"N1"),""))</f>
        <v/>
      </c>
      <c r="J1042" s="96" t="str">
        <f>IF(D1042="","",COUNTA(D1038:D1042)-(COUNTA(D1042:D1042)-1))</f>
        <v/>
      </c>
    </row>
    <row r="1043" spans="1:10" thickBot="1">
      <c r="A1043" s="117"/>
      <c r="B1043" s="70">
        <f t="shared" si="69"/>
        <v>44835</v>
      </c>
      <c r="C1043" s="82" t="str">
        <f t="shared" si="66"/>
        <v>samedi</v>
      </c>
      <c r="D1043" s="87"/>
      <c r="E1043" s="115" t="str">
        <f t="shared" si="67"/>
        <v/>
      </c>
      <c r="F1043" s="115" t="str">
        <f t="shared" si="68"/>
        <v/>
      </c>
      <c r="G1043" s="116" t="str">
        <f>IF(ISNONTEXT(D1043),"",E1043-MAX($F$2:F1042))</f>
        <v/>
      </c>
      <c r="H1043" s="97"/>
      <c r="I1043" s="74" t="str">
        <f ca="1">IF(D1043="N",COUNTIF(INDIRECT(ADDRESS(MATCH(Plages!$D$19,'Planning annuel mixing coater'!$B:$B),4)):D1043,"N"),IF(D1043="N1",COUNTIF($D$9:D1043,"N1"),""))</f>
        <v/>
      </c>
      <c r="J1043" s="96" t="str">
        <f>IF(D1043="","",COUNTA(D1038:D1043)-(COUNTA(D1043:D1043)-1))</f>
        <v/>
      </c>
    </row>
    <row r="1044" spans="1:10" thickBot="1">
      <c r="A1044" s="117"/>
      <c r="B1044" s="70">
        <f t="shared" si="69"/>
        <v>44836</v>
      </c>
      <c r="C1044" s="82" t="str">
        <f t="shared" si="66"/>
        <v>dimanche</v>
      </c>
      <c r="D1044" s="87"/>
      <c r="E1044" s="115" t="str">
        <f t="shared" si="67"/>
        <v/>
      </c>
      <c r="F1044" s="115" t="str">
        <f t="shared" si="68"/>
        <v/>
      </c>
      <c r="G1044" s="116" t="str">
        <f>IF(ISNONTEXT(D1044),"",E1044-MAX($F$2:F1043))</f>
        <v/>
      </c>
      <c r="H1044" s="98"/>
      <c r="I1044" s="74" t="str">
        <f ca="1">IF(D1044="N",COUNTIF(INDIRECT(ADDRESS(MATCH(Plages!$D$19,'Planning annuel mixing coater'!$B:$B),4)):D1044,"N"),IF(D1044="N1",COUNTIF($D$9:D1044,"N1"),""))</f>
        <v/>
      </c>
      <c r="J1044" s="96" t="str">
        <f>IF(D1044="","",COUNTA(D1038:D1044)-(COUNTA(D1044:D1044)-1))</f>
        <v/>
      </c>
    </row>
    <row r="1045" spans="1:10" thickBot="1">
      <c r="A1045" s="117"/>
      <c r="B1045" s="70">
        <f t="shared" si="69"/>
        <v>44837</v>
      </c>
      <c r="C1045" s="82" t="str">
        <f t="shared" si="66"/>
        <v>lundi</v>
      </c>
      <c r="D1045" s="87"/>
      <c r="E1045" s="115" t="str">
        <f t="shared" si="67"/>
        <v/>
      </c>
      <c r="F1045" s="115" t="str">
        <f t="shared" si="68"/>
        <v/>
      </c>
      <c r="G1045" s="116" t="str">
        <f>IF(ISNONTEXT(D1045),"",E1045-MAX($F$2:F1044))</f>
        <v/>
      </c>
      <c r="H1045" s="97"/>
      <c r="I1045" s="74" t="str">
        <f ca="1">IF(D1045="N",COUNTIF(INDIRECT(ADDRESS(MATCH(Plages!$D$19,'Planning annuel mixing coater'!$B:$B),4)):D1045,"N"),IF(D1045="N1",COUNTIF($D$9:D1045,"N1"),""))</f>
        <v/>
      </c>
      <c r="J1045" s="96" t="str">
        <f>IF(D1045="","",COUNTA(D1038:D1045)-(COUNTA(D1045:D1045)-1))</f>
        <v/>
      </c>
    </row>
    <row r="1046" spans="1:10" thickBot="1">
      <c r="A1046" s="117"/>
      <c r="B1046" s="70">
        <f t="shared" si="69"/>
        <v>44838</v>
      </c>
      <c r="C1046" s="82" t="str">
        <f t="shared" si="66"/>
        <v>mardi</v>
      </c>
      <c r="D1046" s="87"/>
      <c r="E1046" s="115" t="str">
        <f t="shared" si="67"/>
        <v/>
      </c>
      <c r="F1046" s="115" t="str">
        <f t="shared" si="68"/>
        <v/>
      </c>
      <c r="G1046" s="116" t="str">
        <f>IF(ISNONTEXT(D1046),"",E1046-MAX($F$2:F1045))</f>
        <v/>
      </c>
      <c r="H1046" s="97"/>
      <c r="I1046" s="74" t="str">
        <f ca="1">IF(D1046="N",COUNTIF(INDIRECT(ADDRESS(MATCH(Plages!$D$19,'Planning annuel mixing coater'!$B:$B),4)):D1046,"N"),IF(D1046="N1",COUNTIF($D$9:D1046,"N1"),""))</f>
        <v/>
      </c>
      <c r="J1046" s="96" t="str">
        <f>IF(D1046="","",COUNTA(D1038:D1046)-(COUNTA(D1046:D1046)-1))</f>
        <v/>
      </c>
    </row>
    <row r="1047" spans="1:10" thickBot="1">
      <c r="A1047" s="117"/>
      <c r="B1047" s="70">
        <f t="shared" si="69"/>
        <v>44839</v>
      </c>
      <c r="C1047" s="82" t="str">
        <f t="shared" si="66"/>
        <v>mercredi</v>
      </c>
      <c r="D1047" s="87"/>
      <c r="E1047" s="115" t="str">
        <f t="shared" si="67"/>
        <v/>
      </c>
      <c r="F1047" s="115" t="str">
        <f t="shared" si="68"/>
        <v/>
      </c>
      <c r="G1047" s="116" t="str">
        <f>IF(ISNONTEXT(D1047),"",E1047-MAX($F$2:F1046))</f>
        <v/>
      </c>
      <c r="H1047" s="97"/>
      <c r="I1047" s="74" t="str">
        <f ca="1">IF(D1047="N",COUNTIF(INDIRECT(ADDRESS(MATCH(Plages!$D$19,'Planning annuel mixing coater'!$B:$B),4)):D1047,"N"),IF(D1047="N1",COUNTIF($D$9:D1047,"N1"),""))</f>
        <v/>
      </c>
      <c r="J1047" s="96" t="str">
        <f>IF(D1047="","",COUNTA(D1038:D1047)-(COUNTA(D1047:D1047)-1))</f>
        <v/>
      </c>
    </row>
    <row r="1048" spans="1:10" thickBot="1">
      <c r="A1048" s="117"/>
      <c r="B1048" s="70">
        <f t="shared" si="69"/>
        <v>44840</v>
      </c>
      <c r="C1048" s="82" t="str">
        <f t="shared" si="66"/>
        <v>jeudi</v>
      </c>
      <c r="D1048" s="87"/>
      <c r="E1048" s="115" t="str">
        <f t="shared" si="67"/>
        <v/>
      </c>
      <c r="F1048" s="115" t="str">
        <f t="shared" si="68"/>
        <v/>
      </c>
      <c r="G1048" s="116" t="str">
        <f>IF(ISNONTEXT(D1048),"",E1048-MAX($F$2:F1047))</f>
        <v/>
      </c>
      <c r="H1048" s="97"/>
      <c r="I1048" s="74" t="str">
        <f ca="1">IF(D1048="N",COUNTIF(INDIRECT(ADDRESS(MATCH(Plages!$D$19,'Planning annuel mixing coater'!$B:$B),4)):D1048,"N"),IF(D1048="N1",COUNTIF($D$9:D1048,"N1"),""))</f>
        <v/>
      </c>
      <c r="J1048" s="96" t="str">
        <f>IF(D1048="","",COUNTA(D1038:D1048)-(COUNTA(D1048:D1048)-1))</f>
        <v/>
      </c>
    </row>
    <row r="1049" spans="1:10" thickBot="1">
      <c r="A1049" s="117"/>
      <c r="B1049" s="70">
        <f t="shared" si="69"/>
        <v>44841</v>
      </c>
      <c r="C1049" s="82" t="str">
        <f t="shared" si="66"/>
        <v>vendredi</v>
      </c>
      <c r="D1049" s="87"/>
      <c r="E1049" s="115" t="str">
        <f t="shared" si="67"/>
        <v/>
      </c>
      <c r="F1049" s="115" t="str">
        <f t="shared" si="68"/>
        <v/>
      </c>
      <c r="G1049" s="116" t="str">
        <f>IF(ISNONTEXT(D1049),"",E1049-MAX($F$2:F1048))</f>
        <v/>
      </c>
      <c r="H1049" s="97"/>
      <c r="I1049" s="74" t="str">
        <f ca="1">IF(D1049="N",COUNTIF(INDIRECT(ADDRESS(MATCH(Plages!$D$19,'Planning annuel mixing coater'!$B:$B),4)):D1049,"N"),IF(D1049="N1",COUNTIF($D$9:D1049,"N1"),""))</f>
        <v/>
      </c>
      <c r="J1049" s="96" t="str">
        <f>IF(D1049="","",COUNTA(D1038:D1049)-(COUNTA(D1049:D1049)-1))</f>
        <v/>
      </c>
    </row>
    <row r="1050" spans="1:10" thickBot="1">
      <c r="A1050" s="117"/>
      <c r="B1050" s="70">
        <f t="shared" si="69"/>
        <v>44842</v>
      </c>
      <c r="C1050" s="82" t="str">
        <f t="shared" si="66"/>
        <v>samedi</v>
      </c>
      <c r="D1050" s="87"/>
      <c r="E1050" s="115" t="str">
        <f t="shared" si="67"/>
        <v/>
      </c>
      <c r="F1050" s="115" t="str">
        <f t="shared" si="68"/>
        <v/>
      </c>
      <c r="G1050" s="116" t="str">
        <f>IF(ISNONTEXT(D1050),"",E1050-MAX($F$2:F1049))</f>
        <v/>
      </c>
      <c r="H1050" s="97"/>
      <c r="I1050" s="74" t="str">
        <f ca="1">IF(D1050="N",COUNTIF(INDIRECT(ADDRESS(MATCH(Plages!$D$19,'Planning annuel mixing coater'!$B:$B),4)):D1050,"N"),IF(D1050="N1",COUNTIF($D$9:D1050,"N1"),""))</f>
        <v/>
      </c>
      <c r="J1050" s="96" t="str">
        <f>IF(D1050="","",COUNTA(D1038:D1050)-(COUNTA(D1050:D1050)-1))</f>
        <v/>
      </c>
    </row>
    <row r="1051" spans="1:10" s="77" customFormat="1" thickBot="1">
      <c r="A1051" s="117"/>
      <c r="B1051" s="75">
        <f t="shared" si="69"/>
        <v>44843</v>
      </c>
      <c r="C1051" s="83" t="str">
        <f t="shared" si="66"/>
        <v>dimanche</v>
      </c>
      <c r="D1051" s="88"/>
      <c r="E1051" s="115" t="str">
        <f t="shared" si="67"/>
        <v/>
      </c>
      <c r="F1051" s="115" t="str">
        <f t="shared" si="68"/>
        <v/>
      </c>
      <c r="G1051" s="116" t="str">
        <f>IF(ISNONTEXT(D1051),"",E1051-MAX($F$2:F1050))</f>
        <v/>
      </c>
      <c r="H1051" s="98"/>
      <c r="I1051" s="76" t="str">
        <f ca="1">IF(D1051="N",COUNTIF(INDIRECT(ADDRESS(MATCH(Plages!$D$19,'Planning annuel mixing coater'!$B:$B),4)):D1051,"N"),IF(D1051="N1",COUNTIF($D$9:D1051,"N1"),""))</f>
        <v/>
      </c>
      <c r="J1051" s="99" t="str">
        <f>IF(D1051="","",COUNTA(D1038:D1051)-(COUNTA(D1051:D1051)-1))</f>
        <v/>
      </c>
    </row>
    <row r="1052" spans="1:10" ht="16.5" thickTop="1" thickBot="1">
      <c r="A1052" s="117"/>
      <c r="B1052" s="78">
        <f t="shared" si="69"/>
        <v>44844</v>
      </c>
      <c r="C1052" s="81" t="str">
        <f t="shared" si="66"/>
        <v>lundi</v>
      </c>
      <c r="D1052" s="89"/>
      <c r="E1052" s="115" t="str">
        <f t="shared" si="67"/>
        <v/>
      </c>
      <c r="F1052" s="115" t="str">
        <f t="shared" si="68"/>
        <v/>
      </c>
      <c r="G1052" s="116" t="str">
        <f>IF(ISNONTEXT(D1052),"",E1052-MAX($F$2:F1051))</f>
        <v/>
      </c>
      <c r="H1052" s="100"/>
      <c r="I1052" s="79" t="str">
        <f ca="1">IF(D1052="N",COUNTIF(INDIRECT(ADDRESS(MATCH(Plages!$D$19,'Planning annuel mixing coater'!$B:$B),4)):D1052,"N"),IF(D1052="N1",COUNTIF($D$9:D1052,"N1"),""))</f>
        <v/>
      </c>
      <c r="J1052" s="101" t="str">
        <f>IF(D1052="","",COUNTA(D1052:D1052)-(COUNTA(D1052:D1052)-1))</f>
        <v/>
      </c>
    </row>
    <row r="1053" spans="1:10" thickBot="1">
      <c r="A1053" s="117"/>
      <c r="B1053" s="70">
        <f t="shared" si="69"/>
        <v>44845</v>
      </c>
      <c r="C1053" s="82" t="str">
        <f t="shared" si="66"/>
        <v>mardi</v>
      </c>
      <c r="D1053" s="87"/>
      <c r="E1053" s="115" t="str">
        <f t="shared" si="67"/>
        <v/>
      </c>
      <c r="F1053" s="115" t="str">
        <f t="shared" si="68"/>
        <v/>
      </c>
      <c r="G1053" s="116" t="str">
        <f>IF(ISNONTEXT(D1053),"",E1053-MAX($F$2:F1052))</f>
        <v/>
      </c>
      <c r="H1053" s="97"/>
      <c r="I1053" s="74" t="str">
        <f ca="1">IF(D1053="N",COUNTIF(INDIRECT(ADDRESS(MATCH(Plages!$D$19,'Planning annuel mixing coater'!$B:$B),4)):D1053,"N"),IF(D1053="N1",COUNTIF($D$9:D1053,"N1"),""))</f>
        <v/>
      </c>
      <c r="J1053" s="96" t="str">
        <f>IF(D1053="","",COUNTA(D1052:D1053)-(COUNTA(D1053:D1053)-1))</f>
        <v/>
      </c>
    </row>
    <row r="1054" spans="1:10" thickBot="1">
      <c r="A1054" s="117"/>
      <c r="B1054" s="70">
        <f t="shared" si="69"/>
        <v>44846</v>
      </c>
      <c r="C1054" s="82" t="str">
        <f t="shared" ref="C1054:C1117" si="70">IF(B1054="","",TEXT(B1054,"jjjj"))</f>
        <v>mercredi</v>
      </c>
      <c r="D1054" s="87"/>
      <c r="E1054" s="115" t="str">
        <f t="shared" ref="E1054:E1117" si="71">IF(D1054="","",B1054+VLOOKUP(D1054,Plageh,2,0))</f>
        <v/>
      </c>
      <c r="F1054" s="115" t="str">
        <f t="shared" ref="F1054:F1117" si="72">IF(D1054="","",B1054+VLOOKUP(D1054,Plageh,3,0))</f>
        <v/>
      </c>
      <c r="G1054" s="116" t="str">
        <f>IF(ISNONTEXT(D1054),"",E1054-MAX($F$2:F1053))</f>
        <v/>
      </c>
      <c r="H1054" s="97"/>
      <c r="I1054" s="74" t="str">
        <f ca="1">IF(D1054="N",COUNTIF(INDIRECT(ADDRESS(MATCH(Plages!$D$19,'Planning annuel mixing coater'!$B:$B),4)):D1054,"N"),IF(D1054="N1",COUNTIF($D$9:D1054,"N1"),""))</f>
        <v/>
      </c>
      <c r="J1054" s="96" t="str">
        <f>IF(D1054="","",COUNTA(D1052:D1054)-(COUNTA(D1054:D1054)-1))</f>
        <v/>
      </c>
    </row>
    <row r="1055" spans="1:10" thickBot="1">
      <c r="A1055" s="117"/>
      <c r="B1055" s="70">
        <f t="shared" si="69"/>
        <v>44847</v>
      </c>
      <c r="C1055" s="82" t="str">
        <f t="shared" si="70"/>
        <v>jeudi</v>
      </c>
      <c r="D1055" s="87"/>
      <c r="E1055" s="115" t="str">
        <f t="shared" si="71"/>
        <v/>
      </c>
      <c r="F1055" s="115" t="str">
        <f t="shared" si="72"/>
        <v/>
      </c>
      <c r="G1055" s="116" t="str">
        <f>IF(ISNONTEXT(D1055),"",E1055-MAX($F$2:F1054))</f>
        <v/>
      </c>
      <c r="H1055" s="97"/>
      <c r="I1055" s="74" t="str">
        <f ca="1">IF(D1055="N",COUNTIF(INDIRECT(ADDRESS(MATCH(Plages!$D$19,'Planning annuel mixing coater'!$B:$B),4)):D1055,"N"),IF(D1055="N1",COUNTIF($D$9:D1055,"N1"),""))</f>
        <v/>
      </c>
      <c r="J1055" s="96" t="str">
        <f>IF(D1055="","",COUNTA(D1052:D1055)-(COUNTA(D1055:D1055)-1))</f>
        <v/>
      </c>
    </row>
    <row r="1056" spans="1:10" thickBot="1">
      <c r="A1056" s="117"/>
      <c r="B1056" s="70">
        <f t="shared" si="69"/>
        <v>44848</v>
      </c>
      <c r="C1056" s="82" t="str">
        <f t="shared" si="70"/>
        <v>vendredi</v>
      </c>
      <c r="D1056" s="87"/>
      <c r="E1056" s="115" t="str">
        <f t="shared" si="71"/>
        <v/>
      </c>
      <c r="F1056" s="115" t="str">
        <f t="shared" si="72"/>
        <v/>
      </c>
      <c r="G1056" s="116" t="str">
        <f>IF(ISNONTEXT(D1056),"",E1056-MAX($F$2:F1055))</f>
        <v/>
      </c>
      <c r="H1056" s="97"/>
      <c r="I1056" s="74" t="str">
        <f ca="1">IF(D1056="N",COUNTIF(INDIRECT(ADDRESS(MATCH(Plages!$D$19,'Planning annuel mixing coater'!$B:$B),4)):D1056,"N"),IF(D1056="N1",COUNTIF($D$9:D1056,"N1"),""))</f>
        <v/>
      </c>
      <c r="J1056" s="96" t="str">
        <f>IF(D1056="","",COUNTA(D1052:D1056)-(COUNTA(D1056:D1056)-1))</f>
        <v/>
      </c>
    </row>
    <row r="1057" spans="1:10" thickBot="1">
      <c r="A1057" s="117"/>
      <c r="B1057" s="70">
        <f t="shared" si="69"/>
        <v>44849</v>
      </c>
      <c r="C1057" s="82" t="str">
        <f t="shared" si="70"/>
        <v>samedi</v>
      </c>
      <c r="D1057" s="87"/>
      <c r="E1057" s="115" t="str">
        <f t="shared" si="71"/>
        <v/>
      </c>
      <c r="F1057" s="115" t="str">
        <f t="shared" si="72"/>
        <v/>
      </c>
      <c r="G1057" s="116" t="str">
        <f>IF(ISNONTEXT(D1057),"",E1057-MAX($F$2:F1056))</f>
        <v/>
      </c>
      <c r="H1057" s="97"/>
      <c r="I1057" s="74" t="str">
        <f ca="1">IF(D1057="N",COUNTIF(INDIRECT(ADDRESS(MATCH(Plages!$D$19,'Planning annuel mixing coater'!$B:$B),4)):D1057,"N"),IF(D1057="N1",COUNTIF($D$9:D1057,"N1"),""))</f>
        <v/>
      </c>
      <c r="J1057" s="96" t="str">
        <f>IF(D1057="","",COUNTA(D1052:D1057)-(COUNTA(D1057:D1057)-1))</f>
        <v/>
      </c>
    </row>
    <row r="1058" spans="1:10" thickBot="1">
      <c r="A1058" s="117"/>
      <c r="B1058" s="70">
        <f t="shared" si="69"/>
        <v>44850</v>
      </c>
      <c r="C1058" s="82" t="str">
        <f t="shared" si="70"/>
        <v>dimanche</v>
      </c>
      <c r="D1058" s="87"/>
      <c r="E1058" s="115" t="str">
        <f t="shared" si="71"/>
        <v/>
      </c>
      <c r="F1058" s="115" t="str">
        <f t="shared" si="72"/>
        <v/>
      </c>
      <c r="G1058" s="116" t="str">
        <f>IF(ISNONTEXT(D1058),"",E1058-MAX($F$2:F1057))</f>
        <v/>
      </c>
      <c r="H1058" s="98"/>
      <c r="I1058" s="74" t="str">
        <f ca="1">IF(D1058="N",COUNTIF(INDIRECT(ADDRESS(MATCH(Plages!$D$19,'Planning annuel mixing coater'!$B:$B),4)):D1058,"N"),IF(D1058="N1",COUNTIF($D$9:D1058,"N1"),""))</f>
        <v/>
      </c>
      <c r="J1058" s="96" t="str">
        <f>IF(D1058="","",COUNTA(D1052:D1058)-(COUNTA(D1058:D1058)-1))</f>
        <v/>
      </c>
    </row>
    <row r="1059" spans="1:10" thickBot="1">
      <c r="A1059" s="117"/>
      <c r="B1059" s="70">
        <f t="shared" si="69"/>
        <v>44851</v>
      </c>
      <c r="C1059" s="82" t="str">
        <f t="shared" si="70"/>
        <v>lundi</v>
      </c>
      <c r="D1059" s="87"/>
      <c r="E1059" s="115" t="str">
        <f t="shared" si="71"/>
        <v/>
      </c>
      <c r="F1059" s="115" t="str">
        <f t="shared" si="72"/>
        <v/>
      </c>
      <c r="G1059" s="116" t="str">
        <f>IF(ISNONTEXT(D1059),"",E1059-MAX($F$2:F1058))</f>
        <v/>
      </c>
      <c r="H1059" s="97"/>
      <c r="I1059" s="74" t="str">
        <f ca="1">IF(D1059="N",COUNTIF(INDIRECT(ADDRESS(MATCH(Plages!$D$19,'Planning annuel mixing coater'!$B:$B),4)):D1059,"N"),IF(D1059="N1",COUNTIF($D$9:D1059,"N1"),""))</f>
        <v/>
      </c>
      <c r="J1059" s="96" t="str">
        <f>IF(D1059="","",COUNTA(D1052:D1059)-(COUNTA(D1059:D1059)-1))</f>
        <v/>
      </c>
    </row>
    <row r="1060" spans="1:10" thickBot="1">
      <c r="A1060" s="117"/>
      <c r="B1060" s="70">
        <f t="shared" si="69"/>
        <v>44852</v>
      </c>
      <c r="C1060" s="82" t="str">
        <f t="shared" si="70"/>
        <v>mardi</v>
      </c>
      <c r="D1060" s="87"/>
      <c r="E1060" s="115" t="str">
        <f t="shared" si="71"/>
        <v/>
      </c>
      <c r="F1060" s="115" t="str">
        <f t="shared" si="72"/>
        <v/>
      </c>
      <c r="G1060" s="116" t="str">
        <f>IF(ISNONTEXT(D1060),"",E1060-MAX($F$2:F1059))</f>
        <v/>
      </c>
      <c r="H1060" s="97"/>
      <c r="I1060" s="74" t="str">
        <f ca="1">IF(D1060="N",COUNTIF(INDIRECT(ADDRESS(MATCH(Plages!$D$19,'Planning annuel mixing coater'!$B:$B),4)):D1060,"N"),IF(D1060="N1",COUNTIF($D$9:D1060,"N1"),""))</f>
        <v/>
      </c>
      <c r="J1060" s="96" t="str">
        <f>IF(D1060="","",COUNTA(D1052:D1060)-(COUNTA(D1060:D1060)-1))</f>
        <v/>
      </c>
    </row>
    <row r="1061" spans="1:10" thickBot="1">
      <c r="A1061" s="117"/>
      <c r="B1061" s="70">
        <f t="shared" si="69"/>
        <v>44853</v>
      </c>
      <c r="C1061" s="82" t="str">
        <f t="shared" si="70"/>
        <v>mercredi</v>
      </c>
      <c r="D1061" s="87"/>
      <c r="E1061" s="115" t="str">
        <f t="shared" si="71"/>
        <v/>
      </c>
      <c r="F1061" s="115" t="str">
        <f t="shared" si="72"/>
        <v/>
      </c>
      <c r="G1061" s="116" t="str">
        <f>IF(ISNONTEXT(D1061),"",E1061-MAX($F$2:F1060))</f>
        <v/>
      </c>
      <c r="H1061" s="97"/>
      <c r="I1061" s="74" t="str">
        <f ca="1">IF(D1061="N",COUNTIF(INDIRECT(ADDRESS(MATCH(Plages!$D$19,'Planning annuel mixing coater'!$B:$B),4)):D1061,"N"),IF(D1061="N1",COUNTIF($D$9:D1061,"N1"),""))</f>
        <v/>
      </c>
      <c r="J1061" s="96" t="str">
        <f>IF(D1061="","",COUNTA(D1052:D1061)-(COUNTA(D1061:D1061)-1))</f>
        <v/>
      </c>
    </row>
    <row r="1062" spans="1:10" thickBot="1">
      <c r="A1062" s="117"/>
      <c r="B1062" s="70">
        <f t="shared" si="69"/>
        <v>44854</v>
      </c>
      <c r="C1062" s="82" t="str">
        <f t="shared" si="70"/>
        <v>jeudi</v>
      </c>
      <c r="D1062" s="87"/>
      <c r="E1062" s="115" t="str">
        <f t="shared" si="71"/>
        <v/>
      </c>
      <c r="F1062" s="115" t="str">
        <f t="shared" si="72"/>
        <v/>
      </c>
      <c r="G1062" s="116" t="str">
        <f>IF(ISNONTEXT(D1062),"",E1062-MAX($F$2:F1061))</f>
        <v/>
      </c>
      <c r="H1062" s="97"/>
      <c r="I1062" s="74" t="str">
        <f ca="1">IF(D1062="N",COUNTIF(INDIRECT(ADDRESS(MATCH(Plages!$D$19,'Planning annuel mixing coater'!$B:$B),4)):D1062,"N"),IF(D1062="N1",COUNTIF($D$9:D1062,"N1"),""))</f>
        <v/>
      </c>
      <c r="J1062" s="96" t="str">
        <f>IF(D1062="","",COUNTA(D1052:D1062)-(COUNTA(D1062:D1062)-1))</f>
        <v/>
      </c>
    </row>
    <row r="1063" spans="1:10" thickBot="1">
      <c r="A1063" s="117"/>
      <c r="B1063" s="70">
        <f t="shared" si="69"/>
        <v>44855</v>
      </c>
      <c r="C1063" s="82" t="str">
        <f t="shared" si="70"/>
        <v>vendredi</v>
      </c>
      <c r="D1063" s="87"/>
      <c r="E1063" s="115" t="str">
        <f t="shared" si="71"/>
        <v/>
      </c>
      <c r="F1063" s="115" t="str">
        <f t="shared" si="72"/>
        <v/>
      </c>
      <c r="G1063" s="116" t="str">
        <f>IF(ISNONTEXT(D1063),"",E1063-MAX($F$2:F1062))</f>
        <v/>
      </c>
      <c r="H1063" s="97"/>
      <c r="I1063" s="74" t="str">
        <f ca="1">IF(D1063="N",COUNTIF(INDIRECT(ADDRESS(MATCH(Plages!$D$19,'Planning annuel mixing coater'!$B:$B),4)):D1063,"N"),IF(D1063="N1",COUNTIF($D$9:D1063,"N1"),""))</f>
        <v/>
      </c>
      <c r="J1063" s="96" t="str">
        <f>IF(D1063="","",COUNTA(D1052:D1063)-(COUNTA(D1063:D1063)-1))</f>
        <v/>
      </c>
    </row>
    <row r="1064" spans="1:10" thickBot="1">
      <c r="A1064" s="117"/>
      <c r="B1064" s="70">
        <f t="shared" si="69"/>
        <v>44856</v>
      </c>
      <c r="C1064" s="82" t="str">
        <f t="shared" si="70"/>
        <v>samedi</v>
      </c>
      <c r="D1064" s="87"/>
      <c r="E1064" s="115" t="str">
        <f t="shared" si="71"/>
        <v/>
      </c>
      <c r="F1064" s="115" t="str">
        <f t="shared" si="72"/>
        <v/>
      </c>
      <c r="G1064" s="116" t="str">
        <f>IF(ISNONTEXT(D1064),"",E1064-MAX($F$2:F1063))</f>
        <v/>
      </c>
      <c r="H1064" s="97"/>
      <c r="I1064" s="74" t="str">
        <f ca="1">IF(D1064="N",COUNTIF(INDIRECT(ADDRESS(MATCH(Plages!$D$19,'Planning annuel mixing coater'!$B:$B),4)):D1064,"N"),IF(D1064="N1",COUNTIF($D$9:D1064,"N1"),""))</f>
        <v/>
      </c>
      <c r="J1064" s="96" t="str">
        <f>IF(D1064="","",COUNTA(D1052:D1064)-(COUNTA(D1064:D1064)-1))</f>
        <v/>
      </c>
    </row>
    <row r="1065" spans="1:10" s="77" customFormat="1" thickBot="1">
      <c r="A1065" s="117"/>
      <c r="B1065" s="75">
        <f t="shared" si="69"/>
        <v>44857</v>
      </c>
      <c r="C1065" s="83" t="str">
        <f t="shared" si="70"/>
        <v>dimanche</v>
      </c>
      <c r="D1065" s="88"/>
      <c r="E1065" s="115" t="str">
        <f t="shared" si="71"/>
        <v/>
      </c>
      <c r="F1065" s="115" t="str">
        <f t="shared" si="72"/>
        <v/>
      </c>
      <c r="G1065" s="116" t="str">
        <f>IF(ISNONTEXT(D1065),"",E1065-MAX($F$2:F1064))</f>
        <v/>
      </c>
      <c r="H1065" s="98"/>
      <c r="I1065" s="76" t="str">
        <f ca="1">IF(D1065="N",COUNTIF(INDIRECT(ADDRESS(MATCH(Plages!$D$19,'Planning annuel mixing coater'!$B:$B),4)):D1065,"N"),IF(D1065="N1",COUNTIF($D$9:D1065,"N1"),""))</f>
        <v/>
      </c>
      <c r="J1065" s="99" t="str">
        <f>IF(D1065="","",COUNTA(D1052:D1065)-(COUNTA(D1065:D1065)-1))</f>
        <v/>
      </c>
    </row>
    <row r="1066" spans="1:10" ht="16.5" thickTop="1" thickBot="1">
      <c r="A1066" s="117"/>
      <c r="B1066" s="78">
        <f t="shared" si="69"/>
        <v>44858</v>
      </c>
      <c r="C1066" s="81" t="str">
        <f t="shared" si="70"/>
        <v>lundi</v>
      </c>
      <c r="D1066" s="89"/>
      <c r="E1066" s="115" t="str">
        <f t="shared" si="71"/>
        <v/>
      </c>
      <c r="F1066" s="115" t="str">
        <f t="shared" si="72"/>
        <v/>
      </c>
      <c r="G1066" s="116" t="str">
        <f>IF(ISNONTEXT(D1066),"",E1066-MAX($F$2:F1065))</f>
        <v/>
      </c>
      <c r="H1066" s="100"/>
      <c r="I1066" s="79" t="str">
        <f ca="1">IF(D1066="N",COUNTIF(INDIRECT(ADDRESS(MATCH(Plages!$D$19,'Planning annuel mixing coater'!$B:$B),4)):D1066,"N"),IF(D1066="N1",COUNTIF($D$9:D1066,"N1"),""))</f>
        <v/>
      </c>
      <c r="J1066" s="101" t="str">
        <f>IF(D1066="","",COUNTA(D1066:D1066)-(COUNTA(D1066:D1066)-1))</f>
        <v/>
      </c>
    </row>
    <row r="1067" spans="1:10" thickBot="1">
      <c r="A1067" s="117"/>
      <c r="B1067" s="70">
        <f t="shared" si="69"/>
        <v>44859</v>
      </c>
      <c r="C1067" s="82" t="str">
        <f t="shared" si="70"/>
        <v>mardi</v>
      </c>
      <c r="D1067" s="87"/>
      <c r="E1067" s="115" t="str">
        <f t="shared" si="71"/>
        <v/>
      </c>
      <c r="F1067" s="115" t="str">
        <f t="shared" si="72"/>
        <v/>
      </c>
      <c r="G1067" s="116" t="str">
        <f>IF(ISNONTEXT(D1067),"",E1067-MAX($F$2:F1066))</f>
        <v/>
      </c>
      <c r="H1067" s="97"/>
      <c r="I1067" s="74" t="str">
        <f ca="1">IF(D1067="N",COUNTIF(INDIRECT(ADDRESS(MATCH(Plages!$D$19,'Planning annuel mixing coater'!$B:$B),4)):D1067,"N"),IF(D1067="N1",COUNTIF($D$9:D1067,"N1"),""))</f>
        <v/>
      </c>
      <c r="J1067" s="96" t="str">
        <f>IF(D1067="","",COUNTA(D1066:D1067)-(COUNTA(D1067:D1067)-1))</f>
        <v/>
      </c>
    </row>
    <row r="1068" spans="1:10" thickBot="1">
      <c r="A1068" s="117"/>
      <c r="B1068" s="70">
        <f t="shared" si="69"/>
        <v>44860</v>
      </c>
      <c r="C1068" s="82" t="str">
        <f t="shared" si="70"/>
        <v>mercredi</v>
      </c>
      <c r="D1068" s="87"/>
      <c r="E1068" s="115" t="str">
        <f t="shared" si="71"/>
        <v/>
      </c>
      <c r="F1068" s="115" t="str">
        <f t="shared" si="72"/>
        <v/>
      </c>
      <c r="G1068" s="116" t="str">
        <f>IF(ISNONTEXT(D1068),"",E1068-MAX($F$2:F1067))</f>
        <v/>
      </c>
      <c r="H1068" s="97"/>
      <c r="I1068" s="74" t="str">
        <f ca="1">IF(D1068="N",COUNTIF(INDIRECT(ADDRESS(MATCH(Plages!$D$19,'Planning annuel mixing coater'!$B:$B),4)):D1068,"N"),IF(D1068="N1",COUNTIF($D$9:D1068,"N1"),""))</f>
        <v/>
      </c>
      <c r="J1068" s="96" t="str">
        <f>IF(D1068="","",COUNTA(D1066:D1068)-(COUNTA(D1068:D1068)-1))</f>
        <v/>
      </c>
    </row>
    <row r="1069" spans="1:10" thickBot="1">
      <c r="A1069" s="117"/>
      <c r="B1069" s="70">
        <f t="shared" si="69"/>
        <v>44861</v>
      </c>
      <c r="C1069" s="82" t="str">
        <f t="shared" si="70"/>
        <v>jeudi</v>
      </c>
      <c r="D1069" s="87"/>
      <c r="E1069" s="115" t="str">
        <f t="shared" si="71"/>
        <v/>
      </c>
      <c r="F1069" s="115" t="str">
        <f t="shared" si="72"/>
        <v/>
      </c>
      <c r="G1069" s="116" t="str">
        <f>IF(ISNONTEXT(D1069),"",E1069-MAX($F$2:F1068))</f>
        <v/>
      </c>
      <c r="H1069" s="97"/>
      <c r="I1069" s="74" t="str">
        <f ca="1">IF(D1069="N",COUNTIF(INDIRECT(ADDRESS(MATCH(Plages!$D$19,'Planning annuel mixing coater'!$B:$B),4)):D1069,"N"),IF(D1069="N1",COUNTIF($D$9:D1069,"N1"),""))</f>
        <v/>
      </c>
      <c r="J1069" s="96" t="str">
        <f>IF(D1069="","",COUNTA(D1066:D1069)-(COUNTA(D1069:D1069)-1))</f>
        <v/>
      </c>
    </row>
    <row r="1070" spans="1:10" thickBot="1">
      <c r="A1070" s="117"/>
      <c r="B1070" s="70">
        <f t="shared" si="69"/>
        <v>44862</v>
      </c>
      <c r="C1070" s="82" t="str">
        <f t="shared" si="70"/>
        <v>vendredi</v>
      </c>
      <c r="D1070" s="87"/>
      <c r="E1070" s="115" t="str">
        <f t="shared" si="71"/>
        <v/>
      </c>
      <c r="F1070" s="115" t="str">
        <f t="shared" si="72"/>
        <v/>
      </c>
      <c r="G1070" s="116" t="str">
        <f>IF(ISNONTEXT(D1070),"",E1070-MAX($F$2:F1069))</f>
        <v/>
      </c>
      <c r="H1070" s="97"/>
      <c r="I1070" s="74" t="str">
        <f ca="1">IF(D1070="N",COUNTIF(INDIRECT(ADDRESS(MATCH(Plages!$D$19,'Planning annuel mixing coater'!$B:$B),4)):D1070,"N"),IF(D1070="N1",COUNTIF($D$9:D1070,"N1"),""))</f>
        <v/>
      </c>
      <c r="J1070" s="96" t="str">
        <f>IF(D1070="","",COUNTA(D1066:D1070)-(COUNTA(D1070:D1070)-1))</f>
        <v/>
      </c>
    </row>
    <row r="1071" spans="1:10" thickBot="1">
      <c r="A1071" s="117"/>
      <c r="B1071" s="70">
        <f t="shared" si="69"/>
        <v>44863</v>
      </c>
      <c r="C1071" s="82" t="str">
        <f t="shared" si="70"/>
        <v>samedi</v>
      </c>
      <c r="D1071" s="87"/>
      <c r="E1071" s="115" t="str">
        <f t="shared" si="71"/>
        <v/>
      </c>
      <c r="F1071" s="115" t="str">
        <f t="shared" si="72"/>
        <v/>
      </c>
      <c r="G1071" s="116" t="str">
        <f>IF(ISNONTEXT(D1071),"",E1071-MAX($F$2:F1070))</f>
        <v/>
      </c>
      <c r="H1071" s="97"/>
      <c r="I1071" s="74" t="str">
        <f ca="1">IF(D1071="N",COUNTIF(INDIRECT(ADDRESS(MATCH(Plages!$D$19,'Planning annuel mixing coater'!$B:$B),4)):D1071,"N"),IF(D1071="N1",COUNTIF($D$9:D1071,"N1"),""))</f>
        <v/>
      </c>
      <c r="J1071" s="96" t="str">
        <f>IF(D1071="","",COUNTA(D1066:D1071)-(COUNTA(D1071:D1071)-1))</f>
        <v/>
      </c>
    </row>
    <row r="1072" spans="1:10" thickBot="1">
      <c r="A1072" s="117"/>
      <c r="B1072" s="70">
        <f t="shared" si="69"/>
        <v>44864</v>
      </c>
      <c r="C1072" s="82" t="str">
        <f t="shared" si="70"/>
        <v>dimanche</v>
      </c>
      <c r="D1072" s="87"/>
      <c r="E1072" s="115" t="str">
        <f t="shared" si="71"/>
        <v/>
      </c>
      <c r="F1072" s="115" t="str">
        <f t="shared" si="72"/>
        <v/>
      </c>
      <c r="G1072" s="116" t="str">
        <f>IF(ISNONTEXT(D1072),"",E1072-MAX($F$2:F1071))</f>
        <v/>
      </c>
      <c r="H1072" s="98"/>
      <c r="I1072" s="74" t="str">
        <f ca="1">IF(D1072="N",COUNTIF(INDIRECT(ADDRESS(MATCH(Plages!$D$19,'Planning annuel mixing coater'!$B:$B),4)):D1072,"N"),IF(D1072="N1",COUNTIF($D$9:D1072,"N1"),""))</f>
        <v/>
      </c>
      <c r="J1072" s="96" t="str">
        <f>IF(D1072="","",COUNTA(D1066:D1072)-(COUNTA(D1072:D1072)-1))</f>
        <v/>
      </c>
    </row>
    <row r="1073" spans="1:10" thickBot="1">
      <c r="A1073" s="117"/>
      <c r="B1073" s="70">
        <f t="shared" si="69"/>
        <v>44865</v>
      </c>
      <c r="C1073" s="82" t="str">
        <f t="shared" si="70"/>
        <v>lundi</v>
      </c>
      <c r="D1073" s="87"/>
      <c r="E1073" s="115" t="str">
        <f t="shared" si="71"/>
        <v/>
      </c>
      <c r="F1073" s="115" t="str">
        <f t="shared" si="72"/>
        <v/>
      </c>
      <c r="G1073" s="116" t="str">
        <f>IF(ISNONTEXT(D1073),"",E1073-MAX($F$2:F1072))</f>
        <v/>
      </c>
      <c r="H1073" s="97"/>
      <c r="I1073" s="74" t="str">
        <f ca="1">IF(D1073="N",COUNTIF(INDIRECT(ADDRESS(MATCH(Plages!$D$19,'Planning annuel mixing coater'!$B:$B),4)):D1073,"N"),IF(D1073="N1",COUNTIF($D$9:D1073,"N1"),""))</f>
        <v/>
      </c>
      <c r="J1073" s="96" t="str">
        <f>IF(D1073="","",COUNTA(D1066:D1073)-(COUNTA(D1073:D1073)-1))</f>
        <v/>
      </c>
    </row>
    <row r="1074" spans="1:10" thickBot="1">
      <c r="A1074" s="117"/>
      <c r="B1074" s="70">
        <f t="shared" si="69"/>
        <v>44866</v>
      </c>
      <c r="C1074" s="82" t="str">
        <f t="shared" si="70"/>
        <v>mardi</v>
      </c>
      <c r="D1074" s="87"/>
      <c r="E1074" s="115" t="str">
        <f t="shared" si="71"/>
        <v/>
      </c>
      <c r="F1074" s="115" t="str">
        <f t="shared" si="72"/>
        <v/>
      </c>
      <c r="G1074" s="116" t="str">
        <f>IF(ISNONTEXT(D1074),"",E1074-MAX($F$2:F1073))</f>
        <v/>
      </c>
      <c r="H1074" s="97"/>
      <c r="I1074" s="74" t="str">
        <f ca="1">IF(D1074="N",COUNTIF(INDIRECT(ADDRESS(MATCH(Plages!$D$19,'Planning annuel mixing coater'!$B:$B),4)):D1074,"N"),IF(D1074="N1",COUNTIF($D$9:D1074,"N1"),""))</f>
        <v/>
      </c>
      <c r="J1074" s="96" t="str">
        <f>IF(D1074="","",COUNTA(D1066:D1074)-(COUNTA(D1074:D1074)-1))</f>
        <v/>
      </c>
    </row>
    <row r="1075" spans="1:10" thickBot="1">
      <c r="A1075" s="117"/>
      <c r="B1075" s="70">
        <f t="shared" si="69"/>
        <v>44867</v>
      </c>
      <c r="C1075" s="82" t="str">
        <f t="shared" si="70"/>
        <v>mercredi</v>
      </c>
      <c r="D1075" s="87"/>
      <c r="E1075" s="115" t="str">
        <f t="shared" si="71"/>
        <v/>
      </c>
      <c r="F1075" s="115" t="str">
        <f t="shared" si="72"/>
        <v/>
      </c>
      <c r="G1075" s="116" t="str">
        <f>IF(ISNONTEXT(D1075),"",E1075-MAX($F$2:F1074))</f>
        <v/>
      </c>
      <c r="H1075" s="97"/>
      <c r="I1075" s="74" t="str">
        <f ca="1">IF(D1075="N",COUNTIF(INDIRECT(ADDRESS(MATCH(Plages!$D$19,'Planning annuel mixing coater'!$B:$B),4)):D1075,"N"),IF(D1075="N1",COUNTIF($D$9:D1075,"N1"),""))</f>
        <v/>
      </c>
      <c r="J1075" s="96" t="str">
        <f>IF(D1075="","",COUNTA(D1066:D1075)-(COUNTA(D1075:D1075)-1))</f>
        <v/>
      </c>
    </row>
    <row r="1076" spans="1:10" thickBot="1">
      <c r="A1076" s="117"/>
      <c r="B1076" s="70">
        <f t="shared" si="69"/>
        <v>44868</v>
      </c>
      <c r="C1076" s="82" t="str">
        <f t="shared" si="70"/>
        <v>jeudi</v>
      </c>
      <c r="D1076" s="87"/>
      <c r="E1076" s="115" t="str">
        <f t="shared" si="71"/>
        <v/>
      </c>
      <c r="F1076" s="115" t="str">
        <f t="shared" si="72"/>
        <v/>
      </c>
      <c r="G1076" s="116" t="str">
        <f>IF(ISNONTEXT(D1076),"",E1076-MAX($F$2:F1075))</f>
        <v/>
      </c>
      <c r="H1076" s="97"/>
      <c r="I1076" s="74" t="str">
        <f ca="1">IF(D1076="N",COUNTIF(INDIRECT(ADDRESS(MATCH(Plages!$D$19,'Planning annuel mixing coater'!$B:$B),4)):D1076,"N"),IF(D1076="N1",COUNTIF($D$9:D1076,"N1"),""))</f>
        <v/>
      </c>
      <c r="J1076" s="96" t="str">
        <f>IF(D1076="","",COUNTA(D1066:D1076)-(COUNTA(D1076:D1076)-1))</f>
        <v/>
      </c>
    </row>
    <row r="1077" spans="1:10" thickBot="1">
      <c r="A1077" s="117"/>
      <c r="B1077" s="70">
        <f t="shared" si="69"/>
        <v>44869</v>
      </c>
      <c r="C1077" s="82" t="str">
        <f t="shared" si="70"/>
        <v>vendredi</v>
      </c>
      <c r="D1077" s="87"/>
      <c r="E1077" s="115" t="str">
        <f t="shared" si="71"/>
        <v/>
      </c>
      <c r="F1077" s="115" t="str">
        <f t="shared" si="72"/>
        <v/>
      </c>
      <c r="G1077" s="116" t="str">
        <f>IF(ISNONTEXT(D1077),"",E1077-MAX($F$2:F1076))</f>
        <v/>
      </c>
      <c r="H1077" s="97"/>
      <c r="I1077" s="74" t="str">
        <f ca="1">IF(D1077="N",COUNTIF(INDIRECT(ADDRESS(MATCH(Plages!$D$19,'Planning annuel mixing coater'!$B:$B),4)):D1077,"N"),IF(D1077="N1",COUNTIF($D$9:D1077,"N1"),""))</f>
        <v/>
      </c>
      <c r="J1077" s="96" t="str">
        <f>IF(D1077="","",COUNTA(D1066:D1077)-(COUNTA(D1077:D1077)-1))</f>
        <v/>
      </c>
    </row>
    <row r="1078" spans="1:10" thickBot="1">
      <c r="A1078" s="117"/>
      <c r="B1078" s="70">
        <f t="shared" si="69"/>
        <v>44870</v>
      </c>
      <c r="C1078" s="82" t="str">
        <f t="shared" si="70"/>
        <v>samedi</v>
      </c>
      <c r="D1078" s="87"/>
      <c r="E1078" s="115" t="str">
        <f t="shared" si="71"/>
        <v/>
      </c>
      <c r="F1078" s="115" t="str">
        <f t="shared" si="72"/>
        <v/>
      </c>
      <c r="G1078" s="116" t="str">
        <f>IF(ISNONTEXT(D1078),"",E1078-MAX($F$2:F1077))</f>
        <v/>
      </c>
      <c r="H1078" s="97"/>
      <c r="I1078" s="74" t="str">
        <f ca="1">IF(D1078="N",COUNTIF(INDIRECT(ADDRESS(MATCH(Plages!$D$19,'Planning annuel mixing coater'!$B:$B),4)):D1078,"N"),IF(D1078="N1",COUNTIF($D$9:D1078,"N1"),""))</f>
        <v/>
      </c>
      <c r="J1078" s="96" t="str">
        <f>IF(D1078="","",COUNTA(D1066:D1078)-(COUNTA(D1078:D1078)-1))</f>
        <v/>
      </c>
    </row>
    <row r="1079" spans="1:10" s="77" customFormat="1" thickBot="1">
      <c r="A1079" s="117"/>
      <c r="B1079" s="75">
        <f t="shared" si="69"/>
        <v>44871</v>
      </c>
      <c r="C1079" s="83" t="str">
        <f t="shared" si="70"/>
        <v>dimanche</v>
      </c>
      <c r="D1079" s="88"/>
      <c r="E1079" s="115" t="str">
        <f t="shared" si="71"/>
        <v/>
      </c>
      <c r="F1079" s="115" t="str">
        <f t="shared" si="72"/>
        <v/>
      </c>
      <c r="G1079" s="116" t="str">
        <f>IF(ISNONTEXT(D1079),"",E1079-MAX($F$2:F1078))</f>
        <v/>
      </c>
      <c r="H1079" s="98"/>
      <c r="I1079" s="76" t="str">
        <f ca="1">IF(D1079="N",COUNTIF(INDIRECT(ADDRESS(MATCH(Plages!$D$19,'Planning annuel mixing coater'!$B:$B),4)):D1079,"N"),IF(D1079="N1",COUNTIF($D$9:D1079,"N1"),""))</f>
        <v/>
      </c>
      <c r="J1079" s="99" t="str">
        <f>IF(D1079="","",COUNTA(D1066:D1079)-(COUNTA(D1079:D1079)-1))</f>
        <v/>
      </c>
    </row>
    <row r="1080" spans="1:10" ht="16.5" thickTop="1" thickBot="1">
      <c r="A1080" s="117"/>
      <c r="B1080" s="78">
        <f t="shared" si="69"/>
        <v>44872</v>
      </c>
      <c r="C1080" s="81" t="str">
        <f t="shared" si="70"/>
        <v>lundi</v>
      </c>
      <c r="D1080" s="89"/>
      <c r="E1080" s="115" t="str">
        <f t="shared" si="71"/>
        <v/>
      </c>
      <c r="F1080" s="115" t="str">
        <f t="shared" si="72"/>
        <v/>
      </c>
      <c r="G1080" s="116" t="str">
        <f>IF(ISNONTEXT(D1080),"",E1080-MAX($F$2:F1079))</f>
        <v/>
      </c>
      <c r="H1080" s="100"/>
      <c r="I1080" s="79" t="str">
        <f ca="1">IF(D1080="N",COUNTIF(INDIRECT(ADDRESS(MATCH(Plages!$D$19,'Planning annuel mixing coater'!$B:$B),4)):D1080,"N"),IF(D1080="N1",COUNTIF($D$9:D1080,"N1"),""))</f>
        <v/>
      </c>
      <c r="J1080" s="101" t="str">
        <f>IF(D1080="","",COUNTA(D1080:D1080)-(COUNTA(D1080:D1080)-1))</f>
        <v/>
      </c>
    </row>
    <row r="1081" spans="1:10" thickBot="1">
      <c r="A1081" s="117"/>
      <c r="B1081" s="70">
        <f t="shared" si="69"/>
        <v>44873</v>
      </c>
      <c r="C1081" s="82" t="str">
        <f t="shared" si="70"/>
        <v>mardi</v>
      </c>
      <c r="D1081" s="87"/>
      <c r="E1081" s="115" t="str">
        <f t="shared" si="71"/>
        <v/>
      </c>
      <c r="F1081" s="115" t="str">
        <f t="shared" si="72"/>
        <v/>
      </c>
      <c r="G1081" s="116" t="str">
        <f>IF(ISNONTEXT(D1081),"",E1081-MAX($F$2:F1080))</f>
        <v/>
      </c>
      <c r="H1081" s="97"/>
      <c r="I1081" s="74" t="str">
        <f ca="1">IF(D1081="N",COUNTIF(INDIRECT(ADDRESS(MATCH(Plages!$D$19,'Planning annuel mixing coater'!$B:$B),4)):D1081,"N"),IF(D1081="N1",COUNTIF($D$9:D1081,"N1"),""))</f>
        <v/>
      </c>
      <c r="J1081" s="96" t="str">
        <f>IF(D1081="","",COUNTA(D1080:D1081)-(COUNTA(D1081:D1081)-1))</f>
        <v/>
      </c>
    </row>
    <row r="1082" spans="1:10" thickBot="1">
      <c r="A1082" s="117"/>
      <c r="B1082" s="70">
        <f t="shared" si="69"/>
        <v>44874</v>
      </c>
      <c r="C1082" s="82" t="str">
        <f t="shared" si="70"/>
        <v>mercredi</v>
      </c>
      <c r="D1082" s="87"/>
      <c r="E1082" s="115" t="str">
        <f t="shared" si="71"/>
        <v/>
      </c>
      <c r="F1082" s="115" t="str">
        <f t="shared" si="72"/>
        <v/>
      </c>
      <c r="G1082" s="116" t="str">
        <f>IF(ISNONTEXT(D1082),"",E1082-MAX($F$2:F1081))</f>
        <v/>
      </c>
      <c r="H1082" s="97"/>
      <c r="I1082" s="74" t="str">
        <f ca="1">IF(D1082="N",COUNTIF(INDIRECT(ADDRESS(MATCH(Plages!$D$19,'Planning annuel mixing coater'!$B:$B),4)):D1082,"N"),IF(D1082="N1",COUNTIF($D$9:D1082,"N1"),""))</f>
        <v/>
      </c>
      <c r="J1082" s="96" t="str">
        <f>IF(D1082="","",COUNTA(D1080:D1082)-(COUNTA(D1082:D1082)-1))</f>
        <v/>
      </c>
    </row>
    <row r="1083" spans="1:10" thickBot="1">
      <c r="A1083" s="117"/>
      <c r="B1083" s="70">
        <f t="shared" si="69"/>
        <v>44875</v>
      </c>
      <c r="C1083" s="82" t="str">
        <f t="shared" si="70"/>
        <v>jeudi</v>
      </c>
      <c r="D1083" s="87"/>
      <c r="E1083" s="115" t="str">
        <f t="shared" si="71"/>
        <v/>
      </c>
      <c r="F1083" s="115" t="str">
        <f t="shared" si="72"/>
        <v/>
      </c>
      <c r="G1083" s="116" t="str">
        <f>IF(ISNONTEXT(D1083),"",E1083-MAX($F$2:F1082))</f>
        <v/>
      </c>
      <c r="H1083" s="97"/>
      <c r="I1083" s="74" t="str">
        <f ca="1">IF(D1083="N",COUNTIF(INDIRECT(ADDRESS(MATCH(Plages!$D$19,'Planning annuel mixing coater'!$B:$B),4)):D1083,"N"),IF(D1083="N1",COUNTIF($D$9:D1083,"N1"),""))</f>
        <v/>
      </c>
      <c r="J1083" s="96" t="str">
        <f>IF(D1083="","",COUNTA(D1080:D1083)-(COUNTA(D1083:D1083)-1))</f>
        <v/>
      </c>
    </row>
    <row r="1084" spans="1:10" thickBot="1">
      <c r="A1084" s="117"/>
      <c r="B1084" s="70">
        <f t="shared" si="69"/>
        <v>44876</v>
      </c>
      <c r="C1084" s="82" t="str">
        <f t="shared" si="70"/>
        <v>vendredi</v>
      </c>
      <c r="D1084" s="87"/>
      <c r="E1084" s="115" t="str">
        <f t="shared" si="71"/>
        <v/>
      </c>
      <c r="F1084" s="115" t="str">
        <f t="shared" si="72"/>
        <v/>
      </c>
      <c r="G1084" s="116" t="str">
        <f>IF(ISNONTEXT(D1084),"",E1084-MAX($F$2:F1083))</f>
        <v/>
      </c>
      <c r="H1084" s="97"/>
      <c r="I1084" s="74" t="str">
        <f ca="1">IF(D1084="N",COUNTIF(INDIRECT(ADDRESS(MATCH(Plages!$D$19,'Planning annuel mixing coater'!$B:$B),4)):D1084,"N"),IF(D1084="N1",COUNTIF($D$9:D1084,"N1"),""))</f>
        <v/>
      </c>
      <c r="J1084" s="96" t="str">
        <f>IF(D1084="","",COUNTA(D1080:D1084)-(COUNTA(D1084:D1084)-1))</f>
        <v/>
      </c>
    </row>
    <row r="1085" spans="1:10" thickBot="1">
      <c r="A1085" s="117"/>
      <c r="B1085" s="70">
        <f t="shared" si="69"/>
        <v>44877</v>
      </c>
      <c r="C1085" s="82" t="str">
        <f t="shared" si="70"/>
        <v>samedi</v>
      </c>
      <c r="D1085" s="87"/>
      <c r="E1085" s="115" t="str">
        <f t="shared" si="71"/>
        <v/>
      </c>
      <c r="F1085" s="115" t="str">
        <f t="shared" si="72"/>
        <v/>
      </c>
      <c r="G1085" s="116" t="str">
        <f>IF(ISNONTEXT(D1085),"",E1085-MAX($F$2:F1084))</f>
        <v/>
      </c>
      <c r="H1085" s="97"/>
      <c r="I1085" s="74" t="str">
        <f ca="1">IF(D1085="N",COUNTIF(INDIRECT(ADDRESS(MATCH(Plages!$D$19,'Planning annuel mixing coater'!$B:$B),4)):D1085,"N"),IF(D1085="N1",COUNTIF($D$9:D1085,"N1"),""))</f>
        <v/>
      </c>
      <c r="J1085" s="96" t="str">
        <f>IF(D1085="","",COUNTA(D1080:D1085)-(COUNTA(D1085:D1085)-1))</f>
        <v/>
      </c>
    </row>
    <row r="1086" spans="1:10" thickBot="1">
      <c r="A1086" s="117"/>
      <c r="B1086" s="70">
        <f t="shared" si="69"/>
        <v>44878</v>
      </c>
      <c r="C1086" s="82" t="str">
        <f t="shared" si="70"/>
        <v>dimanche</v>
      </c>
      <c r="D1086" s="87"/>
      <c r="E1086" s="115" t="str">
        <f t="shared" si="71"/>
        <v/>
      </c>
      <c r="F1086" s="115" t="str">
        <f t="shared" si="72"/>
        <v/>
      </c>
      <c r="G1086" s="116" t="str">
        <f>IF(ISNONTEXT(D1086),"",E1086-MAX($F$2:F1085))</f>
        <v/>
      </c>
      <c r="H1086" s="98"/>
      <c r="I1086" s="74" t="str">
        <f ca="1">IF(D1086="N",COUNTIF(INDIRECT(ADDRESS(MATCH(Plages!$D$19,'Planning annuel mixing coater'!$B:$B),4)):D1086,"N"),IF(D1086="N1",COUNTIF($D$9:D1086,"N1"),""))</f>
        <v/>
      </c>
      <c r="J1086" s="96" t="str">
        <f>IF(D1086="","",COUNTA(D1080:D1086)-(COUNTA(D1086:D1086)-1))</f>
        <v/>
      </c>
    </row>
    <row r="1087" spans="1:10" thickBot="1">
      <c r="A1087" s="117"/>
      <c r="B1087" s="70">
        <f t="shared" si="69"/>
        <v>44879</v>
      </c>
      <c r="C1087" s="82" t="str">
        <f t="shared" si="70"/>
        <v>lundi</v>
      </c>
      <c r="D1087" s="87"/>
      <c r="E1087" s="115" t="str">
        <f t="shared" si="71"/>
        <v/>
      </c>
      <c r="F1087" s="115" t="str">
        <f t="shared" si="72"/>
        <v/>
      </c>
      <c r="G1087" s="116" t="str">
        <f>IF(ISNONTEXT(D1087),"",E1087-MAX($F$2:F1086))</f>
        <v/>
      </c>
      <c r="H1087" s="97"/>
      <c r="I1087" s="74" t="str">
        <f ca="1">IF(D1087="N",COUNTIF(INDIRECT(ADDRESS(MATCH(Plages!$D$19,'Planning annuel mixing coater'!$B:$B),4)):D1087,"N"),IF(D1087="N1",COUNTIF($D$9:D1087,"N1"),""))</f>
        <v/>
      </c>
      <c r="J1087" s="96" t="str">
        <f>IF(D1087="","",COUNTA(D1080:D1087)-(COUNTA(D1087:D1087)-1))</f>
        <v/>
      </c>
    </row>
    <row r="1088" spans="1:10" thickBot="1">
      <c r="A1088" s="117"/>
      <c r="B1088" s="70">
        <f t="shared" si="69"/>
        <v>44880</v>
      </c>
      <c r="C1088" s="82" t="str">
        <f t="shared" si="70"/>
        <v>mardi</v>
      </c>
      <c r="D1088" s="87"/>
      <c r="E1088" s="115" t="str">
        <f t="shared" si="71"/>
        <v/>
      </c>
      <c r="F1088" s="115" t="str">
        <f t="shared" si="72"/>
        <v/>
      </c>
      <c r="G1088" s="116" t="str">
        <f>IF(ISNONTEXT(D1088),"",E1088-MAX($F$2:F1087))</f>
        <v/>
      </c>
      <c r="H1088" s="97"/>
      <c r="I1088" s="74" t="str">
        <f ca="1">IF(D1088="N",COUNTIF(INDIRECT(ADDRESS(MATCH(Plages!$D$19,'Planning annuel mixing coater'!$B:$B),4)):D1088,"N"),IF(D1088="N1",COUNTIF($D$9:D1088,"N1"),""))</f>
        <v/>
      </c>
      <c r="J1088" s="96" t="str">
        <f>IF(D1088="","",COUNTA(D1080:D1088)-(COUNTA(D1088:D1088)-1))</f>
        <v/>
      </c>
    </row>
    <row r="1089" spans="1:10" thickBot="1">
      <c r="A1089" s="117"/>
      <c r="B1089" s="70">
        <f t="shared" si="69"/>
        <v>44881</v>
      </c>
      <c r="C1089" s="82" t="str">
        <f t="shared" si="70"/>
        <v>mercredi</v>
      </c>
      <c r="D1089" s="87"/>
      <c r="E1089" s="115" t="str">
        <f t="shared" si="71"/>
        <v/>
      </c>
      <c r="F1089" s="115" t="str">
        <f t="shared" si="72"/>
        <v/>
      </c>
      <c r="G1089" s="116" t="str">
        <f>IF(ISNONTEXT(D1089),"",E1089-MAX($F$2:F1088))</f>
        <v/>
      </c>
      <c r="H1089" s="97"/>
      <c r="I1089" s="74" t="str">
        <f ca="1">IF(D1089="N",COUNTIF(INDIRECT(ADDRESS(MATCH(Plages!$D$19,'Planning annuel mixing coater'!$B:$B),4)):D1089,"N"),IF(D1089="N1",COUNTIF($D$9:D1089,"N1"),""))</f>
        <v/>
      </c>
      <c r="J1089" s="96" t="str">
        <f>IF(D1089="","",COUNTA(D1080:D1089)-(COUNTA(D1089:D1089)-1))</f>
        <v/>
      </c>
    </row>
    <row r="1090" spans="1:10" thickBot="1">
      <c r="A1090" s="117"/>
      <c r="B1090" s="70">
        <f t="shared" si="69"/>
        <v>44882</v>
      </c>
      <c r="C1090" s="82" t="str">
        <f t="shared" si="70"/>
        <v>jeudi</v>
      </c>
      <c r="D1090" s="87"/>
      <c r="E1090" s="115" t="str">
        <f t="shared" si="71"/>
        <v/>
      </c>
      <c r="F1090" s="115" t="str">
        <f t="shared" si="72"/>
        <v/>
      </c>
      <c r="G1090" s="116" t="str">
        <f>IF(ISNONTEXT(D1090),"",E1090-MAX($F$2:F1089))</f>
        <v/>
      </c>
      <c r="H1090" s="97"/>
      <c r="I1090" s="74" t="str">
        <f ca="1">IF(D1090="N",COUNTIF(INDIRECT(ADDRESS(MATCH(Plages!$D$19,'Planning annuel mixing coater'!$B:$B),4)):D1090,"N"),IF(D1090="N1",COUNTIF($D$9:D1090,"N1"),""))</f>
        <v/>
      </c>
      <c r="J1090" s="96" t="str">
        <f>IF(D1090="","",COUNTA(D1080:D1090)-(COUNTA(D1090:D1090)-1))</f>
        <v/>
      </c>
    </row>
    <row r="1091" spans="1:10" thickBot="1">
      <c r="A1091" s="117"/>
      <c r="B1091" s="70">
        <f t="shared" si="69"/>
        <v>44883</v>
      </c>
      <c r="C1091" s="82" t="str">
        <f t="shared" si="70"/>
        <v>vendredi</v>
      </c>
      <c r="D1091" s="87"/>
      <c r="E1091" s="115" t="str">
        <f t="shared" si="71"/>
        <v/>
      </c>
      <c r="F1091" s="115" t="str">
        <f t="shared" si="72"/>
        <v/>
      </c>
      <c r="G1091" s="116" t="str">
        <f>IF(ISNONTEXT(D1091),"",E1091-MAX($F$2:F1090))</f>
        <v/>
      </c>
      <c r="H1091" s="97"/>
      <c r="I1091" s="74" t="str">
        <f ca="1">IF(D1091="N",COUNTIF(INDIRECT(ADDRESS(MATCH(Plages!$D$19,'Planning annuel mixing coater'!$B:$B),4)):D1091,"N"),IF(D1091="N1",COUNTIF($D$9:D1091,"N1"),""))</f>
        <v/>
      </c>
      <c r="J1091" s="96" t="str">
        <f>IF(D1091="","",COUNTA(D1080:D1091)-(COUNTA(D1091:D1091)-1))</f>
        <v/>
      </c>
    </row>
    <row r="1092" spans="1:10" thickBot="1">
      <c r="A1092" s="117"/>
      <c r="B1092" s="70">
        <f t="shared" ref="B1092:B1155" si="73">IF(B1091="","",B1091+1)</f>
        <v>44884</v>
      </c>
      <c r="C1092" s="82" t="str">
        <f t="shared" si="70"/>
        <v>samedi</v>
      </c>
      <c r="D1092" s="87"/>
      <c r="E1092" s="115" t="str">
        <f t="shared" si="71"/>
        <v/>
      </c>
      <c r="F1092" s="115" t="str">
        <f t="shared" si="72"/>
        <v/>
      </c>
      <c r="G1092" s="116" t="str">
        <f>IF(ISNONTEXT(D1092),"",E1092-MAX($F$2:F1091))</f>
        <v/>
      </c>
      <c r="H1092" s="97"/>
      <c r="I1092" s="74" t="str">
        <f ca="1">IF(D1092="N",COUNTIF(INDIRECT(ADDRESS(MATCH(Plages!$D$19,'Planning annuel mixing coater'!$B:$B),4)):D1092,"N"),IF(D1092="N1",COUNTIF($D$9:D1092,"N1"),""))</f>
        <v/>
      </c>
      <c r="J1092" s="96" t="str">
        <f>IF(D1092="","",COUNTA(D1080:D1092)-(COUNTA(D1092:D1092)-1))</f>
        <v/>
      </c>
    </row>
    <row r="1093" spans="1:10" s="77" customFormat="1" thickBot="1">
      <c r="A1093" s="117"/>
      <c r="B1093" s="75">
        <f t="shared" si="73"/>
        <v>44885</v>
      </c>
      <c r="C1093" s="83" t="str">
        <f t="shared" si="70"/>
        <v>dimanche</v>
      </c>
      <c r="D1093" s="88"/>
      <c r="E1093" s="115" t="str">
        <f t="shared" si="71"/>
        <v/>
      </c>
      <c r="F1093" s="115" t="str">
        <f t="shared" si="72"/>
        <v/>
      </c>
      <c r="G1093" s="116" t="str">
        <f>IF(ISNONTEXT(D1093),"",E1093-MAX($F$2:F1092))</f>
        <v/>
      </c>
      <c r="H1093" s="98"/>
      <c r="I1093" s="76" t="str">
        <f ca="1">IF(D1093="N",COUNTIF(INDIRECT(ADDRESS(MATCH(Plages!$D$19,'Planning annuel mixing coater'!$B:$B),4)):D1093,"N"),IF(D1093="N1",COUNTIF($D$9:D1093,"N1"),""))</f>
        <v/>
      </c>
      <c r="J1093" s="99" t="str">
        <f>IF(D1093="","",COUNTA(D1080:D1093)-(COUNTA(D1093:D1093)-1))</f>
        <v/>
      </c>
    </row>
    <row r="1094" spans="1:10" ht="16.5" thickTop="1" thickBot="1">
      <c r="A1094" s="117"/>
      <c r="B1094" s="78">
        <f t="shared" si="73"/>
        <v>44886</v>
      </c>
      <c r="C1094" s="81" t="str">
        <f t="shared" si="70"/>
        <v>lundi</v>
      </c>
      <c r="D1094" s="89"/>
      <c r="E1094" s="115" t="str">
        <f t="shared" si="71"/>
        <v/>
      </c>
      <c r="F1094" s="115" t="str">
        <f t="shared" si="72"/>
        <v/>
      </c>
      <c r="G1094" s="116" t="str">
        <f>IF(ISNONTEXT(D1094),"",E1094-MAX($F$2:F1093))</f>
        <v/>
      </c>
      <c r="H1094" s="100"/>
      <c r="I1094" s="79" t="str">
        <f ca="1">IF(D1094="N",COUNTIF(INDIRECT(ADDRESS(MATCH(Plages!$D$19,'Planning annuel mixing coater'!$B:$B),4)):D1094,"N"),IF(D1094="N1",COUNTIF($D$9:D1094,"N1"),""))</f>
        <v/>
      </c>
      <c r="J1094" s="101" t="str">
        <f>IF(D1094="","",COUNTA(D1094:D1094)-(COUNTA(D1094:D1094)-1))</f>
        <v/>
      </c>
    </row>
    <row r="1095" spans="1:10" thickBot="1">
      <c r="A1095" s="117"/>
      <c r="B1095" s="70">
        <f t="shared" si="73"/>
        <v>44887</v>
      </c>
      <c r="C1095" s="82" t="str">
        <f t="shared" si="70"/>
        <v>mardi</v>
      </c>
      <c r="D1095" s="87"/>
      <c r="E1095" s="115" t="str">
        <f t="shared" si="71"/>
        <v/>
      </c>
      <c r="F1095" s="115" t="str">
        <f t="shared" si="72"/>
        <v/>
      </c>
      <c r="G1095" s="116" t="str">
        <f>IF(ISNONTEXT(D1095),"",E1095-MAX($F$2:F1094))</f>
        <v/>
      </c>
      <c r="H1095" s="97"/>
      <c r="I1095" s="74" t="str">
        <f ca="1">IF(D1095="N",COUNTIF(INDIRECT(ADDRESS(MATCH(Plages!$D$19,'Planning annuel mixing coater'!$B:$B),4)):D1095,"N"),IF(D1095="N1",COUNTIF($D$9:D1095,"N1"),""))</f>
        <v/>
      </c>
      <c r="J1095" s="96" t="str">
        <f>IF(D1095="","",COUNTA(D1094:D1095)-(COUNTA(D1095:D1095)-1))</f>
        <v/>
      </c>
    </row>
    <row r="1096" spans="1:10" thickBot="1">
      <c r="A1096" s="117"/>
      <c r="B1096" s="70">
        <f t="shared" si="73"/>
        <v>44888</v>
      </c>
      <c r="C1096" s="82" t="str">
        <f t="shared" si="70"/>
        <v>mercredi</v>
      </c>
      <c r="D1096" s="87"/>
      <c r="E1096" s="115" t="str">
        <f t="shared" si="71"/>
        <v/>
      </c>
      <c r="F1096" s="115" t="str">
        <f t="shared" si="72"/>
        <v/>
      </c>
      <c r="G1096" s="116" t="str">
        <f>IF(ISNONTEXT(D1096),"",E1096-MAX($F$2:F1095))</f>
        <v/>
      </c>
      <c r="H1096" s="97"/>
      <c r="I1096" s="74" t="str">
        <f ca="1">IF(D1096="N",COUNTIF(INDIRECT(ADDRESS(MATCH(Plages!$D$19,'Planning annuel mixing coater'!$B:$B),4)):D1096,"N"),IF(D1096="N1",COUNTIF($D$9:D1096,"N1"),""))</f>
        <v/>
      </c>
      <c r="J1096" s="96" t="str">
        <f>IF(D1096="","",COUNTA(D1094:D1096)-(COUNTA(D1096:D1096)-1))</f>
        <v/>
      </c>
    </row>
    <row r="1097" spans="1:10" thickBot="1">
      <c r="A1097" s="117"/>
      <c r="B1097" s="70">
        <f t="shared" si="73"/>
        <v>44889</v>
      </c>
      <c r="C1097" s="82" t="str">
        <f t="shared" si="70"/>
        <v>jeudi</v>
      </c>
      <c r="D1097" s="87"/>
      <c r="E1097" s="115" t="str">
        <f t="shared" si="71"/>
        <v/>
      </c>
      <c r="F1097" s="115" t="str">
        <f t="shared" si="72"/>
        <v/>
      </c>
      <c r="G1097" s="116" t="str">
        <f>IF(ISNONTEXT(D1097),"",E1097-MAX($F$2:F1096))</f>
        <v/>
      </c>
      <c r="H1097" s="97"/>
      <c r="I1097" s="74" t="str">
        <f ca="1">IF(D1097="N",COUNTIF(INDIRECT(ADDRESS(MATCH(Plages!$D$19,'Planning annuel mixing coater'!$B:$B),4)):D1097,"N"),IF(D1097="N1",COUNTIF($D$9:D1097,"N1"),""))</f>
        <v/>
      </c>
      <c r="J1097" s="96" t="str">
        <f>IF(D1097="","",COUNTA(D1094:D1097)-(COUNTA(D1097:D1097)-1))</f>
        <v/>
      </c>
    </row>
    <row r="1098" spans="1:10" thickBot="1">
      <c r="A1098" s="117"/>
      <c r="B1098" s="70">
        <f t="shared" si="73"/>
        <v>44890</v>
      </c>
      <c r="C1098" s="82" t="str">
        <f t="shared" si="70"/>
        <v>vendredi</v>
      </c>
      <c r="D1098" s="87"/>
      <c r="E1098" s="115" t="str">
        <f t="shared" si="71"/>
        <v/>
      </c>
      <c r="F1098" s="115" t="str">
        <f t="shared" si="72"/>
        <v/>
      </c>
      <c r="G1098" s="116" t="str">
        <f>IF(ISNONTEXT(D1098),"",E1098-MAX($F$2:F1097))</f>
        <v/>
      </c>
      <c r="H1098" s="97"/>
      <c r="I1098" s="74" t="str">
        <f ca="1">IF(D1098="N",COUNTIF(INDIRECT(ADDRESS(MATCH(Plages!$D$19,'Planning annuel mixing coater'!$B:$B),4)):D1098,"N"),IF(D1098="N1",COUNTIF($D$9:D1098,"N1"),""))</f>
        <v/>
      </c>
      <c r="J1098" s="96" t="str">
        <f>IF(D1098="","",COUNTA(D1094:D1098)-(COUNTA(D1098:D1098)-1))</f>
        <v/>
      </c>
    </row>
    <row r="1099" spans="1:10" thickBot="1">
      <c r="A1099" s="117"/>
      <c r="B1099" s="70">
        <f t="shared" si="73"/>
        <v>44891</v>
      </c>
      <c r="C1099" s="82" t="str">
        <f t="shared" si="70"/>
        <v>samedi</v>
      </c>
      <c r="D1099" s="87"/>
      <c r="E1099" s="115" t="str">
        <f t="shared" si="71"/>
        <v/>
      </c>
      <c r="F1099" s="115" t="str">
        <f t="shared" si="72"/>
        <v/>
      </c>
      <c r="G1099" s="116" t="str">
        <f>IF(ISNONTEXT(D1099),"",E1099-MAX($F$2:F1098))</f>
        <v/>
      </c>
      <c r="H1099" s="97"/>
      <c r="I1099" s="74" t="str">
        <f ca="1">IF(D1099="N",COUNTIF(INDIRECT(ADDRESS(MATCH(Plages!$D$19,'Planning annuel mixing coater'!$B:$B),4)):D1099,"N"),IF(D1099="N1",COUNTIF($D$9:D1099,"N1"),""))</f>
        <v/>
      </c>
      <c r="J1099" s="96" t="str">
        <f>IF(D1099="","",COUNTA(D1094:D1099)-(COUNTA(D1099:D1099)-1))</f>
        <v/>
      </c>
    </row>
    <row r="1100" spans="1:10" thickBot="1">
      <c r="A1100" s="117"/>
      <c r="B1100" s="70">
        <f t="shared" si="73"/>
        <v>44892</v>
      </c>
      <c r="C1100" s="82" t="str">
        <f t="shared" si="70"/>
        <v>dimanche</v>
      </c>
      <c r="D1100" s="87"/>
      <c r="E1100" s="115" t="str">
        <f t="shared" si="71"/>
        <v/>
      </c>
      <c r="F1100" s="115" t="str">
        <f t="shared" si="72"/>
        <v/>
      </c>
      <c r="G1100" s="116" t="str">
        <f>IF(ISNONTEXT(D1100),"",E1100-MAX($F$2:F1099))</f>
        <v/>
      </c>
      <c r="H1100" s="98"/>
      <c r="I1100" s="74" t="str">
        <f ca="1">IF(D1100="N",COUNTIF(INDIRECT(ADDRESS(MATCH(Plages!$D$19,'Planning annuel mixing coater'!$B:$B),4)):D1100,"N"),IF(D1100="N1",COUNTIF($D$9:D1100,"N1"),""))</f>
        <v/>
      </c>
      <c r="J1100" s="96" t="str">
        <f>IF(D1100="","",COUNTA(D1094:D1100)-(COUNTA(D1100:D1100)-1))</f>
        <v/>
      </c>
    </row>
    <row r="1101" spans="1:10" thickBot="1">
      <c r="A1101" s="117"/>
      <c r="B1101" s="70">
        <f t="shared" si="73"/>
        <v>44893</v>
      </c>
      <c r="C1101" s="82" t="str">
        <f t="shared" si="70"/>
        <v>lundi</v>
      </c>
      <c r="D1101" s="87"/>
      <c r="E1101" s="115" t="str">
        <f t="shared" si="71"/>
        <v/>
      </c>
      <c r="F1101" s="115" t="str">
        <f t="shared" si="72"/>
        <v/>
      </c>
      <c r="G1101" s="116" t="str">
        <f>IF(ISNONTEXT(D1101),"",E1101-MAX($F$2:F1100))</f>
        <v/>
      </c>
      <c r="H1101" s="97"/>
      <c r="I1101" s="74" t="str">
        <f ca="1">IF(D1101="N",COUNTIF(INDIRECT(ADDRESS(MATCH(Plages!$D$19,'Planning annuel mixing coater'!$B:$B),4)):D1101,"N"),IF(D1101="N1",COUNTIF($D$9:D1101,"N1"),""))</f>
        <v/>
      </c>
      <c r="J1101" s="96" t="str">
        <f>IF(D1101="","",COUNTA(D1094:D1101)-(COUNTA(D1101:D1101)-1))</f>
        <v/>
      </c>
    </row>
    <row r="1102" spans="1:10" thickBot="1">
      <c r="A1102" s="117"/>
      <c r="B1102" s="70">
        <f t="shared" si="73"/>
        <v>44894</v>
      </c>
      <c r="C1102" s="82" t="str">
        <f t="shared" si="70"/>
        <v>mardi</v>
      </c>
      <c r="D1102" s="87"/>
      <c r="E1102" s="115" t="str">
        <f t="shared" si="71"/>
        <v/>
      </c>
      <c r="F1102" s="115" t="str">
        <f t="shared" si="72"/>
        <v/>
      </c>
      <c r="G1102" s="116" t="str">
        <f>IF(ISNONTEXT(D1102),"",E1102-MAX($F$2:F1101))</f>
        <v/>
      </c>
      <c r="H1102" s="97"/>
      <c r="I1102" s="74" t="str">
        <f ca="1">IF(D1102="N",COUNTIF(INDIRECT(ADDRESS(MATCH(Plages!$D$19,'Planning annuel mixing coater'!$B:$B),4)):D1102,"N"),IF(D1102="N1",COUNTIF($D$9:D1102,"N1"),""))</f>
        <v/>
      </c>
      <c r="J1102" s="96" t="str">
        <f>IF(D1102="","",COUNTA(D1094:D1102)-(COUNTA(D1102:D1102)-1))</f>
        <v/>
      </c>
    </row>
    <row r="1103" spans="1:10" thickBot="1">
      <c r="A1103" s="117"/>
      <c r="B1103" s="70">
        <f t="shared" si="73"/>
        <v>44895</v>
      </c>
      <c r="C1103" s="82" t="str">
        <f t="shared" si="70"/>
        <v>mercredi</v>
      </c>
      <c r="D1103" s="87"/>
      <c r="E1103" s="115" t="str">
        <f t="shared" si="71"/>
        <v/>
      </c>
      <c r="F1103" s="115" t="str">
        <f t="shared" si="72"/>
        <v/>
      </c>
      <c r="G1103" s="116" t="str">
        <f>IF(ISNONTEXT(D1103),"",E1103-MAX($F$2:F1102))</f>
        <v/>
      </c>
      <c r="H1103" s="97"/>
      <c r="I1103" s="74" t="str">
        <f ca="1">IF(D1103="N",COUNTIF(INDIRECT(ADDRESS(MATCH(Plages!$D$19,'Planning annuel mixing coater'!$B:$B),4)):D1103,"N"),IF(D1103="N1",COUNTIF($D$9:D1103,"N1"),""))</f>
        <v/>
      </c>
      <c r="J1103" s="96" t="str">
        <f>IF(D1103="","",COUNTA(D1094:D1103)-(COUNTA(D1103:D1103)-1))</f>
        <v/>
      </c>
    </row>
    <row r="1104" spans="1:10" thickBot="1">
      <c r="A1104" s="117"/>
      <c r="B1104" s="70">
        <f t="shared" si="73"/>
        <v>44896</v>
      </c>
      <c r="C1104" s="82" t="str">
        <f t="shared" si="70"/>
        <v>jeudi</v>
      </c>
      <c r="D1104" s="87"/>
      <c r="E1104" s="115" t="str">
        <f t="shared" si="71"/>
        <v/>
      </c>
      <c r="F1104" s="115" t="str">
        <f t="shared" si="72"/>
        <v/>
      </c>
      <c r="G1104" s="116" t="str">
        <f>IF(ISNONTEXT(D1104),"",E1104-MAX($F$2:F1103))</f>
        <v/>
      </c>
      <c r="H1104" s="97"/>
      <c r="I1104" s="74" t="str">
        <f ca="1">IF(D1104="N",COUNTIF(INDIRECT(ADDRESS(MATCH(Plages!$D$19,'Planning annuel mixing coater'!$B:$B),4)):D1104,"N"),IF(D1104="N1",COUNTIF($D$9:D1104,"N1"),""))</f>
        <v/>
      </c>
      <c r="J1104" s="96" t="str">
        <f>IF(D1104="","",COUNTA(D1094:D1104)-(COUNTA(D1104:D1104)-1))</f>
        <v/>
      </c>
    </row>
    <row r="1105" spans="1:10" thickBot="1">
      <c r="A1105" s="117"/>
      <c r="B1105" s="70">
        <f t="shared" si="73"/>
        <v>44897</v>
      </c>
      <c r="C1105" s="82" t="str">
        <f t="shared" si="70"/>
        <v>vendredi</v>
      </c>
      <c r="D1105" s="87"/>
      <c r="E1105" s="115" t="str">
        <f t="shared" si="71"/>
        <v/>
      </c>
      <c r="F1105" s="115" t="str">
        <f t="shared" si="72"/>
        <v/>
      </c>
      <c r="G1105" s="116" t="str">
        <f>IF(ISNONTEXT(D1105),"",E1105-MAX($F$2:F1104))</f>
        <v/>
      </c>
      <c r="H1105" s="97"/>
      <c r="I1105" s="74" t="str">
        <f ca="1">IF(D1105="N",COUNTIF(INDIRECT(ADDRESS(MATCH(Plages!$D$19,'Planning annuel mixing coater'!$B:$B),4)):D1105,"N"),IF(D1105="N1",COUNTIF($D$9:D1105,"N1"),""))</f>
        <v/>
      </c>
      <c r="J1105" s="96" t="str">
        <f>IF(D1105="","",COUNTA(D1094:D1105)-(COUNTA(D1105:D1105)-1))</f>
        <v/>
      </c>
    </row>
    <row r="1106" spans="1:10" thickBot="1">
      <c r="A1106" s="117"/>
      <c r="B1106" s="70">
        <f t="shared" si="73"/>
        <v>44898</v>
      </c>
      <c r="C1106" s="82" t="str">
        <f t="shared" si="70"/>
        <v>samedi</v>
      </c>
      <c r="D1106" s="87"/>
      <c r="E1106" s="115" t="str">
        <f t="shared" si="71"/>
        <v/>
      </c>
      <c r="F1106" s="115" t="str">
        <f t="shared" si="72"/>
        <v/>
      </c>
      <c r="G1106" s="116" t="str">
        <f>IF(ISNONTEXT(D1106),"",E1106-MAX($F$2:F1105))</f>
        <v/>
      </c>
      <c r="H1106" s="97"/>
      <c r="I1106" s="74" t="str">
        <f ca="1">IF(D1106="N",COUNTIF(INDIRECT(ADDRESS(MATCH(Plages!$D$19,'Planning annuel mixing coater'!$B:$B),4)):D1106,"N"),IF(D1106="N1",COUNTIF($D$9:D1106,"N1"),""))</f>
        <v/>
      </c>
      <c r="J1106" s="96" t="str">
        <f>IF(D1106="","",COUNTA(D1094:D1106)-(COUNTA(D1106:D1106)-1))</f>
        <v/>
      </c>
    </row>
    <row r="1107" spans="1:10" s="77" customFormat="1" thickBot="1">
      <c r="A1107" s="117"/>
      <c r="B1107" s="75">
        <f t="shared" si="73"/>
        <v>44899</v>
      </c>
      <c r="C1107" s="83" t="str">
        <f t="shared" si="70"/>
        <v>dimanche</v>
      </c>
      <c r="D1107" s="88"/>
      <c r="E1107" s="115" t="str">
        <f t="shared" si="71"/>
        <v/>
      </c>
      <c r="F1107" s="115" t="str">
        <f t="shared" si="72"/>
        <v/>
      </c>
      <c r="G1107" s="116" t="str">
        <f>IF(ISNONTEXT(D1107),"",E1107-MAX($F$2:F1106))</f>
        <v/>
      </c>
      <c r="H1107" s="98"/>
      <c r="I1107" s="76" t="str">
        <f ca="1">IF(D1107="N",COUNTIF(INDIRECT(ADDRESS(MATCH(Plages!$D$19,'Planning annuel mixing coater'!$B:$B),4)):D1107,"N"),IF(D1107="N1",COUNTIF($D$9:D1107,"N1"),""))</f>
        <v/>
      </c>
      <c r="J1107" s="99" t="str">
        <f>IF(D1107="","",COUNTA(D1094:D1107)-(COUNTA(D1107:D1107)-1))</f>
        <v/>
      </c>
    </row>
    <row r="1108" spans="1:10" ht="16.5" thickTop="1" thickBot="1">
      <c r="A1108" s="117"/>
      <c r="B1108" s="78">
        <f t="shared" si="73"/>
        <v>44900</v>
      </c>
      <c r="C1108" s="81" t="str">
        <f t="shared" si="70"/>
        <v>lundi</v>
      </c>
      <c r="D1108" s="89"/>
      <c r="E1108" s="115" t="str">
        <f t="shared" si="71"/>
        <v/>
      </c>
      <c r="F1108" s="115" t="str">
        <f t="shared" si="72"/>
        <v/>
      </c>
      <c r="G1108" s="116" t="str">
        <f>IF(ISNONTEXT(D1108),"",E1108-MAX($F$2:F1107))</f>
        <v/>
      </c>
      <c r="H1108" s="100"/>
      <c r="I1108" s="79" t="str">
        <f ca="1">IF(D1108="N",COUNTIF(INDIRECT(ADDRESS(MATCH(Plages!$D$19,'Planning annuel mixing coater'!$B:$B),4)):D1108,"N"),IF(D1108="N1",COUNTIF($D$9:D1108,"N1"),""))</f>
        <v/>
      </c>
      <c r="J1108" s="101" t="str">
        <f>IF(D1108="","",COUNTA(D1108:D1108)-(COUNTA(D1108:D1108)-1))</f>
        <v/>
      </c>
    </row>
    <row r="1109" spans="1:10" thickBot="1">
      <c r="A1109" s="117"/>
      <c r="B1109" s="70">
        <f t="shared" si="73"/>
        <v>44901</v>
      </c>
      <c r="C1109" s="82" t="str">
        <f t="shared" si="70"/>
        <v>mardi</v>
      </c>
      <c r="D1109" s="87"/>
      <c r="E1109" s="115" t="str">
        <f t="shared" si="71"/>
        <v/>
      </c>
      <c r="F1109" s="115" t="str">
        <f t="shared" si="72"/>
        <v/>
      </c>
      <c r="G1109" s="116" t="str">
        <f>IF(ISNONTEXT(D1109),"",E1109-MAX($F$2:F1108))</f>
        <v/>
      </c>
      <c r="H1109" s="97"/>
      <c r="I1109" s="74" t="str">
        <f ca="1">IF(D1109="N",COUNTIF(INDIRECT(ADDRESS(MATCH(Plages!$D$19,'Planning annuel mixing coater'!$B:$B),4)):D1109,"N"),IF(D1109="N1",COUNTIF($D$9:D1109,"N1"),""))</f>
        <v/>
      </c>
      <c r="J1109" s="96" t="str">
        <f>IF(D1109="","",COUNTA(D1108:D1109)-(COUNTA(D1109:D1109)-1))</f>
        <v/>
      </c>
    </row>
    <row r="1110" spans="1:10" thickBot="1">
      <c r="A1110" s="117"/>
      <c r="B1110" s="70">
        <f t="shared" si="73"/>
        <v>44902</v>
      </c>
      <c r="C1110" s="82" t="str">
        <f t="shared" si="70"/>
        <v>mercredi</v>
      </c>
      <c r="D1110" s="87"/>
      <c r="E1110" s="115" t="str">
        <f t="shared" si="71"/>
        <v/>
      </c>
      <c r="F1110" s="115" t="str">
        <f t="shared" si="72"/>
        <v/>
      </c>
      <c r="G1110" s="116" t="str">
        <f>IF(ISNONTEXT(D1110),"",E1110-MAX($F$2:F1109))</f>
        <v/>
      </c>
      <c r="H1110" s="97"/>
      <c r="I1110" s="74" t="str">
        <f ca="1">IF(D1110="N",COUNTIF(INDIRECT(ADDRESS(MATCH(Plages!$D$19,'Planning annuel mixing coater'!$B:$B),4)):D1110,"N"),IF(D1110="N1",COUNTIF($D$9:D1110,"N1"),""))</f>
        <v/>
      </c>
      <c r="J1110" s="96" t="str">
        <f>IF(D1110="","",COUNTA(D1108:D1110)-(COUNTA(D1110:D1110)-1))</f>
        <v/>
      </c>
    </row>
    <row r="1111" spans="1:10" thickBot="1">
      <c r="A1111" s="117"/>
      <c r="B1111" s="70">
        <f t="shared" si="73"/>
        <v>44903</v>
      </c>
      <c r="C1111" s="82" t="str">
        <f t="shared" si="70"/>
        <v>jeudi</v>
      </c>
      <c r="D1111" s="87"/>
      <c r="E1111" s="115" t="str">
        <f t="shared" si="71"/>
        <v/>
      </c>
      <c r="F1111" s="115" t="str">
        <f t="shared" si="72"/>
        <v/>
      </c>
      <c r="G1111" s="116" t="str">
        <f>IF(ISNONTEXT(D1111),"",E1111-MAX($F$2:F1110))</f>
        <v/>
      </c>
      <c r="H1111" s="97"/>
      <c r="I1111" s="74" t="str">
        <f ca="1">IF(D1111="N",COUNTIF(INDIRECT(ADDRESS(MATCH(Plages!$D$19,'Planning annuel mixing coater'!$B:$B),4)):D1111,"N"),IF(D1111="N1",COUNTIF($D$9:D1111,"N1"),""))</f>
        <v/>
      </c>
      <c r="J1111" s="96" t="str">
        <f>IF(D1111="","",COUNTA(D1108:D1111)-(COUNTA(D1111:D1111)-1))</f>
        <v/>
      </c>
    </row>
    <row r="1112" spans="1:10" thickBot="1">
      <c r="A1112" s="117"/>
      <c r="B1112" s="70">
        <f t="shared" si="73"/>
        <v>44904</v>
      </c>
      <c r="C1112" s="82" t="str">
        <f t="shared" si="70"/>
        <v>vendredi</v>
      </c>
      <c r="D1112" s="87"/>
      <c r="E1112" s="115" t="str">
        <f t="shared" si="71"/>
        <v/>
      </c>
      <c r="F1112" s="115" t="str">
        <f t="shared" si="72"/>
        <v/>
      </c>
      <c r="G1112" s="116" t="str">
        <f>IF(ISNONTEXT(D1112),"",E1112-MAX($F$2:F1111))</f>
        <v/>
      </c>
      <c r="H1112" s="97"/>
      <c r="I1112" s="74" t="str">
        <f ca="1">IF(D1112="N",COUNTIF(INDIRECT(ADDRESS(MATCH(Plages!$D$19,'Planning annuel mixing coater'!$B:$B),4)):D1112,"N"),IF(D1112="N1",COUNTIF($D$9:D1112,"N1"),""))</f>
        <v/>
      </c>
      <c r="J1112" s="96" t="str">
        <f>IF(D1112="","",COUNTA(D1108:D1112)-(COUNTA(D1112:D1112)-1))</f>
        <v/>
      </c>
    </row>
    <row r="1113" spans="1:10" thickBot="1">
      <c r="A1113" s="117"/>
      <c r="B1113" s="70">
        <f t="shared" si="73"/>
        <v>44905</v>
      </c>
      <c r="C1113" s="82" t="str">
        <f t="shared" si="70"/>
        <v>samedi</v>
      </c>
      <c r="D1113" s="87"/>
      <c r="E1113" s="115" t="str">
        <f t="shared" si="71"/>
        <v/>
      </c>
      <c r="F1113" s="115" t="str">
        <f t="shared" si="72"/>
        <v/>
      </c>
      <c r="G1113" s="116" t="str">
        <f>IF(ISNONTEXT(D1113),"",E1113-MAX($F$2:F1112))</f>
        <v/>
      </c>
      <c r="H1113" s="97"/>
      <c r="I1113" s="74" t="str">
        <f ca="1">IF(D1113="N",COUNTIF(INDIRECT(ADDRESS(MATCH(Plages!$D$19,'Planning annuel mixing coater'!$B:$B),4)):D1113,"N"),IF(D1113="N1",COUNTIF($D$9:D1113,"N1"),""))</f>
        <v/>
      </c>
      <c r="J1113" s="96" t="str">
        <f>IF(D1113="","",COUNTA(D1108:D1113)-(COUNTA(D1113:D1113)-1))</f>
        <v/>
      </c>
    </row>
    <row r="1114" spans="1:10" thickBot="1">
      <c r="A1114" s="117"/>
      <c r="B1114" s="70">
        <f t="shared" si="73"/>
        <v>44906</v>
      </c>
      <c r="C1114" s="82" t="str">
        <f t="shared" si="70"/>
        <v>dimanche</v>
      </c>
      <c r="D1114" s="87"/>
      <c r="E1114" s="115" t="str">
        <f t="shared" si="71"/>
        <v/>
      </c>
      <c r="F1114" s="115" t="str">
        <f t="shared" si="72"/>
        <v/>
      </c>
      <c r="G1114" s="116" t="str">
        <f>IF(ISNONTEXT(D1114),"",E1114-MAX($F$2:F1113))</f>
        <v/>
      </c>
      <c r="H1114" s="98"/>
      <c r="I1114" s="74" t="str">
        <f ca="1">IF(D1114="N",COUNTIF(INDIRECT(ADDRESS(MATCH(Plages!$D$19,'Planning annuel mixing coater'!$B:$B),4)):D1114,"N"),IF(D1114="N1",COUNTIF($D$9:D1114,"N1"),""))</f>
        <v/>
      </c>
      <c r="J1114" s="96" t="str">
        <f>IF(D1114="","",COUNTA(D1108:D1114)-(COUNTA(D1114:D1114)-1))</f>
        <v/>
      </c>
    </row>
    <row r="1115" spans="1:10" thickBot="1">
      <c r="A1115" s="117"/>
      <c r="B1115" s="70">
        <f t="shared" si="73"/>
        <v>44907</v>
      </c>
      <c r="C1115" s="82" t="str">
        <f t="shared" si="70"/>
        <v>lundi</v>
      </c>
      <c r="D1115" s="87"/>
      <c r="E1115" s="115" t="str">
        <f t="shared" si="71"/>
        <v/>
      </c>
      <c r="F1115" s="115" t="str">
        <f t="shared" si="72"/>
        <v/>
      </c>
      <c r="G1115" s="116" t="str">
        <f>IF(ISNONTEXT(D1115),"",E1115-MAX($F$2:F1114))</f>
        <v/>
      </c>
      <c r="H1115" s="97"/>
      <c r="I1115" s="74" t="str">
        <f ca="1">IF(D1115="N",COUNTIF(INDIRECT(ADDRESS(MATCH(Plages!$D$19,'Planning annuel mixing coater'!$B:$B),4)):D1115,"N"),IF(D1115="N1",COUNTIF($D$9:D1115,"N1"),""))</f>
        <v/>
      </c>
      <c r="J1115" s="96" t="str">
        <f>IF(D1115="","",COUNTA(D1108:D1115)-(COUNTA(D1115:D1115)-1))</f>
        <v/>
      </c>
    </row>
    <row r="1116" spans="1:10" thickBot="1">
      <c r="A1116" s="117"/>
      <c r="B1116" s="70">
        <f t="shared" si="73"/>
        <v>44908</v>
      </c>
      <c r="C1116" s="82" t="str">
        <f t="shared" si="70"/>
        <v>mardi</v>
      </c>
      <c r="D1116" s="87"/>
      <c r="E1116" s="115" t="str">
        <f t="shared" si="71"/>
        <v/>
      </c>
      <c r="F1116" s="115" t="str">
        <f t="shared" si="72"/>
        <v/>
      </c>
      <c r="G1116" s="116" t="str">
        <f>IF(ISNONTEXT(D1116),"",E1116-MAX($F$2:F1115))</f>
        <v/>
      </c>
      <c r="H1116" s="97"/>
      <c r="I1116" s="74" t="str">
        <f ca="1">IF(D1116="N",COUNTIF(INDIRECT(ADDRESS(MATCH(Plages!$D$19,'Planning annuel mixing coater'!$B:$B),4)):D1116,"N"),IF(D1116="N1",COUNTIF($D$9:D1116,"N1"),""))</f>
        <v/>
      </c>
      <c r="J1116" s="96" t="str">
        <f>IF(D1116="","",COUNTA(D1108:D1116)-(COUNTA(D1116:D1116)-1))</f>
        <v/>
      </c>
    </row>
    <row r="1117" spans="1:10" thickBot="1">
      <c r="A1117" s="117"/>
      <c r="B1117" s="70">
        <f t="shared" si="73"/>
        <v>44909</v>
      </c>
      <c r="C1117" s="82" t="str">
        <f t="shared" si="70"/>
        <v>mercredi</v>
      </c>
      <c r="D1117" s="87"/>
      <c r="E1117" s="115" t="str">
        <f t="shared" si="71"/>
        <v/>
      </c>
      <c r="F1117" s="115" t="str">
        <f t="shared" si="72"/>
        <v/>
      </c>
      <c r="G1117" s="116" t="str">
        <f>IF(ISNONTEXT(D1117),"",E1117-MAX($F$2:F1116))</f>
        <v/>
      </c>
      <c r="H1117" s="97"/>
      <c r="I1117" s="74" t="str">
        <f ca="1">IF(D1117="N",COUNTIF(INDIRECT(ADDRESS(MATCH(Plages!$D$19,'Planning annuel mixing coater'!$B:$B),4)):D1117,"N"),IF(D1117="N1",COUNTIF($D$9:D1117,"N1"),""))</f>
        <v/>
      </c>
      <c r="J1117" s="96" t="str">
        <f>IF(D1117="","",COUNTA(D1108:D1117)-(COUNTA(D1117:D1117)-1))</f>
        <v/>
      </c>
    </row>
    <row r="1118" spans="1:10" thickBot="1">
      <c r="A1118" s="117"/>
      <c r="B1118" s="70">
        <f t="shared" si="73"/>
        <v>44910</v>
      </c>
      <c r="C1118" s="82" t="str">
        <f t="shared" ref="C1118:C1181" si="74">IF(B1118="","",TEXT(B1118,"jjjj"))</f>
        <v>jeudi</v>
      </c>
      <c r="D1118" s="87"/>
      <c r="E1118" s="115" t="str">
        <f t="shared" ref="E1118:E1181" si="75">IF(D1118="","",B1118+VLOOKUP(D1118,Plageh,2,0))</f>
        <v/>
      </c>
      <c r="F1118" s="115" t="str">
        <f t="shared" ref="F1118:F1181" si="76">IF(D1118="","",B1118+VLOOKUP(D1118,Plageh,3,0))</f>
        <v/>
      </c>
      <c r="G1118" s="116" t="str">
        <f>IF(ISNONTEXT(D1118),"",E1118-MAX($F$2:F1117))</f>
        <v/>
      </c>
      <c r="H1118" s="97"/>
      <c r="I1118" s="74" t="str">
        <f ca="1">IF(D1118="N",COUNTIF(INDIRECT(ADDRESS(MATCH(Plages!$D$19,'Planning annuel mixing coater'!$B:$B),4)):D1118,"N"),IF(D1118="N1",COUNTIF($D$9:D1118,"N1"),""))</f>
        <v/>
      </c>
      <c r="J1118" s="96" t="str">
        <f>IF(D1118="","",COUNTA(D1108:D1118)-(COUNTA(D1118:D1118)-1))</f>
        <v/>
      </c>
    </row>
    <row r="1119" spans="1:10" thickBot="1">
      <c r="A1119" s="117"/>
      <c r="B1119" s="70">
        <f t="shared" si="73"/>
        <v>44911</v>
      </c>
      <c r="C1119" s="82" t="str">
        <f t="shared" si="74"/>
        <v>vendredi</v>
      </c>
      <c r="D1119" s="87"/>
      <c r="E1119" s="115" t="str">
        <f t="shared" si="75"/>
        <v/>
      </c>
      <c r="F1119" s="115" t="str">
        <f t="shared" si="76"/>
        <v/>
      </c>
      <c r="G1119" s="116" t="str">
        <f>IF(ISNONTEXT(D1119),"",E1119-MAX($F$2:F1118))</f>
        <v/>
      </c>
      <c r="H1119" s="97"/>
      <c r="I1119" s="74" t="str">
        <f ca="1">IF(D1119="N",COUNTIF(INDIRECT(ADDRESS(MATCH(Plages!$D$19,'Planning annuel mixing coater'!$B:$B),4)):D1119,"N"),IF(D1119="N1",COUNTIF($D$9:D1119,"N1"),""))</f>
        <v/>
      </c>
      <c r="J1119" s="96" t="str">
        <f>IF(D1119="","",COUNTA(D1108:D1119)-(COUNTA(D1119:D1119)-1))</f>
        <v/>
      </c>
    </row>
    <row r="1120" spans="1:10" thickBot="1">
      <c r="A1120" s="117"/>
      <c r="B1120" s="70">
        <f t="shared" si="73"/>
        <v>44912</v>
      </c>
      <c r="C1120" s="82" t="str">
        <f t="shared" si="74"/>
        <v>samedi</v>
      </c>
      <c r="D1120" s="87"/>
      <c r="E1120" s="115" t="str">
        <f t="shared" si="75"/>
        <v/>
      </c>
      <c r="F1120" s="115" t="str">
        <f t="shared" si="76"/>
        <v/>
      </c>
      <c r="G1120" s="116" t="str">
        <f>IF(ISNONTEXT(D1120),"",E1120-MAX($F$2:F1119))</f>
        <v/>
      </c>
      <c r="H1120" s="97"/>
      <c r="I1120" s="74" t="str">
        <f ca="1">IF(D1120="N",COUNTIF(INDIRECT(ADDRESS(MATCH(Plages!$D$19,'Planning annuel mixing coater'!$B:$B),4)):D1120,"N"),IF(D1120="N1",COUNTIF($D$9:D1120,"N1"),""))</f>
        <v/>
      </c>
      <c r="J1120" s="96" t="str">
        <f>IF(D1120="","",COUNTA(D1108:D1120)-(COUNTA(D1120:D1120)-1))</f>
        <v/>
      </c>
    </row>
    <row r="1121" spans="1:10" s="77" customFormat="1" thickBot="1">
      <c r="A1121" s="117"/>
      <c r="B1121" s="75">
        <f t="shared" si="73"/>
        <v>44913</v>
      </c>
      <c r="C1121" s="83" t="str">
        <f t="shared" si="74"/>
        <v>dimanche</v>
      </c>
      <c r="D1121" s="88"/>
      <c r="E1121" s="115" t="str">
        <f t="shared" si="75"/>
        <v/>
      </c>
      <c r="F1121" s="115" t="str">
        <f t="shared" si="76"/>
        <v/>
      </c>
      <c r="G1121" s="116" t="str">
        <f>IF(ISNONTEXT(D1121),"",E1121-MAX($F$2:F1120))</f>
        <v/>
      </c>
      <c r="H1121" s="98"/>
      <c r="I1121" s="76" t="str">
        <f ca="1">IF(D1121="N",COUNTIF(INDIRECT(ADDRESS(MATCH(Plages!$D$19,'Planning annuel mixing coater'!$B:$B),4)):D1121,"N"),IF(D1121="N1",COUNTIF($D$9:D1121,"N1"),""))</f>
        <v/>
      </c>
      <c r="J1121" s="99" t="str">
        <f>IF(D1121="","",COUNTA(D1108:D1121)-(COUNTA(D1121:D1121)-1))</f>
        <v/>
      </c>
    </row>
    <row r="1122" spans="1:10" ht="16.5" thickTop="1" thickBot="1">
      <c r="A1122" s="117"/>
      <c r="B1122" s="78">
        <f t="shared" si="73"/>
        <v>44914</v>
      </c>
      <c r="C1122" s="81" t="str">
        <f t="shared" si="74"/>
        <v>lundi</v>
      </c>
      <c r="D1122" s="89"/>
      <c r="E1122" s="115" t="str">
        <f t="shared" si="75"/>
        <v/>
      </c>
      <c r="F1122" s="115" t="str">
        <f t="shared" si="76"/>
        <v/>
      </c>
      <c r="G1122" s="116" t="str">
        <f>IF(ISNONTEXT(D1122),"",E1122-MAX($F$2:F1121))</f>
        <v/>
      </c>
      <c r="H1122" s="100"/>
      <c r="I1122" s="79" t="str">
        <f ca="1">IF(D1122="N",COUNTIF(INDIRECT(ADDRESS(MATCH(Plages!$D$19,'Planning annuel mixing coater'!$B:$B),4)):D1122,"N"),IF(D1122="N1",COUNTIF($D$9:D1122,"N1"),""))</f>
        <v/>
      </c>
      <c r="J1122" s="101" t="str">
        <f>IF(D1122="","",COUNTA(D1122:D1122)-(COUNTA(D1122:D1122)-1))</f>
        <v/>
      </c>
    </row>
    <row r="1123" spans="1:10" thickBot="1">
      <c r="A1123" s="117"/>
      <c r="B1123" s="70">
        <f t="shared" si="73"/>
        <v>44915</v>
      </c>
      <c r="C1123" s="82" t="str">
        <f t="shared" si="74"/>
        <v>mardi</v>
      </c>
      <c r="D1123" s="87"/>
      <c r="E1123" s="115" t="str">
        <f t="shared" si="75"/>
        <v/>
      </c>
      <c r="F1123" s="115" t="str">
        <f t="shared" si="76"/>
        <v/>
      </c>
      <c r="G1123" s="116" t="str">
        <f>IF(ISNONTEXT(D1123),"",E1123-MAX($F$2:F1122))</f>
        <v/>
      </c>
      <c r="H1123" s="97"/>
      <c r="I1123" s="74" t="str">
        <f ca="1">IF(D1123="N",COUNTIF(INDIRECT(ADDRESS(MATCH(Plages!$D$19,'Planning annuel mixing coater'!$B:$B),4)):D1123,"N"),IF(D1123="N1",COUNTIF($D$9:D1123,"N1"),""))</f>
        <v/>
      </c>
      <c r="J1123" s="96" t="str">
        <f>IF(D1123="","",COUNTA(D1122:D1123)-(COUNTA(D1123:D1123)-1))</f>
        <v/>
      </c>
    </row>
    <row r="1124" spans="1:10" thickBot="1">
      <c r="A1124" s="117"/>
      <c r="B1124" s="70">
        <f t="shared" si="73"/>
        <v>44916</v>
      </c>
      <c r="C1124" s="82" t="str">
        <f t="shared" si="74"/>
        <v>mercredi</v>
      </c>
      <c r="D1124" s="87"/>
      <c r="E1124" s="115" t="str">
        <f t="shared" si="75"/>
        <v/>
      </c>
      <c r="F1124" s="115" t="str">
        <f t="shared" si="76"/>
        <v/>
      </c>
      <c r="G1124" s="116" t="str">
        <f>IF(ISNONTEXT(D1124),"",E1124-MAX($F$2:F1123))</f>
        <v/>
      </c>
      <c r="H1124" s="97"/>
      <c r="I1124" s="74" t="str">
        <f ca="1">IF(D1124="N",COUNTIF(INDIRECT(ADDRESS(MATCH(Plages!$D$19,'Planning annuel mixing coater'!$B:$B),4)):D1124,"N"),IF(D1124="N1",COUNTIF($D$9:D1124,"N1"),""))</f>
        <v/>
      </c>
      <c r="J1124" s="96" t="str">
        <f>IF(D1124="","",COUNTA(D1122:D1124)-(COUNTA(D1124:D1124)-1))</f>
        <v/>
      </c>
    </row>
    <row r="1125" spans="1:10" thickBot="1">
      <c r="A1125" s="117"/>
      <c r="B1125" s="70">
        <f t="shared" si="73"/>
        <v>44917</v>
      </c>
      <c r="C1125" s="82" t="str">
        <f t="shared" si="74"/>
        <v>jeudi</v>
      </c>
      <c r="D1125" s="87"/>
      <c r="E1125" s="115" t="str">
        <f t="shared" si="75"/>
        <v/>
      </c>
      <c r="F1125" s="115" t="str">
        <f t="shared" si="76"/>
        <v/>
      </c>
      <c r="G1125" s="116" t="str">
        <f>IF(ISNONTEXT(D1125),"",E1125-MAX($F$2:F1124))</f>
        <v/>
      </c>
      <c r="H1125" s="97"/>
      <c r="I1125" s="74" t="str">
        <f ca="1">IF(D1125="N",COUNTIF(INDIRECT(ADDRESS(MATCH(Plages!$D$19,'Planning annuel mixing coater'!$B:$B),4)):D1125,"N"),IF(D1125="N1",COUNTIF($D$9:D1125,"N1"),""))</f>
        <v/>
      </c>
      <c r="J1125" s="96" t="str">
        <f>IF(D1125="","",COUNTA(D1122:D1125)-(COUNTA(D1125:D1125)-1))</f>
        <v/>
      </c>
    </row>
    <row r="1126" spans="1:10" thickBot="1">
      <c r="A1126" s="117"/>
      <c r="B1126" s="70">
        <f t="shared" si="73"/>
        <v>44918</v>
      </c>
      <c r="C1126" s="82" t="str">
        <f t="shared" si="74"/>
        <v>vendredi</v>
      </c>
      <c r="D1126" s="87"/>
      <c r="E1126" s="115" t="str">
        <f t="shared" si="75"/>
        <v/>
      </c>
      <c r="F1126" s="115" t="str">
        <f t="shared" si="76"/>
        <v/>
      </c>
      <c r="G1126" s="116" t="str">
        <f>IF(ISNONTEXT(D1126),"",E1126-MAX($F$2:F1125))</f>
        <v/>
      </c>
      <c r="H1126" s="97"/>
      <c r="I1126" s="74" t="str">
        <f ca="1">IF(D1126="N",COUNTIF(INDIRECT(ADDRESS(MATCH(Plages!$D$19,'Planning annuel mixing coater'!$B:$B),4)):D1126,"N"),IF(D1126="N1",COUNTIF($D$9:D1126,"N1"),""))</f>
        <v/>
      </c>
      <c r="J1126" s="96" t="str">
        <f>IF(D1126="","",COUNTA(D1122:D1126)-(COUNTA(D1126:D1126)-1))</f>
        <v/>
      </c>
    </row>
    <row r="1127" spans="1:10" thickBot="1">
      <c r="A1127" s="117"/>
      <c r="B1127" s="70">
        <f t="shared" si="73"/>
        <v>44919</v>
      </c>
      <c r="C1127" s="82" t="str">
        <f t="shared" si="74"/>
        <v>samedi</v>
      </c>
      <c r="D1127" s="87"/>
      <c r="E1127" s="115" t="str">
        <f t="shared" si="75"/>
        <v/>
      </c>
      <c r="F1127" s="115" t="str">
        <f t="shared" si="76"/>
        <v/>
      </c>
      <c r="G1127" s="116" t="str">
        <f>IF(ISNONTEXT(D1127),"",E1127-MAX($F$2:F1126))</f>
        <v/>
      </c>
      <c r="H1127" s="97"/>
      <c r="I1127" s="74" t="str">
        <f ca="1">IF(D1127="N",COUNTIF(INDIRECT(ADDRESS(MATCH(Plages!$D$19,'Planning annuel mixing coater'!$B:$B),4)):D1127,"N"),IF(D1127="N1",COUNTIF($D$9:D1127,"N1"),""))</f>
        <v/>
      </c>
      <c r="J1127" s="96" t="str">
        <f>IF(D1127="","",COUNTA(D1122:D1127)-(COUNTA(D1127:D1127)-1))</f>
        <v/>
      </c>
    </row>
    <row r="1128" spans="1:10" thickBot="1">
      <c r="A1128" s="117"/>
      <c r="B1128" s="70">
        <f t="shared" si="73"/>
        <v>44920</v>
      </c>
      <c r="C1128" s="82" t="str">
        <f t="shared" si="74"/>
        <v>dimanche</v>
      </c>
      <c r="D1128" s="87"/>
      <c r="E1128" s="115" t="str">
        <f t="shared" si="75"/>
        <v/>
      </c>
      <c r="F1128" s="115" t="str">
        <f t="shared" si="76"/>
        <v/>
      </c>
      <c r="G1128" s="116" t="str">
        <f>IF(ISNONTEXT(D1128),"",E1128-MAX($F$2:F1127))</f>
        <v/>
      </c>
      <c r="H1128" s="98"/>
      <c r="I1128" s="74" t="str">
        <f ca="1">IF(D1128="N",COUNTIF(INDIRECT(ADDRESS(MATCH(Plages!$D$19,'Planning annuel mixing coater'!$B:$B),4)):D1128,"N"),IF(D1128="N1",COUNTIF($D$9:D1128,"N1"),""))</f>
        <v/>
      </c>
      <c r="J1128" s="96" t="str">
        <f>IF(D1128="","",COUNTA(D1122:D1128)-(COUNTA(D1128:D1128)-1))</f>
        <v/>
      </c>
    </row>
    <row r="1129" spans="1:10" thickBot="1">
      <c r="A1129" s="117"/>
      <c r="B1129" s="70">
        <f t="shared" si="73"/>
        <v>44921</v>
      </c>
      <c r="C1129" s="82" t="str">
        <f t="shared" si="74"/>
        <v>lundi</v>
      </c>
      <c r="D1129" s="87"/>
      <c r="E1129" s="115" t="str">
        <f t="shared" si="75"/>
        <v/>
      </c>
      <c r="F1129" s="115" t="str">
        <f t="shared" si="76"/>
        <v/>
      </c>
      <c r="G1129" s="116" t="str">
        <f>IF(ISNONTEXT(D1129),"",E1129-MAX($F$2:F1128))</f>
        <v/>
      </c>
      <c r="H1129" s="97"/>
      <c r="I1129" s="74" t="str">
        <f ca="1">IF(D1129="N",COUNTIF(INDIRECT(ADDRESS(MATCH(Plages!$D$19,'Planning annuel mixing coater'!$B:$B),4)):D1129,"N"),IF(D1129="N1",COUNTIF($D$9:D1129,"N1"),""))</f>
        <v/>
      </c>
      <c r="J1129" s="96" t="str">
        <f>IF(D1129="","",COUNTA(D1122:D1129)-(COUNTA(D1129:D1129)-1))</f>
        <v/>
      </c>
    </row>
    <row r="1130" spans="1:10" thickBot="1">
      <c r="A1130" s="117"/>
      <c r="B1130" s="70">
        <f t="shared" si="73"/>
        <v>44922</v>
      </c>
      <c r="C1130" s="82" t="str">
        <f t="shared" si="74"/>
        <v>mardi</v>
      </c>
      <c r="D1130" s="87"/>
      <c r="E1130" s="115" t="str">
        <f t="shared" si="75"/>
        <v/>
      </c>
      <c r="F1130" s="115" t="str">
        <f t="shared" si="76"/>
        <v/>
      </c>
      <c r="G1130" s="116" t="str">
        <f>IF(ISNONTEXT(D1130),"",E1130-MAX($F$2:F1129))</f>
        <v/>
      </c>
      <c r="H1130" s="97"/>
      <c r="I1130" s="74" t="str">
        <f ca="1">IF(D1130="N",COUNTIF(INDIRECT(ADDRESS(MATCH(Plages!$D$19,'Planning annuel mixing coater'!$B:$B),4)):D1130,"N"),IF(D1130="N1",COUNTIF($D$9:D1130,"N1"),""))</f>
        <v/>
      </c>
      <c r="J1130" s="96" t="str">
        <f>IF(D1130="","",COUNTA(D1122:D1130)-(COUNTA(D1130:D1130)-1))</f>
        <v/>
      </c>
    </row>
    <row r="1131" spans="1:10" thickBot="1">
      <c r="A1131" s="117"/>
      <c r="B1131" s="70">
        <f t="shared" si="73"/>
        <v>44923</v>
      </c>
      <c r="C1131" s="82" t="str">
        <f t="shared" si="74"/>
        <v>mercredi</v>
      </c>
      <c r="D1131" s="87"/>
      <c r="E1131" s="115" t="str">
        <f t="shared" si="75"/>
        <v/>
      </c>
      <c r="F1131" s="115" t="str">
        <f t="shared" si="76"/>
        <v/>
      </c>
      <c r="G1131" s="116" t="str">
        <f>IF(ISNONTEXT(D1131),"",E1131-MAX($F$2:F1130))</f>
        <v/>
      </c>
      <c r="H1131" s="97"/>
      <c r="I1131" s="74" t="str">
        <f ca="1">IF(D1131="N",COUNTIF(INDIRECT(ADDRESS(MATCH(Plages!$D$19,'Planning annuel mixing coater'!$B:$B),4)):D1131,"N"),IF(D1131="N1",COUNTIF($D$9:D1131,"N1"),""))</f>
        <v/>
      </c>
      <c r="J1131" s="96" t="str">
        <f>IF(D1131="","",COUNTA(D1122:D1131)-(COUNTA(D1131:D1131)-1))</f>
        <v/>
      </c>
    </row>
    <row r="1132" spans="1:10" thickBot="1">
      <c r="A1132" s="117"/>
      <c r="B1132" s="70">
        <f t="shared" si="73"/>
        <v>44924</v>
      </c>
      <c r="C1132" s="82" t="str">
        <f t="shared" si="74"/>
        <v>jeudi</v>
      </c>
      <c r="D1132" s="87"/>
      <c r="E1132" s="115" t="str">
        <f t="shared" si="75"/>
        <v/>
      </c>
      <c r="F1132" s="115" t="str">
        <f t="shared" si="76"/>
        <v/>
      </c>
      <c r="G1132" s="116" t="str">
        <f>IF(ISNONTEXT(D1132),"",E1132-MAX($F$2:F1131))</f>
        <v/>
      </c>
      <c r="H1132" s="97"/>
      <c r="I1132" s="74" t="str">
        <f ca="1">IF(D1132="N",COUNTIF(INDIRECT(ADDRESS(MATCH(Plages!$D$19,'Planning annuel mixing coater'!$B:$B),4)):D1132,"N"),IF(D1132="N1",COUNTIF($D$9:D1132,"N1"),""))</f>
        <v/>
      </c>
      <c r="J1132" s="96" t="str">
        <f>IF(D1132="","",COUNTA(D1122:D1132)-(COUNTA(D1132:D1132)-1))</f>
        <v/>
      </c>
    </row>
    <row r="1133" spans="1:10" thickBot="1">
      <c r="A1133" s="117"/>
      <c r="B1133" s="70">
        <f t="shared" si="73"/>
        <v>44925</v>
      </c>
      <c r="C1133" s="82" t="str">
        <f t="shared" si="74"/>
        <v>vendredi</v>
      </c>
      <c r="D1133" s="87"/>
      <c r="E1133" s="115" t="str">
        <f t="shared" si="75"/>
        <v/>
      </c>
      <c r="F1133" s="115" t="str">
        <f t="shared" si="76"/>
        <v/>
      </c>
      <c r="G1133" s="116" t="str">
        <f>IF(ISNONTEXT(D1133),"",E1133-MAX($F$2:F1132))</f>
        <v/>
      </c>
      <c r="H1133" s="97"/>
      <c r="I1133" s="74" t="str">
        <f ca="1">IF(D1133="N",COUNTIF(INDIRECT(ADDRESS(MATCH(Plages!$D$19,'Planning annuel mixing coater'!$B:$B),4)):D1133,"N"),IF(D1133="N1",COUNTIF($D$9:D1133,"N1"),""))</f>
        <v/>
      </c>
      <c r="J1133" s="96" t="str">
        <f>IF(D1133="","",COUNTA(D1122:D1133)-(COUNTA(D1133:D1133)-1))</f>
        <v/>
      </c>
    </row>
    <row r="1134" spans="1:10" thickBot="1">
      <c r="A1134" s="117"/>
      <c r="B1134" s="70">
        <f t="shared" si="73"/>
        <v>44926</v>
      </c>
      <c r="C1134" s="82" t="str">
        <f t="shared" si="74"/>
        <v>samedi</v>
      </c>
      <c r="D1134" s="87"/>
      <c r="E1134" s="115" t="str">
        <f t="shared" si="75"/>
        <v/>
      </c>
      <c r="F1134" s="115" t="str">
        <f t="shared" si="76"/>
        <v/>
      </c>
      <c r="G1134" s="116" t="str">
        <f>IF(ISNONTEXT(D1134),"",E1134-MAX($F$2:F1133))</f>
        <v/>
      </c>
      <c r="H1134" s="97"/>
      <c r="I1134" s="74" t="str">
        <f ca="1">IF(D1134="N",COUNTIF(INDIRECT(ADDRESS(MATCH(Plages!$D$19,'Planning annuel mixing coater'!$B:$B),4)):D1134,"N"),IF(D1134="N1",COUNTIF($D$9:D1134,"N1"),""))</f>
        <v/>
      </c>
      <c r="J1134" s="96" t="str">
        <f>IF(D1134="","",COUNTA(D1122:D1134)-(COUNTA(D1134:D1134)-1))</f>
        <v/>
      </c>
    </row>
    <row r="1135" spans="1:10" s="77" customFormat="1" thickBot="1">
      <c r="A1135" s="117"/>
      <c r="B1135" s="75">
        <f t="shared" si="73"/>
        <v>44927</v>
      </c>
      <c r="C1135" s="83" t="str">
        <f t="shared" si="74"/>
        <v>dimanche</v>
      </c>
      <c r="D1135" s="88"/>
      <c r="E1135" s="115" t="str">
        <f t="shared" si="75"/>
        <v/>
      </c>
      <c r="F1135" s="115" t="str">
        <f t="shared" si="76"/>
        <v/>
      </c>
      <c r="G1135" s="116" t="str">
        <f>IF(ISNONTEXT(D1135),"",E1135-MAX($F$2:F1134))</f>
        <v/>
      </c>
      <c r="H1135" s="98"/>
      <c r="I1135" s="76" t="str">
        <f ca="1">IF(D1135="N",COUNTIF(INDIRECT(ADDRESS(MATCH(Plages!$D$19,'Planning annuel mixing coater'!$B:$B),4)):D1135,"N"),IF(D1135="N1",COUNTIF($D$9:D1135,"N1"),""))</f>
        <v/>
      </c>
      <c r="J1135" s="99" t="str">
        <f>IF(D1135="","",COUNTA(D1122:D1135)-(COUNTA(D1135:D1135)-1))</f>
        <v/>
      </c>
    </row>
    <row r="1136" spans="1:10" ht="16.5" thickTop="1" thickBot="1">
      <c r="A1136" s="117"/>
      <c r="B1136" s="78">
        <f t="shared" si="73"/>
        <v>44928</v>
      </c>
      <c r="C1136" s="81" t="str">
        <f t="shared" si="74"/>
        <v>lundi</v>
      </c>
      <c r="D1136" s="89"/>
      <c r="E1136" s="115" t="str">
        <f t="shared" si="75"/>
        <v/>
      </c>
      <c r="F1136" s="115" t="str">
        <f t="shared" si="76"/>
        <v/>
      </c>
      <c r="G1136" s="116" t="str">
        <f>IF(ISNONTEXT(D1136),"",E1136-MAX($F$2:F1135))</f>
        <v/>
      </c>
      <c r="H1136" s="100"/>
      <c r="I1136" s="79" t="str">
        <f ca="1">IF(D1136="N",COUNTIF(INDIRECT(ADDRESS(MATCH(Plages!$D$19,'Planning annuel mixing coater'!$B:$B),4)):D1136,"N"),IF(D1136="N1",COUNTIF($D$9:D1136,"N1"),""))</f>
        <v/>
      </c>
      <c r="J1136" s="101" t="str">
        <f>IF(D1136="","",COUNTA(D1136:D1136)-(COUNTA(D1136:D1136)-1))</f>
        <v/>
      </c>
    </row>
    <row r="1137" spans="1:10" thickBot="1">
      <c r="A1137" s="117"/>
      <c r="B1137" s="70">
        <f t="shared" si="73"/>
        <v>44929</v>
      </c>
      <c r="C1137" s="82" t="str">
        <f t="shared" si="74"/>
        <v>mardi</v>
      </c>
      <c r="D1137" s="87"/>
      <c r="E1137" s="115" t="str">
        <f t="shared" si="75"/>
        <v/>
      </c>
      <c r="F1137" s="115" t="str">
        <f t="shared" si="76"/>
        <v/>
      </c>
      <c r="G1137" s="116" t="str">
        <f>IF(ISNONTEXT(D1137),"",E1137-MAX($F$2:F1136))</f>
        <v/>
      </c>
      <c r="H1137" s="97"/>
      <c r="I1137" s="74" t="str">
        <f ca="1">IF(D1137="N",COUNTIF(INDIRECT(ADDRESS(MATCH(Plages!$D$19,'Planning annuel mixing coater'!$B:$B),4)):D1137,"N"),IF(D1137="N1",COUNTIF($D$9:D1137,"N1"),""))</f>
        <v/>
      </c>
      <c r="J1137" s="96" t="str">
        <f>IF(D1137="","",COUNTA(D1136:D1137)-(COUNTA(D1137:D1137)-1))</f>
        <v/>
      </c>
    </row>
    <row r="1138" spans="1:10" thickBot="1">
      <c r="A1138" s="117"/>
      <c r="B1138" s="70">
        <f t="shared" si="73"/>
        <v>44930</v>
      </c>
      <c r="C1138" s="82" t="str">
        <f t="shared" si="74"/>
        <v>mercredi</v>
      </c>
      <c r="D1138" s="87"/>
      <c r="E1138" s="115" t="str">
        <f t="shared" si="75"/>
        <v/>
      </c>
      <c r="F1138" s="115" t="str">
        <f t="shared" si="76"/>
        <v/>
      </c>
      <c r="G1138" s="116" t="str">
        <f>IF(ISNONTEXT(D1138),"",E1138-MAX($F$2:F1137))</f>
        <v/>
      </c>
      <c r="H1138" s="97"/>
      <c r="I1138" s="74" t="str">
        <f ca="1">IF(D1138="N",COUNTIF(INDIRECT(ADDRESS(MATCH(Plages!$D$19,'Planning annuel mixing coater'!$B:$B),4)):D1138,"N"),IF(D1138="N1",COUNTIF($D$9:D1138,"N1"),""))</f>
        <v/>
      </c>
      <c r="J1138" s="96" t="str">
        <f>IF(D1138="","",COUNTA(D1136:D1138)-(COUNTA(D1138:D1138)-1))</f>
        <v/>
      </c>
    </row>
    <row r="1139" spans="1:10" thickBot="1">
      <c r="A1139" s="117"/>
      <c r="B1139" s="70">
        <f t="shared" si="73"/>
        <v>44931</v>
      </c>
      <c r="C1139" s="82" t="str">
        <f t="shared" si="74"/>
        <v>jeudi</v>
      </c>
      <c r="D1139" s="87"/>
      <c r="E1139" s="115" t="str">
        <f t="shared" si="75"/>
        <v/>
      </c>
      <c r="F1139" s="115" t="str">
        <f t="shared" si="76"/>
        <v/>
      </c>
      <c r="G1139" s="116" t="str">
        <f>IF(ISNONTEXT(D1139),"",E1139-MAX($F$2:F1138))</f>
        <v/>
      </c>
      <c r="H1139" s="97"/>
      <c r="I1139" s="74" t="str">
        <f ca="1">IF(D1139="N",COUNTIF(INDIRECT(ADDRESS(MATCH(Plages!$D$19,'Planning annuel mixing coater'!$B:$B),4)):D1139,"N"),IF(D1139="N1",COUNTIF($D$9:D1139,"N1"),""))</f>
        <v/>
      </c>
      <c r="J1139" s="96" t="str">
        <f>IF(D1139="","",COUNTA(D1136:D1139)-(COUNTA(D1139:D1139)-1))</f>
        <v/>
      </c>
    </row>
    <row r="1140" spans="1:10" thickBot="1">
      <c r="A1140" s="117"/>
      <c r="B1140" s="70">
        <f t="shared" si="73"/>
        <v>44932</v>
      </c>
      <c r="C1140" s="82" t="str">
        <f t="shared" si="74"/>
        <v>vendredi</v>
      </c>
      <c r="D1140" s="87"/>
      <c r="E1140" s="115" t="str">
        <f t="shared" si="75"/>
        <v/>
      </c>
      <c r="F1140" s="115" t="str">
        <f t="shared" si="76"/>
        <v/>
      </c>
      <c r="G1140" s="116" t="str">
        <f>IF(ISNONTEXT(D1140),"",E1140-MAX($F$2:F1139))</f>
        <v/>
      </c>
      <c r="H1140" s="97"/>
      <c r="I1140" s="74" t="str">
        <f ca="1">IF(D1140="N",COUNTIF(INDIRECT(ADDRESS(MATCH(Plages!$D$19,'Planning annuel mixing coater'!$B:$B),4)):D1140,"N"),IF(D1140="N1",COUNTIF($D$9:D1140,"N1"),""))</f>
        <v/>
      </c>
      <c r="J1140" s="96" t="str">
        <f>IF(D1140="","",COUNTA(D1136:D1140)-(COUNTA(D1140:D1140)-1))</f>
        <v/>
      </c>
    </row>
    <row r="1141" spans="1:10" thickBot="1">
      <c r="A1141" s="117"/>
      <c r="B1141" s="70">
        <f t="shared" si="73"/>
        <v>44933</v>
      </c>
      <c r="C1141" s="82" t="str">
        <f t="shared" si="74"/>
        <v>samedi</v>
      </c>
      <c r="D1141" s="87"/>
      <c r="E1141" s="115" t="str">
        <f t="shared" si="75"/>
        <v/>
      </c>
      <c r="F1141" s="115" t="str">
        <f t="shared" si="76"/>
        <v/>
      </c>
      <c r="G1141" s="116" t="str">
        <f>IF(ISNONTEXT(D1141),"",E1141-MAX($F$2:F1140))</f>
        <v/>
      </c>
      <c r="H1141" s="97"/>
      <c r="I1141" s="74" t="str">
        <f ca="1">IF(D1141="N",COUNTIF(INDIRECT(ADDRESS(MATCH(Plages!$D$19,'Planning annuel mixing coater'!$B:$B),4)):D1141,"N"),IF(D1141="N1",COUNTIF($D$9:D1141,"N1"),""))</f>
        <v/>
      </c>
      <c r="J1141" s="96" t="str">
        <f>IF(D1141="","",COUNTA(D1136:D1141)-(COUNTA(D1141:D1141)-1))</f>
        <v/>
      </c>
    </row>
    <row r="1142" spans="1:10" thickBot="1">
      <c r="A1142" s="117"/>
      <c r="B1142" s="70">
        <f t="shared" si="73"/>
        <v>44934</v>
      </c>
      <c r="C1142" s="82" t="str">
        <f t="shared" si="74"/>
        <v>dimanche</v>
      </c>
      <c r="D1142" s="87"/>
      <c r="E1142" s="115" t="str">
        <f t="shared" si="75"/>
        <v/>
      </c>
      <c r="F1142" s="115" t="str">
        <f t="shared" si="76"/>
        <v/>
      </c>
      <c r="G1142" s="116" t="str">
        <f>IF(ISNONTEXT(D1142),"",E1142-MAX($F$2:F1141))</f>
        <v/>
      </c>
      <c r="H1142" s="98"/>
      <c r="I1142" s="74" t="str">
        <f ca="1">IF(D1142="N",COUNTIF(INDIRECT(ADDRESS(MATCH(Plages!$D$19,'Planning annuel mixing coater'!$B:$B),4)):D1142,"N"),IF(D1142="N1",COUNTIF($D$9:D1142,"N1"),""))</f>
        <v/>
      </c>
      <c r="J1142" s="96" t="str">
        <f>IF(D1142="","",COUNTA(D1136:D1142)-(COUNTA(D1142:D1142)-1))</f>
        <v/>
      </c>
    </row>
    <row r="1143" spans="1:10" thickBot="1">
      <c r="A1143" s="117"/>
      <c r="B1143" s="70">
        <f t="shared" si="73"/>
        <v>44935</v>
      </c>
      <c r="C1143" s="82" t="str">
        <f t="shared" si="74"/>
        <v>lundi</v>
      </c>
      <c r="D1143" s="87"/>
      <c r="E1143" s="115" t="str">
        <f t="shared" si="75"/>
        <v/>
      </c>
      <c r="F1143" s="115" t="str">
        <f t="shared" si="76"/>
        <v/>
      </c>
      <c r="G1143" s="116" t="str">
        <f>IF(ISNONTEXT(D1143),"",E1143-MAX($F$2:F1142))</f>
        <v/>
      </c>
      <c r="H1143" s="97"/>
      <c r="I1143" s="74" t="str">
        <f ca="1">IF(D1143="N",COUNTIF(INDIRECT(ADDRESS(MATCH(Plages!$D$19,'Planning annuel mixing coater'!$B:$B),4)):D1143,"N"),IF(D1143="N1",COUNTIF($D$9:D1143,"N1"),""))</f>
        <v/>
      </c>
      <c r="J1143" s="96" t="str">
        <f>IF(D1143="","",COUNTA(D1136:D1143)-(COUNTA(D1143:D1143)-1))</f>
        <v/>
      </c>
    </row>
    <row r="1144" spans="1:10" thickBot="1">
      <c r="A1144" s="117"/>
      <c r="B1144" s="70">
        <f t="shared" si="73"/>
        <v>44936</v>
      </c>
      <c r="C1144" s="82" t="str">
        <f t="shared" si="74"/>
        <v>mardi</v>
      </c>
      <c r="D1144" s="87"/>
      <c r="E1144" s="115" t="str">
        <f t="shared" si="75"/>
        <v/>
      </c>
      <c r="F1144" s="115" t="str">
        <f t="shared" si="76"/>
        <v/>
      </c>
      <c r="G1144" s="116" t="str">
        <f>IF(ISNONTEXT(D1144),"",E1144-MAX($F$2:F1143))</f>
        <v/>
      </c>
      <c r="H1144" s="97"/>
      <c r="I1144" s="74" t="str">
        <f ca="1">IF(D1144="N",COUNTIF(INDIRECT(ADDRESS(MATCH(Plages!$D$19,'Planning annuel mixing coater'!$B:$B),4)):D1144,"N"),IF(D1144="N1",COUNTIF($D$9:D1144,"N1"),""))</f>
        <v/>
      </c>
      <c r="J1144" s="96" t="str">
        <f>IF(D1144="","",COUNTA(D1136:D1144)-(COUNTA(D1144:D1144)-1))</f>
        <v/>
      </c>
    </row>
    <row r="1145" spans="1:10" thickBot="1">
      <c r="A1145" s="117"/>
      <c r="B1145" s="70">
        <f t="shared" si="73"/>
        <v>44937</v>
      </c>
      <c r="C1145" s="82" t="str">
        <f t="shared" si="74"/>
        <v>mercredi</v>
      </c>
      <c r="D1145" s="87"/>
      <c r="E1145" s="115" t="str">
        <f t="shared" si="75"/>
        <v/>
      </c>
      <c r="F1145" s="115" t="str">
        <f t="shared" si="76"/>
        <v/>
      </c>
      <c r="G1145" s="116" t="str">
        <f>IF(ISNONTEXT(D1145),"",E1145-MAX($F$2:F1144))</f>
        <v/>
      </c>
      <c r="H1145" s="97"/>
      <c r="I1145" s="74" t="str">
        <f ca="1">IF(D1145="N",COUNTIF(INDIRECT(ADDRESS(MATCH(Plages!$D$19,'Planning annuel mixing coater'!$B:$B),4)):D1145,"N"),IF(D1145="N1",COUNTIF($D$9:D1145,"N1"),""))</f>
        <v/>
      </c>
      <c r="J1145" s="96" t="str">
        <f>IF(D1145="","",COUNTA(D1136:D1145)-(COUNTA(D1145:D1145)-1))</f>
        <v/>
      </c>
    </row>
    <row r="1146" spans="1:10" thickBot="1">
      <c r="A1146" s="117"/>
      <c r="B1146" s="70">
        <f t="shared" si="73"/>
        <v>44938</v>
      </c>
      <c r="C1146" s="82" t="str">
        <f t="shared" si="74"/>
        <v>jeudi</v>
      </c>
      <c r="D1146" s="87"/>
      <c r="E1146" s="115" t="str">
        <f t="shared" si="75"/>
        <v/>
      </c>
      <c r="F1146" s="115" t="str">
        <f t="shared" si="76"/>
        <v/>
      </c>
      <c r="G1146" s="116" t="str">
        <f>IF(ISNONTEXT(D1146),"",E1146-MAX($F$2:F1145))</f>
        <v/>
      </c>
      <c r="H1146" s="97"/>
      <c r="I1146" s="74" t="str">
        <f ca="1">IF(D1146="N",COUNTIF(INDIRECT(ADDRESS(MATCH(Plages!$D$19,'Planning annuel mixing coater'!$B:$B),4)):D1146,"N"),IF(D1146="N1",COUNTIF($D$9:D1146,"N1"),""))</f>
        <v/>
      </c>
      <c r="J1146" s="96" t="str">
        <f>IF(D1146="","",COUNTA(D1136:D1146)-(COUNTA(D1146:D1146)-1))</f>
        <v/>
      </c>
    </row>
    <row r="1147" spans="1:10" thickBot="1">
      <c r="A1147" s="117"/>
      <c r="B1147" s="70">
        <f t="shared" si="73"/>
        <v>44939</v>
      </c>
      <c r="C1147" s="82" t="str">
        <f t="shared" si="74"/>
        <v>vendredi</v>
      </c>
      <c r="D1147" s="87"/>
      <c r="E1147" s="115" t="str">
        <f t="shared" si="75"/>
        <v/>
      </c>
      <c r="F1147" s="115" t="str">
        <f t="shared" si="76"/>
        <v/>
      </c>
      <c r="G1147" s="116" t="str">
        <f>IF(ISNONTEXT(D1147),"",E1147-MAX($F$2:F1146))</f>
        <v/>
      </c>
      <c r="H1147" s="97"/>
      <c r="I1147" s="74" t="str">
        <f ca="1">IF(D1147="N",COUNTIF(INDIRECT(ADDRESS(MATCH(Plages!$D$19,'Planning annuel mixing coater'!$B:$B),4)):D1147,"N"),IF(D1147="N1",COUNTIF($D$9:D1147,"N1"),""))</f>
        <v/>
      </c>
      <c r="J1147" s="96" t="str">
        <f>IF(D1147="","",COUNTA(D1136:D1147)-(COUNTA(D1147:D1147)-1))</f>
        <v/>
      </c>
    </row>
    <row r="1148" spans="1:10" thickBot="1">
      <c r="A1148" s="117"/>
      <c r="B1148" s="70">
        <f t="shared" si="73"/>
        <v>44940</v>
      </c>
      <c r="C1148" s="82" t="str">
        <f t="shared" si="74"/>
        <v>samedi</v>
      </c>
      <c r="D1148" s="87"/>
      <c r="E1148" s="115" t="str">
        <f t="shared" si="75"/>
        <v/>
      </c>
      <c r="F1148" s="115" t="str">
        <f t="shared" si="76"/>
        <v/>
      </c>
      <c r="G1148" s="116" t="str">
        <f>IF(ISNONTEXT(D1148),"",E1148-MAX($F$2:F1147))</f>
        <v/>
      </c>
      <c r="H1148" s="97"/>
      <c r="I1148" s="74" t="str">
        <f ca="1">IF(D1148="N",COUNTIF(INDIRECT(ADDRESS(MATCH(Plages!$D$19,'Planning annuel mixing coater'!$B:$B),4)):D1148,"N"),IF(D1148="N1",COUNTIF($D$9:D1148,"N1"),""))</f>
        <v/>
      </c>
      <c r="J1148" s="96" t="str">
        <f>IF(D1148="","",COUNTA(D1136:D1148)-(COUNTA(D1148:D1148)-1))</f>
        <v/>
      </c>
    </row>
    <row r="1149" spans="1:10" s="77" customFormat="1" thickBot="1">
      <c r="A1149" s="117"/>
      <c r="B1149" s="75">
        <f t="shared" si="73"/>
        <v>44941</v>
      </c>
      <c r="C1149" s="83" t="str">
        <f t="shared" si="74"/>
        <v>dimanche</v>
      </c>
      <c r="D1149" s="88"/>
      <c r="E1149" s="115" t="str">
        <f t="shared" si="75"/>
        <v/>
      </c>
      <c r="F1149" s="115" t="str">
        <f t="shared" si="76"/>
        <v/>
      </c>
      <c r="G1149" s="116" t="str">
        <f>IF(ISNONTEXT(D1149),"",E1149-MAX($F$2:F1148))</f>
        <v/>
      </c>
      <c r="H1149" s="98"/>
      <c r="I1149" s="76" t="str">
        <f ca="1">IF(D1149="N",COUNTIF(INDIRECT(ADDRESS(MATCH(Plages!$D$19,'Planning annuel mixing coater'!$B:$B),4)):D1149,"N"),IF(D1149="N1",COUNTIF($D$9:D1149,"N1"),""))</f>
        <v/>
      </c>
      <c r="J1149" s="99" t="str">
        <f>IF(D1149="","",COUNTA(D1136:D1149)-(COUNTA(D1149:D1149)-1))</f>
        <v/>
      </c>
    </row>
    <row r="1150" spans="1:10" ht="16.5" thickTop="1" thickBot="1">
      <c r="A1150" s="117"/>
      <c r="B1150" s="78">
        <f t="shared" si="73"/>
        <v>44942</v>
      </c>
      <c r="C1150" s="81" t="str">
        <f t="shared" si="74"/>
        <v>lundi</v>
      </c>
      <c r="D1150" s="89"/>
      <c r="E1150" s="115" t="str">
        <f t="shared" si="75"/>
        <v/>
      </c>
      <c r="F1150" s="115" t="str">
        <f t="shared" si="76"/>
        <v/>
      </c>
      <c r="G1150" s="116" t="str">
        <f>IF(ISNONTEXT(D1150),"",E1150-MAX($F$2:F1149))</f>
        <v/>
      </c>
      <c r="H1150" s="100"/>
      <c r="I1150" s="79" t="str">
        <f ca="1">IF(D1150="N",COUNTIF(INDIRECT(ADDRESS(MATCH(Plages!$D$19,'Planning annuel mixing coater'!$B:$B),4)):D1150,"N"),IF(D1150="N1",COUNTIF($D$9:D1150,"N1"),""))</f>
        <v/>
      </c>
      <c r="J1150" s="101" t="str">
        <f>IF(D1150="","",COUNTA(D1150:D1150)-(COUNTA(D1150:D1150)-1))</f>
        <v/>
      </c>
    </row>
    <row r="1151" spans="1:10" thickBot="1">
      <c r="A1151" s="117"/>
      <c r="B1151" s="70">
        <f t="shared" si="73"/>
        <v>44943</v>
      </c>
      <c r="C1151" s="82" t="str">
        <f t="shared" si="74"/>
        <v>mardi</v>
      </c>
      <c r="D1151" s="87"/>
      <c r="E1151" s="115" t="str">
        <f t="shared" si="75"/>
        <v/>
      </c>
      <c r="F1151" s="115" t="str">
        <f t="shared" si="76"/>
        <v/>
      </c>
      <c r="G1151" s="116" t="str">
        <f>IF(ISNONTEXT(D1151),"",E1151-MAX($F$2:F1150))</f>
        <v/>
      </c>
      <c r="H1151" s="97"/>
      <c r="I1151" s="74" t="str">
        <f ca="1">IF(D1151="N",COUNTIF(INDIRECT(ADDRESS(MATCH(Plages!$D$19,'Planning annuel mixing coater'!$B:$B),4)):D1151,"N"),IF(D1151="N1",COUNTIF($D$9:D1151,"N1"),""))</f>
        <v/>
      </c>
      <c r="J1151" s="96" t="str">
        <f>IF(D1151="","",COUNTA(D1150:D1151)-(COUNTA(D1151:D1151)-1))</f>
        <v/>
      </c>
    </row>
    <row r="1152" spans="1:10" thickBot="1">
      <c r="A1152" s="117"/>
      <c r="B1152" s="70">
        <f t="shared" si="73"/>
        <v>44944</v>
      </c>
      <c r="C1152" s="82" t="str">
        <f t="shared" si="74"/>
        <v>mercredi</v>
      </c>
      <c r="D1152" s="87"/>
      <c r="E1152" s="115" t="str">
        <f t="shared" si="75"/>
        <v/>
      </c>
      <c r="F1152" s="115" t="str">
        <f t="shared" si="76"/>
        <v/>
      </c>
      <c r="G1152" s="116" t="str">
        <f>IF(ISNONTEXT(D1152),"",E1152-MAX($F$2:F1151))</f>
        <v/>
      </c>
      <c r="H1152" s="97"/>
      <c r="I1152" s="74" t="str">
        <f ca="1">IF(D1152="N",COUNTIF(INDIRECT(ADDRESS(MATCH(Plages!$D$19,'Planning annuel mixing coater'!$B:$B),4)):D1152,"N"),IF(D1152="N1",COUNTIF($D$9:D1152,"N1"),""))</f>
        <v/>
      </c>
      <c r="J1152" s="96" t="str">
        <f>IF(D1152="","",COUNTA(D1150:D1152)-(COUNTA(D1152:D1152)-1))</f>
        <v/>
      </c>
    </row>
    <row r="1153" spans="1:10" thickBot="1">
      <c r="A1153" s="117"/>
      <c r="B1153" s="70">
        <f t="shared" si="73"/>
        <v>44945</v>
      </c>
      <c r="C1153" s="82" t="str">
        <f t="shared" si="74"/>
        <v>jeudi</v>
      </c>
      <c r="D1153" s="87"/>
      <c r="E1153" s="115" t="str">
        <f t="shared" si="75"/>
        <v/>
      </c>
      <c r="F1153" s="115" t="str">
        <f t="shared" si="76"/>
        <v/>
      </c>
      <c r="G1153" s="116" t="str">
        <f>IF(ISNONTEXT(D1153),"",E1153-MAX($F$2:F1152))</f>
        <v/>
      </c>
      <c r="H1153" s="97"/>
      <c r="I1153" s="74" t="str">
        <f ca="1">IF(D1153="N",COUNTIF(INDIRECT(ADDRESS(MATCH(Plages!$D$19,'Planning annuel mixing coater'!$B:$B),4)):D1153,"N"),IF(D1153="N1",COUNTIF($D$9:D1153,"N1"),""))</f>
        <v/>
      </c>
      <c r="J1153" s="96" t="str">
        <f>IF(D1153="","",COUNTA(D1150:D1153)-(COUNTA(D1153:D1153)-1))</f>
        <v/>
      </c>
    </row>
    <row r="1154" spans="1:10" thickBot="1">
      <c r="A1154" s="117"/>
      <c r="B1154" s="70">
        <f t="shared" si="73"/>
        <v>44946</v>
      </c>
      <c r="C1154" s="82" t="str">
        <f t="shared" si="74"/>
        <v>vendredi</v>
      </c>
      <c r="D1154" s="87"/>
      <c r="E1154" s="115" t="str">
        <f t="shared" si="75"/>
        <v/>
      </c>
      <c r="F1154" s="115" t="str">
        <f t="shared" si="76"/>
        <v/>
      </c>
      <c r="G1154" s="116" t="str">
        <f>IF(ISNONTEXT(D1154),"",E1154-MAX($F$2:F1153))</f>
        <v/>
      </c>
      <c r="H1154" s="97"/>
      <c r="I1154" s="74" t="str">
        <f ca="1">IF(D1154="N",COUNTIF(INDIRECT(ADDRESS(MATCH(Plages!$D$19,'Planning annuel mixing coater'!$B:$B),4)):D1154,"N"),IF(D1154="N1",COUNTIF($D$9:D1154,"N1"),""))</f>
        <v/>
      </c>
      <c r="J1154" s="96" t="str">
        <f>IF(D1154="","",COUNTA(D1150:D1154)-(COUNTA(D1154:D1154)-1))</f>
        <v/>
      </c>
    </row>
    <row r="1155" spans="1:10" thickBot="1">
      <c r="A1155" s="117"/>
      <c r="B1155" s="70">
        <f t="shared" si="73"/>
        <v>44947</v>
      </c>
      <c r="C1155" s="82" t="str">
        <f t="shared" si="74"/>
        <v>samedi</v>
      </c>
      <c r="D1155" s="87"/>
      <c r="E1155" s="115" t="str">
        <f t="shared" si="75"/>
        <v/>
      </c>
      <c r="F1155" s="115" t="str">
        <f t="shared" si="76"/>
        <v/>
      </c>
      <c r="G1155" s="116" t="str">
        <f>IF(ISNONTEXT(D1155),"",E1155-MAX($F$2:F1154))</f>
        <v/>
      </c>
      <c r="H1155" s="97"/>
      <c r="I1155" s="74" t="str">
        <f ca="1">IF(D1155="N",COUNTIF(INDIRECT(ADDRESS(MATCH(Plages!$D$19,'Planning annuel mixing coater'!$B:$B),4)):D1155,"N"),IF(D1155="N1",COUNTIF($D$9:D1155,"N1"),""))</f>
        <v/>
      </c>
      <c r="J1155" s="96" t="str">
        <f>IF(D1155="","",COUNTA(D1150:D1155)-(COUNTA(D1155:D1155)-1))</f>
        <v/>
      </c>
    </row>
    <row r="1156" spans="1:10" thickBot="1">
      <c r="A1156" s="117"/>
      <c r="B1156" s="70">
        <f t="shared" ref="B1156:B1219" si="77">IF(B1155="","",B1155+1)</f>
        <v>44948</v>
      </c>
      <c r="C1156" s="82" t="str">
        <f t="shared" si="74"/>
        <v>dimanche</v>
      </c>
      <c r="D1156" s="87"/>
      <c r="E1156" s="115" t="str">
        <f t="shared" si="75"/>
        <v/>
      </c>
      <c r="F1156" s="115" t="str">
        <f t="shared" si="76"/>
        <v/>
      </c>
      <c r="G1156" s="116" t="str">
        <f>IF(ISNONTEXT(D1156),"",E1156-MAX($F$2:F1155))</f>
        <v/>
      </c>
      <c r="H1156" s="98"/>
      <c r="I1156" s="74" t="str">
        <f ca="1">IF(D1156="N",COUNTIF(INDIRECT(ADDRESS(MATCH(Plages!$D$19,'Planning annuel mixing coater'!$B:$B),4)):D1156,"N"),IF(D1156="N1",COUNTIF($D$9:D1156,"N1"),""))</f>
        <v/>
      </c>
      <c r="J1156" s="96" t="str">
        <f>IF(D1156="","",COUNTA(D1150:D1156)-(COUNTA(D1156:D1156)-1))</f>
        <v/>
      </c>
    </row>
    <row r="1157" spans="1:10" thickBot="1">
      <c r="A1157" s="117"/>
      <c r="B1157" s="70">
        <f t="shared" si="77"/>
        <v>44949</v>
      </c>
      <c r="C1157" s="82" t="str">
        <f t="shared" si="74"/>
        <v>lundi</v>
      </c>
      <c r="D1157" s="87"/>
      <c r="E1157" s="115" t="str">
        <f t="shared" si="75"/>
        <v/>
      </c>
      <c r="F1157" s="115" t="str">
        <f t="shared" si="76"/>
        <v/>
      </c>
      <c r="G1157" s="116" t="str">
        <f>IF(ISNONTEXT(D1157),"",E1157-MAX($F$2:F1156))</f>
        <v/>
      </c>
      <c r="H1157" s="97"/>
      <c r="I1157" s="74" t="str">
        <f ca="1">IF(D1157="N",COUNTIF(INDIRECT(ADDRESS(MATCH(Plages!$D$19,'Planning annuel mixing coater'!$B:$B),4)):D1157,"N"),IF(D1157="N1",COUNTIF($D$9:D1157,"N1"),""))</f>
        <v/>
      </c>
      <c r="J1157" s="96" t="str">
        <f>IF(D1157="","",COUNTA(D1150:D1157)-(COUNTA(D1157:D1157)-1))</f>
        <v/>
      </c>
    </row>
    <row r="1158" spans="1:10" thickBot="1">
      <c r="A1158" s="117"/>
      <c r="B1158" s="70">
        <f t="shared" si="77"/>
        <v>44950</v>
      </c>
      <c r="C1158" s="82" t="str">
        <f t="shared" si="74"/>
        <v>mardi</v>
      </c>
      <c r="D1158" s="87"/>
      <c r="E1158" s="115" t="str">
        <f t="shared" si="75"/>
        <v/>
      </c>
      <c r="F1158" s="115" t="str">
        <f t="shared" si="76"/>
        <v/>
      </c>
      <c r="G1158" s="116" t="str">
        <f>IF(ISNONTEXT(D1158),"",E1158-MAX($F$2:F1157))</f>
        <v/>
      </c>
      <c r="H1158" s="97"/>
      <c r="I1158" s="74" t="str">
        <f ca="1">IF(D1158="N",COUNTIF(INDIRECT(ADDRESS(MATCH(Plages!$D$19,'Planning annuel mixing coater'!$B:$B),4)):D1158,"N"),IF(D1158="N1",COUNTIF($D$9:D1158,"N1"),""))</f>
        <v/>
      </c>
      <c r="J1158" s="96" t="str">
        <f>IF(D1158="","",COUNTA(D1150:D1158)-(COUNTA(D1158:D1158)-1))</f>
        <v/>
      </c>
    </row>
    <row r="1159" spans="1:10" thickBot="1">
      <c r="A1159" s="117"/>
      <c r="B1159" s="70">
        <f t="shared" si="77"/>
        <v>44951</v>
      </c>
      <c r="C1159" s="82" t="str">
        <f t="shared" si="74"/>
        <v>mercredi</v>
      </c>
      <c r="D1159" s="87"/>
      <c r="E1159" s="115" t="str">
        <f t="shared" si="75"/>
        <v/>
      </c>
      <c r="F1159" s="115" t="str">
        <f t="shared" si="76"/>
        <v/>
      </c>
      <c r="G1159" s="116" t="str">
        <f>IF(ISNONTEXT(D1159),"",E1159-MAX($F$2:F1158))</f>
        <v/>
      </c>
      <c r="H1159" s="97"/>
      <c r="I1159" s="74" t="str">
        <f ca="1">IF(D1159="N",COUNTIF(INDIRECT(ADDRESS(MATCH(Plages!$D$19,'Planning annuel mixing coater'!$B:$B),4)):D1159,"N"),IF(D1159="N1",COUNTIF($D$9:D1159,"N1"),""))</f>
        <v/>
      </c>
      <c r="J1159" s="96" t="str">
        <f>IF(D1159="","",COUNTA(D1150:D1159)-(COUNTA(D1159:D1159)-1))</f>
        <v/>
      </c>
    </row>
    <row r="1160" spans="1:10" thickBot="1">
      <c r="A1160" s="117"/>
      <c r="B1160" s="70">
        <f t="shared" si="77"/>
        <v>44952</v>
      </c>
      <c r="C1160" s="82" t="str">
        <f t="shared" si="74"/>
        <v>jeudi</v>
      </c>
      <c r="D1160" s="87"/>
      <c r="E1160" s="115" t="str">
        <f t="shared" si="75"/>
        <v/>
      </c>
      <c r="F1160" s="115" t="str">
        <f t="shared" si="76"/>
        <v/>
      </c>
      <c r="G1160" s="116" t="str">
        <f>IF(ISNONTEXT(D1160),"",E1160-MAX($F$2:F1159))</f>
        <v/>
      </c>
      <c r="H1160" s="97"/>
      <c r="I1160" s="74" t="str">
        <f ca="1">IF(D1160="N",COUNTIF(INDIRECT(ADDRESS(MATCH(Plages!$D$19,'Planning annuel mixing coater'!$B:$B),4)):D1160,"N"),IF(D1160="N1",COUNTIF($D$9:D1160,"N1"),""))</f>
        <v/>
      </c>
      <c r="J1160" s="96" t="str">
        <f>IF(D1160="","",COUNTA(D1150:D1160)-(COUNTA(D1160:D1160)-1))</f>
        <v/>
      </c>
    </row>
    <row r="1161" spans="1:10" thickBot="1">
      <c r="A1161" s="117"/>
      <c r="B1161" s="70">
        <f t="shared" si="77"/>
        <v>44953</v>
      </c>
      <c r="C1161" s="82" t="str">
        <f t="shared" si="74"/>
        <v>vendredi</v>
      </c>
      <c r="D1161" s="87"/>
      <c r="E1161" s="115" t="str">
        <f t="shared" si="75"/>
        <v/>
      </c>
      <c r="F1161" s="115" t="str">
        <f t="shared" si="76"/>
        <v/>
      </c>
      <c r="G1161" s="116" t="str">
        <f>IF(ISNONTEXT(D1161),"",E1161-MAX($F$2:F1160))</f>
        <v/>
      </c>
      <c r="H1161" s="97"/>
      <c r="I1161" s="74" t="str">
        <f ca="1">IF(D1161="N",COUNTIF(INDIRECT(ADDRESS(MATCH(Plages!$D$19,'Planning annuel mixing coater'!$B:$B),4)):D1161,"N"),IF(D1161="N1",COUNTIF($D$9:D1161,"N1"),""))</f>
        <v/>
      </c>
      <c r="J1161" s="96" t="str">
        <f>IF(D1161="","",COUNTA(D1150:D1161)-(COUNTA(D1161:D1161)-1))</f>
        <v/>
      </c>
    </row>
    <row r="1162" spans="1:10" thickBot="1">
      <c r="A1162" s="117"/>
      <c r="B1162" s="70">
        <f t="shared" si="77"/>
        <v>44954</v>
      </c>
      <c r="C1162" s="82" t="str">
        <f t="shared" si="74"/>
        <v>samedi</v>
      </c>
      <c r="D1162" s="87"/>
      <c r="E1162" s="115" t="str">
        <f t="shared" si="75"/>
        <v/>
      </c>
      <c r="F1162" s="115" t="str">
        <f t="shared" si="76"/>
        <v/>
      </c>
      <c r="G1162" s="116" t="str">
        <f>IF(ISNONTEXT(D1162),"",E1162-MAX($F$2:F1161))</f>
        <v/>
      </c>
      <c r="H1162" s="97"/>
      <c r="I1162" s="74" t="str">
        <f ca="1">IF(D1162="N",COUNTIF(INDIRECT(ADDRESS(MATCH(Plages!$D$19,'Planning annuel mixing coater'!$B:$B),4)):D1162,"N"),IF(D1162="N1",COUNTIF($D$9:D1162,"N1"),""))</f>
        <v/>
      </c>
      <c r="J1162" s="96" t="str">
        <f>IF(D1162="","",COUNTA(D1150:D1162)-(COUNTA(D1162:D1162)-1))</f>
        <v/>
      </c>
    </row>
    <row r="1163" spans="1:10" s="77" customFormat="1" thickBot="1">
      <c r="A1163" s="117"/>
      <c r="B1163" s="75">
        <f t="shared" si="77"/>
        <v>44955</v>
      </c>
      <c r="C1163" s="83" t="str">
        <f t="shared" si="74"/>
        <v>dimanche</v>
      </c>
      <c r="D1163" s="88"/>
      <c r="E1163" s="115" t="str">
        <f t="shared" si="75"/>
        <v/>
      </c>
      <c r="F1163" s="115" t="str">
        <f t="shared" si="76"/>
        <v/>
      </c>
      <c r="G1163" s="116" t="str">
        <f>IF(ISNONTEXT(D1163),"",E1163-MAX($F$2:F1162))</f>
        <v/>
      </c>
      <c r="H1163" s="98"/>
      <c r="I1163" s="76" t="str">
        <f ca="1">IF(D1163="N",COUNTIF(INDIRECT(ADDRESS(MATCH(Plages!$D$19,'Planning annuel mixing coater'!$B:$B),4)):D1163,"N"),IF(D1163="N1",COUNTIF($D$9:D1163,"N1"),""))</f>
        <v/>
      </c>
      <c r="J1163" s="99" t="str">
        <f>IF(D1163="","",COUNTA(D1150:D1163)-(COUNTA(D1163:D1163)-1))</f>
        <v/>
      </c>
    </row>
    <row r="1164" spans="1:10" ht="16.5" thickTop="1" thickBot="1">
      <c r="A1164" s="117"/>
      <c r="B1164" s="78">
        <f t="shared" si="77"/>
        <v>44956</v>
      </c>
      <c r="C1164" s="81" t="str">
        <f t="shared" si="74"/>
        <v>lundi</v>
      </c>
      <c r="D1164" s="89"/>
      <c r="E1164" s="115" t="str">
        <f t="shared" si="75"/>
        <v/>
      </c>
      <c r="F1164" s="115" t="str">
        <f t="shared" si="76"/>
        <v/>
      </c>
      <c r="G1164" s="116" t="str">
        <f>IF(ISNONTEXT(D1164),"",E1164-MAX($F$2:F1163))</f>
        <v/>
      </c>
      <c r="H1164" s="100"/>
      <c r="I1164" s="79" t="str">
        <f ca="1">IF(D1164="N",COUNTIF(INDIRECT(ADDRESS(MATCH(Plages!$D$19,'Planning annuel mixing coater'!$B:$B),4)):D1164,"N"),IF(D1164="N1",COUNTIF($D$9:D1164,"N1"),""))</f>
        <v/>
      </c>
      <c r="J1164" s="101" t="str">
        <f>IF(D1164="","",COUNTA(D1164:D1164)-(COUNTA(D1164:D1164)-1))</f>
        <v/>
      </c>
    </row>
    <row r="1165" spans="1:10" thickBot="1">
      <c r="A1165" s="117"/>
      <c r="B1165" s="70">
        <f t="shared" si="77"/>
        <v>44957</v>
      </c>
      <c r="C1165" s="82" t="str">
        <f t="shared" si="74"/>
        <v>mardi</v>
      </c>
      <c r="D1165" s="87"/>
      <c r="E1165" s="115" t="str">
        <f t="shared" si="75"/>
        <v/>
      </c>
      <c r="F1165" s="115" t="str">
        <f t="shared" si="76"/>
        <v/>
      </c>
      <c r="G1165" s="116" t="str">
        <f>IF(ISNONTEXT(D1165),"",E1165-MAX($F$2:F1164))</f>
        <v/>
      </c>
      <c r="H1165" s="97"/>
      <c r="I1165" s="74" t="str">
        <f ca="1">IF(D1165="N",COUNTIF(INDIRECT(ADDRESS(MATCH(Plages!$D$19,'Planning annuel mixing coater'!$B:$B),4)):D1165,"N"),IF(D1165="N1",COUNTIF($D$9:D1165,"N1"),""))</f>
        <v/>
      </c>
      <c r="J1165" s="96" t="str">
        <f>IF(D1165="","",COUNTA(D1164:D1165)-(COUNTA(D1165:D1165)-1))</f>
        <v/>
      </c>
    </row>
    <row r="1166" spans="1:10" thickBot="1">
      <c r="A1166" s="117"/>
      <c r="B1166" s="70">
        <f t="shared" si="77"/>
        <v>44958</v>
      </c>
      <c r="C1166" s="82" t="str">
        <f t="shared" si="74"/>
        <v>mercredi</v>
      </c>
      <c r="D1166" s="87"/>
      <c r="E1166" s="115" t="str">
        <f t="shared" si="75"/>
        <v/>
      </c>
      <c r="F1166" s="115" t="str">
        <f t="shared" si="76"/>
        <v/>
      </c>
      <c r="G1166" s="116" t="str">
        <f>IF(ISNONTEXT(D1166),"",E1166-MAX($F$2:F1165))</f>
        <v/>
      </c>
      <c r="H1166" s="97"/>
      <c r="I1166" s="74" t="str">
        <f ca="1">IF(D1166="N",COUNTIF(INDIRECT(ADDRESS(MATCH(Plages!$D$19,'Planning annuel mixing coater'!$B:$B),4)):D1166,"N"),IF(D1166="N1",COUNTIF($D$9:D1166,"N1"),""))</f>
        <v/>
      </c>
      <c r="J1166" s="96" t="str">
        <f>IF(D1166="","",COUNTA(D1164:D1166)-(COUNTA(D1166:D1166)-1))</f>
        <v/>
      </c>
    </row>
    <row r="1167" spans="1:10" thickBot="1">
      <c r="A1167" s="117"/>
      <c r="B1167" s="70">
        <f t="shared" si="77"/>
        <v>44959</v>
      </c>
      <c r="C1167" s="82" t="str">
        <f t="shared" si="74"/>
        <v>jeudi</v>
      </c>
      <c r="D1167" s="87"/>
      <c r="E1167" s="115" t="str">
        <f t="shared" si="75"/>
        <v/>
      </c>
      <c r="F1167" s="115" t="str">
        <f t="shared" si="76"/>
        <v/>
      </c>
      <c r="G1167" s="116" t="str">
        <f>IF(ISNONTEXT(D1167),"",E1167-MAX($F$2:F1166))</f>
        <v/>
      </c>
      <c r="H1167" s="97"/>
      <c r="I1167" s="74" t="str">
        <f ca="1">IF(D1167="N",COUNTIF(INDIRECT(ADDRESS(MATCH(Plages!$D$19,'Planning annuel mixing coater'!$B:$B),4)):D1167,"N"),IF(D1167="N1",COUNTIF($D$9:D1167,"N1"),""))</f>
        <v/>
      </c>
      <c r="J1167" s="96" t="str">
        <f>IF(D1167="","",COUNTA(D1164:D1167)-(COUNTA(D1167:D1167)-1))</f>
        <v/>
      </c>
    </row>
    <row r="1168" spans="1:10" thickBot="1">
      <c r="A1168" s="117"/>
      <c r="B1168" s="70">
        <f t="shared" si="77"/>
        <v>44960</v>
      </c>
      <c r="C1168" s="82" t="str">
        <f t="shared" si="74"/>
        <v>vendredi</v>
      </c>
      <c r="D1168" s="87"/>
      <c r="E1168" s="115" t="str">
        <f t="shared" si="75"/>
        <v/>
      </c>
      <c r="F1168" s="115" t="str">
        <f t="shared" si="76"/>
        <v/>
      </c>
      <c r="G1168" s="116" t="str">
        <f>IF(ISNONTEXT(D1168),"",E1168-MAX($F$2:F1167))</f>
        <v/>
      </c>
      <c r="H1168" s="97"/>
      <c r="I1168" s="74" t="str">
        <f ca="1">IF(D1168="N",COUNTIF(INDIRECT(ADDRESS(MATCH(Plages!$D$19,'Planning annuel mixing coater'!$B:$B),4)):D1168,"N"),IF(D1168="N1",COUNTIF($D$9:D1168,"N1"),""))</f>
        <v/>
      </c>
      <c r="J1168" s="96" t="str">
        <f>IF(D1168="","",COUNTA(D1164:D1168)-(COUNTA(D1168:D1168)-1))</f>
        <v/>
      </c>
    </row>
    <row r="1169" spans="1:10" thickBot="1">
      <c r="A1169" s="117"/>
      <c r="B1169" s="70">
        <f t="shared" si="77"/>
        <v>44961</v>
      </c>
      <c r="C1169" s="82" t="str">
        <f t="shared" si="74"/>
        <v>samedi</v>
      </c>
      <c r="D1169" s="87"/>
      <c r="E1169" s="115" t="str">
        <f t="shared" si="75"/>
        <v/>
      </c>
      <c r="F1169" s="115" t="str">
        <f t="shared" si="76"/>
        <v/>
      </c>
      <c r="G1169" s="116" t="str">
        <f>IF(ISNONTEXT(D1169),"",E1169-MAX($F$2:F1168))</f>
        <v/>
      </c>
      <c r="H1169" s="97"/>
      <c r="I1169" s="74" t="str">
        <f ca="1">IF(D1169="N",COUNTIF(INDIRECT(ADDRESS(MATCH(Plages!$D$19,'Planning annuel mixing coater'!$B:$B),4)):D1169,"N"),IF(D1169="N1",COUNTIF($D$9:D1169,"N1"),""))</f>
        <v/>
      </c>
      <c r="J1169" s="96" t="str">
        <f>IF(D1169="","",COUNTA(D1164:D1169)-(COUNTA(D1169:D1169)-1))</f>
        <v/>
      </c>
    </row>
    <row r="1170" spans="1:10" thickBot="1">
      <c r="A1170" s="117"/>
      <c r="B1170" s="70">
        <f t="shared" si="77"/>
        <v>44962</v>
      </c>
      <c r="C1170" s="82" t="str">
        <f t="shared" si="74"/>
        <v>dimanche</v>
      </c>
      <c r="D1170" s="87"/>
      <c r="E1170" s="115" t="str">
        <f t="shared" si="75"/>
        <v/>
      </c>
      <c r="F1170" s="115" t="str">
        <f t="shared" si="76"/>
        <v/>
      </c>
      <c r="G1170" s="116" t="str">
        <f>IF(ISNONTEXT(D1170),"",E1170-MAX($F$2:F1169))</f>
        <v/>
      </c>
      <c r="H1170" s="98"/>
      <c r="I1170" s="74" t="str">
        <f ca="1">IF(D1170="N",COUNTIF(INDIRECT(ADDRESS(MATCH(Plages!$D$19,'Planning annuel mixing coater'!$B:$B),4)):D1170,"N"),IF(D1170="N1",COUNTIF($D$9:D1170,"N1"),""))</f>
        <v/>
      </c>
      <c r="J1170" s="96" t="str">
        <f>IF(D1170="","",COUNTA(D1164:D1170)-(COUNTA(D1170:D1170)-1))</f>
        <v/>
      </c>
    </row>
    <row r="1171" spans="1:10" thickBot="1">
      <c r="A1171" s="117"/>
      <c r="B1171" s="70">
        <f t="shared" si="77"/>
        <v>44963</v>
      </c>
      <c r="C1171" s="82" t="str">
        <f t="shared" si="74"/>
        <v>lundi</v>
      </c>
      <c r="D1171" s="87"/>
      <c r="E1171" s="115" t="str">
        <f t="shared" si="75"/>
        <v/>
      </c>
      <c r="F1171" s="115" t="str">
        <f t="shared" si="76"/>
        <v/>
      </c>
      <c r="G1171" s="116" t="str">
        <f>IF(ISNONTEXT(D1171),"",E1171-MAX($F$2:F1170))</f>
        <v/>
      </c>
      <c r="H1171" s="97"/>
      <c r="I1171" s="74" t="str">
        <f ca="1">IF(D1171="N",COUNTIF(INDIRECT(ADDRESS(MATCH(Plages!$D$19,'Planning annuel mixing coater'!$B:$B),4)):D1171,"N"),IF(D1171="N1",COUNTIF($D$9:D1171,"N1"),""))</f>
        <v/>
      </c>
      <c r="J1171" s="96" t="str">
        <f>IF(D1171="","",COUNTA(D1164:D1171)-(COUNTA(D1171:D1171)-1))</f>
        <v/>
      </c>
    </row>
    <row r="1172" spans="1:10" thickBot="1">
      <c r="A1172" s="117"/>
      <c r="B1172" s="70">
        <f t="shared" si="77"/>
        <v>44964</v>
      </c>
      <c r="C1172" s="82" t="str">
        <f t="shared" si="74"/>
        <v>mardi</v>
      </c>
      <c r="D1172" s="87"/>
      <c r="E1172" s="115" t="str">
        <f t="shared" si="75"/>
        <v/>
      </c>
      <c r="F1172" s="115" t="str">
        <f t="shared" si="76"/>
        <v/>
      </c>
      <c r="G1172" s="116" t="str">
        <f>IF(ISNONTEXT(D1172),"",E1172-MAX($F$2:F1171))</f>
        <v/>
      </c>
      <c r="H1172" s="97"/>
      <c r="I1172" s="74" t="str">
        <f ca="1">IF(D1172="N",COUNTIF(INDIRECT(ADDRESS(MATCH(Plages!$D$19,'Planning annuel mixing coater'!$B:$B),4)):D1172,"N"),IF(D1172="N1",COUNTIF($D$9:D1172,"N1"),""))</f>
        <v/>
      </c>
      <c r="J1172" s="96" t="str">
        <f>IF(D1172="","",COUNTA(D1164:D1172)-(COUNTA(D1172:D1172)-1))</f>
        <v/>
      </c>
    </row>
    <row r="1173" spans="1:10" thickBot="1">
      <c r="A1173" s="117"/>
      <c r="B1173" s="70">
        <f t="shared" si="77"/>
        <v>44965</v>
      </c>
      <c r="C1173" s="82" t="str">
        <f t="shared" si="74"/>
        <v>mercredi</v>
      </c>
      <c r="D1173" s="87"/>
      <c r="E1173" s="115" t="str">
        <f t="shared" si="75"/>
        <v/>
      </c>
      <c r="F1173" s="115" t="str">
        <f t="shared" si="76"/>
        <v/>
      </c>
      <c r="G1173" s="116" t="str">
        <f>IF(ISNONTEXT(D1173),"",E1173-MAX($F$2:F1172))</f>
        <v/>
      </c>
      <c r="H1173" s="97"/>
      <c r="I1173" s="74" t="str">
        <f ca="1">IF(D1173="N",COUNTIF(INDIRECT(ADDRESS(MATCH(Plages!$D$19,'Planning annuel mixing coater'!$B:$B),4)):D1173,"N"),IF(D1173="N1",COUNTIF($D$9:D1173,"N1"),""))</f>
        <v/>
      </c>
      <c r="J1173" s="96" t="str">
        <f>IF(D1173="","",COUNTA(D1164:D1173)-(COUNTA(D1173:D1173)-1))</f>
        <v/>
      </c>
    </row>
    <row r="1174" spans="1:10" thickBot="1">
      <c r="A1174" s="117"/>
      <c r="B1174" s="70">
        <f t="shared" si="77"/>
        <v>44966</v>
      </c>
      <c r="C1174" s="82" t="str">
        <f t="shared" si="74"/>
        <v>jeudi</v>
      </c>
      <c r="D1174" s="87"/>
      <c r="E1174" s="115" t="str">
        <f t="shared" si="75"/>
        <v/>
      </c>
      <c r="F1174" s="115" t="str">
        <f t="shared" si="76"/>
        <v/>
      </c>
      <c r="G1174" s="116" t="str">
        <f>IF(ISNONTEXT(D1174),"",E1174-MAX($F$2:F1173))</f>
        <v/>
      </c>
      <c r="H1174" s="97"/>
      <c r="I1174" s="74" t="str">
        <f ca="1">IF(D1174="N",COUNTIF(INDIRECT(ADDRESS(MATCH(Plages!$D$19,'Planning annuel mixing coater'!$B:$B),4)):D1174,"N"),IF(D1174="N1",COUNTIF($D$9:D1174,"N1"),""))</f>
        <v/>
      </c>
      <c r="J1174" s="96" t="str">
        <f>IF(D1174="","",COUNTA(D1164:D1174)-(COUNTA(D1174:D1174)-1))</f>
        <v/>
      </c>
    </row>
    <row r="1175" spans="1:10" thickBot="1">
      <c r="A1175" s="117"/>
      <c r="B1175" s="70">
        <f t="shared" si="77"/>
        <v>44967</v>
      </c>
      <c r="C1175" s="82" t="str">
        <f t="shared" si="74"/>
        <v>vendredi</v>
      </c>
      <c r="D1175" s="87"/>
      <c r="E1175" s="115" t="str">
        <f t="shared" si="75"/>
        <v/>
      </c>
      <c r="F1175" s="115" t="str">
        <f t="shared" si="76"/>
        <v/>
      </c>
      <c r="G1175" s="116" t="str">
        <f>IF(ISNONTEXT(D1175),"",E1175-MAX($F$2:F1174))</f>
        <v/>
      </c>
      <c r="H1175" s="97"/>
      <c r="I1175" s="74" t="str">
        <f ca="1">IF(D1175="N",COUNTIF(INDIRECT(ADDRESS(MATCH(Plages!$D$19,'Planning annuel mixing coater'!$B:$B),4)):D1175,"N"),IF(D1175="N1",COUNTIF($D$9:D1175,"N1"),""))</f>
        <v/>
      </c>
      <c r="J1175" s="96" t="str">
        <f>IF(D1175="","",COUNTA(D1164:D1175)-(COUNTA(D1175:D1175)-1))</f>
        <v/>
      </c>
    </row>
    <row r="1176" spans="1:10" thickBot="1">
      <c r="A1176" s="117"/>
      <c r="B1176" s="70">
        <f t="shared" si="77"/>
        <v>44968</v>
      </c>
      <c r="C1176" s="82" t="str">
        <f t="shared" si="74"/>
        <v>samedi</v>
      </c>
      <c r="D1176" s="87"/>
      <c r="E1176" s="115" t="str">
        <f t="shared" si="75"/>
        <v/>
      </c>
      <c r="F1176" s="115" t="str">
        <f t="shared" si="76"/>
        <v/>
      </c>
      <c r="G1176" s="116" t="str">
        <f>IF(ISNONTEXT(D1176),"",E1176-MAX($F$2:F1175))</f>
        <v/>
      </c>
      <c r="H1176" s="97"/>
      <c r="I1176" s="74" t="str">
        <f ca="1">IF(D1176="N",COUNTIF(INDIRECT(ADDRESS(MATCH(Plages!$D$19,'Planning annuel mixing coater'!$B:$B),4)):D1176,"N"),IF(D1176="N1",COUNTIF($D$9:D1176,"N1"),""))</f>
        <v/>
      </c>
      <c r="J1176" s="96" t="str">
        <f>IF(D1176="","",COUNTA(D1164:D1176)-(COUNTA(D1176:D1176)-1))</f>
        <v/>
      </c>
    </row>
    <row r="1177" spans="1:10" s="77" customFormat="1" thickBot="1">
      <c r="A1177" s="117"/>
      <c r="B1177" s="75">
        <f t="shared" si="77"/>
        <v>44969</v>
      </c>
      <c r="C1177" s="83" t="str">
        <f t="shared" si="74"/>
        <v>dimanche</v>
      </c>
      <c r="D1177" s="88"/>
      <c r="E1177" s="115" t="str">
        <f t="shared" si="75"/>
        <v/>
      </c>
      <c r="F1177" s="115" t="str">
        <f t="shared" si="76"/>
        <v/>
      </c>
      <c r="G1177" s="116" t="str">
        <f>IF(ISNONTEXT(D1177),"",E1177-MAX($F$2:F1176))</f>
        <v/>
      </c>
      <c r="H1177" s="98"/>
      <c r="I1177" s="76" t="str">
        <f ca="1">IF(D1177="N",COUNTIF(INDIRECT(ADDRESS(MATCH(Plages!$D$19,'Planning annuel mixing coater'!$B:$B),4)):D1177,"N"),IF(D1177="N1",COUNTIF($D$9:D1177,"N1"),""))</f>
        <v/>
      </c>
      <c r="J1177" s="99" t="str">
        <f>IF(D1177="","",COUNTA(D1164:D1177)-(COUNTA(D1177:D1177)-1))</f>
        <v/>
      </c>
    </row>
    <row r="1178" spans="1:10" ht="16.5" thickTop="1" thickBot="1">
      <c r="A1178" s="117"/>
      <c r="B1178" s="78">
        <f t="shared" si="77"/>
        <v>44970</v>
      </c>
      <c r="C1178" s="81" t="str">
        <f t="shared" si="74"/>
        <v>lundi</v>
      </c>
      <c r="D1178" s="89"/>
      <c r="E1178" s="115" t="str">
        <f t="shared" si="75"/>
        <v/>
      </c>
      <c r="F1178" s="115" t="str">
        <f t="shared" si="76"/>
        <v/>
      </c>
      <c r="G1178" s="116" t="str">
        <f>IF(ISNONTEXT(D1178),"",E1178-MAX($F$2:F1177))</f>
        <v/>
      </c>
      <c r="H1178" s="100"/>
      <c r="I1178" s="79" t="str">
        <f ca="1">IF(D1178="N",COUNTIF(INDIRECT(ADDRESS(MATCH(Plages!$D$19,'Planning annuel mixing coater'!$B:$B),4)):D1178,"N"),IF(D1178="N1",COUNTIF($D$9:D1178,"N1"),""))</f>
        <v/>
      </c>
      <c r="J1178" s="101" t="str">
        <f>IF(D1178="","",COUNTA(D1178:D1178)-(COUNTA(D1178:D1178)-1))</f>
        <v/>
      </c>
    </row>
    <row r="1179" spans="1:10" thickBot="1">
      <c r="A1179" s="117"/>
      <c r="B1179" s="70">
        <f t="shared" si="77"/>
        <v>44971</v>
      </c>
      <c r="C1179" s="82" t="str">
        <f t="shared" si="74"/>
        <v>mardi</v>
      </c>
      <c r="D1179" s="87"/>
      <c r="E1179" s="115" t="str">
        <f t="shared" si="75"/>
        <v/>
      </c>
      <c r="F1179" s="115" t="str">
        <f t="shared" si="76"/>
        <v/>
      </c>
      <c r="G1179" s="116" t="str">
        <f>IF(ISNONTEXT(D1179),"",E1179-MAX($F$2:F1178))</f>
        <v/>
      </c>
      <c r="H1179" s="97"/>
      <c r="I1179" s="74" t="str">
        <f ca="1">IF(D1179="N",COUNTIF(INDIRECT(ADDRESS(MATCH(Plages!$D$19,'Planning annuel mixing coater'!$B:$B),4)):D1179,"N"),IF(D1179="N1",COUNTIF($D$9:D1179,"N1"),""))</f>
        <v/>
      </c>
      <c r="J1179" s="96" t="str">
        <f>IF(D1179="","",COUNTA(D1178:D1179)-(COUNTA(D1179:D1179)-1))</f>
        <v/>
      </c>
    </row>
    <row r="1180" spans="1:10" thickBot="1">
      <c r="A1180" s="117"/>
      <c r="B1180" s="70">
        <f t="shared" si="77"/>
        <v>44972</v>
      </c>
      <c r="C1180" s="82" t="str">
        <f t="shared" si="74"/>
        <v>mercredi</v>
      </c>
      <c r="D1180" s="87"/>
      <c r="E1180" s="115" t="str">
        <f t="shared" si="75"/>
        <v/>
      </c>
      <c r="F1180" s="115" t="str">
        <f t="shared" si="76"/>
        <v/>
      </c>
      <c r="G1180" s="116" t="str">
        <f>IF(ISNONTEXT(D1180),"",E1180-MAX($F$2:F1179))</f>
        <v/>
      </c>
      <c r="H1180" s="97"/>
      <c r="I1180" s="74" t="str">
        <f ca="1">IF(D1180="N",COUNTIF(INDIRECT(ADDRESS(MATCH(Plages!$D$19,'Planning annuel mixing coater'!$B:$B),4)):D1180,"N"),IF(D1180="N1",COUNTIF($D$9:D1180,"N1"),""))</f>
        <v/>
      </c>
      <c r="J1180" s="96" t="str">
        <f>IF(D1180="","",COUNTA(D1178:D1180)-(COUNTA(D1180:D1180)-1))</f>
        <v/>
      </c>
    </row>
    <row r="1181" spans="1:10" thickBot="1">
      <c r="A1181" s="117"/>
      <c r="B1181" s="70">
        <f t="shared" si="77"/>
        <v>44973</v>
      </c>
      <c r="C1181" s="82" t="str">
        <f t="shared" si="74"/>
        <v>jeudi</v>
      </c>
      <c r="D1181" s="87"/>
      <c r="E1181" s="115" t="str">
        <f t="shared" si="75"/>
        <v/>
      </c>
      <c r="F1181" s="115" t="str">
        <f t="shared" si="76"/>
        <v/>
      </c>
      <c r="G1181" s="116" t="str">
        <f>IF(ISNONTEXT(D1181),"",E1181-MAX($F$2:F1180))</f>
        <v/>
      </c>
      <c r="H1181" s="97"/>
      <c r="I1181" s="74" t="str">
        <f ca="1">IF(D1181="N",COUNTIF(INDIRECT(ADDRESS(MATCH(Plages!$D$19,'Planning annuel mixing coater'!$B:$B),4)):D1181,"N"),IF(D1181="N1",COUNTIF($D$9:D1181,"N1"),""))</f>
        <v/>
      </c>
      <c r="J1181" s="96" t="str">
        <f>IF(D1181="","",COUNTA(D1178:D1181)-(COUNTA(D1181:D1181)-1))</f>
        <v/>
      </c>
    </row>
    <row r="1182" spans="1:10" thickBot="1">
      <c r="A1182" s="117"/>
      <c r="B1182" s="70">
        <f t="shared" si="77"/>
        <v>44974</v>
      </c>
      <c r="C1182" s="82" t="str">
        <f t="shared" ref="C1182:C1245" si="78">IF(B1182="","",TEXT(B1182,"jjjj"))</f>
        <v>vendredi</v>
      </c>
      <c r="D1182" s="87"/>
      <c r="E1182" s="115" t="str">
        <f t="shared" ref="E1182:E1245" si="79">IF(D1182="","",B1182+VLOOKUP(D1182,Plageh,2,0))</f>
        <v/>
      </c>
      <c r="F1182" s="115" t="str">
        <f t="shared" ref="F1182:F1245" si="80">IF(D1182="","",B1182+VLOOKUP(D1182,Plageh,3,0))</f>
        <v/>
      </c>
      <c r="G1182" s="116" t="str">
        <f>IF(ISNONTEXT(D1182),"",E1182-MAX($F$2:F1181))</f>
        <v/>
      </c>
      <c r="H1182" s="97"/>
      <c r="I1182" s="74" t="str">
        <f ca="1">IF(D1182="N",COUNTIF(INDIRECT(ADDRESS(MATCH(Plages!$D$19,'Planning annuel mixing coater'!$B:$B),4)):D1182,"N"),IF(D1182="N1",COUNTIF($D$9:D1182,"N1"),""))</f>
        <v/>
      </c>
      <c r="J1182" s="96" t="str">
        <f>IF(D1182="","",COUNTA(D1178:D1182)-(COUNTA(D1182:D1182)-1))</f>
        <v/>
      </c>
    </row>
    <row r="1183" spans="1:10" thickBot="1">
      <c r="A1183" s="117"/>
      <c r="B1183" s="70">
        <f t="shared" si="77"/>
        <v>44975</v>
      </c>
      <c r="C1183" s="82" t="str">
        <f t="shared" si="78"/>
        <v>samedi</v>
      </c>
      <c r="D1183" s="87"/>
      <c r="E1183" s="115" t="str">
        <f t="shared" si="79"/>
        <v/>
      </c>
      <c r="F1183" s="115" t="str">
        <f t="shared" si="80"/>
        <v/>
      </c>
      <c r="G1183" s="116" t="str">
        <f>IF(ISNONTEXT(D1183),"",E1183-MAX($F$2:F1182))</f>
        <v/>
      </c>
      <c r="H1183" s="97"/>
      <c r="I1183" s="74" t="str">
        <f ca="1">IF(D1183="N",COUNTIF(INDIRECT(ADDRESS(MATCH(Plages!$D$19,'Planning annuel mixing coater'!$B:$B),4)):D1183,"N"),IF(D1183="N1",COUNTIF($D$9:D1183,"N1"),""))</f>
        <v/>
      </c>
      <c r="J1183" s="96" t="str">
        <f>IF(D1183="","",COUNTA(D1178:D1183)-(COUNTA(D1183:D1183)-1))</f>
        <v/>
      </c>
    </row>
    <row r="1184" spans="1:10" thickBot="1">
      <c r="A1184" s="117"/>
      <c r="B1184" s="70">
        <f t="shared" si="77"/>
        <v>44976</v>
      </c>
      <c r="C1184" s="82" t="str">
        <f t="shared" si="78"/>
        <v>dimanche</v>
      </c>
      <c r="D1184" s="87"/>
      <c r="E1184" s="115" t="str">
        <f t="shared" si="79"/>
        <v/>
      </c>
      <c r="F1184" s="115" t="str">
        <f t="shared" si="80"/>
        <v/>
      </c>
      <c r="G1184" s="116" t="str">
        <f>IF(ISNONTEXT(D1184),"",E1184-MAX($F$2:F1183))</f>
        <v/>
      </c>
      <c r="H1184" s="98"/>
      <c r="I1184" s="74" t="str">
        <f ca="1">IF(D1184="N",COUNTIF(INDIRECT(ADDRESS(MATCH(Plages!$D$19,'Planning annuel mixing coater'!$B:$B),4)):D1184,"N"),IF(D1184="N1",COUNTIF($D$9:D1184,"N1"),""))</f>
        <v/>
      </c>
      <c r="J1184" s="96" t="str">
        <f>IF(D1184="","",COUNTA(D1178:D1184)-(COUNTA(D1184:D1184)-1))</f>
        <v/>
      </c>
    </row>
    <row r="1185" spans="1:10" thickBot="1">
      <c r="A1185" s="117"/>
      <c r="B1185" s="70">
        <f t="shared" si="77"/>
        <v>44977</v>
      </c>
      <c r="C1185" s="82" t="str">
        <f t="shared" si="78"/>
        <v>lundi</v>
      </c>
      <c r="D1185" s="87"/>
      <c r="E1185" s="115" t="str">
        <f t="shared" si="79"/>
        <v/>
      </c>
      <c r="F1185" s="115" t="str">
        <f t="shared" si="80"/>
        <v/>
      </c>
      <c r="G1185" s="116" t="str">
        <f>IF(ISNONTEXT(D1185),"",E1185-MAX($F$2:F1184))</f>
        <v/>
      </c>
      <c r="H1185" s="97"/>
      <c r="I1185" s="74" t="str">
        <f ca="1">IF(D1185="N",COUNTIF(INDIRECT(ADDRESS(MATCH(Plages!$D$19,'Planning annuel mixing coater'!$B:$B),4)):D1185,"N"),IF(D1185="N1",COUNTIF($D$9:D1185,"N1"),""))</f>
        <v/>
      </c>
      <c r="J1185" s="96" t="str">
        <f>IF(D1185="","",COUNTA(D1178:D1185)-(COUNTA(D1185:D1185)-1))</f>
        <v/>
      </c>
    </row>
    <row r="1186" spans="1:10" thickBot="1">
      <c r="A1186" s="117"/>
      <c r="B1186" s="70">
        <f t="shared" si="77"/>
        <v>44978</v>
      </c>
      <c r="C1186" s="82" t="str">
        <f t="shared" si="78"/>
        <v>mardi</v>
      </c>
      <c r="D1186" s="87"/>
      <c r="E1186" s="115" t="str">
        <f t="shared" si="79"/>
        <v/>
      </c>
      <c r="F1186" s="115" t="str">
        <f t="shared" si="80"/>
        <v/>
      </c>
      <c r="G1186" s="116" t="str">
        <f>IF(ISNONTEXT(D1186),"",E1186-MAX($F$2:F1185))</f>
        <v/>
      </c>
      <c r="H1186" s="97"/>
      <c r="I1186" s="74" t="str">
        <f ca="1">IF(D1186="N",COUNTIF(INDIRECT(ADDRESS(MATCH(Plages!$D$19,'Planning annuel mixing coater'!$B:$B),4)):D1186,"N"),IF(D1186="N1",COUNTIF($D$9:D1186,"N1"),""))</f>
        <v/>
      </c>
      <c r="J1186" s="96" t="str">
        <f>IF(D1186="","",COUNTA(D1178:D1186)-(COUNTA(D1186:D1186)-1))</f>
        <v/>
      </c>
    </row>
    <row r="1187" spans="1:10" thickBot="1">
      <c r="A1187" s="117"/>
      <c r="B1187" s="70">
        <f t="shared" si="77"/>
        <v>44979</v>
      </c>
      <c r="C1187" s="82" t="str">
        <f t="shared" si="78"/>
        <v>mercredi</v>
      </c>
      <c r="D1187" s="87"/>
      <c r="E1187" s="115" t="str">
        <f t="shared" si="79"/>
        <v/>
      </c>
      <c r="F1187" s="115" t="str">
        <f t="shared" si="80"/>
        <v/>
      </c>
      <c r="G1187" s="116" t="str">
        <f>IF(ISNONTEXT(D1187),"",E1187-MAX($F$2:F1186))</f>
        <v/>
      </c>
      <c r="H1187" s="97"/>
      <c r="I1187" s="74" t="str">
        <f ca="1">IF(D1187="N",COUNTIF(INDIRECT(ADDRESS(MATCH(Plages!$D$19,'Planning annuel mixing coater'!$B:$B),4)):D1187,"N"),IF(D1187="N1",COUNTIF($D$9:D1187,"N1"),""))</f>
        <v/>
      </c>
      <c r="J1187" s="96" t="str">
        <f>IF(D1187="","",COUNTA(D1178:D1187)-(COUNTA(D1187:D1187)-1))</f>
        <v/>
      </c>
    </row>
    <row r="1188" spans="1:10" thickBot="1">
      <c r="A1188" s="117"/>
      <c r="B1188" s="70">
        <f t="shared" si="77"/>
        <v>44980</v>
      </c>
      <c r="C1188" s="82" t="str">
        <f t="shared" si="78"/>
        <v>jeudi</v>
      </c>
      <c r="D1188" s="87"/>
      <c r="E1188" s="115" t="str">
        <f t="shared" si="79"/>
        <v/>
      </c>
      <c r="F1188" s="115" t="str">
        <f t="shared" si="80"/>
        <v/>
      </c>
      <c r="G1188" s="116" t="str">
        <f>IF(ISNONTEXT(D1188),"",E1188-MAX($F$2:F1187))</f>
        <v/>
      </c>
      <c r="H1188" s="97"/>
      <c r="I1188" s="74" t="str">
        <f ca="1">IF(D1188="N",COUNTIF(INDIRECT(ADDRESS(MATCH(Plages!$D$19,'Planning annuel mixing coater'!$B:$B),4)):D1188,"N"),IF(D1188="N1",COUNTIF($D$9:D1188,"N1"),""))</f>
        <v/>
      </c>
      <c r="J1188" s="96" t="str">
        <f>IF(D1188="","",COUNTA(D1178:D1188)-(COUNTA(D1188:D1188)-1))</f>
        <v/>
      </c>
    </row>
    <row r="1189" spans="1:10" thickBot="1">
      <c r="A1189" s="117"/>
      <c r="B1189" s="70">
        <f t="shared" si="77"/>
        <v>44981</v>
      </c>
      <c r="C1189" s="82" t="str">
        <f t="shared" si="78"/>
        <v>vendredi</v>
      </c>
      <c r="D1189" s="87"/>
      <c r="E1189" s="115" t="str">
        <f t="shared" si="79"/>
        <v/>
      </c>
      <c r="F1189" s="115" t="str">
        <f t="shared" si="80"/>
        <v/>
      </c>
      <c r="G1189" s="116" t="str">
        <f>IF(ISNONTEXT(D1189),"",E1189-MAX($F$2:F1188))</f>
        <v/>
      </c>
      <c r="H1189" s="97"/>
      <c r="I1189" s="74" t="str">
        <f ca="1">IF(D1189="N",COUNTIF(INDIRECT(ADDRESS(MATCH(Plages!$D$19,'Planning annuel mixing coater'!$B:$B),4)):D1189,"N"),IF(D1189="N1",COUNTIF($D$9:D1189,"N1"),""))</f>
        <v/>
      </c>
      <c r="J1189" s="96" t="str">
        <f>IF(D1189="","",COUNTA(D1178:D1189)-(COUNTA(D1189:D1189)-1))</f>
        <v/>
      </c>
    </row>
    <row r="1190" spans="1:10" thickBot="1">
      <c r="A1190" s="117"/>
      <c r="B1190" s="70">
        <f t="shared" si="77"/>
        <v>44982</v>
      </c>
      <c r="C1190" s="82" t="str">
        <f t="shared" si="78"/>
        <v>samedi</v>
      </c>
      <c r="D1190" s="87"/>
      <c r="E1190" s="115" t="str">
        <f t="shared" si="79"/>
        <v/>
      </c>
      <c r="F1190" s="115" t="str">
        <f t="shared" si="80"/>
        <v/>
      </c>
      <c r="G1190" s="116" t="str">
        <f>IF(ISNONTEXT(D1190),"",E1190-MAX($F$2:F1189))</f>
        <v/>
      </c>
      <c r="H1190" s="97"/>
      <c r="I1190" s="74" t="str">
        <f ca="1">IF(D1190="N",COUNTIF(INDIRECT(ADDRESS(MATCH(Plages!$D$19,'Planning annuel mixing coater'!$B:$B),4)):D1190,"N"),IF(D1190="N1",COUNTIF($D$9:D1190,"N1"),""))</f>
        <v/>
      </c>
      <c r="J1190" s="96" t="str">
        <f>IF(D1190="","",COUNTA(D1178:D1190)-(COUNTA(D1190:D1190)-1))</f>
        <v/>
      </c>
    </row>
    <row r="1191" spans="1:10" s="77" customFormat="1" thickBot="1">
      <c r="A1191" s="117"/>
      <c r="B1191" s="75">
        <f t="shared" si="77"/>
        <v>44983</v>
      </c>
      <c r="C1191" s="83" t="str">
        <f t="shared" si="78"/>
        <v>dimanche</v>
      </c>
      <c r="D1191" s="88"/>
      <c r="E1191" s="115" t="str">
        <f t="shared" si="79"/>
        <v/>
      </c>
      <c r="F1191" s="115" t="str">
        <f t="shared" si="80"/>
        <v/>
      </c>
      <c r="G1191" s="116" t="str">
        <f>IF(ISNONTEXT(D1191),"",E1191-MAX($F$2:F1190))</f>
        <v/>
      </c>
      <c r="H1191" s="98"/>
      <c r="I1191" s="76" t="str">
        <f ca="1">IF(D1191="N",COUNTIF(INDIRECT(ADDRESS(MATCH(Plages!$D$19,'Planning annuel mixing coater'!$B:$B),4)):D1191,"N"),IF(D1191="N1",COUNTIF($D$9:D1191,"N1"),""))</f>
        <v/>
      </c>
      <c r="J1191" s="99" t="str">
        <f>IF(D1191="","",COUNTA(D1178:D1191)-(COUNTA(D1191:D1191)-1))</f>
        <v/>
      </c>
    </row>
    <row r="1192" spans="1:10" ht="16.5" thickTop="1" thickBot="1">
      <c r="A1192" s="117"/>
      <c r="B1192" s="78">
        <f t="shared" si="77"/>
        <v>44984</v>
      </c>
      <c r="C1192" s="81" t="str">
        <f t="shared" si="78"/>
        <v>lundi</v>
      </c>
      <c r="D1192" s="89"/>
      <c r="E1192" s="115" t="str">
        <f t="shared" si="79"/>
        <v/>
      </c>
      <c r="F1192" s="115" t="str">
        <f t="shared" si="80"/>
        <v/>
      </c>
      <c r="G1192" s="116" t="str">
        <f>IF(ISNONTEXT(D1192),"",E1192-MAX($F$2:F1191))</f>
        <v/>
      </c>
      <c r="H1192" s="100"/>
      <c r="I1192" s="79" t="str">
        <f ca="1">IF(D1192="N",COUNTIF(INDIRECT(ADDRESS(MATCH(Plages!$D$19,'Planning annuel mixing coater'!$B:$B),4)):D1192,"N"),IF(D1192="N1",COUNTIF($D$9:D1192,"N1"),""))</f>
        <v/>
      </c>
      <c r="J1192" s="101" t="str">
        <f>IF(D1192="","",COUNTA(D1192:D1192)-(COUNTA(D1192:D1192)-1))</f>
        <v/>
      </c>
    </row>
    <row r="1193" spans="1:10" thickBot="1">
      <c r="A1193" s="117"/>
      <c r="B1193" s="70">
        <f t="shared" si="77"/>
        <v>44985</v>
      </c>
      <c r="C1193" s="82" t="str">
        <f t="shared" si="78"/>
        <v>mardi</v>
      </c>
      <c r="D1193" s="87"/>
      <c r="E1193" s="115" t="str">
        <f t="shared" si="79"/>
        <v/>
      </c>
      <c r="F1193" s="115" t="str">
        <f t="shared" si="80"/>
        <v/>
      </c>
      <c r="G1193" s="116" t="str">
        <f>IF(ISNONTEXT(D1193),"",E1193-MAX($F$2:F1192))</f>
        <v/>
      </c>
      <c r="H1193" s="97"/>
      <c r="I1193" s="74" t="str">
        <f ca="1">IF(D1193="N",COUNTIF(INDIRECT(ADDRESS(MATCH(Plages!$D$19,'Planning annuel mixing coater'!$B:$B),4)):D1193,"N"),IF(D1193="N1",COUNTIF($D$9:D1193,"N1"),""))</f>
        <v/>
      </c>
      <c r="J1193" s="96" t="str">
        <f>IF(D1193="","",COUNTA(D1192:D1193)-(COUNTA(D1193:D1193)-1))</f>
        <v/>
      </c>
    </row>
    <row r="1194" spans="1:10" thickBot="1">
      <c r="A1194" s="117"/>
      <c r="B1194" s="70">
        <f t="shared" si="77"/>
        <v>44986</v>
      </c>
      <c r="C1194" s="82" t="str">
        <f t="shared" si="78"/>
        <v>mercredi</v>
      </c>
      <c r="D1194" s="87"/>
      <c r="E1194" s="115" t="str">
        <f t="shared" si="79"/>
        <v/>
      </c>
      <c r="F1194" s="115" t="str">
        <f t="shared" si="80"/>
        <v/>
      </c>
      <c r="G1194" s="116" t="str">
        <f>IF(ISNONTEXT(D1194),"",E1194-MAX($F$2:F1193))</f>
        <v/>
      </c>
      <c r="H1194" s="97"/>
      <c r="I1194" s="74" t="str">
        <f ca="1">IF(D1194="N",COUNTIF(INDIRECT(ADDRESS(MATCH(Plages!$D$19,'Planning annuel mixing coater'!$B:$B),4)):D1194,"N"),IF(D1194="N1",COUNTIF($D$9:D1194,"N1"),""))</f>
        <v/>
      </c>
      <c r="J1194" s="96" t="str">
        <f>IF(D1194="","",COUNTA(D1192:D1194)-(COUNTA(D1194:D1194)-1))</f>
        <v/>
      </c>
    </row>
    <row r="1195" spans="1:10" thickBot="1">
      <c r="A1195" s="117"/>
      <c r="B1195" s="70">
        <f t="shared" si="77"/>
        <v>44987</v>
      </c>
      <c r="C1195" s="82" t="str">
        <f t="shared" si="78"/>
        <v>jeudi</v>
      </c>
      <c r="D1195" s="87"/>
      <c r="E1195" s="115" t="str">
        <f t="shared" si="79"/>
        <v/>
      </c>
      <c r="F1195" s="115" t="str">
        <f t="shared" si="80"/>
        <v/>
      </c>
      <c r="G1195" s="116" t="str">
        <f>IF(ISNONTEXT(D1195),"",E1195-MAX($F$2:F1194))</f>
        <v/>
      </c>
      <c r="H1195" s="97"/>
      <c r="I1195" s="74" t="str">
        <f ca="1">IF(D1195="N",COUNTIF(INDIRECT(ADDRESS(MATCH(Plages!$D$19,'Planning annuel mixing coater'!$B:$B),4)):D1195,"N"),IF(D1195="N1",COUNTIF($D$9:D1195,"N1"),""))</f>
        <v/>
      </c>
      <c r="J1195" s="96" t="str">
        <f>IF(D1195="","",COUNTA(D1192:D1195)-(COUNTA(D1195:D1195)-1))</f>
        <v/>
      </c>
    </row>
    <row r="1196" spans="1:10" thickBot="1">
      <c r="A1196" s="117"/>
      <c r="B1196" s="70">
        <f t="shared" si="77"/>
        <v>44988</v>
      </c>
      <c r="C1196" s="82" t="str">
        <f t="shared" si="78"/>
        <v>vendredi</v>
      </c>
      <c r="D1196" s="87"/>
      <c r="E1196" s="115" t="str">
        <f t="shared" si="79"/>
        <v/>
      </c>
      <c r="F1196" s="115" t="str">
        <f t="shared" si="80"/>
        <v/>
      </c>
      <c r="G1196" s="116" t="str">
        <f>IF(ISNONTEXT(D1196),"",E1196-MAX($F$2:F1195))</f>
        <v/>
      </c>
      <c r="H1196" s="97"/>
      <c r="I1196" s="74" t="str">
        <f ca="1">IF(D1196="N",COUNTIF(INDIRECT(ADDRESS(MATCH(Plages!$D$19,'Planning annuel mixing coater'!$B:$B),4)):D1196,"N"),IF(D1196="N1",COUNTIF($D$9:D1196,"N1"),""))</f>
        <v/>
      </c>
      <c r="J1196" s="96" t="str">
        <f>IF(D1196="","",COUNTA(D1192:D1196)-(COUNTA(D1196:D1196)-1))</f>
        <v/>
      </c>
    </row>
    <row r="1197" spans="1:10" thickBot="1">
      <c r="A1197" s="117"/>
      <c r="B1197" s="70">
        <f t="shared" si="77"/>
        <v>44989</v>
      </c>
      <c r="C1197" s="82" t="str">
        <f t="shared" si="78"/>
        <v>samedi</v>
      </c>
      <c r="D1197" s="87"/>
      <c r="E1197" s="115" t="str">
        <f t="shared" si="79"/>
        <v/>
      </c>
      <c r="F1197" s="115" t="str">
        <f t="shared" si="80"/>
        <v/>
      </c>
      <c r="G1197" s="116" t="str">
        <f>IF(ISNONTEXT(D1197),"",E1197-MAX($F$2:F1196))</f>
        <v/>
      </c>
      <c r="H1197" s="97"/>
      <c r="I1197" s="74" t="str">
        <f ca="1">IF(D1197="N",COUNTIF(INDIRECT(ADDRESS(MATCH(Plages!$D$19,'Planning annuel mixing coater'!$B:$B),4)):D1197,"N"),IF(D1197="N1",COUNTIF($D$9:D1197,"N1"),""))</f>
        <v/>
      </c>
      <c r="J1197" s="96" t="str">
        <f>IF(D1197="","",COUNTA(D1192:D1197)-(COUNTA(D1197:D1197)-1))</f>
        <v/>
      </c>
    </row>
    <row r="1198" spans="1:10" thickBot="1">
      <c r="A1198" s="117"/>
      <c r="B1198" s="70">
        <f t="shared" si="77"/>
        <v>44990</v>
      </c>
      <c r="C1198" s="82" t="str">
        <f t="shared" si="78"/>
        <v>dimanche</v>
      </c>
      <c r="D1198" s="87"/>
      <c r="E1198" s="115" t="str">
        <f t="shared" si="79"/>
        <v/>
      </c>
      <c r="F1198" s="115" t="str">
        <f t="shared" si="80"/>
        <v/>
      </c>
      <c r="G1198" s="116" t="str">
        <f>IF(ISNONTEXT(D1198),"",E1198-MAX($F$2:F1197))</f>
        <v/>
      </c>
      <c r="H1198" s="98"/>
      <c r="I1198" s="74" t="str">
        <f ca="1">IF(D1198="N",COUNTIF(INDIRECT(ADDRESS(MATCH(Plages!$D$19,'Planning annuel mixing coater'!$B:$B),4)):D1198,"N"),IF(D1198="N1",COUNTIF($D$9:D1198,"N1"),""))</f>
        <v/>
      </c>
      <c r="J1198" s="96" t="str">
        <f>IF(D1198="","",COUNTA(D1192:D1198)-(COUNTA(D1198:D1198)-1))</f>
        <v/>
      </c>
    </row>
    <row r="1199" spans="1:10" thickBot="1">
      <c r="A1199" s="117"/>
      <c r="B1199" s="70">
        <f t="shared" si="77"/>
        <v>44991</v>
      </c>
      <c r="C1199" s="82" t="str">
        <f t="shared" si="78"/>
        <v>lundi</v>
      </c>
      <c r="D1199" s="87"/>
      <c r="E1199" s="115" t="str">
        <f t="shared" si="79"/>
        <v/>
      </c>
      <c r="F1199" s="115" t="str">
        <f t="shared" si="80"/>
        <v/>
      </c>
      <c r="G1199" s="116" t="str">
        <f>IF(ISNONTEXT(D1199),"",E1199-MAX($F$2:F1198))</f>
        <v/>
      </c>
      <c r="H1199" s="97"/>
      <c r="I1199" s="74" t="str">
        <f ca="1">IF(D1199="N",COUNTIF(INDIRECT(ADDRESS(MATCH(Plages!$D$19,'Planning annuel mixing coater'!$B:$B),4)):D1199,"N"),IF(D1199="N1",COUNTIF($D$9:D1199,"N1"),""))</f>
        <v/>
      </c>
      <c r="J1199" s="96" t="str">
        <f>IF(D1199="","",COUNTA(D1192:D1199)-(COUNTA(D1199:D1199)-1))</f>
        <v/>
      </c>
    </row>
    <row r="1200" spans="1:10" thickBot="1">
      <c r="A1200" s="117"/>
      <c r="B1200" s="70">
        <f t="shared" si="77"/>
        <v>44992</v>
      </c>
      <c r="C1200" s="82" t="str">
        <f t="shared" si="78"/>
        <v>mardi</v>
      </c>
      <c r="D1200" s="87"/>
      <c r="E1200" s="115" t="str">
        <f t="shared" si="79"/>
        <v/>
      </c>
      <c r="F1200" s="115" t="str">
        <f t="shared" si="80"/>
        <v/>
      </c>
      <c r="G1200" s="116" t="str">
        <f>IF(ISNONTEXT(D1200),"",E1200-MAX($F$2:F1199))</f>
        <v/>
      </c>
      <c r="H1200" s="97"/>
      <c r="I1200" s="74" t="str">
        <f ca="1">IF(D1200="N",COUNTIF(INDIRECT(ADDRESS(MATCH(Plages!$D$19,'Planning annuel mixing coater'!$B:$B),4)):D1200,"N"),IF(D1200="N1",COUNTIF($D$9:D1200,"N1"),""))</f>
        <v/>
      </c>
      <c r="J1200" s="96" t="str">
        <f>IF(D1200="","",COUNTA(D1192:D1200)-(COUNTA(D1200:D1200)-1))</f>
        <v/>
      </c>
    </row>
    <row r="1201" spans="1:10" thickBot="1">
      <c r="A1201" s="117"/>
      <c r="B1201" s="70">
        <f t="shared" si="77"/>
        <v>44993</v>
      </c>
      <c r="C1201" s="82" t="str">
        <f t="shared" si="78"/>
        <v>mercredi</v>
      </c>
      <c r="D1201" s="87"/>
      <c r="E1201" s="115" t="str">
        <f t="shared" si="79"/>
        <v/>
      </c>
      <c r="F1201" s="115" t="str">
        <f t="shared" si="80"/>
        <v/>
      </c>
      <c r="G1201" s="116" t="str">
        <f>IF(ISNONTEXT(D1201),"",E1201-MAX($F$2:F1200))</f>
        <v/>
      </c>
      <c r="H1201" s="97"/>
      <c r="I1201" s="74" t="str">
        <f ca="1">IF(D1201="N",COUNTIF(INDIRECT(ADDRESS(MATCH(Plages!$D$19,'Planning annuel mixing coater'!$B:$B),4)):D1201,"N"),IF(D1201="N1",COUNTIF($D$9:D1201,"N1"),""))</f>
        <v/>
      </c>
      <c r="J1201" s="96" t="str">
        <f>IF(D1201="","",COUNTA(D1192:D1201)-(COUNTA(D1201:D1201)-1))</f>
        <v/>
      </c>
    </row>
    <row r="1202" spans="1:10" thickBot="1">
      <c r="A1202" s="117"/>
      <c r="B1202" s="70">
        <f t="shared" si="77"/>
        <v>44994</v>
      </c>
      <c r="C1202" s="82" t="str">
        <f t="shared" si="78"/>
        <v>jeudi</v>
      </c>
      <c r="D1202" s="87"/>
      <c r="E1202" s="115" t="str">
        <f t="shared" si="79"/>
        <v/>
      </c>
      <c r="F1202" s="115" t="str">
        <f t="shared" si="80"/>
        <v/>
      </c>
      <c r="G1202" s="116" t="str">
        <f>IF(ISNONTEXT(D1202),"",E1202-MAX($F$2:F1201))</f>
        <v/>
      </c>
      <c r="H1202" s="97"/>
      <c r="I1202" s="74" t="str">
        <f ca="1">IF(D1202="N",COUNTIF(INDIRECT(ADDRESS(MATCH(Plages!$D$19,'Planning annuel mixing coater'!$B:$B),4)):D1202,"N"),IF(D1202="N1",COUNTIF($D$9:D1202,"N1"),""))</f>
        <v/>
      </c>
      <c r="J1202" s="96" t="str">
        <f>IF(D1202="","",COUNTA(D1192:D1202)-(COUNTA(D1202:D1202)-1))</f>
        <v/>
      </c>
    </row>
    <row r="1203" spans="1:10" thickBot="1">
      <c r="A1203" s="117"/>
      <c r="B1203" s="70">
        <f t="shared" si="77"/>
        <v>44995</v>
      </c>
      <c r="C1203" s="82" t="str">
        <f t="shared" si="78"/>
        <v>vendredi</v>
      </c>
      <c r="D1203" s="87"/>
      <c r="E1203" s="115" t="str">
        <f t="shared" si="79"/>
        <v/>
      </c>
      <c r="F1203" s="115" t="str">
        <f t="shared" si="80"/>
        <v/>
      </c>
      <c r="G1203" s="116" t="str">
        <f>IF(ISNONTEXT(D1203),"",E1203-MAX($F$2:F1202))</f>
        <v/>
      </c>
      <c r="H1203" s="97"/>
      <c r="I1203" s="74" t="str">
        <f ca="1">IF(D1203="N",COUNTIF(INDIRECT(ADDRESS(MATCH(Plages!$D$19,'Planning annuel mixing coater'!$B:$B),4)):D1203,"N"),IF(D1203="N1",COUNTIF($D$9:D1203,"N1"),""))</f>
        <v/>
      </c>
      <c r="J1203" s="96" t="str">
        <f>IF(D1203="","",COUNTA(D1192:D1203)-(COUNTA(D1203:D1203)-1))</f>
        <v/>
      </c>
    </row>
    <row r="1204" spans="1:10" thickBot="1">
      <c r="A1204" s="117"/>
      <c r="B1204" s="70">
        <f t="shared" si="77"/>
        <v>44996</v>
      </c>
      <c r="C1204" s="82" t="str">
        <f t="shared" si="78"/>
        <v>samedi</v>
      </c>
      <c r="D1204" s="87"/>
      <c r="E1204" s="115" t="str">
        <f t="shared" si="79"/>
        <v/>
      </c>
      <c r="F1204" s="115" t="str">
        <f t="shared" si="80"/>
        <v/>
      </c>
      <c r="G1204" s="116" t="str">
        <f>IF(ISNONTEXT(D1204),"",E1204-MAX($F$2:F1203))</f>
        <v/>
      </c>
      <c r="H1204" s="97"/>
      <c r="I1204" s="74" t="str">
        <f ca="1">IF(D1204="N",COUNTIF(INDIRECT(ADDRESS(MATCH(Plages!$D$19,'Planning annuel mixing coater'!$B:$B),4)):D1204,"N"),IF(D1204="N1",COUNTIF($D$9:D1204,"N1"),""))</f>
        <v/>
      </c>
      <c r="J1204" s="96" t="str">
        <f>IF(D1204="","",COUNTA(D1192:D1204)-(COUNTA(D1204:D1204)-1))</f>
        <v/>
      </c>
    </row>
    <row r="1205" spans="1:10" s="77" customFormat="1" thickBot="1">
      <c r="A1205" s="117"/>
      <c r="B1205" s="75">
        <f t="shared" si="77"/>
        <v>44997</v>
      </c>
      <c r="C1205" s="83" t="str">
        <f t="shared" si="78"/>
        <v>dimanche</v>
      </c>
      <c r="D1205" s="88"/>
      <c r="E1205" s="115" t="str">
        <f t="shared" si="79"/>
        <v/>
      </c>
      <c r="F1205" s="115" t="str">
        <f t="shared" si="80"/>
        <v/>
      </c>
      <c r="G1205" s="116" t="str">
        <f>IF(ISNONTEXT(D1205),"",E1205-MAX($F$2:F1204))</f>
        <v/>
      </c>
      <c r="H1205" s="98"/>
      <c r="I1205" s="76" t="str">
        <f ca="1">IF(D1205="N",COUNTIF(INDIRECT(ADDRESS(MATCH(Plages!$D$19,'Planning annuel mixing coater'!$B:$B),4)):D1205,"N"),IF(D1205="N1",COUNTIF($D$9:D1205,"N1"),""))</f>
        <v/>
      </c>
      <c r="J1205" s="99" t="str">
        <f>IF(D1205="","",COUNTA(D1192:D1205)-(COUNTA(D1205:D1205)-1))</f>
        <v/>
      </c>
    </row>
    <row r="1206" spans="1:10" ht="16.5" thickTop="1" thickBot="1">
      <c r="A1206" s="117"/>
      <c r="B1206" s="78">
        <f t="shared" si="77"/>
        <v>44998</v>
      </c>
      <c r="C1206" s="81" t="str">
        <f t="shared" si="78"/>
        <v>lundi</v>
      </c>
      <c r="D1206" s="89"/>
      <c r="E1206" s="115" t="str">
        <f t="shared" si="79"/>
        <v/>
      </c>
      <c r="F1206" s="115" t="str">
        <f t="shared" si="80"/>
        <v/>
      </c>
      <c r="G1206" s="116" t="str">
        <f>IF(ISNONTEXT(D1206),"",E1206-MAX($F$2:F1205))</f>
        <v/>
      </c>
      <c r="H1206" s="100"/>
      <c r="I1206" s="79" t="str">
        <f ca="1">IF(D1206="N",COUNTIF(INDIRECT(ADDRESS(MATCH(Plages!$D$19,'Planning annuel mixing coater'!$B:$B),4)):D1206,"N"),IF(D1206="N1",COUNTIF($D$9:D1206,"N1"),""))</f>
        <v/>
      </c>
      <c r="J1206" s="101" t="str">
        <f>IF(D1206="","",COUNTA(D1206:D1206)-(COUNTA(D1206:D1206)-1))</f>
        <v/>
      </c>
    </row>
    <row r="1207" spans="1:10" thickBot="1">
      <c r="A1207" s="117"/>
      <c r="B1207" s="70">
        <f t="shared" si="77"/>
        <v>44999</v>
      </c>
      <c r="C1207" s="82" t="str">
        <f t="shared" si="78"/>
        <v>mardi</v>
      </c>
      <c r="D1207" s="87"/>
      <c r="E1207" s="115" t="str">
        <f t="shared" si="79"/>
        <v/>
      </c>
      <c r="F1207" s="115" t="str">
        <f t="shared" si="80"/>
        <v/>
      </c>
      <c r="G1207" s="116" t="str">
        <f>IF(ISNONTEXT(D1207),"",E1207-MAX($F$2:F1206))</f>
        <v/>
      </c>
      <c r="H1207" s="97"/>
      <c r="I1207" s="74" t="str">
        <f ca="1">IF(D1207="N",COUNTIF(INDIRECT(ADDRESS(MATCH(Plages!$D$19,'Planning annuel mixing coater'!$B:$B),4)):D1207,"N"),IF(D1207="N1",COUNTIF($D$9:D1207,"N1"),""))</f>
        <v/>
      </c>
      <c r="J1207" s="96" t="str">
        <f>IF(D1207="","",COUNTA(D1206:D1207)-(COUNTA(D1207:D1207)-1))</f>
        <v/>
      </c>
    </row>
    <row r="1208" spans="1:10" thickBot="1">
      <c r="A1208" s="117"/>
      <c r="B1208" s="70">
        <f t="shared" si="77"/>
        <v>45000</v>
      </c>
      <c r="C1208" s="82" t="str">
        <f t="shared" si="78"/>
        <v>mercredi</v>
      </c>
      <c r="D1208" s="87"/>
      <c r="E1208" s="115" t="str">
        <f t="shared" si="79"/>
        <v/>
      </c>
      <c r="F1208" s="115" t="str">
        <f t="shared" si="80"/>
        <v/>
      </c>
      <c r="G1208" s="116" t="str">
        <f>IF(ISNONTEXT(D1208),"",E1208-MAX($F$2:F1207))</f>
        <v/>
      </c>
      <c r="H1208" s="97"/>
      <c r="I1208" s="74" t="str">
        <f ca="1">IF(D1208="N",COUNTIF(INDIRECT(ADDRESS(MATCH(Plages!$D$19,'Planning annuel mixing coater'!$B:$B),4)):D1208,"N"),IF(D1208="N1",COUNTIF($D$9:D1208,"N1"),""))</f>
        <v/>
      </c>
      <c r="J1208" s="96" t="str">
        <f>IF(D1208="","",COUNTA(D1206:D1208)-(COUNTA(D1208:D1208)-1))</f>
        <v/>
      </c>
    </row>
    <row r="1209" spans="1:10" thickBot="1">
      <c r="A1209" s="117"/>
      <c r="B1209" s="70">
        <f t="shared" si="77"/>
        <v>45001</v>
      </c>
      <c r="C1209" s="82" t="str">
        <f t="shared" si="78"/>
        <v>jeudi</v>
      </c>
      <c r="D1209" s="87"/>
      <c r="E1209" s="115" t="str">
        <f t="shared" si="79"/>
        <v/>
      </c>
      <c r="F1209" s="115" t="str">
        <f t="shared" si="80"/>
        <v/>
      </c>
      <c r="G1209" s="116" t="str">
        <f>IF(ISNONTEXT(D1209),"",E1209-MAX($F$2:F1208))</f>
        <v/>
      </c>
      <c r="H1209" s="97"/>
      <c r="I1209" s="74" t="str">
        <f ca="1">IF(D1209="N",COUNTIF(INDIRECT(ADDRESS(MATCH(Plages!$D$19,'Planning annuel mixing coater'!$B:$B),4)):D1209,"N"),IF(D1209="N1",COUNTIF($D$9:D1209,"N1"),""))</f>
        <v/>
      </c>
      <c r="J1209" s="96" t="str">
        <f>IF(D1209="","",COUNTA(D1206:D1209)-(COUNTA(D1209:D1209)-1))</f>
        <v/>
      </c>
    </row>
    <row r="1210" spans="1:10" thickBot="1">
      <c r="A1210" s="117"/>
      <c r="B1210" s="70">
        <f t="shared" si="77"/>
        <v>45002</v>
      </c>
      <c r="C1210" s="82" t="str">
        <f t="shared" si="78"/>
        <v>vendredi</v>
      </c>
      <c r="D1210" s="87"/>
      <c r="E1210" s="115" t="str">
        <f t="shared" si="79"/>
        <v/>
      </c>
      <c r="F1210" s="115" t="str">
        <f t="shared" si="80"/>
        <v/>
      </c>
      <c r="G1210" s="116" t="str">
        <f>IF(ISNONTEXT(D1210),"",E1210-MAX($F$2:F1209))</f>
        <v/>
      </c>
      <c r="H1210" s="97"/>
      <c r="I1210" s="74" t="str">
        <f ca="1">IF(D1210="N",COUNTIF(INDIRECT(ADDRESS(MATCH(Plages!$D$19,'Planning annuel mixing coater'!$B:$B),4)):D1210,"N"),IF(D1210="N1",COUNTIF($D$9:D1210,"N1"),""))</f>
        <v/>
      </c>
      <c r="J1210" s="96" t="str">
        <f>IF(D1210="","",COUNTA(D1206:D1210)-(COUNTA(D1210:D1210)-1))</f>
        <v/>
      </c>
    </row>
    <row r="1211" spans="1:10" thickBot="1">
      <c r="A1211" s="117"/>
      <c r="B1211" s="70">
        <f t="shared" si="77"/>
        <v>45003</v>
      </c>
      <c r="C1211" s="82" t="str">
        <f t="shared" si="78"/>
        <v>samedi</v>
      </c>
      <c r="D1211" s="87"/>
      <c r="E1211" s="115" t="str">
        <f t="shared" si="79"/>
        <v/>
      </c>
      <c r="F1211" s="115" t="str">
        <f t="shared" si="80"/>
        <v/>
      </c>
      <c r="G1211" s="116" t="str">
        <f>IF(ISNONTEXT(D1211),"",E1211-MAX($F$2:F1210))</f>
        <v/>
      </c>
      <c r="H1211" s="97"/>
      <c r="I1211" s="74" t="str">
        <f ca="1">IF(D1211="N",COUNTIF(INDIRECT(ADDRESS(MATCH(Plages!$D$19,'Planning annuel mixing coater'!$B:$B),4)):D1211,"N"),IF(D1211="N1",COUNTIF($D$9:D1211,"N1"),""))</f>
        <v/>
      </c>
      <c r="J1211" s="96" t="str">
        <f>IF(D1211="","",COUNTA(D1206:D1211)-(COUNTA(D1211:D1211)-1))</f>
        <v/>
      </c>
    </row>
    <row r="1212" spans="1:10" thickBot="1">
      <c r="A1212" s="117"/>
      <c r="B1212" s="70">
        <f t="shared" si="77"/>
        <v>45004</v>
      </c>
      <c r="C1212" s="82" t="str">
        <f t="shared" si="78"/>
        <v>dimanche</v>
      </c>
      <c r="D1212" s="87"/>
      <c r="E1212" s="115" t="str">
        <f t="shared" si="79"/>
        <v/>
      </c>
      <c r="F1212" s="115" t="str">
        <f t="shared" si="80"/>
        <v/>
      </c>
      <c r="G1212" s="116" t="str">
        <f>IF(ISNONTEXT(D1212),"",E1212-MAX($F$2:F1211))</f>
        <v/>
      </c>
      <c r="H1212" s="98"/>
      <c r="I1212" s="74" t="str">
        <f ca="1">IF(D1212="N",COUNTIF(INDIRECT(ADDRESS(MATCH(Plages!$D$19,'Planning annuel mixing coater'!$B:$B),4)):D1212,"N"),IF(D1212="N1",COUNTIF($D$9:D1212,"N1"),""))</f>
        <v/>
      </c>
      <c r="J1212" s="96" t="str">
        <f>IF(D1212="","",COUNTA(D1206:D1212)-(COUNTA(D1212:D1212)-1))</f>
        <v/>
      </c>
    </row>
    <row r="1213" spans="1:10" thickBot="1">
      <c r="A1213" s="117"/>
      <c r="B1213" s="70">
        <f t="shared" si="77"/>
        <v>45005</v>
      </c>
      <c r="C1213" s="82" t="str">
        <f t="shared" si="78"/>
        <v>lundi</v>
      </c>
      <c r="D1213" s="87"/>
      <c r="E1213" s="115" t="str">
        <f t="shared" si="79"/>
        <v/>
      </c>
      <c r="F1213" s="115" t="str">
        <f t="shared" si="80"/>
        <v/>
      </c>
      <c r="G1213" s="116" t="str">
        <f>IF(ISNONTEXT(D1213),"",E1213-MAX($F$2:F1212))</f>
        <v/>
      </c>
      <c r="H1213" s="97"/>
      <c r="I1213" s="74" t="str">
        <f ca="1">IF(D1213="N",COUNTIF(INDIRECT(ADDRESS(MATCH(Plages!$D$19,'Planning annuel mixing coater'!$B:$B),4)):D1213,"N"),IF(D1213="N1",COUNTIF($D$9:D1213,"N1"),""))</f>
        <v/>
      </c>
      <c r="J1213" s="96" t="str">
        <f>IF(D1213="","",COUNTA(D1206:D1213)-(COUNTA(D1213:D1213)-1))</f>
        <v/>
      </c>
    </row>
    <row r="1214" spans="1:10" thickBot="1">
      <c r="A1214" s="117"/>
      <c r="B1214" s="70">
        <f t="shared" si="77"/>
        <v>45006</v>
      </c>
      <c r="C1214" s="82" t="str">
        <f t="shared" si="78"/>
        <v>mardi</v>
      </c>
      <c r="D1214" s="87"/>
      <c r="E1214" s="115" t="str">
        <f t="shared" si="79"/>
        <v/>
      </c>
      <c r="F1214" s="115" t="str">
        <f t="shared" si="80"/>
        <v/>
      </c>
      <c r="G1214" s="116" t="str">
        <f>IF(ISNONTEXT(D1214),"",E1214-MAX($F$2:F1213))</f>
        <v/>
      </c>
      <c r="H1214" s="97"/>
      <c r="I1214" s="74" t="str">
        <f ca="1">IF(D1214="N",COUNTIF(INDIRECT(ADDRESS(MATCH(Plages!$D$19,'Planning annuel mixing coater'!$B:$B),4)):D1214,"N"),IF(D1214="N1",COUNTIF($D$9:D1214,"N1"),""))</f>
        <v/>
      </c>
      <c r="J1214" s="96" t="str">
        <f>IF(D1214="","",COUNTA(D1206:D1214)-(COUNTA(D1214:D1214)-1))</f>
        <v/>
      </c>
    </row>
    <row r="1215" spans="1:10" thickBot="1">
      <c r="A1215" s="117"/>
      <c r="B1215" s="70">
        <f t="shared" si="77"/>
        <v>45007</v>
      </c>
      <c r="C1215" s="82" t="str">
        <f t="shared" si="78"/>
        <v>mercredi</v>
      </c>
      <c r="D1215" s="87"/>
      <c r="E1215" s="115" t="str">
        <f t="shared" si="79"/>
        <v/>
      </c>
      <c r="F1215" s="115" t="str">
        <f t="shared" si="80"/>
        <v/>
      </c>
      <c r="G1215" s="116" t="str">
        <f>IF(ISNONTEXT(D1215),"",E1215-MAX($F$2:F1214))</f>
        <v/>
      </c>
      <c r="H1215" s="97"/>
      <c r="I1215" s="74" t="str">
        <f ca="1">IF(D1215="N",COUNTIF(INDIRECT(ADDRESS(MATCH(Plages!$D$19,'Planning annuel mixing coater'!$B:$B),4)):D1215,"N"),IF(D1215="N1",COUNTIF($D$9:D1215,"N1"),""))</f>
        <v/>
      </c>
      <c r="J1215" s="96" t="str">
        <f>IF(D1215="","",COUNTA(D1206:D1215)-(COUNTA(D1215:D1215)-1))</f>
        <v/>
      </c>
    </row>
    <row r="1216" spans="1:10" thickBot="1">
      <c r="A1216" s="117"/>
      <c r="B1216" s="70">
        <f t="shared" si="77"/>
        <v>45008</v>
      </c>
      <c r="C1216" s="82" t="str">
        <f t="shared" si="78"/>
        <v>jeudi</v>
      </c>
      <c r="D1216" s="87"/>
      <c r="E1216" s="115" t="str">
        <f t="shared" si="79"/>
        <v/>
      </c>
      <c r="F1216" s="115" t="str">
        <f t="shared" si="80"/>
        <v/>
      </c>
      <c r="G1216" s="116" t="str">
        <f>IF(ISNONTEXT(D1216),"",E1216-MAX($F$2:F1215))</f>
        <v/>
      </c>
      <c r="H1216" s="97"/>
      <c r="I1216" s="74" t="str">
        <f ca="1">IF(D1216="N",COUNTIF(INDIRECT(ADDRESS(MATCH(Plages!$D$19,'Planning annuel mixing coater'!$B:$B),4)):D1216,"N"),IF(D1216="N1",COUNTIF($D$9:D1216,"N1"),""))</f>
        <v/>
      </c>
      <c r="J1216" s="96" t="str">
        <f>IF(D1216="","",COUNTA(D1206:D1216)-(COUNTA(D1216:D1216)-1))</f>
        <v/>
      </c>
    </row>
    <row r="1217" spans="1:10" thickBot="1">
      <c r="A1217" s="117"/>
      <c r="B1217" s="70">
        <f t="shared" si="77"/>
        <v>45009</v>
      </c>
      <c r="C1217" s="82" t="str">
        <f t="shared" si="78"/>
        <v>vendredi</v>
      </c>
      <c r="D1217" s="87"/>
      <c r="E1217" s="115" t="str">
        <f t="shared" si="79"/>
        <v/>
      </c>
      <c r="F1217" s="115" t="str">
        <f t="shared" si="80"/>
        <v/>
      </c>
      <c r="G1217" s="116" t="str">
        <f>IF(ISNONTEXT(D1217),"",E1217-MAX($F$2:F1216))</f>
        <v/>
      </c>
      <c r="H1217" s="97"/>
      <c r="I1217" s="74" t="str">
        <f ca="1">IF(D1217="N",COUNTIF(INDIRECT(ADDRESS(MATCH(Plages!$D$19,'Planning annuel mixing coater'!$B:$B),4)):D1217,"N"),IF(D1217="N1",COUNTIF($D$9:D1217,"N1"),""))</f>
        <v/>
      </c>
      <c r="J1217" s="96" t="str">
        <f>IF(D1217="","",COUNTA(D1206:D1217)-(COUNTA(D1217:D1217)-1))</f>
        <v/>
      </c>
    </row>
    <row r="1218" spans="1:10" thickBot="1">
      <c r="A1218" s="117"/>
      <c r="B1218" s="70">
        <f t="shared" si="77"/>
        <v>45010</v>
      </c>
      <c r="C1218" s="82" t="str">
        <f t="shared" si="78"/>
        <v>samedi</v>
      </c>
      <c r="D1218" s="87"/>
      <c r="E1218" s="115" t="str">
        <f t="shared" si="79"/>
        <v/>
      </c>
      <c r="F1218" s="115" t="str">
        <f t="shared" si="80"/>
        <v/>
      </c>
      <c r="G1218" s="116" t="str">
        <f>IF(ISNONTEXT(D1218),"",E1218-MAX($F$2:F1217))</f>
        <v/>
      </c>
      <c r="H1218" s="97"/>
      <c r="I1218" s="74" t="str">
        <f ca="1">IF(D1218="N",COUNTIF(INDIRECT(ADDRESS(MATCH(Plages!$D$19,'Planning annuel mixing coater'!$B:$B),4)):D1218,"N"),IF(D1218="N1",COUNTIF($D$9:D1218,"N1"),""))</f>
        <v/>
      </c>
      <c r="J1218" s="96" t="str">
        <f>IF(D1218="","",COUNTA(D1206:D1218)-(COUNTA(D1218:D1218)-1))</f>
        <v/>
      </c>
    </row>
    <row r="1219" spans="1:10" s="77" customFormat="1" thickBot="1">
      <c r="A1219" s="117"/>
      <c r="B1219" s="75">
        <f t="shared" si="77"/>
        <v>45011</v>
      </c>
      <c r="C1219" s="83" t="str">
        <f t="shared" si="78"/>
        <v>dimanche</v>
      </c>
      <c r="D1219" s="88"/>
      <c r="E1219" s="115" t="str">
        <f t="shared" si="79"/>
        <v/>
      </c>
      <c r="F1219" s="115" t="str">
        <f t="shared" si="80"/>
        <v/>
      </c>
      <c r="G1219" s="116" t="str">
        <f>IF(ISNONTEXT(D1219),"",E1219-MAX($F$2:F1218))</f>
        <v/>
      </c>
      <c r="H1219" s="98"/>
      <c r="I1219" s="76" t="str">
        <f ca="1">IF(D1219="N",COUNTIF(INDIRECT(ADDRESS(MATCH(Plages!$D$19,'Planning annuel mixing coater'!$B:$B),4)):D1219,"N"),IF(D1219="N1",COUNTIF($D$9:D1219,"N1"),""))</f>
        <v/>
      </c>
      <c r="J1219" s="99" t="str">
        <f>IF(D1219="","",COUNTA(D1206:D1219)-(COUNTA(D1219:D1219)-1))</f>
        <v/>
      </c>
    </row>
    <row r="1220" spans="1:10" ht="16.5" thickTop="1" thickBot="1">
      <c r="A1220" s="117"/>
      <c r="B1220" s="78">
        <f t="shared" ref="B1220:B1283" si="81">IF(B1219="","",B1219+1)</f>
        <v>45012</v>
      </c>
      <c r="C1220" s="81" t="str">
        <f t="shared" si="78"/>
        <v>lundi</v>
      </c>
      <c r="D1220" s="89"/>
      <c r="E1220" s="115" t="str">
        <f t="shared" si="79"/>
        <v/>
      </c>
      <c r="F1220" s="115" t="str">
        <f t="shared" si="80"/>
        <v/>
      </c>
      <c r="G1220" s="116" t="str">
        <f>IF(ISNONTEXT(D1220),"",E1220-MAX($F$2:F1219))</f>
        <v/>
      </c>
      <c r="H1220" s="100"/>
      <c r="I1220" s="79" t="str">
        <f ca="1">IF(D1220="N",COUNTIF(INDIRECT(ADDRESS(MATCH(Plages!$D$19,'Planning annuel mixing coater'!$B:$B),4)):D1220,"N"),IF(D1220="N1",COUNTIF($D$9:D1220,"N1"),""))</f>
        <v/>
      </c>
      <c r="J1220" s="101" t="str">
        <f>IF(D1220="","",COUNTA(D1220:D1220)-(COUNTA(D1220:D1220)-1))</f>
        <v/>
      </c>
    </row>
    <row r="1221" spans="1:10" thickBot="1">
      <c r="A1221" s="117"/>
      <c r="B1221" s="70">
        <f t="shared" si="81"/>
        <v>45013</v>
      </c>
      <c r="C1221" s="82" t="str">
        <f t="shared" si="78"/>
        <v>mardi</v>
      </c>
      <c r="D1221" s="87"/>
      <c r="E1221" s="115" t="str">
        <f t="shared" si="79"/>
        <v/>
      </c>
      <c r="F1221" s="115" t="str">
        <f t="shared" si="80"/>
        <v/>
      </c>
      <c r="G1221" s="116" t="str">
        <f>IF(ISNONTEXT(D1221),"",E1221-MAX($F$2:F1220))</f>
        <v/>
      </c>
      <c r="H1221" s="97"/>
      <c r="I1221" s="74" t="str">
        <f ca="1">IF(D1221="N",COUNTIF(INDIRECT(ADDRESS(MATCH(Plages!$D$19,'Planning annuel mixing coater'!$B:$B),4)):D1221,"N"),IF(D1221="N1",COUNTIF($D$9:D1221,"N1"),""))</f>
        <v/>
      </c>
      <c r="J1221" s="96" t="str">
        <f>IF(D1221="","",COUNTA(D1220:D1221)-(COUNTA(D1221:D1221)-1))</f>
        <v/>
      </c>
    </row>
    <row r="1222" spans="1:10" thickBot="1">
      <c r="A1222" s="117"/>
      <c r="B1222" s="70">
        <f t="shared" si="81"/>
        <v>45014</v>
      </c>
      <c r="C1222" s="82" t="str">
        <f t="shared" si="78"/>
        <v>mercredi</v>
      </c>
      <c r="D1222" s="87"/>
      <c r="E1222" s="115" t="str">
        <f t="shared" si="79"/>
        <v/>
      </c>
      <c r="F1222" s="115" t="str">
        <f t="shared" si="80"/>
        <v/>
      </c>
      <c r="G1222" s="116" t="str">
        <f>IF(ISNONTEXT(D1222),"",E1222-MAX($F$2:F1221))</f>
        <v/>
      </c>
      <c r="H1222" s="97"/>
      <c r="I1222" s="74" t="str">
        <f ca="1">IF(D1222="N",COUNTIF(INDIRECT(ADDRESS(MATCH(Plages!$D$19,'Planning annuel mixing coater'!$B:$B),4)):D1222,"N"),IF(D1222="N1",COUNTIF($D$9:D1222,"N1"),""))</f>
        <v/>
      </c>
      <c r="J1222" s="96" t="str">
        <f>IF(D1222="","",COUNTA(D1220:D1222)-(COUNTA(D1222:D1222)-1))</f>
        <v/>
      </c>
    </row>
    <row r="1223" spans="1:10" thickBot="1">
      <c r="A1223" s="117"/>
      <c r="B1223" s="70">
        <f t="shared" si="81"/>
        <v>45015</v>
      </c>
      <c r="C1223" s="82" t="str">
        <f t="shared" si="78"/>
        <v>jeudi</v>
      </c>
      <c r="D1223" s="87"/>
      <c r="E1223" s="115" t="str">
        <f t="shared" si="79"/>
        <v/>
      </c>
      <c r="F1223" s="115" t="str">
        <f t="shared" si="80"/>
        <v/>
      </c>
      <c r="G1223" s="116" t="str">
        <f>IF(ISNONTEXT(D1223),"",E1223-MAX($F$2:F1222))</f>
        <v/>
      </c>
      <c r="H1223" s="97"/>
      <c r="I1223" s="74" t="str">
        <f ca="1">IF(D1223="N",COUNTIF(INDIRECT(ADDRESS(MATCH(Plages!$D$19,'Planning annuel mixing coater'!$B:$B),4)):D1223,"N"),IF(D1223="N1",COUNTIF($D$9:D1223,"N1"),""))</f>
        <v/>
      </c>
      <c r="J1223" s="96" t="str">
        <f>IF(D1223="","",COUNTA(D1220:D1223)-(COUNTA(D1223:D1223)-1))</f>
        <v/>
      </c>
    </row>
    <row r="1224" spans="1:10" thickBot="1">
      <c r="A1224" s="117"/>
      <c r="B1224" s="70">
        <f t="shared" si="81"/>
        <v>45016</v>
      </c>
      <c r="C1224" s="82" t="str">
        <f t="shared" si="78"/>
        <v>vendredi</v>
      </c>
      <c r="D1224" s="87"/>
      <c r="E1224" s="115" t="str">
        <f t="shared" si="79"/>
        <v/>
      </c>
      <c r="F1224" s="115" t="str">
        <f t="shared" si="80"/>
        <v/>
      </c>
      <c r="G1224" s="116" t="str">
        <f>IF(ISNONTEXT(D1224),"",E1224-MAX($F$2:F1223))</f>
        <v/>
      </c>
      <c r="H1224" s="97"/>
      <c r="I1224" s="74" t="str">
        <f ca="1">IF(D1224="N",COUNTIF(INDIRECT(ADDRESS(MATCH(Plages!$D$19,'Planning annuel mixing coater'!$B:$B),4)):D1224,"N"),IF(D1224="N1",COUNTIF($D$9:D1224,"N1"),""))</f>
        <v/>
      </c>
      <c r="J1224" s="96" t="str">
        <f>IF(D1224="","",COUNTA(D1220:D1224)-(COUNTA(D1224:D1224)-1))</f>
        <v/>
      </c>
    </row>
    <row r="1225" spans="1:10" thickBot="1">
      <c r="A1225" s="117"/>
      <c r="B1225" s="70">
        <f t="shared" si="81"/>
        <v>45017</v>
      </c>
      <c r="C1225" s="82" t="str">
        <f t="shared" si="78"/>
        <v>samedi</v>
      </c>
      <c r="D1225" s="87"/>
      <c r="E1225" s="115" t="str">
        <f t="shared" si="79"/>
        <v/>
      </c>
      <c r="F1225" s="115" t="str">
        <f t="shared" si="80"/>
        <v/>
      </c>
      <c r="G1225" s="116" t="str">
        <f>IF(ISNONTEXT(D1225),"",E1225-MAX($F$2:F1224))</f>
        <v/>
      </c>
      <c r="H1225" s="97"/>
      <c r="I1225" s="74" t="str">
        <f ca="1">IF(D1225="N",COUNTIF(INDIRECT(ADDRESS(MATCH(Plages!$D$19,'Planning annuel mixing coater'!$B:$B),4)):D1225,"N"),IF(D1225="N1",COUNTIF($D$9:D1225,"N1"),""))</f>
        <v/>
      </c>
      <c r="J1225" s="96" t="str">
        <f>IF(D1225="","",COUNTA(D1220:D1225)-(COUNTA(D1225:D1225)-1))</f>
        <v/>
      </c>
    </row>
    <row r="1226" spans="1:10" thickBot="1">
      <c r="A1226" s="117"/>
      <c r="B1226" s="70">
        <f t="shared" si="81"/>
        <v>45018</v>
      </c>
      <c r="C1226" s="82" t="str">
        <f t="shared" si="78"/>
        <v>dimanche</v>
      </c>
      <c r="D1226" s="87"/>
      <c r="E1226" s="115" t="str">
        <f t="shared" si="79"/>
        <v/>
      </c>
      <c r="F1226" s="115" t="str">
        <f t="shared" si="80"/>
        <v/>
      </c>
      <c r="G1226" s="116" t="str">
        <f>IF(ISNONTEXT(D1226),"",E1226-MAX($F$2:F1225))</f>
        <v/>
      </c>
      <c r="H1226" s="98"/>
      <c r="I1226" s="74" t="str">
        <f ca="1">IF(D1226="N",COUNTIF(INDIRECT(ADDRESS(MATCH(Plages!$D$19,'Planning annuel mixing coater'!$B:$B),4)):D1226,"N"),IF(D1226="N1",COUNTIF($D$9:D1226,"N1"),""))</f>
        <v/>
      </c>
      <c r="J1226" s="96" t="str">
        <f>IF(D1226="","",COUNTA(D1220:D1226)-(COUNTA(D1226:D1226)-1))</f>
        <v/>
      </c>
    </row>
    <row r="1227" spans="1:10" thickBot="1">
      <c r="A1227" s="117"/>
      <c r="B1227" s="70">
        <f t="shared" si="81"/>
        <v>45019</v>
      </c>
      <c r="C1227" s="82" t="str">
        <f t="shared" si="78"/>
        <v>lundi</v>
      </c>
      <c r="D1227" s="87"/>
      <c r="E1227" s="115" t="str">
        <f t="shared" si="79"/>
        <v/>
      </c>
      <c r="F1227" s="115" t="str">
        <f t="shared" si="80"/>
        <v/>
      </c>
      <c r="G1227" s="116" t="str">
        <f>IF(ISNONTEXT(D1227),"",E1227-MAX($F$2:F1226))</f>
        <v/>
      </c>
      <c r="H1227" s="97"/>
      <c r="I1227" s="74" t="str">
        <f ca="1">IF(D1227="N",COUNTIF(INDIRECT(ADDRESS(MATCH(Plages!$D$19,'Planning annuel mixing coater'!$B:$B),4)):D1227,"N"),IF(D1227="N1",COUNTIF($D$9:D1227,"N1"),""))</f>
        <v/>
      </c>
      <c r="J1227" s="96" t="str">
        <f>IF(D1227="","",COUNTA(D1220:D1227)-(COUNTA(D1227:D1227)-1))</f>
        <v/>
      </c>
    </row>
    <row r="1228" spans="1:10" thickBot="1">
      <c r="A1228" s="117"/>
      <c r="B1228" s="70">
        <f t="shared" si="81"/>
        <v>45020</v>
      </c>
      <c r="C1228" s="82" t="str">
        <f t="shared" si="78"/>
        <v>mardi</v>
      </c>
      <c r="D1228" s="87"/>
      <c r="E1228" s="115" t="str">
        <f t="shared" si="79"/>
        <v/>
      </c>
      <c r="F1228" s="115" t="str">
        <f t="shared" si="80"/>
        <v/>
      </c>
      <c r="G1228" s="116" t="str">
        <f>IF(ISNONTEXT(D1228),"",E1228-MAX($F$2:F1227))</f>
        <v/>
      </c>
      <c r="H1228" s="97"/>
      <c r="I1228" s="74" t="str">
        <f ca="1">IF(D1228="N",COUNTIF(INDIRECT(ADDRESS(MATCH(Plages!$D$19,'Planning annuel mixing coater'!$B:$B),4)):D1228,"N"),IF(D1228="N1",COUNTIF($D$9:D1228,"N1"),""))</f>
        <v/>
      </c>
      <c r="J1228" s="96" t="str">
        <f>IF(D1228="","",COUNTA(D1220:D1228)-(COUNTA(D1228:D1228)-1))</f>
        <v/>
      </c>
    </row>
    <row r="1229" spans="1:10" thickBot="1">
      <c r="A1229" s="117"/>
      <c r="B1229" s="70">
        <f t="shared" si="81"/>
        <v>45021</v>
      </c>
      <c r="C1229" s="82" t="str">
        <f t="shared" si="78"/>
        <v>mercredi</v>
      </c>
      <c r="D1229" s="87"/>
      <c r="E1229" s="115" t="str">
        <f t="shared" si="79"/>
        <v/>
      </c>
      <c r="F1229" s="115" t="str">
        <f t="shared" si="80"/>
        <v/>
      </c>
      <c r="G1229" s="116" t="str">
        <f>IF(ISNONTEXT(D1229),"",E1229-MAX($F$2:F1228))</f>
        <v/>
      </c>
      <c r="H1229" s="97"/>
      <c r="I1229" s="74" t="str">
        <f ca="1">IF(D1229="N",COUNTIF(INDIRECT(ADDRESS(MATCH(Plages!$D$19,'Planning annuel mixing coater'!$B:$B),4)):D1229,"N"),IF(D1229="N1",COUNTIF($D$9:D1229,"N1"),""))</f>
        <v/>
      </c>
      <c r="J1229" s="96" t="str">
        <f>IF(D1229="","",COUNTA(D1220:D1229)-(COUNTA(D1229:D1229)-1))</f>
        <v/>
      </c>
    </row>
    <row r="1230" spans="1:10" thickBot="1">
      <c r="A1230" s="117"/>
      <c r="B1230" s="70">
        <f t="shared" si="81"/>
        <v>45022</v>
      </c>
      <c r="C1230" s="82" t="str">
        <f t="shared" si="78"/>
        <v>jeudi</v>
      </c>
      <c r="D1230" s="87"/>
      <c r="E1230" s="115" t="str">
        <f t="shared" si="79"/>
        <v/>
      </c>
      <c r="F1230" s="115" t="str">
        <f t="shared" si="80"/>
        <v/>
      </c>
      <c r="G1230" s="116" t="str">
        <f>IF(ISNONTEXT(D1230),"",E1230-MAX($F$2:F1229))</f>
        <v/>
      </c>
      <c r="H1230" s="97"/>
      <c r="I1230" s="74" t="str">
        <f ca="1">IF(D1230="N",COUNTIF(INDIRECT(ADDRESS(MATCH(Plages!$D$19,'Planning annuel mixing coater'!$B:$B),4)):D1230,"N"),IF(D1230="N1",COUNTIF($D$9:D1230,"N1"),""))</f>
        <v/>
      </c>
      <c r="J1230" s="96" t="str">
        <f>IF(D1230="","",COUNTA(D1220:D1230)-(COUNTA(D1230:D1230)-1))</f>
        <v/>
      </c>
    </row>
    <row r="1231" spans="1:10" thickBot="1">
      <c r="A1231" s="117"/>
      <c r="B1231" s="70">
        <f t="shared" si="81"/>
        <v>45023</v>
      </c>
      <c r="C1231" s="82" t="str">
        <f t="shared" si="78"/>
        <v>vendredi</v>
      </c>
      <c r="D1231" s="87"/>
      <c r="E1231" s="115" t="str">
        <f t="shared" si="79"/>
        <v/>
      </c>
      <c r="F1231" s="115" t="str">
        <f t="shared" si="80"/>
        <v/>
      </c>
      <c r="G1231" s="116" t="str">
        <f>IF(ISNONTEXT(D1231),"",E1231-MAX($F$2:F1230))</f>
        <v/>
      </c>
      <c r="H1231" s="97"/>
      <c r="I1231" s="74" t="str">
        <f ca="1">IF(D1231="N",COUNTIF(INDIRECT(ADDRESS(MATCH(Plages!$D$19,'Planning annuel mixing coater'!$B:$B),4)):D1231,"N"),IF(D1231="N1",COUNTIF($D$9:D1231,"N1"),""))</f>
        <v/>
      </c>
      <c r="J1231" s="96" t="str">
        <f>IF(D1231="","",COUNTA(D1220:D1231)-(COUNTA(D1231:D1231)-1))</f>
        <v/>
      </c>
    </row>
    <row r="1232" spans="1:10" thickBot="1">
      <c r="A1232" s="117"/>
      <c r="B1232" s="70">
        <f t="shared" si="81"/>
        <v>45024</v>
      </c>
      <c r="C1232" s="82" t="str">
        <f t="shared" si="78"/>
        <v>samedi</v>
      </c>
      <c r="D1232" s="87"/>
      <c r="E1232" s="115" t="str">
        <f t="shared" si="79"/>
        <v/>
      </c>
      <c r="F1232" s="115" t="str">
        <f t="shared" si="80"/>
        <v/>
      </c>
      <c r="G1232" s="116" t="str">
        <f>IF(ISNONTEXT(D1232),"",E1232-MAX($F$2:F1231))</f>
        <v/>
      </c>
      <c r="H1232" s="97"/>
      <c r="I1232" s="74" t="str">
        <f ca="1">IF(D1232="N",COUNTIF(INDIRECT(ADDRESS(MATCH(Plages!$D$19,'Planning annuel mixing coater'!$B:$B),4)):D1232,"N"),IF(D1232="N1",COUNTIF($D$9:D1232,"N1"),""))</f>
        <v/>
      </c>
      <c r="J1232" s="96" t="str">
        <f>IF(D1232="","",COUNTA(D1220:D1232)-(COUNTA(D1232:D1232)-1))</f>
        <v/>
      </c>
    </row>
    <row r="1233" spans="1:10" s="77" customFormat="1" thickBot="1">
      <c r="A1233" s="117"/>
      <c r="B1233" s="75">
        <f t="shared" si="81"/>
        <v>45025</v>
      </c>
      <c r="C1233" s="83" t="str">
        <f t="shared" si="78"/>
        <v>dimanche</v>
      </c>
      <c r="D1233" s="88"/>
      <c r="E1233" s="115" t="str">
        <f t="shared" si="79"/>
        <v/>
      </c>
      <c r="F1233" s="115" t="str">
        <f t="shared" si="80"/>
        <v/>
      </c>
      <c r="G1233" s="116" t="str">
        <f>IF(ISNONTEXT(D1233),"",E1233-MAX($F$2:F1232))</f>
        <v/>
      </c>
      <c r="H1233" s="98"/>
      <c r="I1233" s="76" t="str">
        <f ca="1">IF(D1233="N",COUNTIF(INDIRECT(ADDRESS(MATCH(Plages!$D$19,'Planning annuel mixing coater'!$B:$B),4)):D1233,"N"),IF(D1233="N1",COUNTIF($D$9:D1233,"N1"),""))</f>
        <v/>
      </c>
      <c r="J1233" s="99" t="str">
        <f>IF(D1233="","",COUNTA(D1220:D1233)-(COUNTA(D1233:D1233)-1))</f>
        <v/>
      </c>
    </row>
    <row r="1234" spans="1:10" ht="16.5" thickTop="1" thickBot="1">
      <c r="A1234" s="117"/>
      <c r="B1234" s="78">
        <f t="shared" si="81"/>
        <v>45026</v>
      </c>
      <c r="C1234" s="81" t="str">
        <f t="shared" si="78"/>
        <v>lundi</v>
      </c>
      <c r="D1234" s="89"/>
      <c r="E1234" s="115" t="str">
        <f t="shared" si="79"/>
        <v/>
      </c>
      <c r="F1234" s="115" t="str">
        <f t="shared" si="80"/>
        <v/>
      </c>
      <c r="G1234" s="116" t="str">
        <f>IF(ISNONTEXT(D1234),"",E1234-MAX($F$2:F1233))</f>
        <v/>
      </c>
      <c r="H1234" s="100"/>
      <c r="I1234" s="79" t="str">
        <f ca="1">IF(D1234="N",COUNTIF(INDIRECT(ADDRESS(MATCH(Plages!$D$19,'Planning annuel mixing coater'!$B:$B),4)):D1234,"N"),IF(D1234="N1",COUNTIF($D$9:D1234,"N1"),""))</f>
        <v/>
      </c>
      <c r="J1234" s="101" t="str">
        <f>IF(D1234="","",COUNTA(D1234:D1234)-(COUNTA(D1234:D1234)-1))</f>
        <v/>
      </c>
    </row>
    <row r="1235" spans="1:10" thickBot="1">
      <c r="A1235" s="117"/>
      <c r="B1235" s="70">
        <f t="shared" si="81"/>
        <v>45027</v>
      </c>
      <c r="C1235" s="82" t="str">
        <f t="shared" si="78"/>
        <v>mardi</v>
      </c>
      <c r="D1235" s="87"/>
      <c r="E1235" s="115" t="str">
        <f t="shared" si="79"/>
        <v/>
      </c>
      <c r="F1235" s="115" t="str">
        <f t="shared" si="80"/>
        <v/>
      </c>
      <c r="G1235" s="116" t="str">
        <f>IF(ISNONTEXT(D1235),"",E1235-MAX($F$2:F1234))</f>
        <v/>
      </c>
      <c r="H1235" s="97"/>
      <c r="I1235" s="74" t="str">
        <f ca="1">IF(D1235="N",COUNTIF(INDIRECT(ADDRESS(MATCH(Plages!$D$19,'Planning annuel mixing coater'!$B:$B),4)):D1235,"N"),IF(D1235="N1",COUNTIF($D$9:D1235,"N1"),""))</f>
        <v/>
      </c>
      <c r="J1235" s="96" t="str">
        <f>IF(D1235="","",COUNTA(D1234:D1235)-(COUNTA(D1235:D1235)-1))</f>
        <v/>
      </c>
    </row>
    <row r="1236" spans="1:10" thickBot="1">
      <c r="A1236" s="117"/>
      <c r="B1236" s="70">
        <f t="shared" si="81"/>
        <v>45028</v>
      </c>
      <c r="C1236" s="82" t="str">
        <f t="shared" si="78"/>
        <v>mercredi</v>
      </c>
      <c r="D1236" s="87"/>
      <c r="E1236" s="115" t="str">
        <f t="shared" si="79"/>
        <v/>
      </c>
      <c r="F1236" s="115" t="str">
        <f t="shared" si="80"/>
        <v/>
      </c>
      <c r="G1236" s="116" t="str">
        <f>IF(ISNONTEXT(D1236),"",E1236-MAX($F$2:F1235))</f>
        <v/>
      </c>
      <c r="H1236" s="97"/>
      <c r="I1236" s="74" t="str">
        <f ca="1">IF(D1236="N",COUNTIF(INDIRECT(ADDRESS(MATCH(Plages!$D$19,'Planning annuel mixing coater'!$B:$B),4)):D1236,"N"),IF(D1236="N1",COUNTIF($D$9:D1236,"N1"),""))</f>
        <v/>
      </c>
      <c r="J1236" s="96" t="str">
        <f>IF(D1236="","",COUNTA(D1234:D1236)-(COUNTA(D1236:D1236)-1))</f>
        <v/>
      </c>
    </row>
    <row r="1237" spans="1:10" thickBot="1">
      <c r="A1237" s="117"/>
      <c r="B1237" s="70">
        <f t="shared" si="81"/>
        <v>45029</v>
      </c>
      <c r="C1237" s="82" t="str">
        <f t="shared" si="78"/>
        <v>jeudi</v>
      </c>
      <c r="D1237" s="87"/>
      <c r="E1237" s="115" t="str">
        <f t="shared" si="79"/>
        <v/>
      </c>
      <c r="F1237" s="115" t="str">
        <f t="shared" si="80"/>
        <v/>
      </c>
      <c r="G1237" s="116" t="str">
        <f>IF(ISNONTEXT(D1237),"",E1237-MAX($F$2:F1236))</f>
        <v/>
      </c>
      <c r="H1237" s="97"/>
      <c r="I1237" s="74" t="str">
        <f ca="1">IF(D1237="N",COUNTIF(INDIRECT(ADDRESS(MATCH(Plages!$D$19,'Planning annuel mixing coater'!$B:$B),4)):D1237,"N"),IF(D1237="N1",COUNTIF($D$9:D1237,"N1"),""))</f>
        <v/>
      </c>
      <c r="J1237" s="96" t="str">
        <f>IF(D1237="","",COUNTA(D1234:D1237)-(COUNTA(D1237:D1237)-1))</f>
        <v/>
      </c>
    </row>
    <row r="1238" spans="1:10" thickBot="1">
      <c r="A1238" s="117"/>
      <c r="B1238" s="70">
        <f t="shared" si="81"/>
        <v>45030</v>
      </c>
      <c r="C1238" s="82" t="str">
        <f t="shared" si="78"/>
        <v>vendredi</v>
      </c>
      <c r="D1238" s="87"/>
      <c r="E1238" s="115" t="str">
        <f t="shared" si="79"/>
        <v/>
      </c>
      <c r="F1238" s="115" t="str">
        <f t="shared" si="80"/>
        <v/>
      </c>
      <c r="G1238" s="116" t="str">
        <f>IF(ISNONTEXT(D1238),"",E1238-MAX($F$2:F1237))</f>
        <v/>
      </c>
      <c r="H1238" s="97"/>
      <c r="I1238" s="74" t="str">
        <f ca="1">IF(D1238="N",COUNTIF(INDIRECT(ADDRESS(MATCH(Plages!$D$19,'Planning annuel mixing coater'!$B:$B),4)):D1238,"N"),IF(D1238="N1",COUNTIF($D$9:D1238,"N1"),""))</f>
        <v/>
      </c>
      <c r="J1238" s="96" t="str">
        <f>IF(D1238="","",COUNTA(D1234:D1238)-(COUNTA(D1238:D1238)-1))</f>
        <v/>
      </c>
    </row>
    <row r="1239" spans="1:10" thickBot="1">
      <c r="A1239" s="117"/>
      <c r="B1239" s="70">
        <f t="shared" si="81"/>
        <v>45031</v>
      </c>
      <c r="C1239" s="82" t="str">
        <f t="shared" si="78"/>
        <v>samedi</v>
      </c>
      <c r="D1239" s="87"/>
      <c r="E1239" s="115" t="str">
        <f t="shared" si="79"/>
        <v/>
      </c>
      <c r="F1239" s="115" t="str">
        <f t="shared" si="80"/>
        <v/>
      </c>
      <c r="G1239" s="116" t="str">
        <f>IF(ISNONTEXT(D1239),"",E1239-MAX($F$2:F1238))</f>
        <v/>
      </c>
      <c r="H1239" s="97"/>
      <c r="I1239" s="74" t="str">
        <f ca="1">IF(D1239="N",COUNTIF(INDIRECT(ADDRESS(MATCH(Plages!$D$19,'Planning annuel mixing coater'!$B:$B),4)):D1239,"N"),IF(D1239="N1",COUNTIF($D$9:D1239,"N1"),""))</f>
        <v/>
      </c>
      <c r="J1239" s="96" t="str">
        <f>IF(D1239="","",COUNTA(D1234:D1239)-(COUNTA(D1239:D1239)-1))</f>
        <v/>
      </c>
    </row>
    <row r="1240" spans="1:10" thickBot="1">
      <c r="A1240" s="117"/>
      <c r="B1240" s="70">
        <f t="shared" si="81"/>
        <v>45032</v>
      </c>
      <c r="C1240" s="82" t="str">
        <f t="shared" si="78"/>
        <v>dimanche</v>
      </c>
      <c r="D1240" s="87"/>
      <c r="E1240" s="115" t="str">
        <f t="shared" si="79"/>
        <v/>
      </c>
      <c r="F1240" s="115" t="str">
        <f t="shared" si="80"/>
        <v/>
      </c>
      <c r="G1240" s="116" t="str">
        <f>IF(ISNONTEXT(D1240),"",E1240-MAX($F$2:F1239))</f>
        <v/>
      </c>
      <c r="H1240" s="98"/>
      <c r="I1240" s="74" t="str">
        <f ca="1">IF(D1240="N",COUNTIF(INDIRECT(ADDRESS(MATCH(Plages!$D$19,'Planning annuel mixing coater'!$B:$B),4)):D1240,"N"),IF(D1240="N1",COUNTIF($D$9:D1240,"N1"),""))</f>
        <v/>
      </c>
      <c r="J1240" s="96" t="str">
        <f>IF(D1240="","",COUNTA(D1234:D1240)-(COUNTA(D1240:D1240)-1))</f>
        <v/>
      </c>
    </row>
    <row r="1241" spans="1:10" thickBot="1">
      <c r="A1241" s="117"/>
      <c r="B1241" s="70">
        <f t="shared" si="81"/>
        <v>45033</v>
      </c>
      <c r="C1241" s="82" t="str">
        <f t="shared" si="78"/>
        <v>lundi</v>
      </c>
      <c r="D1241" s="87"/>
      <c r="E1241" s="115" t="str">
        <f t="shared" si="79"/>
        <v/>
      </c>
      <c r="F1241" s="115" t="str">
        <f t="shared" si="80"/>
        <v/>
      </c>
      <c r="G1241" s="116" t="str">
        <f>IF(ISNONTEXT(D1241),"",E1241-MAX($F$2:F1240))</f>
        <v/>
      </c>
      <c r="H1241" s="97"/>
      <c r="I1241" s="74" t="str">
        <f ca="1">IF(D1241="N",COUNTIF(INDIRECT(ADDRESS(MATCH(Plages!$D$19,'Planning annuel mixing coater'!$B:$B),4)):D1241,"N"),IF(D1241="N1",COUNTIF($D$9:D1241,"N1"),""))</f>
        <v/>
      </c>
      <c r="J1241" s="96" t="str">
        <f>IF(D1241="","",COUNTA(D1234:D1241)-(COUNTA(D1241:D1241)-1))</f>
        <v/>
      </c>
    </row>
    <row r="1242" spans="1:10" thickBot="1">
      <c r="A1242" s="117"/>
      <c r="B1242" s="70">
        <f t="shared" si="81"/>
        <v>45034</v>
      </c>
      <c r="C1242" s="82" t="str">
        <f t="shared" si="78"/>
        <v>mardi</v>
      </c>
      <c r="D1242" s="87"/>
      <c r="E1242" s="115" t="str">
        <f t="shared" si="79"/>
        <v/>
      </c>
      <c r="F1242" s="115" t="str">
        <f t="shared" si="80"/>
        <v/>
      </c>
      <c r="G1242" s="116" t="str">
        <f>IF(ISNONTEXT(D1242),"",E1242-MAX($F$2:F1241))</f>
        <v/>
      </c>
      <c r="H1242" s="97"/>
      <c r="I1242" s="74" t="str">
        <f ca="1">IF(D1242="N",COUNTIF(INDIRECT(ADDRESS(MATCH(Plages!$D$19,'Planning annuel mixing coater'!$B:$B),4)):D1242,"N"),IF(D1242="N1",COUNTIF($D$9:D1242,"N1"),""))</f>
        <v/>
      </c>
      <c r="J1242" s="96" t="str">
        <f>IF(D1242="","",COUNTA(D1234:D1242)-(COUNTA(D1242:D1242)-1))</f>
        <v/>
      </c>
    </row>
    <row r="1243" spans="1:10" thickBot="1">
      <c r="A1243" s="117"/>
      <c r="B1243" s="70">
        <f t="shared" si="81"/>
        <v>45035</v>
      </c>
      <c r="C1243" s="82" t="str">
        <f t="shared" si="78"/>
        <v>mercredi</v>
      </c>
      <c r="D1243" s="87"/>
      <c r="E1243" s="115" t="str">
        <f t="shared" si="79"/>
        <v/>
      </c>
      <c r="F1243" s="115" t="str">
        <f t="shared" si="80"/>
        <v/>
      </c>
      <c r="G1243" s="116" t="str">
        <f>IF(ISNONTEXT(D1243),"",E1243-MAX($F$2:F1242))</f>
        <v/>
      </c>
      <c r="H1243" s="97"/>
      <c r="I1243" s="74" t="str">
        <f ca="1">IF(D1243="N",COUNTIF(INDIRECT(ADDRESS(MATCH(Plages!$D$19,'Planning annuel mixing coater'!$B:$B),4)):D1243,"N"),IF(D1243="N1",COUNTIF($D$9:D1243,"N1"),""))</f>
        <v/>
      </c>
      <c r="J1243" s="96" t="str">
        <f>IF(D1243="","",COUNTA(D1234:D1243)-(COUNTA(D1243:D1243)-1))</f>
        <v/>
      </c>
    </row>
    <row r="1244" spans="1:10" thickBot="1">
      <c r="A1244" s="117"/>
      <c r="B1244" s="70">
        <f t="shared" si="81"/>
        <v>45036</v>
      </c>
      <c r="C1244" s="82" t="str">
        <f t="shared" si="78"/>
        <v>jeudi</v>
      </c>
      <c r="D1244" s="87"/>
      <c r="E1244" s="115" t="str">
        <f t="shared" si="79"/>
        <v/>
      </c>
      <c r="F1244" s="115" t="str">
        <f t="shared" si="80"/>
        <v/>
      </c>
      <c r="G1244" s="116" t="str">
        <f>IF(ISNONTEXT(D1244),"",E1244-MAX($F$2:F1243))</f>
        <v/>
      </c>
      <c r="H1244" s="97"/>
      <c r="I1244" s="74" t="str">
        <f ca="1">IF(D1244="N",COUNTIF(INDIRECT(ADDRESS(MATCH(Plages!$D$19,'Planning annuel mixing coater'!$B:$B),4)):D1244,"N"),IF(D1244="N1",COUNTIF($D$9:D1244,"N1"),""))</f>
        <v/>
      </c>
      <c r="J1244" s="96" t="str">
        <f>IF(D1244="","",COUNTA(D1234:D1244)-(COUNTA(D1244:D1244)-1))</f>
        <v/>
      </c>
    </row>
    <row r="1245" spans="1:10" thickBot="1">
      <c r="A1245" s="117"/>
      <c r="B1245" s="70">
        <f t="shared" si="81"/>
        <v>45037</v>
      </c>
      <c r="C1245" s="82" t="str">
        <f t="shared" si="78"/>
        <v>vendredi</v>
      </c>
      <c r="D1245" s="87"/>
      <c r="E1245" s="115" t="str">
        <f t="shared" si="79"/>
        <v/>
      </c>
      <c r="F1245" s="115" t="str">
        <f t="shared" si="80"/>
        <v/>
      </c>
      <c r="G1245" s="116" t="str">
        <f>IF(ISNONTEXT(D1245),"",E1245-MAX($F$2:F1244))</f>
        <v/>
      </c>
      <c r="H1245" s="97"/>
      <c r="I1245" s="74" t="str">
        <f ca="1">IF(D1245="N",COUNTIF(INDIRECT(ADDRESS(MATCH(Plages!$D$19,'Planning annuel mixing coater'!$B:$B),4)):D1245,"N"),IF(D1245="N1",COUNTIF($D$9:D1245,"N1"),""))</f>
        <v/>
      </c>
      <c r="J1245" s="96" t="str">
        <f>IF(D1245="","",COUNTA(D1234:D1245)-(COUNTA(D1245:D1245)-1))</f>
        <v/>
      </c>
    </row>
    <row r="1246" spans="1:10" thickBot="1">
      <c r="A1246" s="117"/>
      <c r="B1246" s="70">
        <f t="shared" si="81"/>
        <v>45038</v>
      </c>
      <c r="C1246" s="82" t="str">
        <f t="shared" ref="C1246:C1309" si="82">IF(B1246="","",TEXT(B1246,"jjjj"))</f>
        <v>samedi</v>
      </c>
      <c r="D1246" s="87"/>
      <c r="E1246" s="115" t="str">
        <f t="shared" ref="E1246:E1309" si="83">IF(D1246="","",B1246+VLOOKUP(D1246,Plageh,2,0))</f>
        <v/>
      </c>
      <c r="F1246" s="115" t="str">
        <f t="shared" ref="F1246:F1309" si="84">IF(D1246="","",B1246+VLOOKUP(D1246,Plageh,3,0))</f>
        <v/>
      </c>
      <c r="G1246" s="116" t="str">
        <f>IF(ISNONTEXT(D1246),"",E1246-MAX($F$2:F1245))</f>
        <v/>
      </c>
      <c r="H1246" s="97"/>
      <c r="I1246" s="74" t="str">
        <f ca="1">IF(D1246="N",COUNTIF(INDIRECT(ADDRESS(MATCH(Plages!$D$19,'Planning annuel mixing coater'!$B:$B),4)):D1246,"N"),IF(D1246="N1",COUNTIF($D$9:D1246,"N1"),""))</f>
        <v/>
      </c>
      <c r="J1246" s="96" t="str">
        <f>IF(D1246="","",COUNTA(D1234:D1246)-(COUNTA(D1246:D1246)-1))</f>
        <v/>
      </c>
    </row>
    <row r="1247" spans="1:10" s="77" customFormat="1" thickBot="1">
      <c r="A1247" s="117"/>
      <c r="B1247" s="75">
        <f t="shared" si="81"/>
        <v>45039</v>
      </c>
      <c r="C1247" s="83" t="str">
        <f t="shared" si="82"/>
        <v>dimanche</v>
      </c>
      <c r="D1247" s="88"/>
      <c r="E1247" s="115" t="str">
        <f t="shared" si="83"/>
        <v/>
      </c>
      <c r="F1247" s="115" t="str">
        <f t="shared" si="84"/>
        <v/>
      </c>
      <c r="G1247" s="116" t="str">
        <f>IF(ISNONTEXT(D1247),"",E1247-MAX($F$2:F1246))</f>
        <v/>
      </c>
      <c r="H1247" s="98"/>
      <c r="I1247" s="76" t="str">
        <f ca="1">IF(D1247="N",COUNTIF(INDIRECT(ADDRESS(MATCH(Plages!$D$19,'Planning annuel mixing coater'!$B:$B),4)):D1247,"N"),IF(D1247="N1",COUNTIF($D$9:D1247,"N1"),""))</f>
        <v/>
      </c>
      <c r="J1247" s="99" t="str">
        <f>IF(D1247="","",COUNTA(D1234:D1247)-(COUNTA(D1247:D1247)-1))</f>
        <v/>
      </c>
    </row>
    <row r="1248" spans="1:10" ht="16.5" thickTop="1" thickBot="1">
      <c r="A1248" s="117"/>
      <c r="B1248" s="78">
        <f t="shared" si="81"/>
        <v>45040</v>
      </c>
      <c r="C1248" s="81" t="str">
        <f t="shared" si="82"/>
        <v>lundi</v>
      </c>
      <c r="D1248" s="89"/>
      <c r="E1248" s="115" t="str">
        <f t="shared" si="83"/>
        <v/>
      </c>
      <c r="F1248" s="115" t="str">
        <f t="shared" si="84"/>
        <v/>
      </c>
      <c r="G1248" s="116" t="str">
        <f>IF(ISNONTEXT(D1248),"",E1248-MAX($F$2:F1247))</f>
        <v/>
      </c>
      <c r="H1248" s="100"/>
      <c r="I1248" s="79" t="str">
        <f ca="1">IF(D1248="N",COUNTIF(INDIRECT(ADDRESS(MATCH(Plages!$D$19,'Planning annuel mixing coater'!$B:$B),4)):D1248,"N"),IF(D1248="N1",COUNTIF($D$9:D1248,"N1"),""))</f>
        <v/>
      </c>
      <c r="J1248" s="101" t="str">
        <f>IF(D1248="","",COUNTA(D1248:D1248)-(COUNTA(D1248:D1248)-1))</f>
        <v/>
      </c>
    </row>
    <row r="1249" spans="1:10" thickBot="1">
      <c r="A1249" s="117"/>
      <c r="B1249" s="70">
        <f t="shared" si="81"/>
        <v>45041</v>
      </c>
      <c r="C1249" s="82" t="str">
        <f t="shared" si="82"/>
        <v>mardi</v>
      </c>
      <c r="D1249" s="87"/>
      <c r="E1249" s="115" t="str">
        <f t="shared" si="83"/>
        <v/>
      </c>
      <c r="F1249" s="115" t="str">
        <f t="shared" si="84"/>
        <v/>
      </c>
      <c r="G1249" s="116" t="str">
        <f>IF(ISNONTEXT(D1249),"",E1249-MAX($F$2:F1248))</f>
        <v/>
      </c>
      <c r="H1249" s="97"/>
      <c r="I1249" s="74" t="str">
        <f ca="1">IF(D1249="N",COUNTIF(INDIRECT(ADDRESS(MATCH(Plages!$D$19,'Planning annuel mixing coater'!$B:$B),4)):D1249,"N"),IF(D1249="N1",COUNTIF($D$9:D1249,"N1"),""))</f>
        <v/>
      </c>
      <c r="J1249" s="96" t="str">
        <f>IF(D1249="","",COUNTA(D1248:D1249)-(COUNTA(D1249:D1249)-1))</f>
        <v/>
      </c>
    </row>
    <row r="1250" spans="1:10" thickBot="1">
      <c r="A1250" s="117"/>
      <c r="B1250" s="70">
        <f t="shared" si="81"/>
        <v>45042</v>
      </c>
      <c r="C1250" s="82" t="str">
        <f t="shared" si="82"/>
        <v>mercredi</v>
      </c>
      <c r="D1250" s="87"/>
      <c r="E1250" s="115" t="str">
        <f t="shared" si="83"/>
        <v/>
      </c>
      <c r="F1250" s="115" t="str">
        <f t="shared" si="84"/>
        <v/>
      </c>
      <c r="G1250" s="116" t="str">
        <f>IF(ISNONTEXT(D1250),"",E1250-MAX($F$2:F1249))</f>
        <v/>
      </c>
      <c r="H1250" s="97"/>
      <c r="I1250" s="74" t="str">
        <f ca="1">IF(D1250="N",COUNTIF(INDIRECT(ADDRESS(MATCH(Plages!$D$19,'Planning annuel mixing coater'!$B:$B),4)):D1250,"N"),IF(D1250="N1",COUNTIF($D$9:D1250,"N1"),""))</f>
        <v/>
      </c>
      <c r="J1250" s="96" t="str">
        <f>IF(D1250="","",COUNTA(D1248:D1250)-(COUNTA(D1250:D1250)-1))</f>
        <v/>
      </c>
    </row>
    <row r="1251" spans="1:10" thickBot="1">
      <c r="A1251" s="117"/>
      <c r="B1251" s="70">
        <f t="shared" si="81"/>
        <v>45043</v>
      </c>
      <c r="C1251" s="82" t="str">
        <f t="shared" si="82"/>
        <v>jeudi</v>
      </c>
      <c r="D1251" s="87"/>
      <c r="E1251" s="115" t="str">
        <f t="shared" si="83"/>
        <v/>
      </c>
      <c r="F1251" s="115" t="str">
        <f t="shared" si="84"/>
        <v/>
      </c>
      <c r="G1251" s="116" t="str">
        <f>IF(ISNONTEXT(D1251),"",E1251-MAX($F$2:F1250))</f>
        <v/>
      </c>
      <c r="H1251" s="97"/>
      <c r="I1251" s="74" t="str">
        <f ca="1">IF(D1251="N",COUNTIF(INDIRECT(ADDRESS(MATCH(Plages!$D$19,'Planning annuel mixing coater'!$B:$B),4)):D1251,"N"),IF(D1251="N1",COUNTIF($D$9:D1251,"N1"),""))</f>
        <v/>
      </c>
      <c r="J1251" s="96" t="str">
        <f>IF(D1251="","",COUNTA(D1248:D1251)-(COUNTA(D1251:D1251)-1))</f>
        <v/>
      </c>
    </row>
    <row r="1252" spans="1:10" thickBot="1">
      <c r="A1252" s="117"/>
      <c r="B1252" s="70">
        <f t="shared" si="81"/>
        <v>45044</v>
      </c>
      <c r="C1252" s="82" t="str">
        <f t="shared" si="82"/>
        <v>vendredi</v>
      </c>
      <c r="D1252" s="87"/>
      <c r="E1252" s="115" t="str">
        <f t="shared" si="83"/>
        <v/>
      </c>
      <c r="F1252" s="115" t="str">
        <f t="shared" si="84"/>
        <v/>
      </c>
      <c r="G1252" s="116" t="str">
        <f>IF(ISNONTEXT(D1252),"",E1252-MAX($F$2:F1251))</f>
        <v/>
      </c>
      <c r="H1252" s="97"/>
      <c r="I1252" s="74" t="str">
        <f ca="1">IF(D1252="N",COUNTIF(INDIRECT(ADDRESS(MATCH(Plages!$D$19,'Planning annuel mixing coater'!$B:$B),4)):D1252,"N"),IF(D1252="N1",COUNTIF($D$9:D1252,"N1"),""))</f>
        <v/>
      </c>
      <c r="J1252" s="96" t="str">
        <f>IF(D1252="","",COUNTA(D1248:D1252)-(COUNTA(D1252:D1252)-1))</f>
        <v/>
      </c>
    </row>
    <row r="1253" spans="1:10" thickBot="1">
      <c r="A1253" s="117"/>
      <c r="B1253" s="70">
        <f t="shared" si="81"/>
        <v>45045</v>
      </c>
      <c r="C1253" s="82" t="str">
        <f t="shared" si="82"/>
        <v>samedi</v>
      </c>
      <c r="D1253" s="87"/>
      <c r="E1253" s="115" t="str">
        <f t="shared" si="83"/>
        <v/>
      </c>
      <c r="F1253" s="115" t="str">
        <f t="shared" si="84"/>
        <v/>
      </c>
      <c r="G1253" s="116" t="str">
        <f>IF(ISNONTEXT(D1253),"",E1253-MAX($F$2:F1252))</f>
        <v/>
      </c>
      <c r="H1253" s="97"/>
      <c r="I1253" s="74" t="str">
        <f ca="1">IF(D1253="N",COUNTIF(INDIRECT(ADDRESS(MATCH(Plages!$D$19,'Planning annuel mixing coater'!$B:$B),4)):D1253,"N"),IF(D1253="N1",COUNTIF($D$9:D1253,"N1"),""))</f>
        <v/>
      </c>
      <c r="J1253" s="96" t="str">
        <f>IF(D1253="","",COUNTA(D1248:D1253)-(COUNTA(D1253:D1253)-1))</f>
        <v/>
      </c>
    </row>
    <row r="1254" spans="1:10" thickBot="1">
      <c r="A1254" s="117"/>
      <c r="B1254" s="70">
        <f t="shared" si="81"/>
        <v>45046</v>
      </c>
      <c r="C1254" s="82" t="str">
        <f t="shared" si="82"/>
        <v>dimanche</v>
      </c>
      <c r="D1254" s="87"/>
      <c r="E1254" s="115" t="str">
        <f t="shared" si="83"/>
        <v/>
      </c>
      <c r="F1254" s="115" t="str">
        <f t="shared" si="84"/>
        <v/>
      </c>
      <c r="G1254" s="116" t="str">
        <f>IF(ISNONTEXT(D1254),"",E1254-MAX($F$2:F1253))</f>
        <v/>
      </c>
      <c r="H1254" s="98"/>
      <c r="I1254" s="74" t="str">
        <f ca="1">IF(D1254="N",COUNTIF(INDIRECT(ADDRESS(MATCH(Plages!$D$19,'Planning annuel mixing coater'!$B:$B),4)):D1254,"N"),IF(D1254="N1",COUNTIF($D$9:D1254,"N1"),""))</f>
        <v/>
      </c>
      <c r="J1254" s="96" t="str">
        <f>IF(D1254="","",COUNTA(D1248:D1254)-(COUNTA(D1254:D1254)-1))</f>
        <v/>
      </c>
    </row>
    <row r="1255" spans="1:10" thickBot="1">
      <c r="A1255" s="117"/>
      <c r="B1255" s="70">
        <f t="shared" si="81"/>
        <v>45047</v>
      </c>
      <c r="C1255" s="82" t="str">
        <f t="shared" si="82"/>
        <v>lundi</v>
      </c>
      <c r="D1255" s="87"/>
      <c r="E1255" s="115" t="str">
        <f t="shared" si="83"/>
        <v/>
      </c>
      <c r="F1255" s="115" t="str">
        <f t="shared" si="84"/>
        <v/>
      </c>
      <c r="G1255" s="116" t="str">
        <f>IF(ISNONTEXT(D1255),"",E1255-MAX($F$2:F1254))</f>
        <v/>
      </c>
      <c r="H1255" s="97"/>
      <c r="I1255" s="74" t="str">
        <f ca="1">IF(D1255="N",COUNTIF(INDIRECT(ADDRESS(MATCH(Plages!$D$19,'Planning annuel mixing coater'!$B:$B),4)):D1255,"N"),IF(D1255="N1",COUNTIF($D$9:D1255,"N1"),""))</f>
        <v/>
      </c>
      <c r="J1255" s="96" t="str">
        <f>IF(D1255="","",COUNTA(D1248:D1255)-(COUNTA(D1255:D1255)-1))</f>
        <v/>
      </c>
    </row>
    <row r="1256" spans="1:10" thickBot="1">
      <c r="A1256" s="117"/>
      <c r="B1256" s="70">
        <f t="shared" si="81"/>
        <v>45048</v>
      </c>
      <c r="C1256" s="82" t="str">
        <f t="shared" si="82"/>
        <v>mardi</v>
      </c>
      <c r="D1256" s="87"/>
      <c r="E1256" s="115" t="str">
        <f t="shared" si="83"/>
        <v/>
      </c>
      <c r="F1256" s="115" t="str">
        <f t="shared" si="84"/>
        <v/>
      </c>
      <c r="G1256" s="116" t="str">
        <f>IF(ISNONTEXT(D1256),"",E1256-MAX($F$2:F1255))</f>
        <v/>
      </c>
      <c r="H1256" s="97"/>
      <c r="I1256" s="74" t="str">
        <f ca="1">IF(D1256="N",COUNTIF(INDIRECT(ADDRESS(MATCH(Plages!$D$19,'Planning annuel mixing coater'!$B:$B),4)):D1256,"N"),IF(D1256="N1",COUNTIF($D$9:D1256,"N1"),""))</f>
        <v/>
      </c>
      <c r="J1256" s="96" t="str">
        <f>IF(D1256="","",COUNTA(D1248:D1256)-(COUNTA(D1256:D1256)-1))</f>
        <v/>
      </c>
    </row>
    <row r="1257" spans="1:10" thickBot="1">
      <c r="A1257" s="117"/>
      <c r="B1257" s="70">
        <f t="shared" si="81"/>
        <v>45049</v>
      </c>
      <c r="C1257" s="82" t="str">
        <f t="shared" si="82"/>
        <v>mercredi</v>
      </c>
      <c r="D1257" s="87"/>
      <c r="E1257" s="115" t="str">
        <f t="shared" si="83"/>
        <v/>
      </c>
      <c r="F1257" s="115" t="str">
        <f t="shared" si="84"/>
        <v/>
      </c>
      <c r="G1257" s="116" t="str">
        <f>IF(ISNONTEXT(D1257),"",E1257-MAX($F$2:F1256))</f>
        <v/>
      </c>
      <c r="H1257" s="97"/>
      <c r="I1257" s="74" t="str">
        <f ca="1">IF(D1257="N",COUNTIF(INDIRECT(ADDRESS(MATCH(Plages!$D$19,'Planning annuel mixing coater'!$B:$B),4)):D1257,"N"),IF(D1257="N1",COUNTIF($D$9:D1257,"N1"),""))</f>
        <v/>
      </c>
      <c r="J1257" s="96" t="str">
        <f>IF(D1257="","",COUNTA(D1248:D1257)-(COUNTA(D1257:D1257)-1))</f>
        <v/>
      </c>
    </row>
    <row r="1258" spans="1:10" thickBot="1">
      <c r="A1258" s="117"/>
      <c r="B1258" s="70">
        <f t="shared" si="81"/>
        <v>45050</v>
      </c>
      <c r="C1258" s="82" t="str">
        <f t="shared" si="82"/>
        <v>jeudi</v>
      </c>
      <c r="D1258" s="87"/>
      <c r="E1258" s="115" t="str">
        <f t="shared" si="83"/>
        <v/>
      </c>
      <c r="F1258" s="115" t="str">
        <f t="shared" si="84"/>
        <v/>
      </c>
      <c r="G1258" s="116" t="str">
        <f>IF(ISNONTEXT(D1258),"",E1258-MAX($F$2:F1257))</f>
        <v/>
      </c>
      <c r="H1258" s="97"/>
      <c r="I1258" s="74" t="str">
        <f ca="1">IF(D1258="N",COUNTIF(INDIRECT(ADDRESS(MATCH(Plages!$D$19,'Planning annuel mixing coater'!$B:$B),4)):D1258,"N"),IF(D1258="N1",COUNTIF($D$9:D1258,"N1"),""))</f>
        <v/>
      </c>
      <c r="J1258" s="96" t="str">
        <f>IF(D1258="","",COUNTA(D1248:D1258)-(COUNTA(D1258:D1258)-1))</f>
        <v/>
      </c>
    </row>
    <row r="1259" spans="1:10" thickBot="1">
      <c r="A1259" s="117"/>
      <c r="B1259" s="70">
        <f t="shared" si="81"/>
        <v>45051</v>
      </c>
      <c r="C1259" s="82" t="str">
        <f t="shared" si="82"/>
        <v>vendredi</v>
      </c>
      <c r="D1259" s="87"/>
      <c r="E1259" s="115" t="str">
        <f t="shared" si="83"/>
        <v/>
      </c>
      <c r="F1259" s="115" t="str">
        <f t="shared" si="84"/>
        <v/>
      </c>
      <c r="G1259" s="116" t="str">
        <f>IF(ISNONTEXT(D1259),"",E1259-MAX($F$2:F1258))</f>
        <v/>
      </c>
      <c r="H1259" s="97"/>
      <c r="I1259" s="74" t="str">
        <f ca="1">IF(D1259="N",COUNTIF(INDIRECT(ADDRESS(MATCH(Plages!$D$19,'Planning annuel mixing coater'!$B:$B),4)):D1259,"N"),IF(D1259="N1",COUNTIF($D$9:D1259,"N1"),""))</f>
        <v/>
      </c>
      <c r="J1259" s="96" t="str">
        <f>IF(D1259="","",COUNTA(D1248:D1259)-(COUNTA(D1259:D1259)-1))</f>
        <v/>
      </c>
    </row>
    <row r="1260" spans="1:10" thickBot="1">
      <c r="A1260" s="117"/>
      <c r="B1260" s="70">
        <f t="shared" si="81"/>
        <v>45052</v>
      </c>
      <c r="C1260" s="82" t="str">
        <f t="shared" si="82"/>
        <v>samedi</v>
      </c>
      <c r="D1260" s="87"/>
      <c r="E1260" s="115" t="str">
        <f t="shared" si="83"/>
        <v/>
      </c>
      <c r="F1260" s="115" t="str">
        <f t="shared" si="84"/>
        <v/>
      </c>
      <c r="G1260" s="116" t="str">
        <f>IF(ISNONTEXT(D1260),"",E1260-MAX($F$2:F1259))</f>
        <v/>
      </c>
      <c r="H1260" s="97"/>
      <c r="I1260" s="74" t="str">
        <f ca="1">IF(D1260="N",COUNTIF(INDIRECT(ADDRESS(MATCH(Plages!$D$19,'Planning annuel mixing coater'!$B:$B),4)):D1260,"N"),IF(D1260="N1",COUNTIF($D$9:D1260,"N1"),""))</f>
        <v/>
      </c>
      <c r="J1260" s="96" t="str">
        <f>IF(D1260="","",COUNTA(D1248:D1260)-(COUNTA(D1260:D1260)-1))</f>
        <v/>
      </c>
    </row>
    <row r="1261" spans="1:10" s="77" customFormat="1" thickBot="1">
      <c r="A1261" s="117"/>
      <c r="B1261" s="75">
        <f t="shared" si="81"/>
        <v>45053</v>
      </c>
      <c r="C1261" s="83" t="str">
        <f t="shared" si="82"/>
        <v>dimanche</v>
      </c>
      <c r="D1261" s="88"/>
      <c r="E1261" s="115" t="str">
        <f t="shared" si="83"/>
        <v/>
      </c>
      <c r="F1261" s="115" t="str">
        <f t="shared" si="84"/>
        <v/>
      </c>
      <c r="G1261" s="116" t="str">
        <f>IF(ISNONTEXT(D1261),"",E1261-MAX($F$2:F1260))</f>
        <v/>
      </c>
      <c r="H1261" s="98"/>
      <c r="I1261" s="76" t="str">
        <f ca="1">IF(D1261="N",COUNTIF(INDIRECT(ADDRESS(MATCH(Plages!$D$19,'Planning annuel mixing coater'!$B:$B),4)):D1261,"N"),IF(D1261="N1",COUNTIF($D$9:D1261,"N1"),""))</f>
        <v/>
      </c>
      <c r="J1261" s="99" t="str">
        <f>IF(D1261="","",COUNTA(D1248:D1261)-(COUNTA(D1261:D1261)-1))</f>
        <v/>
      </c>
    </row>
    <row r="1262" spans="1:10" ht="16.5" thickTop="1" thickBot="1">
      <c r="A1262" s="117"/>
      <c r="B1262" s="78">
        <f t="shared" si="81"/>
        <v>45054</v>
      </c>
      <c r="C1262" s="81" t="str">
        <f t="shared" si="82"/>
        <v>lundi</v>
      </c>
      <c r="D1262" s="89"/>
      <c r="E1262" s="115" t="str">
        <f t="shared" si="83"/>
        <v/>
      </c>
      <c r="F1262" s="115" t="str">
        <f t="shared" si="84"/>
        <v/>
      </c>
      <c r="G1262" s="116" t="str">
        <f>IF(ISNONTEXT(D1262),"",E1262-MAX($F$2:F1261))</f>
        <v/>
      </c>
      <c r="H1262" s="100"/>
      <c r="I1262" s="79" t="str">
        <f ca="1">IF(D1262="N",COUNTIF(INDIRECT(ADDRESS(MATCH(Plages!$D$19,'Planning annuel mixing coater'!$B:$B),4)):D1262,"N"),IF(D1262="N1",COUNTIF($D$9:D1262,"N1"),""))</f>
        <v/>
      </c>
      <c r="J1262" s="101" t="str">
        <f>IF(D1262="","",COUNTA(D1262:D1262)-(COUNTA(D1262:D1262)-1))</f>
        <v/>
      </c>
    </row>
    <row r="1263" spans="1:10" thickBot="1">
      <c r="A1263" s="117"/>
      <c r="B1263" s="70">
        <f t="shared" si="81"/>
        <v>45055</v>
      </c>
      <c r="C1263" s="82" t="str">
        <f t="shared" si="82"/>
        <v>mardi</v>
      </c>
      <c r="D1263" s="87"/>
      <c r="E1263" s="115" t="str">
        <f t="shared" si="83"/>
        <v/>
      </c>
      <c r="F1263" s="115" t="str">
        <f t="shared" si="84"/>
        <v/>
      </c>
      <c r="G1263" s="116" t="str">
        <f>IF(ISNONTEXT(D1263),"",E1263-MAX($F$2:F1262))</f>
        <v/>
      </c>
      <c r="H1263" s="97"/>
      <c r="I1263" s="74" t="str">
        <f ca="1">IF(D1263="N",COUNTIF(INDIRECT(ADDRESS(MATCH(Plages!$D$19,'Planning annuel mixing coater'!$B:$B),4)):D1263,"N"),IF(D1263="N1",COUNTIF($D$9:D1263,"N1"),""))</f>
        <v/>
      </c>
      <c r="J1263" s="96" t="str">
        <f>IF(D1263="","",COUNTA(D1262:D1263)-(COUNTA(D1263:D1263)-1))</f>
        <v/>
      </c>
    </row>
    <row r="1264" spans="1:10" thickBot="1">
      <c r="A1264" s="117"/>
      <c r="B1264" s="70">
        <f t="shared" si="81"/>
        <v>45056</v>
      </c>
      <c r="C1264" s="82" t="str">
        <f t="shared" si="82"/>
        <v>mercredi</v>
      </c>
      <c r="D1264" s="87"/>
      <c r="E1264" s="115" t="str">
        <f t="shared" si="83"/>
        <v/>
      </c>
      <c r="F1264" s="115" t="str">
        <f t="shared" si="84"/>
        <v/>
      </c>
      <c r="G1264" s="116" t="str">
        <f>IF(ISNONTEXT(D1264),"",E1264-MAX($F$2:F1263))</f>
        <v/>
      </c>
      <c r="H1264" s="97"/>
      <c r="I1264" s="74" t="str">
        <f ca="1">IF(D1264="N",COUNTIF(INDIRECT(ADDRESS(MATCH(Plages!$D$19,'Planning annuel mixing coater'!$B:$B),4)):D1264,"N"),IF(D1264="N1",COUNTIF($D$9:D1264,"N1"),""))</f>
        <v/>
      </c>
      <c r="J1264" s="96" t="str">
        <f>IF(D1264="","",COUNTA(D1262:D1264)-(COUNTA(D1264:D1264)-1))</f>
        <v/>
      </c>
    </row>
    <row r="1265" spans="1:10" thickBot="1">
      <c r="A1265" s="117"/>
      <c r="B1265" s="70">
        <f t="shared" si="81"/>
        <v>45057</v>
      </c>
      <c r="C1265" s="82" t="str">
        <f t="shared" si="82"/>
        <v>jeudi</v>
      </c>
      <c r="D1265" s="87"/>
      <c r="E1265" s="115" t="str">
        <f t="shared" si="83"/>
        <v/>
      </c>
      <c r="F1265" s="115" t="str">
        <f t="shared" si="84"/>
        <v/>
      </c>
      <c r="G1265" s="116" t="str">
        <f>IF(ISNONTEXT(D1265),"",E1265-MAX($F$2:F1264))</f>
        <v/>
      </c>
      <c r="H1265" s="97"/>
      <c r="I1265" s="74" t="str">
        <f ca="1">IF(D1265="N",COUNTIF(INDIRECT(ADDRESS(MATCH(Plages!$D$19,'Planning annuel mixing coater'!$B:$B),4)):D1265,"N"),IF(D1265="N1",COUNTIF($D$9:D1265,"N1"),""))</f>
        <v/>
      </c>
      <c r="J1265" s="96" t="str">
        <f>IF(D1265="","",COUNTA(D1262:D1265)-(COUNTA(D1265:D1265)-1))</f>
        <v/>
      </c>
    </row>
    <row r="1266" spans="1:10" thickBot="1">
      <c r="A1266" s="117"/>
      <c r="B1266" s="70">
        <f t="shared" si="81"/>
        <v>45058</v>
      </c>
      <c r="C1266" s="82" t="str">
        <f t="shared" si="82"/>
        <v>vendredi</v>
      </c>
      <c r="D1266" s="87"/>
      <c r="E1266" s="115" t="str">
        <f t="shared" si="83"/>
        <v/>
      </c>
      <c r="F1266" s="115" t="str">
        <f t="shared" si="84"/>
        <v/>
      </c>
      <c r="G1266" s="116" t="str">
        <f>IF(ISNONTEXT(D1266),"",E1266-MAX($F$2:F1265))</f>
        <v/>
      </c>
      <c r="H1266" s="97"/>
      <c r="I1266" s="74" t="str">
        <f ca="1">IF(D1266="N",COUNTIF(INDIRECT(ADDRESS(MATCH(Plages!$D$19,'Planning annuel mixing coater'!$B:$B),4)):D1266,"N"),IF(D1266="N1",COUNTIF($D$9:D1266,"N1"),""))</f>
        <v/>
      </c>
      <c r="J1266" s="96" t="str">
        <f>IF(D1266="","",COUNTA(D1262:D1266)-(COUNTA(D1266:D1266)-1))</f>
        <v/>
      </c>
    </row>
    <row r="1267" spans="1:10" thickBot="1">
      <c r="A1267" s="117"/>
      <c r="B1267" s="70">
        <f t="shared" si="81"/>
        <v>45059</v>
      </c>
      <c r="C1267" s="82" t="str">
        <f t="shared" si="82"/>
        <v>samedi</v>
      </c>
      <c r="D1267" s="87"/>
      <c r="E1267" s="115" t="str">
        <f t="shared" si="83"/>
        <v/>
      </c>
      <c r="F1267" s="115" t="str">
        <f t="shared" si="84"/>
        <v/>
      </c>
      <c r="G1267" s="116" t="str">
        <f>IF(ISNONTEXT(D1267),"",E1267-MAX($F$2:F1266))</f>
        <v/>
      </c>
      <c r="H1267" s="97"/>
      <c r="I1267" s="74" t="str">
        <f ca="1">IF(D1267="N",COUNTIF(INDIRECT(ADDRESS(MATCH(Plages!$D$19,'Planning annuel mixing coater'!$B:$B),4)):D1267,"N"),IF(D1267="N1",COUNTIF($D$9:D1267,"N1"),""))</f>
        <v/>
      </c>
      <c r="J1267" s="96" t="str">
        <f>IF(D1267="","",COUNTA(D1262:D1267)-(COUNTA(D1267:D1267)-1))</f>
        <v/>
      </c>
    </row>
    <row r="1268" spans="1:10" thickBot="1">
      <c r="A1268" s="117"/>
      <c r="B1268" s="70">
        <f t="shared" si="81"/>
        <v>45060</v>
      </c>
      <c r="C1268" s="82" t="str">
        <f t="shared" si="82"/>
        <v>dimanche</v>
      </c>
      <c r="D1268" s="87"/>
      <c r="E1268" s="115" t="str">
        <f t="shared" si="83"/>
        <v/>
      </c>
      <c r="F1268" s="115" t="str">
        <f t="shared" si="84"/>
        <v/>
      </c>
      <c r="G1268" s="116" t="str">
        <f>IF(ISNONTEXT(D1268),"",E1268-MAX($F$2:F1267))</f>
        <v/>
      </c>
      <c r="H1268" s="98"/>
      <c r="I1268" s="74" t="str">
        <f ca="1">IF(D1268="N",COUNTIF(INDIRECT(ADDRESS(MATCH(Plages!$D$19,'Planning annuel mixing coater'!$B:$B),4)):D1268,"N"),IF(D1268="N1",COUNTIF($D$9:D1268,"N1"),""))</f>
        <v/>
      </c>
      <c r="J1268" s="96" t="str">
        <f>IF(D1268="","",COUNTA(D1262:D1268)-(COUNTA(D1268:D1268)-1))</f>
        <v/>
      </c>
    </row>
    <row r="1269" spans="1:10" thickBot="1">
      <c r="A1269" s="117"/>
      <c r="B1269" s="70">
        <f t="shared" si="81"/>
        <v>45061</v>
      </c>
      <c r="C1269" s="82" t="str">
        <f t="shared" si="82"/>
        <v>lundi</v>
      </c>
      <c r="D1269" s="87"/>
      <c r="E1269" s="115" t="str">
        <f t="shared" si="83"/>
        <v/>
      </c>
      <c r="F1269" s="115" t="str">
        <f t="shared" si="84"/>
        <v/>
      </c>
      <c r="G1269" s="116" t="str">
        <f>IF(ISNONTEXT(D1269),"",E1269-MAX($F$2:F1268))</f>
        <v/>
      </c>
      <c r="H1269" s="97"/>
      <c r="I1269" s="74" t="str">
        <f ca="1">IF(D1269="N",COUNTIF(INDIRECT(ADDRESS(MATCH(Plages!$D$19,'Planning annuel mixing coater'!$B:$B),4)):D1269,"N"),IF(D1269="N1",COUNTIF($D$9:D1269,"N1"),""))</f>
        <v/>
      </c>
      <c r="J1269" s="96" t="str">
        <f>IF(D1269="","",COUNTA(D1262:D1269)-(COUNTA(D1269:D1269)-1))</f>
        <v/>
      </c>
    </row>
    <row r="1270" spans="1:10" thickBot="1">
      <c r="A1270" s="117"/>
      <c r="B1270" s="70">
        <f t="shared" si="81"/>
        <v>45062</v>
      </c>
      <c r="C1270" s="82" t="str">
        <f t="shared" si="82"/>
        <v>mardi</v>
      </c>
      <c r="D1270" s="87"/>
      <c r="E1270" s="115" t="str">
        <f t="shared" si="83"/>
        <v/>
      </c>
      <c r="F1270" s="115" t="str">
        <f t="shared" si="84"/>
        <v/>
      </c>
      <c r="G1270" s="116" t="str">
        <f>IF(ISNONTEXT(D1270),"",E1270-MAX($F$2:F1269))</f>
        <v/>
      </c>
      <c r="H1270" s="97"/>
      <c r="I1270" s="74" t="str">
        <f ca="1">IF(D1270="N",COUNTIF(INDIRECT(ADDRESS(MATCH(Plages!$D$19,'Planning annuel mixing coater'!$B:$B),4)):D1270,"N"),IF(D1270="N1",COUNTIF($D$9:D1270,"N1"),""))</f>
        <v/>
      </c>
      <c r="J1270" s="96" t="str">
        <f>IF(D1270="","",COUNTA(D1262:D1270)-(COUNTA(D1270:D1270)-1))</f>
        <v/>
      </c>
    </row>
    <row r="1271" spans="1:10" thickBot="1">
      <c r="A1271" s="117"/>
      <c r="B1271" s="70">
        <f t="shared" si="81"/>
        <v>45063</v>
      </c>
      <c r="C1271" s="82" t="str">
        <f t="shared" si="82"/>
        <v>mercredi</v>
      </c>
      <c r="D1271" s="87"/>
      <c r="E1271" s="115" t="str">
        <f t="shared" si="83"/>
        <v/>
      </c>
      <c r="F1271" s="115" t="str">
        <f t="shared" si="84"/>
        <v/>
      </c>
      <c r="G1271" s="116" t="str">
        <f>IF(ISNONTEXT(D1271),"",E1271-MAX($F$2:F1270))</f>
        <v/>
      </c>
      <c r="H1271" s="97"/>
      <c r="I1271" s="74" t="str">
        <f ca="1">IF(D1271="N",COUNTIF(INDIRECT(ADDRESS(MATCH(Plages!$D$19,'Planning annuel mixing coater'!$B:$B),4)):D1271,"N"),IF(D1271="N1",COUNTIF($D$9:D1271,"N1"),""))</f>
        <v/>
      </c>
      <c r="J1271" s="96" t="str">
        <f>IF(D1271="","",COUNTA(D1262:D1271)-(COUNTA(D1271:D1271)-1))</f>
        <v/>
      </c>
    </row>
    <row r="1272" spans="1:10" thickBot="1">
      <c r="A1272" s="117"/>
      <c r="B1272" s="70">
        <f t="shared" si="81"/>
        <v>45064</v>
      </c>
      <c r="C1272" s="82" t="str">
        <f t="shared" si="82"/>
        <v>jeudi</v>
      </c>
      <c r="D1272" s="87"/>
      <c r="E1272" s="115" t="str">
        <f t="shared" si="83"/>
        <v/>
      </c>
      <c r="F1272" s="115" t="str">
        <f t="shared" si="84"/>
        <v/>
      </c>
      <c r="G1272" s="116" t="str">
        <f>IF(ISNONTEXT(D1272),"",E1272-MAX($F$2:F1271))</f>
        <v/>
      </c>
      <c r="H1272" s="97"/>
      <c r="I1272" s="74" t="str">
        <f ca="1">IF(D1272="N",COUNTIF(INDIRECT(ADDRESS(MATCH(Plages!$D$19,'Planning annuel mixing coater'!$B:$B),4)):D1272,"N"),IF(D1272="N1",COUNTIF($D$9:D1272,"N1"),""))</f>
        <v/>
      </c>
      <c r="J1272" s="96" t="str">
        <f>IF(D1272="","",COUNTA(D1262:D1272)-(COUNTA(D1272:D1272)-1))</f>
        <v/>
      </c>
    </row>
    <row r="1273" spans="1:10" thickBot="1">
      <c r="A1273" s="117"/>
      <c r="B1273" s="70">
        <f t="shared" si="81"/>
        <v>45065</v>
      </c>
      <c r="C1273" s="82" t="str">
        <f t="shared" si="82"/>
        <v>vendredi</v>
      </c>
      <c r="D1273" s="87"/>
      <c r="E1273" s="115" t="str">
        <f t="shared" si="83"/>
        <v/>
      </c>
      <c r="F1273" s="115" t="str">
        <f t="shared" si="84"/>
        <v/>
      </c>
      <c r="G1273" s="116" t="str">
        <f>IF(ISNONTEXT(D1273),"",E1273-MAX($F$2:F1272))</f>
        <v/>
      </c>
      <c r="H1273" s="97"/>
      <c r="I1273" s="74" t="str">
        <f ca="1">IF(D1273="N",COUNTIF(INDIRECT(ADDRESS(MATCH(Plages!$D$19,'Planning annuel mixing coater'!$B:$B),4)):D1273,"N"),IF(D1273="N1",COUNTIF($D$9:D1273,"N1"),""))</f>
        <v/>
      </c>
      <c r="J1273" s="96" t="str">
        <f>IF(D1273="","",COUNTA(D1262:D1273)-(COUNTA(D1273:D1273)-1))</f>
        <v/>
      </c>
    </row>
    <row r="1274" spans="1:10" thickBot="1">
      <c r="A1274" s="117"/>
      <c r="B1274" s="70">
        <f t="shared" si="81"/>
        <v>45066</v>
      </c>
      <c r="C1274" s="82" t="str">
        <f t="shared" si="82"/>
        <v>samedi</v>
      </c>
      <c r="D1274" s="87"/>
      <c r="E1274" s="115" t="str">
        <f t="shared" si="83"/>
        <v/>
      </c>
      <c r="F1274" s="115" t="str">
        <f t="shared" si="84"/>
        <v/>
      </c>
      <c r="G1274" s="116" t="str">
        <f>IF(ISNONTEXT(D1274),"",E1274-MAX($F$2:F1273))</f>
        <v/>
      </c>
      <c r="H1274" s="97"/>
      <c r="I1274" s="74" t="str">
        <f ca="1">IF(D1274="N",COUNTIF(INDIRECT(ADDRESS(MATCH(Plages!$D$19,'Planning annuel mixing coater'!$B:$B),4)):D1274,"N"),IF(D1274="N1",COUNTIF($D$9:D1274,"N1"),""))</f>
        <v/>
      </c>
      <c r="J1274" s="96" t="str">
        <f>IF(D1274="","",COUNTA(D1262:D1274)-(COUNTA(D1274:D1274)-1))</f>
        <v/>
      </c>
    </row>
    <row r="1275" spans="1:10" s="77" customFormat="1" thickBot="1">
      <c r="A1275" s="117"/>
      <c r="B1275" s="75">
        <f t="shared" si="81"/>
        <v>45067</v>
      </c>
      <c r="C1275" s="83" t="str">
        <f t="shared" si="82"/>
        <v>dimanche</v>
      </c>
      <c r="D1275" s="88"/>
      <c r="E1275" s="115" t="str">
        <f t="shared" si="83"/>
        <v/>
      </c>
      <c r="F1275" s="115" t="str">
        <f t="shared" si="84"/>
        <v/>
      </c>
      <c r="G1275" s="116" t="str">
        <f>IF(ISNONTEXT(D1275),"",E1275-MAX($F$2:F1274))</f>
        <v/>
      </c>
      <c r="H1275" s="98"/>
      <c r="I1275" s="76" t="str">
        <f ca="1">IF(D1275="N",COUNTIF(INDIRECT(ADDRESS(MATCH(Plages!$D$19,'Planning annuel mixing coater'!$B:$B),4)):D1275,"N"),IF(D1275="N1",COUNTIF($D$9:D1275,"N1"),""))</f>
        <v/>
      </c>
      <c r="J1275" s="99" t="str">
        <f>IF(D1275="","",COUNTA(D1262:D1275)-(COUNTA(D1275:D1275)-1))</f>
        <v/>
      </c>
    </row>
    <row r="1276" spans="1:10" ht="16.5" thickTop="1" thickBot="1">
      <c r="A1276" s="117"/>
      <c r="B1276" s="78">
        <f t="shared" si="81"/>
        <v>45068</v>
      </c>
      <c r="C1276" s="81" t="str">
        <f t="shared" si="82"/>
        <v>lundi</v>
      </c>
      <c r="D1276" s="89"/>
      <c r="E1276" s="115" t="str">
        <f t="shared" si="83"/>
        <v/>
      </c>
      <c r="F1276" s="115" t="str">
        <f t="shared" si="84"/>
        <v/>
      </c>
      <c r="G1276" s="116" t="str">
        <f>IF(ISNONTEXT(D1276),"",E1276-MAX($F$2:F1275))</f>
        <v/>
      </c>
      <c r="H1276" s="100"/>
      <c r="I1276" s="79" t="str">
        <f ca="1">IF(D1276="N",COUNTIF(INDIRECT(ADDRESS(MATCH(Plages!$D$19,'Planning annuel mixing coater'!$B:$B),4)):D1276,"N"),IF(D1276="N1",COUNTIF($D$9:D1276,"N1"),""))</f>
        <v/>
      </c>
      <c r="J1276" s="101" t="str">
        <f>IF(D1276="","",COUNTA(D1276:D1276)-(COUNTA(D1276:D1276)-1))</f>
        <v/>
      </c>
    </row>
    <row r="1277" spans="1:10" thickBot="1">
      <c r="A1277" s="117"/>
      <c r="B1277" s="70">
        <f t="shared" si="81"/>
        <v>45069</v>
      </c>
      <c r="C1277" s="82" t="str">
        <f t="shared" si="82"/>
        <v>mardi</v>
      </c>
      <c r="D1277" s="87"/>
      <c r="E1277" s="115" t="str">
        <f t="shared" si="83"/>
        <v/>
      </c>
      <c r="F1277" s="115" t="str">
        <f t="shared" si="84"/>
        <v/>
      </c>
      <c r="G1277" s="116" t="str">
        <f>IF(ISNONTEXT(D1277),"",E1277-MAX($F$2:F1276))</f>
        <v/>
      </c>
      <c r="H1277" s="97"/>
      <c r="I1277" s="74" t="str">
        <f ca="1">IF(D1277="N",COUNTIF(INDIRECT(ADDRESS(MATCH(Plages!$D$19,'Planning annuel mixing coater'!$B:$B),4)):D1277,"N"),IF(D1277="N1",COUNTIF($D$9:D1277,"N1"),""))</f>
        <v/>
      </c>
      <c r="J1277" s="96" t="str">
        <f>IF(D1277="","",COUNTA(D1276:D1277)-(COUNTA(D1277:D1277)-1))</f>
        <v/>
      </c>
    </row>
    <row r="1278" spans="1:10" thickBot="1">
      <c r="A1278" s="117"/>
      <c r="B1278" s="70">
        <f t="shared" si="81"/>
        <v>45070</v>
      </c>
      <c r="C1278" s="82" t="str">
        <f t="shared" si="82"/>
        <v>mercredi</v>
      </c>
      <c r="D1278" s="87"/>
      <c r="E1278" s="115" t="str">
        <f t="shared" si="83"/>
        <v/>
      </c>
      <c r="F1278" s="115" t="str">
        <f t="shared" si="84"/>
        <v/>
      </c>
      <c r="G1278" s="116" t="str">
        <f>IF(ISNONTEXT(D1278),"",E1278-MAX($F$2:F1277))</f>
        <v/>
      </c>
      <c r="H1278" s="97"/>
      <c r="I1278" s="74" t="str">
        <f ca="1">IF(D1278="N",COUNTIF(INDIRECT(ADDRESS(MATCH(Plages!$D$19,'Planning annuel mixing coater'!$B:$B),4)):D1278,"N"),IF(D1278="N1",COUNTIF($D$9:D1278,"N1"),""))</f>
        <v/>
      </c>
      <c r="J1278" s="96" t="str">
        <f>IF(D1278="","",COUNTA(D1276:D1278)-(COUNTA(D1278:D1278)-1))</f>
        <v/>
      </c>
    </row>
    <row r="1279" spans="1:10" thickBot="1">
      <c r="A1279" s="117"/>
      <c r="B1279" s="70">
        <f t="shared" si="81"/>
        <v>45071</v>
      </c>
      <c r="C1279" s="82" t="str">
        <f t="shared" si="82"/>
        <v>jeudi</v>
      </c>
      <c r="D1279" s="87"/>
      <c r="E1279" s="115" t="str">
        <f t="shared" si="83"/>
        <v/>
      </c>
      <c r="F1279" s="115" t="str">
        <f t="shared" si="84"/>
        <v/>
      </c>
      <c r="G1279" s="116" t="str">
        <f>IF(ISNONTEXT(D1279),"",E1279-MAX($F$2:F1278))</f>
        <v/>
      </c>
      <c r="H1279" s="97"/>
      <c r="I1279" s="74" t="str">
        <f ca="1">IF(D1279="N",COUNTIF(INDIRECT(ADDRESS(MATCH(Plages!$D$19,'Planning annuel mixing coater'!$B:$B),4)):D1279,"N"),IF(D1279="N1",COUNTIF($D$9:D1279,"N1"),""))</f>
        <v/>
      </c>
      <c r="J1279" s="96" t="str">
        <f>IF(D1279="","",COUNTA(D1276:D1279)-(COUNTA(D1279:D1279)-1))</f>
        <v/>
      </c>
    </row>
    <row r="1280" spans="1:10" thickBot="1">
      <c r="A1280" s="117"/>
      <c r="B1280" s="70">
        <f t="shared" si="81"/>
        <v>45072</v>
      </c>
      <c r="C1280" s="82" t="str">
        <f t="shared" si="82"/>
        <v>vendredi</v>
      </c>
      <c r="D1280" s="87"/>
      <c r="E1280" s="115" t="str">
        <f t="shared" si="83"/>
        <v/>
      </c>
      <c r="F1280" s="115" t="str">
        <f t="shared" si="84"/>
        <v/>
      </c>
      <c r="G1280" s="116" t="str">
        <f>IF(ISNONTEXT(D1280),"",E1280-MAX($F$2:F1279))</f>
        <v/>
      </c>
      <c r="H1280" s="97"/>
      <c r="I1280" s="74" t="str">
        <f ca="1">IF(D1280="N",COUNTIF(INDIRECT(ADDRESS(MATCH(Plages!$D$19,'Planning annuel mixing coater'!$B:$B),4)):D1280,"N"),IF(D1280="N1",COUNTIF($D$9:D1280,"N1"),""))</f>
        <v/>
      </c>
      <c r="J1280" s="96" t="str">
        <f>IF(D1280="","",COUNTA(D1276:D1280)-(COUNTA(D1280:D1280)-1))</f>
        <v/>
      </c>
    </row>
    <row r="1281" spans="1:10" thickBot="1">
      <c r="A1281" s="117"/>
      <c r="B1281" s="70">
        <f t="shared" si="81"/>
        <v>45073</v>
      </c>
      <c r="C1281" s="82" t="str">
        <f t="shared" si="82"/>
        <v>samedi</v>
      </c>
      <c r="D1281" s="87"/>
      <c r="E1281" s="115" t="str">
        <f t="shared" si="83"/>
        <v/>
      </c>
      <c r="F1281" s="115" t="str">
        <f t="shared" si="84"/>
        <v/>
      </c>
      <c r="G1281" s="116" t="str">
        <f>IF(ISNONTEXT(D1281),"",E1281-MAX($F$2:F1280))</f>
        <v/>
      </c>
      <c r="H1281" s="97"/>
      <c r="I1281" s="74" t="str">
        <f ca="1">IF(D1281="N",COUNTIF(INDIRECT(ADDRESS(MATCH(Plages!$D$19,'Planning annuel mixing coater'!$B:$B),4)):D1281,"N"),IF(D1281="N1",COUNTIF($D$9:D1281,"N1"),""))</f>
        <v/>
      </c>
      <c r="J1281" s="96" t="str">
        <f>IF(D1281="","",COUNTA(D1276:D1281)-(COUNTA(D1281:D1281)-1))</f>
        <v/>
      </c>
    </row>
    <row r="1282" spans="1:10" thickBot="1">
      <c r="A1282" s="117"/>
      <c r="B1282" s="70">
        <f t="shared" si="81"/>
        <v>45074</v>
      </c>
      <c r="C1282" s="82" t="str">
        <f t="shared" si="82"/>
        <v>dimanche</v>
      </c>
      <c r="D1282" s="87"/>
      <c r="E1282" s="115" t="str">
        <f t="shared" si="83"/>
        <v/>
      </c>
      <c r="F1282" s="115" t="str">
        <f t="shared" si="84"/>
        <v/>
      </c>
      <c r="G1282" s="116" t="str">
        <f>IF(ISNONTEXT(D1282),"",E1282-MAX($F$2:F1281))</f>
        <v/>
      </c>
      <c r="H1282" s="98"/>
      <c r="I1282" s="74" t="str">
        <f ca="1">IF(D1282="N",COUNTIF(INDIRECT(ADDRESS(MATCH(Plages!$D$19,'Planning annuel mixing coater'!$B:$B),4)):D1282,"N"),IF(D1282="N1",COUNTIF($D$9:D1282,"N1"),""))</f>
        <v/>
      </c>
      <c r="J1282" s="96" t="str">
        <f>IF(D1282="","",COUNTA(D1276:D1282)-(COUNTA(D1282:D1282)-1))</f>
        <v/>
      </c>
    </row>
    <row r="1283" spans="1:10" thickBot="1">
      <c r="A1283" s="117"/>
      <c r="B1283" s="70">
        <f t="shared" si="81"/>
        <v>45075</v>
      </c>
      <c r="C1283" s="82" t="str">
        <f t="shared" si="82"/>
        <v>lundi</v>
      </c>
      <c r="D1283" s="87"/>
      <c r="E1283" s="115" t="str">
        <f t="shared" si="83"/>
        <v/>
      </c>
      <c r="F1283" s="115" t="str">
        <f t="shared" si="84"/>
        <v/>
      </c>
      <c r="G1283" s="116" t="str">
        <f>IF(ISNONTEXT(D1283),"",E1283-MAX($F$2:F1282))</f>
        <v/>
      </c>
      <c r="H1283" s="97"/>
      <c r="I1283" s="74" t="str">
        <f ca="1">IF(D1283="N",COUNTIF(INDIRECT(ADDRESS(MATCH(Plages!$D$19,'Planning annuel mixing coater'!$B:$B),4)):D1283,"N"),IF(D1283="N1",COUNTIF($D$9:D1283,"N1"),""))</f>
        <v/>
      </c>
      <c r="J1283" s="96" t="str">
        <f>IF(D1283="","",COUNTA(D1276:D1283)-(COUNTA(D1283:D1283)-1))</f>
        <v/>
      </c>
    </row>
    <row r="1284" spans="1:10" thickBot="1">
      <c r="A1284" s="117"/>
      <c r="B1284" s="70">
        <f t="shared" ref="B1284:B1347" si="85">IF(B1283="","",B1283+1)</f>
        <v>45076</v>
      </c>
      <c r="C1284" s="82" t="str">
        <f t="shared" si="82"/>
        <v>mardi</v>
      </c>
      <c r="D1284" s="87"/>
      <c r="E1284" s="115" t="str">
        <f t="shared" si="83"/>
        <v/>
      </c>
      <c r="F1284" s="115" t="str">
        <f t="shared" si="84"/>
        <v/>
      </c>
      <c r="G1284" s="116" t="str">
        <f>IF(ISNONTEXT(D1284),"",E1284-MAX($F$2:F1283))</f>
        <v/>
      </c>
      <c r="H1284" s="97"/>
      <c r="I1284" s="74" t="str">
        <f ca="1">IF(D1284="N",COUNTIF(INDIRECT(ADDRESS(MATCH(Plages!$D$19,'Planning annuel mixing coater'!$B:$B),4)):D1284,"N"),IF(D1284="N1",COUNTIF($D$9:D1284,"N1"),""))</f>
        <v/>
      </c>
      <c r="J1284" s="96" t="str">
        <f>IF(D1284="","",COUNTA(D1276:D1284)-(COUNTA(D1284:D1284)-1))</f>
        <v/>
      </c>
    </row>
    <row r="1285" spans="1:10" thickBot="1">
      <c r="A1285" s="117"/>
      <c r="B1285" s="70">
        <f t="shared" si="85"/>
        <v>45077</v>
      </c>
      <c r="C1285" s="82" t="str">
        <f t="shared" si="82"/>
        <v>mercredi</v>
      </c>
      <c r="D1285" s="87"/>
      <c r="E1285" s="115" t="str">
        <f t="shared" si="83"/>
        <v/>
      </c>
      <c r="F1285" s="115" t="str">
        <f t="shared" si="84"/>
        <v/>
      </c>
      <c r="G1285" s="116" t="str">
        <f>IF(ISNONTEXT(D1285),"",E1285-MAX($F$2:F1284))</f>
        <v/>
      </c>
      <c r="H1285" s="97"/>
      <c r="I1285" s="74" t="str">
        <f ca="1">IF(D1285="N",COUNTIF(INDIRECT(ADDRESS(MATCH(Plages!$D$19,'Planning annuel mixing coater'!$B:$B),4)):D1285,"N"),IF(D1285="N1",COUNTIF($D$9:D1285,"N1"),""))</f>
        <v/>
      </c>
      <c r="J1285" s="96" t="str">
        <f>IF(D1285="","",COUNTA(D1276:D1285)-(COUNTA(D1285:D1285)-1))</f>
        <v/>
      </c>
    </row>
    <row r="1286" spans="1:10" thickBot="1">
      <c r="A1286" s="117"/>
      <c r="B1286" s="70">
        <f t="shared" si="85"/>
        <v>45078</v>
      </c>
      <c r="C1286" s="82" t="str">
        <f t="shared" si="82"/>
        <v>jeudi</v>
      </c>
      <c r="D1286" s="87"/>
      <c r="E1286" s="115" t="str">
        <f t="shared" si="83"/>
        <v/>
      </c>
      <c r="F1286" s="115" t="str">
        <f t="shared" si="84"/>
        <v/>
      </c>
      <c r="G1286" s="116" t="str">
        <f>IF(ISNONTEXT(D1286),"",E1286-MAX($F$2:F1285))</f>
        <v/>
      </c>
      <c r="H1286" s="97"/>
      <c r="I1286" s="74" t="str">
        <f ca="1">IF(D1286="N",COUNTIF(INDIRECT(ADDRESS(MATCH(Plages!$D$19,'Planning annuel mixing coater'!$B:$B),4)):D1286,"N"),IF(D1286="N1",COUNTIF($D$9:D1286,"N1"),""))</f>
        <v/>
      </c>
      <c r="J1286" s="96" t="str">
        <f>IF(D1286="","",COUNTA(D1276:D1286)-(COUNTA(D1286:D1286)-1))</f>
        <v/>
      </c>
    </row>
    <row r="1287" spans="1:10" thickBot="1">
      <c r="A1287" s="117"/>
      <c r="B1287" s="70">
        <f t="shared" si="85"/>
        <v>45079</v>
      </c>
      <c r="C1287" s="82" t="str">
        <f t="shared" si="82"/>
        <v>vendredi</v>
      </c>
      <c r="D1287" s="87"/>
      <c r="E1287" s="115" t="str">
        <f t="shared" si="83"/>
        <v/>
      </c>
      <c r="F1287" s="115" t="str">
        <f t="shared" si="84"/>
        <v/>
      </c>
      <c r="G1287" s="116" t="str">
        <f>IF(ISNONTEXT(D1287),"",E1287-MAX($F$2:F1286))</f>
        <v/>
      </c>
      <c r="H1287" s="97"/>
      <c r="I1287" s="74" t="str">
        <f ca="1">IF(D1287="N",COUNTIF(INDIRECT(ADDRESS(MATCH(Plages!$D$19,'Planning annuel mixing coater'!$B:$B),4)):D1287,"N"),IF(D1287="N1",COUNTIF($D$9:D1287,"N1"),""))</f>
        <v/>
      </c>
      <c r="J1287" s="96" t="str">
        <f>IF(D1287="","",COUNTA(D1276:D1287)-(COUNTA(D1287:D1287)-1))</f>
        <v/>
      </c>
    </row>
    <row r="1288" spans="1:10" thickBot="1">
      <c r="A1288" s="117"/>
      <c r="B1288" s="70">
        <f t="shared" si="85"/>
        <v>45080</v>
      </c>
      <c r="C1288" s="82" t="str">
        <f t="shared" si="82"/>
        <v>samedi</v>
      </c>
      <c r="D1288" s="87"/>
      <c r="E1288" s="115" t="str">
        <f t="shared" si="83"/>
        <v/>
      </c>
      <c r="F1288" s="115" t="str">
        <f t="shared" si="84"/>
        <v/>
      </c>
      <c r="G1288" s="116" t="str">
        <f>IF(ISNONTEXT(D1288),"",E1288-MAX($F$2:F1287))</f>
        <v/>
      </c>
      <c r="H1288" s="97"/>
      <c r="I1288" s="74" t="str">
        <f ca="1">IF(D1288="N",COUNTIF(INDIRECT(ADDRESS(MATCH(Plages!$D$19,'Planning annuel mixing coater'!$B:$B),4)):D1288,"N"),IF(D1288="N1",COUNTIF($D$9:D1288,"N1"),""))</f>
        <v/>
      </c>
      <c r="J1288" s="96" t="str">
        <f>IF(D1288="","",COUNTA(D1276:D1288)-(COUNTA(D1288:D1288)-1))</f>
        <v/>
      </c>
    </row>
    <row r="1289" spans="1:10" s="77" customFormat="1" thickBot="1">
      <c r="A1289" s="117"/>
      <c r="B1289" s="75">
        <f t="shared" si="85"/>
        <v>45081</v>
      </c>
      <c r="C1289" s="83" t="str">
        <f t="shared" si="82"/>
        <v>dimanche</v>
      </c>
      <c r="D1289" s="88"/>
      <c r="E1289" s="115" t="str">
        <f t="shared" si="83"/>
        <v/>
      </c>
      <c r="F1289" s="115" t="str">
        <f t="shared" si="84"/>
        <v/>
      </c>
      <c r="G1289" s="116" t="str">
        <f>IF(ISNONTEXT(D1289),"",E1289-MAX($F$2:F1288))</f>
        <v/>
      </c>
      <c r="H1289" s="98"/>
      <c r="I1289" s="76" t="str">
        <f ca="1">IF(D1289="N",COUNTIF(INDIRECT(ADDRESS(MATCH(Plages!$D$19,'Planning annuel mixing coater'!$B:$B),4)):D1289,"N"),IF(D1289="N1",COUNTIF($D$9:D1289,"N1"),""))</f>
        <v/>
      </c>
      <c r="J1289" s="99" t="str">
        <f>IF(D1289="","",COUNTA(D1276:D1289)-(COUNTA(D1289:D1289)-1))</f>
        <v/>
      </c>
    </row>
    <row r="1290" spans="1:10" ht="16.5" thickTop="1" thickBot="1">
      <c r="A1290" s="117"/>
      <c r="B1290" s="78">
        <f t="shared" si="85"/>
        <v>45082</v>
      </c>
      <c r="C1290" s="81" t="str">
        <f t="shared" si="82"/>
        <v>lundi</v>
      </c>
      <c r="D1290" s="89"/>
      <c r="E1290" s="115" t="str">
        <f t="shared" si="83"/>
        <v/>
      </c>
      <c r="F1290" s="115" t="str">
        <f t="shared" si="84"/>
        <v/>
      </c>
      <c r="G1290" s="116" t="str">
        <f>IF(ISNONTEXT(D1290),"",E1290-MAX($F$2:F1289))</f>
        <v/>
      </c>
      <c r="H1290" s="100"/>
      <c r="I1290" s="79" t="str">
        <f ca="1">IF(D1290="N",COUNTIF(INDIRECT(ADDRESS(MATCH(Plages!$D$19,'Planning annuel mixing coater'!$B:$B),4)):D1290,"N"),IF(D1290="N1",COUNTIF($D$9:D1290,"N1"),""))</f>
        <v/>
      </c>
      <c r="J1290" s="101" t="str">
        <f>IF(D1290="","",COUNTA(D1290:D1290)-(COUNTA(D1290:D1290)-1))</f>
        <v/>
      </c>
    </row>
    <row r="1291" spans="1:10" thickBot="1">
      <c r="A1291" s="117"/>
      <c r="B1291" s="70">
        <f t="shared" si="85"/>
        <v>45083</v>
      </c>
      <c r="C1291" s="82" t="str">
        <f t="shared" si="82"/>
        <v>mardi</v>
      </c>
      <c r="D1291" s="87"/>
      <c r="E1291" s="115" t="str">
        <f t="shared" si="83"/>
        <v/>
      </c>
      <c r="F1291" s="115" t="str">
        <f t="shared" si="84"/>
        <v/>
      </c>
      <c r="G1291" s="116" t="str">
        <f>IF(ISNONTEXT(D1291),"",E1291-MAX($F$2:F1290))</f>
        <v/>
      </c>
      <c r="H1291" s="97"/>
      <c r="I1291" s="74" t="str">
        <f ca="1">IF(D1291="N",COUNTIF(INDIRECT(ADDRESS(MATCH(Plages!$D$19,'Planning annuel mixing coater'!$B:$B),4)):D1291,"N"),IF(D1291="N1",COUNTIF($D$9:D1291,"N1"),""))</f>
        <v/>
      </c>
      <c r="J1291" s="96" t="str">
        <f>IF(D1291="","",COUNTA(D1290:D1291)-(COUNTA(D1291:D1291)-1))</f>
        <v/>
      </c>
    </row>
    <row r="1292" spans="1:10" thickBot="1">
      <c r="A1292" s="117"/>
      <c r="B1292" s="70">
        <f t="shared" si="85"/>
        <v>45084</v>
      </c>
      <c r="C1292" s="82" t="str">
        <f t="shared" si="82"/>
        <v>mercredi</v>
      </c>
      <c r="D1292" s="87"/>
      <c r="E1292" s="115" t="str">
        <f t="shared" si="83"/>
        <v/>
      </c>
      <c r="F1292" s="115" t="str">
        <f t="shared" si="84"/>
        <v/>
      </c>
      <c r="G1292" s="116" t="str">
        <f>IF(ISNONTEXT(D1292),"",E1292-MAX($F$2:F1291))</f>
        <v/>
      </c>
      <c r="H1292" s="97"/>
      <c r="I1292" s="74" t="str">
        <f ca="1">IF(D1292="N",COUNTIF(INDIRECT(ADDRESS(MATCH(Plages!$D$19,'Planning annuel mixing coater'!$B:$B),4)):D1292,"N"),IF(D1292="N1",COUNTIF($D$9:D1292,"N1"),""))</f>
        <v/>
      </c>
      <c r="J1292" s="96" t="str">
        <f>IF(D1292="","",COUNTA(D1290:D1292)-(COUNTA(D1292:D1292)-1))</f>
        <v/>
      </c>
    </row>
    <row r="1293" spans="1:10" thickBot="1">
      <c r="A1293" s="117"/>
      <c r="B1293" s="70">
        <f t="shared" si="85"/>
        <v>45085</v>
      </c>
      <c r="C1293" s="82" t="str">
        <f t="shared" si="82"/>
        <v>jeudi</v>
      </c>
      <c r="D1293" s="87"/>
      <c r="E1293" s="115" t="str">
        <f t="shared" si="83"/>
        <v/>
      </c>
      <c r="F1293" s="115" t="str">
        <f t="shared" si="84"/>
        <v/>
      </c>
      <c r="G1293" s="116" t="str">
        <f>IF(ISNONTEXT(D1293),"",E1293-MAX($F$2:F1292))</f>
        <v/>
      </c>
      <c r="H1293" s="97"/>
      <c r="I1293" s="74" t="str">
        <f ca="1">IF(D1293="N",COUNTIF(INDIRECT(ADDRESS(MATCH(Plages!$D$19,'Planning annuel mixing coater'!$B:$B),4)):D1293,"N"),IF(D1293="N1",COUNTIF($D$9:D1293,"N1"),""))</f>
        <v/>
      </c>
      <c r="J1293" s="96" t="str">
        <f>IF(D1293="","",COUNTA(D1290:D1293)-(COUNTA(D1293:D1293)-1))</f>
        <v/>
      </c>
    </row>
    <row r="1294" spans="1:10" thickBot="1">
      <c r="A1294" s="117"/>
      <c r="B1294" s="70">
        <f t="shared" si="85"/>
        <v>45086</v>
      </c>
      <c r="C1294" s="82" t="str">
        <f t="shared" si="82"/>
        <v>vendredi</v>
      </c>
      <c r="D1294" s="87"/>
      <c r="E1294" s="115" t="str">
        <f t="shared" si="83"/>
        <v/>
      </c>
      <c r="F1294" s="115" t="str">
        <f t="shared" si="84"/>
        <v/>
      </c>
      <c r="G1294" s="116" t="str">
        <f>IF(ISNONTEXT(D1294),"",E1294-MAX($F$2:F1293))</f>
        <v/>
      </c>
      <c r="H1294" s="97"/>
      <c r="I1294" s="74" t="str">
        <f ca="1">IF(D1294="N",COUNTIF(INDIRECT(ADDRESS(MATCH(Plages!$D$19,'Planning annuel mixing coater'!$B:$B),4)):D1294,"N"),IF(D1294="N1",COUNTIF($D$9:D1294,"N1"),""))</f>
        <v/>
      </c>
      <c r="J1294" s="96" t="str">
        <f>IF(D1294="","",COUNTA(D1290:D1294)-(COUNTA(D1294:D1294)-1))</f>
        <v/>
      </c>
    </row>
    <row r="1295" spans="1:10" thickBot="1">
      <c r="A1295" s="117"/>
      <c r="B1295" s="70">
        <f t="shared" si="85"/>
        <v>45087</v>
      </c>
      <c r="C1295" s="82" t="str">
        <f t="shared" si="82"/>
        <v>samedi</v>
      </c>
      <c r="D1295" s="87"/>
      <c r="E1295" s="115" t="str">
        <f t="shared" si="83"/>
        <v/>
      </c>
      <c r="F1295" s="115" t="str">
        <f t="shared" si="84"/>
        <v/>
      </c>
      <c r="G1295" s="116" t="str">
        <f>IF(ISNONTEXT(D1295),"",E1295-MAX($F$2:F1294))</f>
        <v/>
      </c>
      <c r="H1295" s="97"/>
      <c r="I1295" s="74" t="str">
        <f ca="1">IF(D1295="N",COUNTIF(INDIRECT(ADDRESS(MATCH(Plages!$D$19,'Planning annuel mixing coater'!$B:$B),4)):D1295,"N"),IF(D1295="N1",COUNTIF($D$9:D1295,"N1"),""))</f>
        <v/>
      </c>
      <c r="J1295" s="96" t="str">
        <f>IF(D1295="","",COUNTA(D1290:D1295)-(COUNTA(D1295:D1295)-1))</f>
        <v/>
      </c>
    </row>
    <row r="1296" spans="1:10" thickBot="1">
      <c r="A1296" s="117"/>
      <c r="B1296" s="70">
        <f t="shared" si="85"/>
        <v>45088</v>
      </c>
      <c r="C1296" s="82" t="str">
        <f t="shared" si="82"/>
        <v>dimanche</v>
      </c>
      <c r="D1296" s="87"/>
      <c r="E1296" s="115" t="str">
        <f t="shared" si="83"/>
        <v/>
      </c>
      <c r="F1296" s="115" t="str">
        <f t="shared" si="84"/>
        <v/>
      </c>
      <c r="G1296" s="116" t="str">
        <f>IF(ISNONTEXT(D1296),"",E1296-MAX($F$2:F1295))</f>
        <v/>
      </c>
      <c r="H1296" s="98"/>
      <c r="I1296" s="74" t="str">
        <f ca="1">IF(D1296="N",COUNTIF(INDIRECT(ADDRESS(MATCH(Plages!$D$19,'Planning annuel mixing coater'!$B:$B),4)):D1296,"N"),IF(D1296="N1",COUNTIF($D$9:D1296,"N1"),""))</f>
        <v/>
      </c>
      <c r="J1296" s="96" t="str">
        <f>IF(D1296="","",COUNTA(D1290:D1296)-(COUNTA(D1296:D1296)-1))</f>
        <v/>
      </c>
    </row>
    <row r="1297" spans="1:10" thickBot="1">
      <c r="A1297" s="117"/>
      <c r="B1297" s="70">
        <f t="shared" si="85"/>
        <v>45089</v>
      </c>
      <c r="C1297" s="82" t="str">
        <f t="shared" si="82"/>
        <v>lundi</v>
      </c>
      <c r="D1297" s="87"/>
      <c r="E1297" s="115" t="str">
        <f t="shared" si="83"/>
        <v/>
      </c>
      <c r="F1297" s="115" t="str">
        <f t="shared" si="84"/>
        <v/>
      </c>
      <c r="G1297" s="116" t="str">
        <f>IF(ISNONTEXT(D1297),"",E1297-MAX($F$2:F1296))</f>
        <v/>
      </c>
      <c r="H1297" s="97"/>
      <c r="I1297" s="74" t="str">
        <f ca="1">IF(D1297="N",COUNTIF(INDIRECT(ADDRESS(MATCH(Plages!$D$19,'Planning annuel mixing coater'!$B:$B),4)):D1297,"N"),IF(D1297="N1",COUNTIF($D$9:D1297,"N1"),""))</f>
        <v/>
      </c>
      <c r="J1297" s="96" t="str">
        <f>IF(D1297="","",COUNTA(D1290:D1297)-(COUNTA(D1297:D1297)-1))</f>
        <v/>
      </c>
    </row>
    <row r="1298" spans="1:10" thickBot="1">
      <c r="A1298" s="117"/>
      <c r="B1298" s="70">
        <f t="shared" si="85"/>
        <v>45090</v>
      </c>
      <c r="C1298" s="82" t="str">
        <f t="shared" si="82"/>
        <v>mardi</v>
      </c>
      <c r="D1298" s="87"/>
      <c r="E1298" s="115" t="str">
        <f t="shared" si="83"/>
        <v/>
      </c>
      <c r="F1298" s="115" t="str">
        <f t="shared" si="84"/>
        <v/>
      </c>
      <c r="G1298" s="116" t="str">
        <f>IF(ISNONTEXT(D1298),"",E1298-MAX($F$2:F1297))</f>
        <v/>
      </c>
      <c r="H1298" s="97"/>
      <c r="I1298" s="74" t="str">
        <f ca="1">IF(D1298="N",COUNTIF(INDIRECT(ADDRESS(MATCH(Plages!$D$19,'Planning annuel mixing coater'!$B:$B),4)):D1298,"N"),IF(D1298="N1",COUNTIF($D$9:D1298,"N1"),""))</f>
        <v/>
      </c>
      <c r="J1298" s="96" t="str">
        <f>IF(D1298="","",COUNTA(D1290:D1298)-(COUNTA(D1298:D1298)-1))</f>
        <v/>
      </c>
    </row>
    <row r="1299" spans="1:10" thickBot="1">
      <c r="A1299" s="117"/>
      <c r="B1299" s="70">
        <f t="shared" si="85"/>
        <v>45091</v>
      </c>
      <c r="C1299" s="82" t="str">
        <f t="shared" si="82"/>
        <v>mercredi</v>
      </c>
      <c r="D1299" s="87"/>
      <c r="E1299" s="115" t="str">
        <f t="shared" si="83"/>
        <v/>
      </c>
      <c r="F1299" s="115" t="str">
        <f t="shared" si="84"/>
        <v/>
      </c>
      <c r="G1299" s="116" t="str">
        <f>IF(ISNONTEXT(D1299),"",E1299-MAX($F$2:F1298))</f>
        <v/>
      </c>
      <c r="H1299" s="97"/>
      <c r="I1299" s="74" t="str">
        <f ca="1">IF(D1299="N",COUNTIF(INDIRECT(ADDRESS(MATCH(Plages!$D$19,'Planning annuel mixing coater'!$B:$B),4)):D1299,"N"),IF(D1299="N1",COUNTIF($D$9:D1299,"N1"),""))</f>
        <v/>
      </c>
      <c r="J1299" s="96" t="str">
        <f>IF(D1299="","",COUNTA(D1290:D1299)-(COUNTA(D1299:D1299)-1))</f>
        <v/>
      </c>
    </row>
    <row r="1300" spans="1:10" thickBot="1">
      <c r="A1300" s="117"/>
      <c r="B1300" s="70">
        <f t="shared" si="85"/>
        <v>45092</v>
      </c>
      <c r="C1300" s="82" t="str">
        <f t="shared" si="82"/>
        <v>jeudi</v>
      </c>
      <c r="D1300" s="87"/>
      <c r="E1300" s="115" t="str">
        <f t="shared" si="83"/>
        <v/>
      </c>
      <c r="F1300" s="115" t="str">
        <f t="shared" si="84"/>
        <v/>
      </c>
      <c r="G1300" s="116" t="str">
        <f>IF(ISNONTEXT(D1300),"",E1300-MAX($F$2:F1299))</f>
        <v/>
      </c>
      <c r="H1300" s="97"/>
      <c r="I1300" s="74" t="str">
        <f ca="1">IF(D1300="N",COUNTIF(INDIRECT(ADDRESS(MATCH(Plages!$D$19,'Planning annuel mixing coater'!$B:$B),4)):D1300,"N"),IF(D1300="N1",COUNTIF($D$9:D1300,"N1"),""))</f>
        <v/>
      </c>
      <c r="J1300" s="96" t="str">
        <f>IF(D1300="","",COUNTA(D1290:D1300)-(COUNTA(D1300:D1300)-1))</f>
        <v/>
      </c>
    </row>
    <row r="1301" spans="1:10" thickBot="1">
      <c r="A1301" s="117"/>
      <c r="B1301" s="70">
        <f t="shared" si="85"/>
        <v>45093</v>
      </c>
      <c r="C1301" s="82" t="str">
        <f t="shared" si="82"/>
        <v>vendredi</v>
      </c>
      <c r="D1301" s="87"/>
      <c r="E1301" s="115" t="str">
        <f t="shared" si="83"/>
        <v/>
      </c>
      <c r="F1301" s="115" t="str">
        <f t="shared" si="84"/>
        <v/>
      </c>
      <c r="G1301" s="116" t="str">
        <f>IF(ISNONTEXT(D1301),"",E1301-MAX($F$2:F1300))</f>
        <v/>
      </c>
      <c r="H1301" s="97"/>
      <c r="I1301" s="74" t="str">
        <f ca="1">IF(D1301="N",COUNTIF(INDIRECT(ADDRESS(MATCH(Plages!$D$19,'Planning annuel mixing coater'!$B:$B),4)):D1301,"N"),IF(D1301="N1",COUNTIF($D$9:D1301,"N1"),""))</f>
        <v/>
      </c>
      <c r="J1301" s="96" t="str">
        <f>IF(D1301="","",COUNTA(D1290:D1301)-(COUNTA(D1301:D1301)-1))</f>
        <v/>
      </c>
    </row>
    <row r="1302" spans="1:10" thickBot="1">
      <c r="A1302" s="117"/>
      <c r="B1302" s="70">
        <f t="shared" si="85"/>
        <v>45094</v>
      </c>
      <c r="C1302" s="82" t="str">
        <f t="shared" si="82"/>
        <v>samedi</v>
      </c>
      <c r="D1302" s="87"/>
      <c r="E1302" s="115" t="str">
        <f t="shared" si="83"/>
        <v/>
      </c>
      <c r="F1302" s="115" t="str">
        <f t="shared" si="84"/>
        <v/>
      </c>
      <c r="G1302" s="116" t="str">
        <f>IF(ISNONTEXT(D1302),"",E1302-MAX($F$2:F1301))</f>
        <v/>
      </c>
      <c r="H1302" s="97"/>
      <c r="I1302" s="74" t="str">
        <f ca="1">IF(D1302="N",COUNTIF(INDIRECT(ADDRESS(MATCH(Plages!$D$19,'Planning annuel mixing coater'!$B:$B),4)):D1302,"N"),IF(D1302="N1",COUNTIF($D$9:D1302,"N1"),""))</f>
        <v/>
      </c>
      <c r="J1302" s="96" t="str">
        <f>IF(D1302="","",COUNTA(D1290:D1302)-(COUNTA(D1302:D1302)-1))</f>
        <v/>
      </c>
    </row>
    <row r="1303" spans="1:10" s="77" customFormat="1" thickBot="1">
      <c r="A1303" s="117"/>
      <c r="B1303" s="75">
        <f t="shared" si="85"/>
        <v>45095</v>
      </c>
      <c r="C1303" s="83" t="str">
        <f t="shared" si="82"/>
        <v>dimanche</v>
      </c>
      <c r="D1303" s="88"/>
      <c r="E1303" s="115" t="str">
        <f t="shared" si="83"/>
        <v/>
      </c>
      <c r="F1303" s="115" t="str">
        <f t="shared" si="84"/>
        <v/>
      </c>
      <c r="G1303" s="116" t="str">
        <f>IF(ISNONTEXT(D1303),"",E1303-MAX($F$2:F1302))</f>
        <v/>
      </c>
      <c r="H1303" s="98"/>
      <c r="I1303" s="76" t="str">
        <f ca="1">IF(D1303="N",COUNTIF(INDIRECT(ADDRESS(MATCH(Plages!$D$19,'Planning annuel mixing coater'!$B:$B),4)):D1303,"N"),IF(D1303="N1",COUNTIF($D$9:D1303,"N1"),""))</f>
        <v/>
      </c>
      <c r="J1303" s="99" t="str">
        <f>IF(D1303="","",COUNTA(D1290:D1303)-(COUNTA(D1303:D1303)-1))</f>
        <v/>
      </c>
    </row>
    <row r="1304" spans="1:10" ht="16.5" thickTop="1" thickBot="1">
      <c r="A1304" s="117"/>
      <c r="B1304" s="78">
        <f t="shared" si="85"/>
        <v>45096</v>
      </c>
      <c r="C1304" s="81" t="str">
        <f t="shared" si="82"/>
        <v>lundi</v>
      </c>
      <c r="D1304" s="89"/>
      <c r="E1304" s="115" t="str">
        <f t="shared" si="83"/>
        <v/>
      </c>
      <c r="F1304" s="115" t="str">
        <f t="shared" si="84"/>
        <v/>
      </c>
      <c r="G1304" s="116" t="str">
        <f>IF(ISNONTEXT(D1304),"",E1304-MAX($F$2:F1303))</f>
        <v/>
      </c>
      <c r="H1304" s="100"/>
      <c r="I1304" s="79" t="str">
        <f ca="1">IF(D1304="N",COUNTIF(INDIRECT(ADDRESS(MATCH(Plages!$D$19,'Planning annuel mixing coater'!$B:$B),4)):D1304,"N"),IF(D1304="N1",COUNTIF($D$9:D1304,"N1"),""))</f>
        <v/>
      </c>
      <c r="J1304" s="101" t="str">
        <f>IF(D1304="","",COUNTA(D1304:D1304)-(COUNTA(D1304:D1304)-1))</f>
        <v/>
      </c>
    </row>
    <row r="1305" spans="1:10" thickBot="1">
      <c r="A1305" s="117"/>
      <c r="B1305" s="70">
        <f t="shared" si="85"/>
        <v>45097</v>
      </c>
      <c r="C1305" s="82" t="str">
        <f t="shared" si="82"/>
        <v>mardi</v>
      </c>
      <c r="D1305" s="87"/>
      <c r="E1305" s="115" t="str">
        <f t="shared" si="83"/>
        <v/>
      </c>
      <c r="F1305" s="115" t="str">
        <f t="shared" si="84"/>
        <v/>
      </c>
      <c r="G1305" s="116" t="str">
        <f>IF(ISNONTEXT(D1305),"",E1305-MAX($F$2:F1304))</f>
        <v/>
      </c>
      <c r="H1305" s="97"/>
      <c r="I1305" s="74" t="str">
        <f ca="1">IF(D1305="N",COUNTIF(INDIRECT(ADDRESS(MATCH(Plages!$D$19,'Planning annuel mixing coater'!$B:$B),4)):D1305,"N"),IF(D1305="N1",COUNTIF($D$9:D1305,"N1"),""))</f>
        <v/>
      </c>
      <c r="J1305" s="96" t="str">
        <f>IF(D1305="","",COUNTA(D1304:D1305)-(COUNTA(D1305:D1305)-1))</f>
        <v/>
      </c>
    </row>
    <row r="1306" spans="1:10" thickBot="1">
      <c r="A1306" s="117"/>
      <c r="B1306" s="70">
        <f t="shared" si="85"/>
        <v>45098</v>
      </c>
      <c r="C1306" s="82" t="str">
        <f t="shared" si="82"/>
        <v>mercredi</v>
      </c>
      <c r="D1306" s="87"/>
      <c r="E1306" s="115" t="str">
        <f t="shared" si="83"/>
        <v/>
      </c>
      <c r="F1306" s="115" t="str">
        <f t="shared" si="84"/>
        <v/>
      </c>
      <c r="G1306" s="116" t="str">
        <f>IF(ISNONTEXT(D1306),"",E1306-MAX($F$2:F1305))</f>
        <v/>
      </c>
      <c r="H1306" s="97"/>
      <c r="I1306" s="74" t="str">
        <f ca="1">IF(D1306="N",COUNTIF(INDIRECT(ADDRESS(MATCH(Plages!$D$19,'Planning annuel mixing coater'!$B:$B),4)):D1306,"N"),IF(D1306="N1",COUNTIF($D$9:D1306,"N1"),""))</f>
        <v/>
      </c>
      <c r="J1306" s="96" t="str">
        <f>IF(D1306="","",COUNTA(D1304:D1306)-(COUNTA(D1306:D1306)-1))</f>
        <v/>
      </c>
    </row>
    <row r="1307" spans="1:10" thickBot="1">
      <c r="A1307" s="117"/>
      <c r="B1307" s="70">
        <f t="shared" si="85"/>
        <v>45099</v>
      </c>
      <c r="C1307" s="82" t="str">
        <f t="shared" si="82"/>
        <v>jeudi</v>
      </c>
      <c r="D1307" s="87"/>
      <c r="E1307" s="115" t="str">
        <f t="shared" si="83"/>
        <v/>
      </c>
      <c r="F1307" s="115" t="str">
        <f t="shared" si="84"/>
        <v/>
      </c>
      <c r="G1307" s="116" t="str">
        <f>IF(ISNONTEXT(D1307),"",E1307-MAX($F$2:F1306))</f>
        <v/>
      </c>
      <c r="H1307" s="97"/>
      <c r="I1307" s="74" t="str">
        <f ca="1">IF(D1307="N",COUNTIF(INDIRECT(ADDRESS(MATCH(Plages!$D$19,'Planning annuel mixing coater'!$B:$B),4)):D1307,"N"),IF(D1307="N1",COUNTIF($D$9:D1307,"N1"),""))</f>
        <v/>
      </c>
      <c r="J1307" s="96" t="str">
        <f>IF(D1307="","",COUNTA(D1304:D1307)-(COUNTA(D1307:D1307)-1))</f>
        <v/>
      </c>
    </row>
    <row r="1308" spans="1:10" thickBot="1">
      <c r="A1308" s="117"/>
      <c r="B1308" s="70">
        <f t="shared" si="85"/>
        <v>45100</v>
      </c>
      <c r="C1308" s="82" t="str">
        <f t="shared" si="82"/>
        <v>vendredi</v>
      </c>
      <c r="D1308" s="87"/>
      <c r="E1308" s="115" t="str">
        <f t="shared" si="83"/>
        <v/>
      </c>
      <c r="F1308" s="115" t="str">
        <f t="shared" si="84"/>
        <v/>
      </c>
      <c r="G1308" s="116" t="str">
        <f>IF(ISNONTEXT(D1308),"",E1308-MAX($F$2:F1307))</f>
        <v/>
      </c>
      <c r="H1308" s="97"/>
      <c r="I1308" s="74" t="str">
        <f ca="1">IF(D1308="N",COUNTIF(INDIRECT(ADDRESS(MATCH(Plages!$D$19,'Planning annuel mixing coater'!$B:$B),4)):D1308,"N"),IF(D1308="N1",COUNTIF($D$9:D1308,"N1"),""))</f>
        <v/>
      </c>
      <c r="J1308" s="96" t="str">
        <f>IF(D1308="","",COUNTA(D1304:D1308)-(COUNTA(D1308:D1308)-1))</f>
        <v/>
      </c>
    </row>
    <row r="1309" spans="1:10" thickBot="1">
      <c r="A1309" s="117"/>
      <c r="B1309" s="70">
        <f t="shared" si="85"/>
        <v>45101</v>
      </c>
      <c r="C1309" s="82" t="str">
        <f t="shared" si="82"/>
        <v>samedi</v>
      </c>
      <c r="D1309" s="87"/>
      <c r="E1309" s="115" t="str">
        <f t="shared" si="83"/>
        <v/>
      </c>
      <c r="F1309" s="115" t="str">
        <f t="shared" si="84"/>
        <v/>
      </c>
      <c r="G1309" s="116" t="str">
        <f>IF(ISNONTEXT(D1309),"",E1309-MAX($F$2:F1308))</f>
        <v/>
      </c>
      <c r="H1309" s="97"/>
      <c r="I1309" s="74" t="str">
        <f ca="1">IF(D1309="N",COUNTIF(INDIRECT(ADDRESS(MATCH(Plages!$D$19,'Planning annuel mixing coater'!$B:$B),4)):D1309,"N"),IF(D1309="N1",COUNTIF($D$9:D1309,"N1"),""))</f>
        <v/>
      </c>
      <c r="J1309" s="96" t="str">
        <f>IF(D1309="","",COUNTA(D1304:D1309)-(COUNTA(D1309:D1309)-1))</f>
        <v/>
      </c>
    </row>
    <row r="1310" spans="1:10" thickBot="1">
      <c r="A1310" s="117"/>
      <c r="B1310" s="70">
        <f t="shared" si="85"/>
        <v>45102</v>
      </c>
      <c r="C1310" s="82" t="str">
        <f t="shared" ref="C1310:C1373" si="86">IF(B1310="","",TEXT(B1310,"jjjj"))</f>
        <v>dimanche</v>
      </c>
      <c r="D1310" s="87"/>
      <c r="E1310" s="115" t="str">
        <f t="shared" ref="E1310:E1373" si="87">IF(D1310="","",B1310+VLOOKUP(D1310,Plageh,2,0))</f>
        <v/>
      </c>
      <c r="F1310" s="115" t="str">
        <f t="shared" ref="F1310:F1373" si="88">IF(D1310="","",B1310+VLOOKUP(D1310,Plageh,3,0))</f>
        <v/>
      </c>
      <c r="G1310" s="116" t="str">
        <f>IF(ISNONTEXT(D1310),"",E1310-MAX($F$2:F1309))</f>
        <v/>
      </c>
      <c r="H1310" s="98"/>
      <c r="I1310" s="74" t="str">
        <f ca="1">IF(D1310="N",COUNTIF(INDIRECT(ADDRESS(MATCH(Plages!$D$19,'Planning annuel mixing coater'!$B:$B),4)):D1310,"N"),IF(D1310="N1",COUNTIF($D$9:D1310,"N1"),""))</f>
        <v/>
      </c>
      <c r="J1310" s="96" t="str">
        <f>IF(D1310="","",COUNTA(D1304:D1310)-(COUNTA(D1310:D1310)-1))</f>
        <v/>
      </c>
    </row>
    <row r="1311" spans="1:10" thickBot="1">
      <c r="A1311" s="117"/>
      <c r="B1311" s="70">
        <f t="shared" si="85"/>
        <v>45103</v>
      </c>
      <c r="C1311" s="82" t="str">
        <f t="shared" si="86"/>
        <v>lundi</v>
      </c>
      <c r="D1311" s="87"/>
      <c r="E1311" s="115" t="str">
        <f t="shared" si="87"/>
        <v/>
      </c>
      <c r="F1311" s="115" t="str">
        <f t="shared" si="88"/>
        <v/>
      </c>
      <c r="G1311" s="116" t="str">
        <f>IF(ISNONTEXT(D1311),"",E1311-MAX($F$2:F1310))</f>
        <v/>
      </c>
      <c r="H1311" s="97"/>
      <c r="I1311" s="74" t="str">
        <f ca="1">IF(D1311="N",COUNTIF(INDIRECT(ADDRESS(MATCH(Plages!$D$19,'Planning annuel mixing coater'!$B:$B),4)):D1311,"N"),IF(D1311="N1",COUNTIF($D$9:D1311,"N1"),""))</f>
        <v/>
      </c>
      <c r="J1311" s="96" t="str">
        <f>IF(D1311="","",COUNTA(D1304:D1311)-(COUNTA(D1311:D1311)-1))</f>
        <v/>
      </c>
    </row>
    <row r="1312" spans="1:10" thickBot="1">
      <c r="A1312" s="117"/>
      <c r="B1312" s="70">
        <f t="shared" si="85"/>
        <v>45104</v>
      </c>
      <c r="C1312" s="82" t="str">
        <f t="shared" si="86"/>
        <v>mardi</v>
      </c>
      <c r="D1312" s="87"/>
      <c r="E1312" s="115" t="str">
        <f t="shared" si="87"/>
        <v/>
      </c>
      <c r="F1312" s="115" t="str">
        <f t="shared" si="88"/>
        <v/>
      </c>
      <c r="G1312" s="116" t="str">
        <f>IF(ISNONTEXT(D1312),"",E1312-MAX($F$2:F1311))</f>
        <v/>
      </c>
      <c r="H1312" s="97"/>
      <c r="I1312" s="74" t="str">
        <f ca="1">IF(D1312="N",COUNTIF(INDIRECT(ADDRESS(MATCH(Plages!$D$19,'Planning annuel mixing coater'!$B:$B),4)):D1312,"N"),IF(D1312="N1",COUNTIF($D$9:D1312,"N1"),""))</f>
        <v/>
      </c>
      <c r="J1312" s="96" t="str">
        <f>IF(D1312="","",COUNTA(D1304:D1312)-(COUNTA(D1312:D1312)-1))</f>
        <v/>
      </c>
    </row>
    <row r="1313" spans="1:10" thickBot="1">
      <c r="A1313" s="117"/>
      <c r="B1313" s="70">
        <f t="shared" si="85"/>
        <v>45105</v>
      </c>
      <c r="C1313" s="82" t="str">
        <f t="shared" si="86"/>
        <v>mercredi</v>
      </c>
      <c r="D1313" s="87"/>
      <c r="E1313" s="115" t="str">
        <f t="shared" si="87"/>
        <v/>
      </c>
      <c r="F1313" s="115" t="str">
        <f t="shared" si="88"/>
        <v/>
      </c>
      <c r="G1313" s="116" t="str">
        <f>IF(ISNONTEXT(D1313),"",E1313-MAX($F$2:F1312))</f>
        <v/>
      </c>
      <c r="H1313" s="97"/>
      <c r="I1313" s="74" t="str">
        <f ca="1">IF(D1313="N",COUNTIF(INDIRECT(ADDRESS(MATCH(Plages!$D$19,'Planning annuel mixing coater'!$B:$B),4)):D1313,"N"),IF(D1313="N1",COUNTIF($D$9:D1313,"N1"),""))</f>
        <v/>
      </c>
      <c r="J1313" s="96" t="str">
        <f>IF(D1313="","",COUNTA(D1304:D1313)-(COUNTA(D1313:D1313)-1))</f>
        <v/>
      </c>
    </row>
    <row r="1314" spans="1:10" thickBot="1">
      <c r="A1314" s="117"/>
      <c r="B1314" s="70">
        <f t="shared" si="85"/>
        <v>45106</v>
      </c>
      <c r="C1314" s="82" t="str">
        <f t="shared" si="86"/>
        <v>jeudi</v>
      </c>
      <c r="D1314" s="87"/>
      <c r="E1314" s="115" t="str">
        <f t="shared" si="87"/>
        <v/>
      </c>
      <c r="F1314" s="115" t="str">
        <f t="shared" si="88"/>
        <v/>
      </c>
      <c r="G1314" s="116" t="str">
        <f>IF(ISNONTEXT(D1314),"",E1314-MAX($F$2:F1313))</f>
        <v/>
      </c>
      <c r="H1314" s="97"/>
      <c r="I1314" s="74" t="str">
        <f ca="1">IF(D1314="N",COUNTIF(INDIRECT(ADDRESS(MATCH(Plages!$D$19,'Planning annuel mixing coater'!$B:$B),4)):D1314,"N"),IF(D1314="N1",COUNTIF($D$9:D1314,"N1"),""))</f>
        <v/>
      </c>
      <c r="J1314" s="96" t="str">
        <f>IF(D1314="","",COUNTA(D1304:D1314)-(COUNTA(D1314:D1314)-1))</f>
        <v/>
      </c>
    </row>
    <row r="1315" spans="1:10" thickBot="1">
      <c r="A1315" s="117"/>
      <c r="B1315" s="70">
        <f t="shared" si="85"/>
        <v>45107</v>
      </c>
      <c r="C1315" s="82" t="str">
        <f t="shared" si="86"/>
        <v>vendredi</v>
      </c>
      <c r="D1315" s="87"/>
      <c r="E1315" s="115" t="str">
        <f t="shared" si="87"/>
        <v/>
      </c>
      <c r="F1315" s="115" t="str">
        <f t="shared" si="88"/>
        <v/>
      </c>
      <c r="G1315" s="116" t="str">
        <f>IF(ISNONTEXT(D1315),"",E1315-MAX($F$2:F1314))</f>
        <v/>
      </c>
      <c r="H1315" s="97"/>
      <c r="I1315" s="74" t="str">
        <f ca="1">IF(D1315="N",COUNTIF(INDIRECT(ADDRESS(MATCH(Plages!$D$19,'Planning annuel mixing coater'!$B:$B),4)):D1315,"N"),IF(D1315="N1",COUNTIF($D$9:D1315,"N1"),""))</f>
        <v/>
      </c>
      <c r="J1315" s="96" t="str">
        <f>IF(D1315="","",COUNTA(D1304:D1315)-(COUNTA(D1315:D1315)-1))</f>
        <v/>
      </c>
    </row>
    <row r="1316" spans="1:10" thickBot="1">
      <c r="A1316" s="117"/>
      <c r="B1316" s="70">
        <f t="shared" si="85"/>
        <v>45108</v>
      </c>
      <c r="C1316" s="82" t="str">
        <f t="shared" si="86"/>
        <v>samedi</v>
      </c>
      <c r="D1316" s="87"/>
      <c r="E1316" s="115" t="str">
        <f t="shared" si="87"/>
        <v/>
      </c>
      <c r="F1316" s="115" t="str">
        <f t="shared" si="88"/>
        <v/>
      </c>
      <c r="G1316" s="116" t="str">
        <f>IF(ISNONTEXT(D1316),"",E1316-MAX($F$2:F1315))</f>
        <v/>
      </c>
      <c r="H1316" s="97"/>
      <c r="I1316" s="74" t="str">
        <f ca="1">IF(D1316="N",COUNTIF(INDIRECT(ADDRESS(MATCH(Plages!$D$19,'Planning annuel mixing coater'!$B:$B),4)):D1316,"N"),IF(D1316="N1",COUNTIF($D$9:D1316,"N1"),""))</f>
        <v/>
      </c>
      <c r="J1316" s="96" t="str">
        <f>IF(D1316="","",COUNTA(D1304:D1316)-(COUNTA(D1316:D1316)-1))</f>
        <v/>
      </c>
    </row>
    <row r="1317" spans="1:10" s="77" customFormat="1" thickBot="1">
      <c r="A1317" s="117"/>
      <c r="B1317" s="75">
        <f t="shared" si="85"/>
        <v>45109</v>
      </c>
      <c r="C1317" s="83" t="str">
        <f t="shared" si="86"/>
        <v>dimanche</v>
      </c>
      <c r="D1317" s="88"/>
      <c r="E1317" s="115" t="str">
        <f t="shared" si="87"/>
        <v/>
      </c>
      <c r="F1317" s="115" t="str">
        <f t="shared" si="88"/>
        <v/>
      </c>
      <c r="G1317" s="116" t="str">
        <f>IF(ISNONTEXT(D1317),"",E1317-MAX($F$2:F1316))</f>
        <v/>
      </c>
      <c r="H1317" s="98"/>
      <c r="I1317" s="76" t="str">
        <f ca="1">IF(D1317="N",COUNTIF(INDIRECT(ADDRESS(MATCH(Plages!$D$19,'Planning annuel mixing coater'!$B:$B),4)):D1317,"N"),IF(D1317="N1",COUNTIF($D$9:D1317,"N1"),""))</f>
        <v/>
      </c>
      <c r="J1317" s="99" t="str">
        <f>IF(D1317="","",COUNTA(D1304:D1317)-(COUNTA(D1317:D1317)-1))</f>
        <v/>
      </c>
    </row>
    <row r="1318" spans="1:10" ht="16.5" thickTop="1" thickBot="1">
      <c r="A1318" s="117"/>
      <c r="B1318" s="78">
        <f t="shared" si="85"/>
        <v>45110</v>
      </c>
      <c r="C1318" s="81" t="str">
        <f t="shared" si="86"/>
        <v>lundi</v>
      </c>
      <c r="D1318" s="89"/>
      <c r="E1318" s="115" t="str">
        <f t="shared" si="87"/>
        <v/>
      </c>
      <c r="F1318" s="115" t="str">
        <f t="shared" si="88"/>
        <v/>
      </c>
      <c r="G1318" s="116" t="str">
        <f>IF(ISNONTEXT(D1318),"",E1318-MAX($F$2:F1317))</f>
        <v/>
      </c>
      <c r="H1318" s="100"/>
      <c r="I1318" s="79" t="str">
        <f ca="1">IF(D1318="N",COUNTIF(INDIRECT(ADDRESS(MATCH(Plages!$D$19,'Planning annuel mixing coater'!$B:$B),4)):D1318,"N"),IF(D1318="N1",COUNTIF($D$9:D1318,"N1"),""))</f>
        <v/>
      </c>
      <c r="J1318" s="101" t="str">
        <f>IF(D1318="","",COUNTA(D1318:D1318)-(COUNTA(D1318:D1318)-1))</f>
        <v/>
      </c>
    </row>
    <row r="1319" spans="1:10" thickBot="1">
      <c r="A1319" s="117"/>
      <c r="B1319" s="70">
        <f t="shared" si="85"/>
        <v>45111</v>
      </c>
      <c r="C1319" s="82" t="str">
        <f t="shared" si="86"/>
        <v>mardi</v>
      </c>
      <c r="D1319" s="87"/>
      <c r="E1319" s="115" t="str">
        <f t="shared" si="87"/>
        <v/>
      </c>
      <c r="F1319" s="115" t="str">
        <f t="shared" si="88"/>
        <v/>
      </c>
      <c r="G1319" s="116" t="str">
        <f>IF(ISNONTEXT(D1319),"",E1319-MAX($F$2:F1318))</f>
        <v/>
      </c>
      <c r="H1319" s="97"/>
      <c r="I1319" s="74" t="str">
        <f ca="1">IF(D1319="N",COUNTIF(INDIRECT(ADDRESS(MATCH(Plages!$D$19,'Planning annuel mixing coater'!$B:$B),4)):D1319,"N"),IF(D1319="N1",COUNTIF($D$9:D1319,"N1"),""))</f>
        <v/>
      </c>
      <c r="J1319" s="96" t="str">
        <f>IF(D1319="","",COUNTA(D1318:D1319)-(COUNTA(D1319:D1319)-1))</f>
        <v/>
      </c>
    </row>
    <row r="1320" spans="1:10" thickBot="1">
      <c r="A1320" s="117"/>
      <c r="B1320" s="70">
        <f t="shared" si="85"/>
        <v>45112</v>
      </c>
      <c r="C1320" s="82" t="str">
        <f t="shared" si="86"/>
        <v>mercredi</v>
      </c>
      <c r="D1320" s="87"/>
      <c r="E1320" s="115" t="str">
        <f t="shared" si="87"/>
        <v/>
      </c>
      <c r="F1320" s="115" t="str">
        <f t="shared" si="88"/>
        <v/>
      </c>
      <c r="G1320" s="116" t="str">
        <f>IF(ISNONTEXT(D1320),"",E1320-MAX($F$2:F1319))</f>
        <v/>
      </c>
      <c r="H1320" s="97"/>
      <c r="I1320" s="74" t="str">
        <f ca="1">IF(D1320="N",COUNTIF(INDIRECT(ADDRESS(MATCH(Plages!$D$19,'Planning annuel mixing coater'!$B:$B),4)):D1320,"N"),IF(D1320="N1",COUNTIF($D$9:D1320,"N1"),""))</f>
        <v/>
      </c>
      <c r="J1320" s="96" t="str">
        <f>IF(D1320="","",COUNTA(D1318:D1320)-(COUNTA(D1320:D1320)-1))</f>
        <v/>
      </c>
    </row>
    <row r="1321" spans="1:10" thickBot="1">
      <c r="A1321" s="117"/>
      <c r="B1321" s="70">
        <f t="shared" si="85"/>
        <v>45113</v>
      </c>
      <c r="C1321" s="82" t="str">
        <f t="shared" si="86"/>
        <v>jeudi</v>
      </c>
      <c r="D1321" s="87"/>
      <c r="E1321" s="115" t="str">
        <f t="shared" si="87"/>
        <v/>
      </c>
      <c r="F1321" s="115" t="str">
        <f t="shared" si="88"/>
        <v/>
      </c>
      <c r="G1321" s="116" t="str">
        <f>IF(ISNONTEXT(D1321),"",E1321-MAX($F$2:F1320))</f>
        <v/>
      </c>
      <c r="H1321" s="97"/>
      <c r="I1321" s="74" t="str">
        <f ca="1">IF(D1321="N",COUNTIF(INDIRECT(ADDRESS(MATCH(Plages!$D$19,'Planning annuel mixing coater'!$B:$B),4)):D1321,"N"),IF(D1321="N1",COUNTIF($D$9:D1321,"N1"),""))</f>
        <v/>
      </c>
      <c r="J1321" s="96" t="str">
        <f>IF(D1321="","",COUNTA(D1318:D1321)-(COUNTA(D1321:D1321)-1))</f>
        <v/>
      </c>
    </row>
    <row r="1322" spans="1:10" thickBot="1">
      <c r="A1322" s="117"/>
      <c r="B1322" s="70">
        <f t="shared" si="85"/>
        <v>45114</v>
      </c>
      <c r="C1322" s="82" t="str">
        <f t="shared" si="86"/>
        <v>vendredi</v>
      </c>
      <c r="D1322" s="87"/>
      <c r="E1322" s="115" t="str">
        <f t="shared" si="87"/>
        <v/>
      </c>
      <c r="F1322" s="115" t="str">
        <f t="shared" si="88"/>
        <v/>
      </c>
      <c r="G1322" s="116" t="str">
        <f>IF(ISNONTEXT(D1322),"",E1322-MAX($F$2:F1321))</f>
        <v/>
      </c>
      <c r="H1322" s="97"/>
      <c r="I1322" s="74" t="str">
        <f ca="1">IF(D1322="N",COUNTIF(INDIRECT(ADDRESS(MATCH(Plages!$D$19,'Planning annuel mixing coater'!$B:$B),4)):D1322,"N"),IF(D1322="N1",COUNTIF($D$9:D1322,"N1"),""))</f>
        <v/>
      </c>
      <c r="J1322" s="96" t="str">
        <f>IF(D1322="","",COUNTA(D1318:D1322)-(COUNTA(D1322:D1322)-1))</f>
        <v/>
      </c>
    </row>
    <row r="1323" spans="1:10" thickBot="1">
      <c r="A1323" s="117"/>
      <c r="B1323" s="70">
        <f t="shared" si="85"/>
        <v>45115</v>
      </c>
      <c r="C1323" s="82" t="str">
        <f t="shared" si="86"/>
        <v>samedi</v>
      </c>
      <c r="D1323" s="87"/>
      <c r="E1323" s="115" t="str">
        <f t="shared" si="87"/>
        <v/>
      </c>
      <c r="F1323" s="115" t="str">
        <f t="shared" si="88"/>
        <v/>
      </c>
      <c r="G1323" s="116" t="str">
        <f>IF(ISNONTEXT(D1323),"",E1323-MAX($F$2:F1322))</f>
        <v/>
      </c>
      <c r="H1323" s="97"/>
      <c r="I1323" s="74" t="str">
        <f ca="1">IF(D1323="N",COUNTIF(INDIRECT(ADDRESS(MATCH(Plages!$D$19,'Planning annuel mixing coater'!$B:$B),4)):D1323,"N"),IF(D1323="N1",COUNTIF($D$9:D1323,"N1"),""))</f>
        <v/>
      </c>
      <c r="J1323" s="96" t="str">
        <f>IF(D1323="","",COUNTA(D1318:D1323)-(COUNTA(D1323:D1323)-1))</f>
        <v/>
      </c>
    </row>
    <row r="1324" spans="1:10" thickBot="1">
      <c r="A1324" s="117"/>
      <c r="B1324" s="70">
        <f t="shared" si="85"/>
        <v>45116</v>
      </c>
      <c r="C1324" s="82" t="str">
        <f t="shared" si="86"/>
        <v>dimanche</v>
      </c>
      <c r="D1324" s="87"/>
      <c r="E1324" s="115" t="str">
        <f t="shared" si="87"/>
        <v/>
      </c>
      <c r="F1324" s="115" t="str">
        <f t="shared" si="88"/>
        <v/>
      </c>
      <c r="G1324" s="116" t="str">
        <f>IF(ISNONTEXT(D1324),"",E1324-MAX($F$2:F1323))</f>
        <v/>
      </c>
      <c r="H1324" s="98"/>
      <c r="I1324" s="74" t="str">
        <f ca="1">IF(D1324="N",COUNTIF(INDIRECT(ADDRESS(MATCH(Plages!$D$19,'Planning annuel mixing coater'!$B:$B),4)):D1324,"N"),IF(D1324="N1",COUNTIF($D$9:D1324,"N1"),""))</f>
        <v/>
      </c>
      <c r="J1324" s="96" t="str">
        <f>IF(D1324="","",COUNTA(D1318:D1324)-(COUNTA(D1324:D1324)-1))</f>
        <v/>
      </c>
    </row>
    <row r="1325" spans="1:10" thickBot="1">
      <c r="A1325" s="117"/>
      <c r="B1325" s="70">
        <f t="shared" si="85"/>
        <v>45117</v>
      </c>
      <c r="C1325" s="82" t="str">
        <f t="shared" si="86"/>
        <v>lundi</v>
      </c>
      <c r="D1325" s="87"/>
      <c r="E1325" s="115" t="str">
        <f t="shared" si="87"/>
        <v/>
      </c>
      <c r="F1325" s="115" t="str">
        <f t="shared" si="88"/>
        <v/>
      </c>
      <c r="G1325" s="116" t="str">
        <f>IF(ISNONTEXT(D1325),"",E1325-MAX($F$2:F1324))</f>
        <v/>
      </c>
      <c r="H1325" s="97"/>
      <c r="I1325" s="74" t="str">
        <f ca="1">IF(D1325="N",COUNTIF(INDIRECT(ADDRESS(MATCH(Plages!$D$19,'Planning annuel mixing coater'!$B:$B),4)):D1325,"N"),IF(D1325="N1",COUNTIF($D$9:D1325,"N1"),""))</f>
        <v/>
      </c>
      <c r="J1325" s="96" t="str">
        <f>IF(D1325="","",COUNTA(D1318:D1325)-(COUNTA(D1325:D1325)-1))</f>
        <v/>
      </c>
    </row>
    <row r="1326" spans="1:10" thickBot="1">
      <c r="A1326" s="117"/>
      <c r="B1326" s="70">
        <f t="shared" si="85"/>
        <v>45118</v>
      </c>
      <c r="C1326" s="82" t="str">
        <f t="shared" si="86"/>
        <v>mardi</v>
      </c>
      <c r="D1326" s="87"/>
      <c r="E1326" s="115" t="str">
        <f t="shared" si="87"/>
        <v/>
      </c>
      <c r="F1326" s="115" t="str">
        <f t="shared" si="88"/>
        <v/>
      </c>
      <c r="G1326" s="116" t="str">
        <f>IF(ISNONTEXT(D1326),"",E1326-MAX($F$2:F1325))</f>
        <v/>
      </c>
      <c r="H1326" s="97"/>
      <c r="I1326" s="74" t="str">
        <f ca="1">IF(D1326="N",COUNTIF(INDIRECT(ADDRESS(MATCH(Plages!$D$19,'Planning annuel mixing coater'!$B:$B),4)):D1326,"N"),IF(D1326="N1",COUNTIF($D$9:D1326,"N1"),""))</f>
        <v/>
      </c>
      <c r="J1326" s="96" t="str">
        <f>IF(D1326="","",COUNTA(D1318:D1326)-(COUNTA(D1326:D1326)-1))</f>
        <v/>
      </c>
    </row>
    <row r="1327" spans="1:10" thickBot="1">
      <c r="A1327" s="117"/>
      <c r="B1327" s="70">
        <f t="shared" si="85"/>
        <v>45119</v>
      </c>
      <c r="C1327" s="82" t="str">
        <f t="shared" si="86"/>
        <v>mercredi</v>
      </c>
      <c r="D1327" s="87"/>
      <c r="E1327" s="115" t="str">
        <f t="shared" si="87"/>
        <v/>
      </c>
      <c r="F1327" s="115" t="str">
        <f t="shared" si="88"/>
        <v/>
      </c>
      <c r="G1327" s="116" t="str">
        <f>IF(ISNONTEXT(D1327),"",E1327-MAX($F$2:F1326))</f>
        <v/>
      </c>
      <c r="H1327" s="97"/>
      <c r="I1327" s="74" t="str">
        <f ca="1">IF(D1327="N",COUNTIF(INDIRECT(ADDRESS(MATCH(Plages!$D$19,'Planning annuel mixing coater'!$B:$B),4)):D1327,"N"),IF(D1327="N1",COUNTIF($D$9:D1327,"N1"),""))</f>
        <v/>
      </c>
      <c r="J1327" s="96" t="str">
        <f>IF(D1327="","",COUNTA(D1318:D1327)-(COUNTA(D1327:D1327)-1))</f>
        <v/>
      </c>
    </row>
    <row r="1328" spans="1:10" thickBot="1">
      <c r="A1328" s="117"/>
      <c r="B1328" s="70">
        <f t="shared" si="85"/>
        <v>45120</v>
      </c>
      <c r="C1328" s="82" t="str">
        <f t="shared" si="86"/>
        <v>jeudi</v>
      </c>
      <c r="D1328" s="87"/>
      <c r="E1328" s="115" t="str">
        <f t="shared" si="87"/>
        <v/>
      </c>
      <c r="F1328" s="115" t="str">
        <f t="shared" si="88"/>
        <v/>
      </c>
      <c r="G1328" s="116" t="str">
        <f>IF(ISNONTEXT(D1328),"",E1328-MAX($F$2:F1327))</f>
        <v/>
      </c>
      <c r="H1328" s="97"/>
      <c r="I1328" s="74" t="str">
        <f ca="1">IF(D1328="N",COUNTIF(INDIRECT(ADDRESS(MATCH(Plages!$D$19,'Planning annuel mixing coater'!$B:$B),4)):D1328,"N"),IF(D1328="N1",COUNTIF($D$9:D1328,"N1"),""))</f>
        <v/>
      </c>
      <c r="J1328" s="96" t="str">
        <f>IF(D1328="","",COUNTA(D1318:D1328)-(COUNTA(D1328:D1328)-1))</f>
        <v/>
      </c>
    </row>
    <row r="1329" spans="1:10" thickBot="1">
      <c r="A1329" s="117"/>
      <c r="B1329" s="70">
        <f t="shared" si="85"/>
        <v>45121</v>
      </c>
      <c r="C1329" s="82" t="str">
        <f t="shared" si="86"/>
        <v>vendredi</v>
      </c>
      <c r="D1329" s="87"/>
      <c r="E1329" s="115" t="str">
        <f t="shared" si="87"/>
        <v/>
      </c>
      <c r="F1329" s="115" t="str">
        <f t="shared" si="88"/>
        <v/>
      </c>
      <c r="G1329" s="116" t="str">
        <f>IF(ISNONTEXT(D1329),"",E1329-MAX($F$2:F1328))</f>
        <v/>
      </c>
      <c r="H1329" s="97"/>
      <c r="I1329" s="74" t="str">
        <f ca="1">IF(D1329="N",COUNTIF(INDIRECT(ADDRESS(MATCH(Plages!$D$19,'Planning annuel mixing coater'!$B:$B),4)):D1329,"N"),IF(D1329="N1",COUNTIF($D$9:D1329,"N1"),""))</f>
        <v/>
      </c>
      <c r="J1329" s="96" t="str">
        <f>IF(D1329="","",COUNTA(D1318:D1329)-(COUNTA(D1329:D1329)-1))</f>
        <v/>
      </c>
    </row>
    <row r="1330" spans="1:10" thickBot="1">
      <c r="A1330" s="117"/>
      <c r="B1330" s="70">
        <f t="shared" si="85"/>
        <v>45122</v>
      </c>
      <c r="C1330" s="82" t="str">
        <f t="shared" si="86"/>
        <v>samedi</v>
      </c>
      <c r="D1330" s="87"/>
      <c r="E1330" s="115" t="str">
        <f t="shared" si="87"/>
        <v/>
      </c>
      <c r="F1330" s="115" t="str">
        <f t="shared" si="88"/>
        <v/>
      </c>
      <c r="G1330" s="116" t="str">
        <f>IF(ISNONTEXT(D1330),"",E1330-MAX($F$2:F1329))</f>
        <v/>
      </c>
      <c r="H1330" s="97"/>
      <c r="I1330" s="74" t="str">
        <f ca="1">IF(D1330="N",COUNTIF(INDIRECT(ADDRESS(MATCH(Plages!$D$19,'Planning annuel mixing coater'!$B:$B),4)):D1330,"N"),IF(D1330="N1",COUNTIF($D$9:D1330,"N1"),""))</f>
        <v/>
      </c>
      <c r="J1330" s="96" t="str">
        <f>IF(D1330="","",COUNTA(D1318:D1330)-(COUNTA(D1330:D1330)-1))</f>
        <v/>
      </c>
    </row>
    <row r="1331" spans="1:10" s="77" customFormat="1" thickBot="1">
      <c r="A1331" s="117"/>
      <c r="B1331" s="75">
        <f t="shared" si="85"/>
        <v>45123</v>
      </c>
      <c r="C1331" s="83" t="str">
        <f t="shared" si="86"/>
        <v>dimanche</v>
      </c>
      <c r="D1331" s="88"/>
      <c r="E1331" s="115" t="str">
        <f t="shared" si="87"/>
        <v/>
      </c>
      <c r="F1331" s="115" t="str">
        <f t="shared" si="88"/>
        <v/>
      </c>
      <c r="G1331" s="116" t="str">
        <f>IF(ISNONTEXT(D1331),"",E1331-MAX($F$2:F1330))</f>
        <v/>
      </c>
      <c r="H1331" s="98"/>
      <c r="I1331" s="76" t="str">
        <f ca="1">IF(D1331="N",COUNTIF(INDIRECT(ADDRESS(MATCH(Plages!$D$19,'Planning annuel mixing coater'!$B:$B),4)):D1331,"N"),IF(D1331="N1",COUNTIF($D$9:D1331,"N1"),""))</f>
        <v/>
      </c>
      <c r="J1331" s="99" t="str">
        <f>IF(D1331="","",COUNTA(D1318:D1331)-(COUNTA(D1331:D1331)-1))</f>
        <v/>
      </c>
    </row>
    <row r="1332" spans="1:10" ht="16.5" thickTop="1" thickBot="1">
      <c r="A1332" s="117"/>
      <c r="B1332" s="78">
        <f t="shared" si="85"/>
        <v>45124</v>
      </c>
      <c r="C1332" s="81" t="str">
        <f t="shared" si="86"/>
        <v>lundi</v>
      </c>
      <c r="D1332" s="89"/>
      <c r="E1332" s="115" t="str">
        <f t="shared" si="87"/>
        <v/>
      </c>
      <c r="F1332" s="115" t="str">
        <f t="shared" si="88"/>
        <v/>
      </c>
      <c r="G1332" s="116" t="str">
        <f>IF(ISNONTEXT(D1332),"",E1332-MAX($F$2:F1331))</f>
        <v/>
      </c>
      <c r="H1332" s="100"/>
      <c r="I1332" s="79" t="str">
        <f ca="1">IF(D1332="N",COUNTIF(INDIRECT(ADDRESS(MATCH(Plages!$D$19,'Planning annuel mixing coater'!$B:$B),4)):D1332,"N"),IF(D1332="N1",COUNTIF($D$9:D1332,"N1"),""))</f>
        <v/>
      </c>
      <c r="J1332" s="101" t="str">
        <f>IF(D1332="","",COUNTA(D1332:D1332)-(COUNTA(D1332:D1332)-1))</f>
        <v/>
      </c>
    </row>
    <row r="1333" spans="1:10" thickBot="1">
      <c r="A1333" s="117"/>
      <c r="B1333" s="70">
        <f t="shared" si="85"/>
        <v>45125</v>
      </c>
      <c r="C1333" s="82" t="str">
        <f t="shared" si="86"/>
        <v>mardi</v>
      </c>
      <c r="D1333" s="87"/>
      <c r="E1333" s="115" t="str">
        <f t="shared" si="87"/>
        <v/>
      </c>
      <c r="F1333" s="115" t="str">
        <f t="shared" si="88"/>
        <v/>
      </c>
      <c r="G1333" s="116" t="str">
        <f>IF(ISNONTEXT(D1333),"",E1333-MAX($F$2:F1332))</f>
        <v/>
      </c>
      <c r="H1333" s="97"/>
      <c r="I1333" s="74" t="str">
        <f ca="1">IF(D1333="N",COUNTIF(INDIRECT(ADDRESS(MATCH(Plages!$D$19,'Planning annuel mixing coater'!$B:$B),4)):D1333,"N"),IF(D1333="N1",COUNTIF($D$9:D1333,"N1"),""))</f>
        <v/>
      </c>
      <c r="J1333" s="96" t="str">
        <f>IF(D1333="","",COUNTA(D1332:D1333)-(COUNTA(D1333:D1333)-1))</f>
        <v/>
      </c>
    </row>
    <row r="1334" spans="1:10" thickBot="1">
      <c r="A1334" s="117"/>
      <c r="B1334" s="70">
        <f t="shared" si="85"/>
        <v>45126</v>
      </c>
      <c r="C1334" s="82" t="str">
        <f t="shared" si="86"/>
        <v>mercredi</v>
      </c>
      <c r="D1334" s="87"/>
      <c r="E1334" s="115" t="str">
        <f t="shared" si="87"/>
        <v/>
      </c>
      <c r="F1334" s="115" t="str">
        <f t="shared" si="88"/>
        <v/>
      </c>
      <c r="G1334" s="116" t="str">
        <f>IF(ISNONTEXT(D1334),"",E1334-MAX($F$2:F1333))</f>
        <v/>
      </c>
      <c r="H1334" s="97"/>
      <c r="I1334" s="74" t="str">
        <f ca="1">IF(D1334="N",COUNTIF(INDIRECT(ADDRESS(MATCH(Plages!$D$19,'Planning annuel mixing coater'!$B:$B),4)):D1334,"N"),IF(D1334="N1",COUNTIF($D$9:D1334,"N1"),""))</f>
        <v/>
      </c>
      <c r="J1334" s="96" t="str">
        <f>IF(D1334="","",COUNTA(D1332:D1334)-(COUNTA(D1334:D1334)-1))</f>
        <v/>
      </c>
    </row>
    <row r="1335" spans="1:10" thickBot="1">
      <c r="A1335" s="117"/>
      <c r="B1335" s="70">
        <f t="shared" si="85"/>
        <v>45127</v>
      </c>
      <c r="C1335" s="82" t="str">
        <f t="shared" si="86"/>
        <v>jeudi</v>
      </c>
      <c r="D1335" s="87"/>
      <c r="E1335" s="115" t="str">
        <f t="shared" si="87"/>
        <v/>
      </c>
      <c r="F1335" s="115" t="str">
        <f t="shared" si="88"/>
        <v/>
      </c>
      <c r="G1335" s="116" t="str">
        <f>IF(ISNONTEXT(D1335),"",E1335-MAX($F$2:F1334))</f>
        <v/>
      </c>
      <c r="H1335" s="97"/>
      <c r="I1335" s="74" t="str">
        <f ca="1">IF(D1335="N",COUNTIF(INDIRECT(ADDRESS(MATCH(Plages!$D$19,'Planning annuel mixing coater'!$B:$B),4)):D1335,"N"),IF(D1335="N1",COUNTIF($D$9:D1335,"N1"),""))</f>
        <v/>
      </c>
      <c r="J1335" s="96" t="str">
        <f>IF(D1335="","",COUNTA(D1332:D1335)-(COUNTA(D1335:D1335)-1))</f>
        <v/>
      </c>
    </row>
    <row r="1336" spans="1:10" thickBot="1">
      <c r="A1336" s="117"/>
      <c r="B1336" s="70">
        <f t="shared" si="85"/>
        <v>45128</v>
      </c>
      <c r="C1336" s="82" t="str">
        <f t="shared" si="86"/>
        <v>vendredi</v>
      </c>
      <c r="D1336" s="87"/>
      <c r="E1336" s="115" t="str">
        <f t="shared" si="87"/>
        <v/>
      </c>
      <c r="F1336" s="115" t="str">
        <f t="shared" si="88"/>
        <v/>
      </c>
      <c r="G1336" s="116" t="str">
        <f>IF(ISNONTEXT(D1336),"",E1336-MAX($F$2:F1335))</f>
        <v/>
      </c>
      <c r="H1336" s="97"/>
      <c r="I1336" s="74" t="str">
        <f ca="1">IF(D1336="N",COUNTIF(INDIRECT(ADDRESS(MATCH(Plages!$D$19,'Planning annuel mixing coater'!$B:$B),4)):D1336,"N"),IF(D1336="N1",COUNTIF($D$9:D1336,"N1"),""))</f>
        <v/>
      </c>
      <c r="J1336" s="96" t="str">
        <f>IF(D1336="","",COUNTA(D1332:D1336)-(COUNTA(D1336:D1336)-1))</f>
        <v/>
      </c>
    </row>
    <row r="1337" spans="1:10" thickBot="1">
      <c r="A1337" s="117"/>
      <c r="B1337" s="70">
        <f t="shared" si="85"/>
        <v>45129</v>
      </c>
      <c r="C1337" s="82" t="str">
        <f t="shared" si="86"/>
        <v>samedi</v>
      </c>
      <c r="D1337" s="87"/>
      <c r="E1337" s="115" t="str">
        <f t="shared" si="87"/>
        <v/>
      </c>
      <c r="F1337" s="115" t="str">
        <f t="shared" si="88"/>
        <v/>
      </c>
      <c r="G1337" s="116" t="str">
        <f>IF(ISNONTEXT(D1337),"",E1337-MAX($F$2:F1336))</f>
        <v/>
      </c>
      <c r="H1337" s="97"/>
      <c r="I1337" s="74" t="str">
        <f ca="1">IF(D1337="N",COUNTIF(INDIRECT(ADDRESS(MATCH(Plages!$D$19,'Planning annuel mixing coater'!$B:$B),4)):D1337,"N"),IF(D1337="N1",COUNTIF($D$9:D1337,"N1"),""))</f>
        <v/>
      </c>
      <c r="J1337" s="96" t="str">
        <f>IF(D1337="","",COUNTA(D1332:D1337)-(COUNTA(D1337:D1337)-1))</f>
        <v/>
      </c>
    </row>
    <row r="1338" spans="1:10" thickBot="1">
      <c r="A1338" s="117"/>
      <c r="B1338" s="70">
        <f t="shared" si="85"/>
        <v>45130</v>
      </c>
      <c r="C1338" s="82" t="str">
        <f t="shared" si="86"/>
        <v>dimanche</v>
      </c>
      <c r="D1338" s="87"/>
      <c r="E1338" s="115" t="str">
        <f t="shared" si="87"/>
        <v/>
      </c>
      <c r="F1338" s="115" t="str">
        <f t="shared" si="88"/>
        <v/>
      </c>
      <c r="G1338" s="116" t="str">
        <f>IF(ISNONTEXT(D1338),"",E1338-MAX($F$2:F1337))</f>
        <v/>
      </c>
      <c r="H1338" s="98"/>
      <c r="I1338" s="74" t="str">
        <f ca="1">IF(D1338="N",COUNTIF(INDIRECT(ADDRESS(MATCH(Plages!$D$19,'Planning annuel mixing coater'!$B:$B),4)):D1338,"N"),IF(D1338="N1",COUNTIF($D$9:D1338,"N1"),""))</f>
        <v/>
      </c>
      <c r="J1338" s="96" t="str">
        <f>IF(D1338="","",COUNTA(D1332:D1338)-(COUNTA(D1338:D1338)-1))</f>
        <v/>
      </c>
    </row>
    <row r="1339" spans="1:10" thickBot="1">
      <c r="A1339" s="117"/>
      <c r="B1339" s="70">
        <f t="shared" si="85"/>
        <v>45131</v>
      </c>
      <c r="C1339" s="82" t="str">
        <f t="shared" si="86"/>
        <v>lundi</v>
      </c>
      <c r="D1339" s="87"/>
      <c r="E1339" s="115" t="str">
        <f t="shared" si="87"/>
        <v/>
      </c>
      <c r="F1339" s="115" t="str">
        <f t="shared" si="88"/>
        <v/>
      </c>
      <c r="G1339" s="116" t="str">
        <f>IF(ISNONTEXT(D1339),"",E1339-MAX($F$2:F1338))</f>
        <v/>
      </c>
      <c r="H1339" s="97"/>
      <c r="I1339" s="74" t="str">
        <f ca="1">IF(D1339="N",COUNTIF(INDIRECT(ADDRESS(MATCH(Plages!$D$19,'Planning annuel mixing coater'!$B:$B),4)):D1339,"N"),IF(D1339="N1",COUNTIF($D$9:D1339,"N1"),""))</f>
        <v/>
      </c>
      <c r="J1339" s="96" t="str">
        <f>IF(D1339="","",COUNTA(D1332:D1339)-(COUNTA(D1339:D1339)-1))</f>
        <v/>
      </c>
    </row>
    <row r="1340" spans="1:10" thickBot="1">
      <c r="A1340" s="117"/>
      <c r="B1340" s="70">
        <f t="shared" si="85"/>
        <v>45132</v>
      </c>
      <c r="C1340" s="82" t="str">
        <f t="shared" si="86"/>
        <v>mardi</v>
      </c>
      <c r="D1340" s="87"/>
      <c r="E1340" s="115" t="str">
        <f t="shared" si="87"/>
        <v/>
      </c>
      <c r="F1340" s="115" t="str">
        <f t="shared" si="88"/>
        <v/>
      </c>
      <c r="G1340" s="116" t="str">
        <f>IF(ISNONTEXT(D1340),"",E1340-MAX($F$2:F1339))</f>
        <v/>
      </c>
      <c r="H1340" s="97"/>
      <c r="I1340" s="74" t="str">
        <f ca="1">IF(D1340="N",COUNTIF(INDIRECT(ADDRESS(MATCH(Plages!$D$19,'Planning annuel mixing coater'!$B:$B),4)):D1340,"N"),IF(D1340="N1",COUNTIF($D$9:D1340,"N1"),""))</f>
        <v/>
      </c>
      <c r="J1340" s="96" t="str">
        <f>IF(D1340="","",COUNTA(D1332:D1340)-(COUNTA(D1340:D1340)-1))</f>
        <v/>
      </c>
    </row>
    <row r="1341" spans="1:10" thickBot="1">
      <c r="A1341" s="117"/>
      <c r="B1341" s="70">
        <f t="shared" si="85"/>
        <v>45133</v>
      </c>
      <c r="C1341" s="82" t="str">
        <f t="shared" si="86"/>
        <v>mercredi</v>
      </c>
      <c r="D1341" s="87"/>
      <c r="E1341" s="115" t="str">
        <f t="shared" si="87"/>
        <v/>
      </c>
      <c r="F1341" s="115" t="str">
        <f t="shared" si="88"/>
        <v/>
      </c>
      <c r="G1341" s="116" t="str">
        <f>IF(ISNONTEXT(D1341),"",E1341-MAX($F$2:F1340))</f>
        <v/>
      </c>
      <c r="H1341" s="97"/>
      <c r="I1341" s="74" t="str">
        <f ca="1">IF(D1341="N",COUNTIF(INDIRECT(ADDRESS(MATCH(Plages!$D$19,'Planning annuel mixing coater'!$B:$B),4)):D1341,"N"),IF(D1341="N1",COUNTIF($D$9:D1341,"N1"),""))</f>
        <v/>
      </c>
      <c r="J1341" s="96" t="str">
        <f>IF(D1341="","",COUNTA(D1332:D1341)-(COUNTA(D1341:D1341)-1))</f>
        <v/>
      </c>
    </row>
    <row r="1342" spans="1:10" thickBot="1">
      <c r="A1342" s="117"/>
      <c r="B1342" s="70">
        <f t="shared" si="85"/>
        <v>45134</v>
      </c>
      <c r="C1342" s="82" t="str">
        <f t="shared" si="86"/>
        <v>jeudi</v>
      </c>
      <c r="D1342" s="87"/>
      <c r="E1342" s="115" t="str">
        <f t="shared" si="87"/>
        <v/>
      </c>
      <c r="F1342" s="115" t="str">
        <f t="shared" si="88"/>
        <v/>
      </c>
      <c r="G1342" s="116" t="str">
        <f>IF(ISNONTEXT(D1342),"",E1342-MAX($F$2:F1341))</f>
        <v/>
      </c>
      <c r="H1342" s="97"/>
      <c r="I1342" s="74" t="str">
        <f ca="1">IF(D1342="N",COUNTIF(INDIRECT(ADDRESS(MATCH(Plages!$D$19,'Planning annuel mixing coater'!$B:$B),4)):D1342,"N"),IF(D1342="N1",COUNTIF($D$9:D1342,"N1"),""))</f>
        <v/>
      </c>
      <c r="J1342" s="96" t="str">
        <f>IF(D1342="","",COUNTA(D1332:D1342)-(COUNTA(D1342:D1342)-1))</f>
        <v/>
      </c>
    </row>
    <row r="1343" spans="1:10" thickBot="1">
      <c r="A1343" s="117"/>
      <c r="B1343" s="70">
        <f t="shared" si="85"/>
        <v>45135</v>
      </c>
      <c r="C1343" s="82" t="str">
        <f t="shared" si="86"/>
        <v>vendredi</v>
      </c>
      <c r="D1343" s="87"/>
      <c r="E1343" s="115" t="str">
        <f t="shared" si="87"/>
        <v/>
      </c>
      <c r="F1343" s="115" t="str">
        <f t="shared" si="88"/>
        <v/>
      </c>
      <c r="G1343" s="116" t="str">
        <f>IF(ISNONTEXT(D1343),"",E1343-MAX($F$2:F1342))</f>
        <v/>
      </c>
      <c r="H1343" s="97"/>
      <c r="I1343" s="74" t="str">
        <f ca="1">IF(D1343="N",COUNTIF(INDIRECT(ADDRESS(MATCH(Plages!$D$19,'Planning annuel mixing coater'!$B:$B),4)):D1343,"N"),IF(D1343="N1",COUNTIF($D$9:D1343,"N1"),""))</f>
        <v/>
      </c>
      <c r="J1343" s="96" t="str">
        <f>IF(D1343="","",COUNTA(D1332:D1343)-(COUNTA(D1343:D1343)-1))</f>
        <v/>
      </c>
    </row>
    <row r="1344" spans="1:10" thickBot="1">
      <c r="A1344" s="117"/>
      <c r="B1344" s="70">
        <f t="shared" si="85"/>
        <v>45136</v>
      </c>
      <c r="C1344" s="82" t="str">
        <f t="shared" si="86"/>
        <v>samedi</v>
      </c>
      <c r="D1344" s="87"/>
      <c r="E1344" s="115" t="str">
        <f t="shared" si="87"/>
        <v/>
      </c>
      <c r="F1344" s="115" t="str">
        <f t="shared" si="88"/>
        <v/>
      </c>
      <c r="G1344" s="116" t="str">
        <f>IF(ISNONTEXT(D1344),"",E1344-MAX($F$2:F1343))</f>
        <v/>
      </c>
      <c r="H1344" s="97"/>
      <c r="I1344" s="74" t="str">
        <f ca="1">IF(D1344="N",COUNTIF(INDIRECT(ADDRESS(MATCH(Plages!$D$19,'Planning annuel mixing coater'!$B:$B),4)):D1344,"N"),IF(D1344="N1",COUNTIF($D$9:D1344,"N1"),""))</f>
        <v/>
      </c>
      <c r="J1344" s="96" t="str">
        <f>IF(D1344="","",COUNTA(D1332:D1344)-(COUNTA(D1344:D1344)-1))</f>
        <v/>
      </c>
    </row>
    <row r="1345" spans="1:10" s="77" customFormat="1" thickBot="1">
      <c r="A1345" s="117"/>
      <c r="B1345" s="75">
        <f t="shared" si="85"/>
        <v>45137</v>
      </c>
      <c r="C1345" s="83" t="str">
        <f t="shared" si="86"/>
        <v>dimanche</v>
      </c>
      <c r="D1345" s="88"/>
      <c r="E1345" s="115" t="str">
        <f t="shared" si="87"/>
        <v/>
      </c>
      <c r="F1345" s="115" t="str">
        <f t="shared" si="88"/>
        <v/>
      </c>
      <c r="G1345" s="116" t="str">
        <f>IF(ISNONTEXT(D1345),"",E1345-MAX($F$2:F1344))</f>
        <v/>
      </c>
      <c r="H1345" s="98"/>
      <c r="I1345" s="76" t="str">
        <f ca="1">IF(D1345="N",COUNTIF(INDIRECT(ADDRESS(MATCH(Plages!$D$19,'Planning annuel mixing coater'!$B:$B),4)):D1345,"N"),IF(D1345="N1",COUNTIF($D$9:D1345,"N1"),""))</f>
        <v/>
      </c>
      <c r="J1345" s="99" t="str">
        <f>IF(D1345="","",COUNTA(D1332:D1345)-(COUNTA(D1345:D1345)-1))</f>
        <v/>
      </c>
    </row>
    <row r="1346" spans="1:10" ht="16.5" thickTop="1" thickBot="1">
      <c r="A1346" s="117"/>
      <c r="B1346" s="78">
        <f t="shared" si="85"/>
        <v>45138</v>
      </c>
      <c r="C1346" s="81" t="str">
        <f t="shared" si="86"/>
        <v>lundi</v>
      </c>
      <c r="D1346" s="89"/>
      <c r="E1346" s="115" t="str">
        <f t="shared" si="87"/>
        <v/>
      </c>
      <c r="F1346" s="115" t="str">
        <f t="shared" si="88"/>
        <v/>
      </c>
      <c r="G1346" s="116" t="str">
        <f>IF(ISNONTEXT(D1346),"",E1346-MAX($F$2:F1345))</f>
        <v/>
      </c>
      <c r="H1346" s="100"/>
      <c r="I1346" s="79" t="str">
        <f ca="1">IF(D1346="N",COUNTIF(INDIRECT(ADDRESS(MATCH(Plages!$D$19,'Planning annuel mixing coater'!$B:$B),4)):D1346,"N"),IF(D1346="N1",COUNTIF($D$9:D1346,"N1"),""))</f>
        <v/>
      </c>
      <c r="J1346" s="101" t="str">
        <f>IF(D1346="","",COUNTA(D1346:D1346)-(COUNTA(D1346:D1346)-1))</f>
        <v/>
      </c>
    </row>
    <row r="1347" spans="1:10" thickBot="1">
      <c r="A1347" s="117"/>
      <c r="B1347" s="70">
        <f t="shared" si="85"/>
        <v>45139</v>
      </c>
      <c r="C1347" s="82" t="str">
        <f t="shared" si="86"/>
        <v>mardi</v>
      </c>
      <c r="D1347" s="87"/>
      <c r="E1347" s="115" t="str">
        <f t="shared" si="87"/>
        <v/>
      </c>
      <c r="F1347" s="115" t="str">
        <f t="shared" si="88"/>
        <v/>
      </c>
      <c r="G1347" s="116" t="str">
        <f>IF(ISNONTEXT(D1347),"",E1347-MAX($F$2:F1346))</f>
        <v/>
      </c>
      <c r="H1347" s="97"/>
      <c r="I1347" s="74" t="str">
        <f ca="1">IF(D1347="N",COUNTIF(INDIRECT(ADDRESS(MATCH(Plages!$D$19,'Planning annuel mixing coater'!$B:$B),4)):D1347,"N"),IF(D1347="N1",COUNTIF($D$9:D1347,"N1"),""))</f>
        <v/>
      </c>
      <c r="J1347" s="96" t="str">
        <f>IF(D1347="","",COUNTA(D1346:D1347)-(COUNTA(D1347:D1347)-1))</f>
        <v/>
      </c>
    </row>
    <row r="1348" spans="1:10" thickBot="1">
      <c r="A1348" s="117"/>
      <c r="B1348" s="70">
        <f t="shared" ref="B1348:B1411" si="89">IF(B1347="","",B1347+1)</f>
        <v>45140</v>
      </c>
      <c r="C1348" s="82" t="str">
        <f t="shared" si="86"/>
        <v>mercredi</v>
      </c>
      <c r="D1348" s="87"/>
      <c r="E1348" s="115" t="str">
        <f t="shared" si="87"/>
        <v/>
      </c>
      <c r="F1348" s="115" t="str">
        <f t="shared" si="88"/>
        <v/>
      </c>
      <c r="G1348" s="116" t="str">
        <f>IF(ISNONTEXT(D1348),"",E1348-MAX($F$2:F1347))</f>
        <v/>
      </c>
      <c r="H1348" s="97"/>
      <c r="I1348" s="74" t="str">
        <f ca="1">IF(D1348="N",COUNTIF(INDIRECT(ADDRESS(MATCH(Plages!$D$19,'Planning annuel mixing coater'!$B:$B),4)):D1348,"N"),IF(D1348="N1",COUNTIF($D$9:D1348,"N1"),""))</f>
        <v/>
      </c>
      <c r="J1348" s="96" t="str">
        <f>IF(D1348="","",COUNTA(D1346:D1348)-(COUNTA(D1348:D1348)-1))</f>
        <v/>
      </c>
    </row>
    <row r="1349" spans="1:10" thickBot="1">
      <c r="A1349" s="117"/>
      <c r="B1349" s="70">
        <f t="shared" si="89"/>
        <v>45141</v>
      </c>
      <c r="C1349" s="82" t="str">
        <f t="shared" si="86"/>
        <v>jeudi</v>
      </c>
      <c r="D1349" s="87"/>
      <c r="E1349" s="115" t="str">
        <f t="shared" si="87"/>
        <v/>
      </c>
      <c r="F1349" s="115" t="str">
        <f t="shared" si="88"/>
        <v/>
      </c>
      <c r="G1349" s="116" t="str">
        <f>IF(ISNONTEXT(D1349),"",E1349-MAX($F$2:F1348))</f>
        <v/>
      </c>
      <c r="H1349" s="97"/>
      <c r="I1349" s="74" t="str">
        <f ca="1">IF(D1349="N",COUNTIF(INDIRECT(ADDRESS(MATCH(Plages!$D$19,'Planning annuel mixing coater'!$B:$B),4)):D1349,"N"),IF(D1349="N1",COUNTIF($D$9:D1349,"N1"),""))</f>
        <v/>
      </c>
      <c r="J1349" s="96" t="str">
        <f>IF(D1349="","",COUNTA(D1346:D1349)-(COUNTA(D1349:D1349)-1))</f>
        <v/>
      </c>
    </row>
    <row r="1350" spans="1:10" thickBot="1">
      <c r="A1350" s="117"/>
      <c r="B1350" s="70">
        <f t="shared" si="89"/>
        <v>45142</v>
      </c>
      <c r="C1350" s="82" t="str">
        <f t="shared" si="86"/>
        <v>vendredi</v>
      </c>
      <c r="D1350" s="87"/>
      <c r="E1350" s="115" t="str">
        <f t="shared" si="87"/>
        <v/>
      </c>
      <c r="F1350" s="115" t="str">
        <f t="shared" si="88"/>
        <v/>
      </c>
      <c r="G1350" s="116" t="str">
        <f>IF(ISNONTEXT(D1350),"",E1350-MAX($F$2:F1349))</f>
        <v/>
      </c>
      <c r="H1350" s="97"/>
      <c r="I1350" s="74" t="str">
        <f ca="1">IF(D1350="N",COUNTIF(INDIRECT(ADDRESS(MATCH(Plages!$D$19,'Planning annuel mixing coater'!$B:$B),4)):D1350,"N"),IF(D1350="N1",COUNTIF($D$9:D1350,"N1"),""))</f>
        <v/>
      </c>
      <c r="J1350" s="96" t="str">
        <f>IF(D1350="","",COUNTA(D1346:D1350)-(COUNTA(D1350:D1350)-1))</f>
        <v/>
      </c>
    </row>
    <row r="1351" spans="1:10" thickBot="1">
      <c r="A1351" s="117"/>
      <c r="B1351" s="70">
        <f t="shared" si="89"/>
        <v>45143</v>
      </c>
      <c r="C1351" s="82" t="str">
        <f t="shared" si="86"/>
        <v>samedi</v>
      </c>
      <c r="D1351" s="87"/>
      <c r="E1351" s="115" t="str">
        <f t="shared" si="87"/>
        <v/>
      </c>
      <c r="F1351" s="115" t="str">
        <f t="shared" si="88"/>
        <v/>
      </c>
      <c r="G1351" s="116" t="str">
        <f>IF(ISNONTEXT(D1351),"",E1351-MAX($F$2:F1350))</f>
        <v/>
      </c>
      <c r="H1351" s="97"/>
      <c r="I1351" s="74" t="str">
        <f ca="1">IF(D1351="N",COUNTIF(INDIRECT(ADDRESS(MATCH(Plages!$D$19,'Planning annuel mixing coater'!$B:$B),4)):D1351,"N"),IF(D1351="N1",COUNTIF($D$9:D1351,"N1"),""))</f>
        <v/>
      </c>
      <c r="J1351" s="96" t="str">
        <f>IF(D1351="","",COUNTA(D1346:D1351)-(COUNTA(D1351:D1351)-1))</f>
        <v/>
      </c>
    </row>
    <row r="1352" spans="1:10" thickBot="1">
      <c r="A1352" s="117"/>
      <c r="B1352" s="70">
        <f t="shared" si="89"/>
        <v>45144</v>
      </c>
      <c r="C1352" s="82" t="str">
        <f t="shared" si="86"/>
        <v>dimanche</v>
      </c>
      <c r="D1352" s="87"/>
      <c r="E1352" s="115" t="str">
        <f t="shared" si="87"/>
        <v/>
      </c>
      <c r="F1352" s="115" t="str">
        <f t="shared" si="88"/>
        <v/>
      </c>
      <c r="G1352" s="116" t="str">
        <f>IF(ISNONTEXT(D1352),"",E1352-MAX($F$2:F1351))</f>
        <v/>
      </c>
      <c r="H1352" s="98"/>
      <c r="I1352" s="74" t="str">
        <f ca="1">IF(D1352="N",COUNTIF(INDIRECT(ADDRESS(MATCH(Plages!$D$19,'Planning annuel mixing coater'!$B:$B),4)):D1352,"N"),IF(D1352="N1",COUNTIF($D$9:D1352,"N1"),""))</f>
        <v/>
      </c>
      <c r="J1352" s="96" t="str">
        <f>IF(D1352="","",COUNTA(D1346:D1352)-(COUNTA(D1352:D1352)-1))</f>
        <v/>
      </c>
    </row>
    <row r="1353" spans="1:10" thickBot="1">
      <c r="A1353" s="117"/>
      <c r="B1353" s="70">
        <f t="shared" si="89"/>
        <v>45145</v>
      </c>
      <c r="C1353" s="82" t="str">
        <f t="shared" si="86"/>
        <v>lundi</v>
      </c>
      <c r="D1353" s="87"/>
      <c r="E1353" s="115" t="str">
        <f t="shared" si="87"/>
        <v/>
      </c>
      <c r="F1353" s="115" t="str">
        <f t="shared" si="88"/>
        <v/>
      </c>
      <c r="G1353" s="116" t="str">
        <f>IF(ISNONTEXT(D1353),"",E1353-MAX($F$2:F1352))</f>
        <v/>
      </c>
      <c r="H1353" s="97"/>
      <c r="I1353" s="74" t="str">
        <f ca="1">IF(D1353="N",COUNTIF(INDIRECT(ADDRESS(MATCH(Plages!$D$19,'Planning annuel mixing coater'!$B:$B),4)):D1353,"N"),IF(D1353="N1",COUNTIF($D$9:D1353,"N1"),""))</f>
        <v/>
      </c>
      <c r="J1353" s="96" t="str">
        <f>IF(D1353="","",COUNTA(D1346:D1353)-(COUNTA(D1353:D1353)-1))</f>
        <v/>
      </c>
    </row>
    <row r="1354" spans="1:10" thickBot="1">
      <c r="A1354" s="117"/>
      <c r="B1354" s="70">
        <f t="shared" si="89"/>
        <v>45146</v>
      </c>
      <c r="C1354" s="82" t="str">
        <f t="shared" si="86"/>
        <v>mardi</v>
      </c>
      <c r="D1354" s="87"/>
      <c r="E1354" s="115" t="str">
        <f t="shared" si="87"/>
        <v/>
      </c>
      <c r="F1354" s="115" t="str">
        <f t="shared" si="88"/>
        <v/>
      </c>
      <c r="G1354" s="116" t="str">
        <f>IF(ISNONTEXT(D1354),"",E1354-MAX($F$2:F1353))</f>
        <v/>
      </c>
      <c r="H1354" s="97"/>
      <c r="I1354" s="74" t="str">
        <f ca="1">IF(D1354="N",COUNTIF(INDIRECT(ADDRESS(MATCH(Plages!$D$19,'Planning annuel mixing coater'!$B:$B),4)):D1354,"N"),IF(D1354="N1",COUNTIF($D$9:D1354,"N1"),""))</f>
        <v/>
      </c>
      <c r="J1354" s="96" t="str">
        <f>IF(D1354="","",COUNTA(D1346:D1354)-(COUNTA(D1354:D1354)-1))</f>
        <v/>
      </c>
    </row>
    <row r="1355" spans="1:10" thickBot="1">
      <c r="A1355" s="117"/>
      <c r="B1355" s="70">
        <f t="shared" si="89"/>
        <v>45147</v>
      </c>
      <c r="C1355" s="82" t="str">
        <f t="shared" si="86"/>
        <v>mercredi</v>
      </c>
      <c r="D1355" s="87"/>
      <c r="E1355" s="115" t="str">
        <f t="shared" si="87"/>
        <v/>
      </c>
      <c r="F1355" s="115" t="str">
        <f t="shared" si="88"/>
        <v/>
      </c>
      <c r="G1355" s="116" t="str">
        <f>IF(ISNONTEXT(D1355),"",E1355-MAX($F$2:F1354))</f>
        <v/>
      </c>
      <c r="H1355" s="97"/>
      <c r="I1355" s="74" t="str">
        <f ca="1">IF(D1355="N",COUNTIF(INDIRECT(ADDRESS(MATCH(Plages!$D$19,'Planning annuel mixing coater'!$B:$B),4)):D1355,"N"),IF(D1355="N1",COUNTIF($D$9:D1355,"N1"),""))</f>
        <v/>
      </c>
      <c r="J1355" s="96" t="str">
        <f>IF(D1355="","",COUNTA(D1346:D1355)-(COUNTA(D1355:D1355)-1))</f>
        <v/>
      </c>
    </row>
    <row r="1356" spans="1:10" thickBot="1">
      <c r="A1356" s="117"/>
      <c r="B1356" s="70">
        <f t="shared" si="89"/>
        <v>45148</v>
      </c>
      <c r="C1356" s="82" t="str">
        <f t="shared" si="86"/>
        <v>jeudi</v>
      </c>
      <c r="D1356" s="87"/>
      <c r="E1356" s="115" t="str">
        <f t="shared" si="87"/>
        <v/>
      </c>
      <c r="F1356" s="115" t="str">
        <f t="shared" si="88"/>
        <v/>
      </c>
      <c r="G1356" s="116" t="str">
        <f>IF(ISNONTEXT(D1356),"",E1356-MAX($F$2:F1355))</f>
        <v/>
      </c>
      <c r="H1356" s="97"/>
      <c r="I1356" s="74" t="str">
        <f ca="1">IF(D1356="N",COUNTIF(INDIRECT(ADDRESS(MATCH(Plages!$D$19,'Planning annuel mixing coater'!$B:$B),4)):D1356,"N"),IF(D1356="N1",COUNTIF($D$9:D1356,"N1"),""))</f>
        <v/>
      </c>
      <c r="J1356" s="96" t="str">
        <f>IF(D1356="","",COUNTA(D1346:D1356)-(COUNTA(D1356:D1356)-1))</f>
        <v/>
      </c>
    </row>
    <row r="1357" spans="1:10" thickBot="1">
      <c r="A1357" s="117"/>
      <c r="B1357" s="70">
        <f t="shared" si="89"/>
        <v>45149</v>
      </c>
      <c r="C1357" s="82" t="str">
        <f t="shared" si="86"/>
        <v>vendredi</v>
      </c>
      <c r="D1357" s="87"/>
      <c r="E1357" s="115" t="str">
        <f t="shared" si="87"/>
        <v/>
      </c>
      <c r="F1357" s="115" t="str">
        <f t="shared" si="88"/>
        <v/>
      </c>
      <c r="G1357" s="116" t="str">
        <f>IF(ISNONTEXT(D1357),"",E1357-MAX($F$2:F1356))</f>
        <v/>
      </c>
      <c r="H1357" s="97"/>
      <c r="I1357" s="74" t="str">
        <f ca="1">IF(D1357="N",COUNTIF(INDIRECT(ADDRESS(MATCH(Plages!$D$19,'Planning annuel mixing coater'!$B:$B),4)):D1357,"N"),IF(D1357="N1",COUNTIF($D$9:D1357,"N1"),""))</f>
        <v/>
      </c>
      <c r="J1357" s="96" t="str">
        <f>IF(D1357="","",COUNTA(D1346:D1357)-(COUNTA(D1357:D1357)-1))</f>
        <v/>
      </c>
    </row>
    <row r="1358" spans="1:10" thickBot="1">
      <c r="A1358" s="117"/>
      <c r="B1358" s="70">
        <f t="shared" si="89"/>
        <v>45150</v>
      </c>
      <c r="C1358" s="82" t="str">
        <f t="shared" si="86"/>
        <v>samedi</v>
      </c>
      <c r="D1358" s="87"/>
      <c r="E1358" s="115" t="str">
        <f t="shared" si="87"/>
        <v/>
      </c>
      <c r="F1358" s="115" t="str">
        <f t="shared" si="88"/>
        <v/>
      </c>
      <c r="G1358" s="116" t="str">
        <f>IF(ISNONTEXT(D1358),"",E1358-MAX($F$2:F1357))</f>
        <v/>
      </c>
      <c r="H1358" s="97"/>
      <c r="I1358" s="74" t="str">
        <f ca="1">IF(D1358="N",COUNTIF(INDIRECT(ADDRESS(MATCH(Plages!$D$19,'Planning annuel mixing coater'!$B:$B),4)):D1358,"N"),IF(D1358="N1",COUNTIF($D$9:D1358,"N1"),""))</f>
        <v/>
      </c>
      <c r="J1358" s="96" t="str">
        <f>IF(D1358="","",COUNTA(D1346:D1358)-(COUNTA(D1358:D1358)-1))</f>
        <v/>
      </c>
    </row>
    <row r="1359" spans="1:10" s="77" customFormat="1" thickBot="1">
      <c r="A1359" s="117"/>
      <c r="B1359" s="75">
        <f t="shared" si="89"/>
        <v>45151</v>
      </c>
      <c r="C1359" s="83" t="str">
        <f t="shared" si="86"/>
        <v>dimanche</v>
      </c>
      <c r="D1359" s="88"/>
      <c r="E1359" s="115" t="str">
        <f t="shared" si="87"/>
        <v/>
      </c>
      <c r="F1359" s="115" t="str">
        <f t="shared" si="88"/>
        <v/>
      </c>
      <c r="G1359" s="116" t="str">
        <f>IF(ISNONTEXT(D1359),"",E1359-MAX($F$2:F1358))</f>
        <v/>
      </c>
      <c r="H1359" s="98"/>
      <c r="I1359" s="76" t="str">
        <f ca="1">IF(D1359="N",COUNTIF(INDIRECT(ADDRESS(MATCH(Plages!$D$19,'Planning annuel mixing coater'!$B:$B),4)):D1359,"N"),IF(D1359="N1",COUNTIF($D$9:D1359,"N1"),""))</f>
        <v/>
      </c>
      <c r="J1359" s="99" t="str">
        <f>IF(D1359="","",COUNTA(D1346:D1359)-(COUNTA(D1359:D1359)-1))</f>
        <v/>
      </c>
    </row>
    <row r="1360" spans="1:10" ht="16.5" thickTop="1" thickBot="1">
      <c r="A1360" s="117"/>
      <c r="B1360" s="78">
        <f t="shared" si="89"/>
        <v>45152</v>
      </c>
      <c r="C1360" s="81" t="str">
        <f t="shared" si="86"/>
        <v>lundi</v>
      </c>
      <c r="D1360" s="89"/>
      <c r="E1360" s="115" t="str">
        <f t="shared" si="87"/>
        <v/>
      </c>
      <c r="F1360" s="115" t="str">
        <f t="shared" si="88"/>
        <v/>
      </c>
      <c r="G1360" s="116" t="str">
        <f>IF(ISNONTEXT(D1360),"",E1360-MAX($F$2:F1359))</f>
        <v/>
      </c>
      <c r="H1360" s="100"/>
      <c r="I1360" s="79" t="str">
        <f ca="1">IF(D1360="N",COUNTIF(INDIRECT(ADDRESS(MATCH(Plages!$D$19,'Planning annuel mixing coater'!$B:$B),4)):D1360,"N"),IF(D1360="N1",COUNTIF($D$9:D1360,"N1"),""))</f>
        <v/>
      </c>
      <c r="J1360" s="101" t="str">
        <f>IF(D1360="","",COUNTA(D1360:D1360)-(COUNTA(D1360:D1360)-1))</f>
        <v/>
      </c>
    </row>
    <row r="1361" spans="1:10" thickBot="1">
      <c r="A1361" s="117"/>
      <c r="B1361" s="70">
        <f t="shared" si="89"/>
        <v>45153</v>
      </c>
      <c r="C1361" s="82" t="str">
        <f t="shared" si="86"/>
        <v>mardi</v>
      </c>
      <c r="D1361" s="87"/>
      <c r="E1361" s="115" t="str">
        <f t="shared" si="87"/>
        <v/>
      </c>
      <c r="F1361" s="115" t="str">
        <f t="shared" si="88"/>
        <v/>
      </c>
      <c r="G1361" s="116" t="str">
        <f>IF(ISNONTEXT(D1361),"",E1361-MAX($F$2:F1360))</f>
        <v/>
      </c>
      <c r="H1361" s="97"/>
      <c r="I1361" s="74" t="str">
        <f ca="1">IF(D1361="N",COUNTIF(INDIRECT(ADDRESS(MATCH(Plages!$D$19,'Planning annuel mixing coater'!$B:$B),4)):D1361,"N"),IF(D1361="N1",COUNTIF($D$9:D1361,"N1"),""))</f>
        <v/>
      </c>
      <c r="J1361" s="96" t="str">
        <f>IF(D1361="","",COUNTA(D1360:D1361)-(COUNTA(D1361:D1361)-1))</f>
        <v/>
      </c>
    </row>
    <row r="1362" spans="1:10" thickBot="1">
      <c r="A1362" s="117"/>
      <c r="B1362" s="70">
        <f t="shared" si="89"/>
        <v>45154</v>
      </c>
      <c r="C1362" s="82" t="str">
        <f t="shared" si="86"/>
        <v>mercredi</v>
      </c>
      <c r="D1362" s="87"/>
      <c r="E1362" s="115" t="str">
        <f t="shared" si="87"/>
        <v/>
      </c>
      <c r="F1362" s="115" t="str">
        <f t="shared" si="88"/>
        <v/>
      </c>
      <c r="G1362" s="116" t="str">
        <f>IF(ISNONTEXT(D1362),"",E1362-MAX($F$2:F1361))</f>
        <v/>
      </c>
      <c r="H1362" s="97"/>
      <c r="I1362" s="74" t="str">
        <f ca="1">IF(D1362="N",COUNTIF(INDIRECT(ADDRESS(MATCH(Plages!$D$19,'Planning annuel mixing coater'!$B:$B),4)):D1362,"N"),IF(D1362="N1",COUNTIF($D$9:D1362,"N1"),""))</f>
        <v/>
      </c>
      <c r="J1362" s="96" t="str">
        <f>IF(D1362="","",COUNTA(D1360:D1362)-(COUNTA(D1362:D1362)-1))</f>
        <v/>
      </c>
    </row>
    <row r="1363" spans="1:10" thickBot="1">
      <c r="A1363" s="117"/>
      <c r="B1363" s="70">
        <f t="shared" si="89"/>
        <v>45155</v>
      </c>
      <c r="C1363" s="82" t="str">
        <f t="shared" si="86"/>
        <v>jeudi</v>
      </c>
      <c r="D1363" s="87"/>
      <c r="E1363" s="115" t="str">
        <f t="shared" si="87"/>
        <v/>
      </c>
      <c r="F1363" s="115" t="str">
        <f t="shared" si="88"/>
        <v/>
      </c>
      <c r="G1363" s="116" t="str">
        <f>IF(ISNONTEXT(D1363),"",E1363-MAX($F$2:F1362))</f>
        <v/>
      </c>
      <c r="H1363" s="97"/>
      <c r="I1363" s="74" t="str">
        <f ca="1">IF(D1363="N",COUNTIF(INDIRECT(ADDRESS(MATCH(Plages!$D$19,'Planning annuel mixing coater'!$B:$B),4)):D1363,"N"),IF(D1363="N1",COUNTIF($D$9:D1363,"N1"),""))</f>
        <v/>
      </c>
      <c r="J1363" s="96" t="str">
        <f>IF(D1363="","",COUNTA(D1360:D1363)-(COUNTA(D1363:D1363)-1))</f>
        <v/>
      </c>
    </row>
    <row r="1364" spans="1:10" thickBot="1">
      <c r="A1364" s="117"/>
      <c r="B1364" s="70">
        <f t="shared" si="89"/>
        <v>45156</v>
      </c>
      <c r="C1364" s="82" t="str">
        <f t="shared" si="86"/>
        <v>vendredi</v>
      </c>
      <c r="D1364" s="87"/>
      <c r="E1364" s="115" t="str">
        <f t="shared" si="87"/>
        <v/>
      </c>
      <c r="F1364" s="115" t="str">
        <f t="shared" si="88"/>
        <v/>
      </c>
      <c r="G1364" s="116" t="str">
        <f>IF(ISNONTEXT(D1364),"",E1364-MAX($F$2:F1363))</f>
        <v/>
      </c>
      <c r="H1364" s="97"/>
      <c r="I1364" s="74" t="str">
        <f ca="1">IF(D1364="N",COUNTIF(INDIRECT(ADDRESS(MATCH(Plages!$D$19,'Planning annuel mixing coater'!$B:$B),4)):D1364,"N"),IF(D1364="N1",COUNTIF($D$9:D1364,"N1"),""))</f>
        <v/>
      </c>
      <c r="J1364" s="96" t="str">
        <f>IF(D1364="","",COUNTA(D1360:D1364)-(COUNTA(D1364:D1364)-1))</f>
        <v/>
      </c>
    </row>
    <row r="1365" spans="1:10" thickBot="1">
      <c r="A1365" s="117"/>
      <c r="B1365" s="70">
        <f t="shared" si="89"/>
        <v>45157</v>
      </c>
      <c r="C1365" s="82" t="str">
        <f t="shared" si="86"/>
        <v>samedi</v>
      </c>
      <c r="D1365" s="87"/>
      <c r="E1365" s="115" t="str">
        <f t="shared" si="87"/>
        <v/>
      </c>
      <c r="F1365" s="115" t="str">
        <f t="shared" si="88"/>
        <v/>
      </c>
      <c r="G1365" s="116" t="str">
        <f>IF(ISNONTEXT(D1365),"",E1365-MAX($F$2:F1364))</f>
        <v/>
      </c>
      <c r="H1365" s="97"/>
      <c r="I1365" s="74" t="str">
        <f ca="1">IF(D1365="N",COUNTIF(INDIRECT(ADDRESS(MATCH(Plages!$D$19,'Planning annuel mixing coater'!$B:$B),4)):D1365,"N"),IF(D1365="N1",COUNTIF($D$9:D1365,"N1"),""))</f>
        <v/>
      </c>
      <c r="J1365" s="96" t="str">
        <f>IF(D1365="","",COUNTA(D1360:D1365)-(COUNTA(D1365:D1365)-1))</f>
        <v/>
      </c>
    </row>
    <row r="1366" spans="1:10" thickBot="1">
      <c r="A1366" s="117"/>
      <c r="B1366" s="70">
        <f t="shared" si="89"/>
        <v>45158</v>
      </c>
      <c r="C1366" s="82" t="str">
        <f t="shared" si="86"/>
        <v>dimanche</v>
      </c>
      <c r="D1366" s="87"/>
      <c r="E1366" s="115" t="str">
        <f t="shared" si="87"/>
        <v/>
      </c>
      <c r="F1366" s="115" t="str">
        <f t="shared" si="88"/>
        <v/>
      </c>
      <c r="G1366" s="116" t="str">
        <f>IF(ISNONTEXT(D1366),"",E1366-MAX($F$2:F1365))</f>
        <v/>
      </c>
      <c r="H1366" s="98"/>
      <c r="I1366" s="74" t="str">
        <f ca="1">IF(D1366="N",COUNTIF(INDIRECT(ADDRESS(MATCH(Plages!$D$19,'Planning annuel mixing coater'!$B:$B),4)):D1366,"N"),IF(D1366="N1",COUNTIF($D$9:D1366,"N1"),""))</f>
        <v/>
      </c>
      <c r="J1366" s="96" t="str">
        <f>IF(D1366="","",COUNTA(D1360:D1366)-(COUNTA(D1366:D1366)-1))</f>
        <v/>
      </c>
    </row>
    <row r="1367" spans="1:10" thickBot="1">
      <c r="A1367" s="117"/>
      <c r="B1367" s="70">
        <f t="shared" si="89"/>
        <v>45159</v>
      </c>
      <c r="C1367" s="82" t="str">
        <f t="shared" si="86"/>
        <v>lundi</v>
      </c>
      <c r="D1367" s="87"/>
      <c r="E1367" s="115" t="str">
        <f t="shared" si="87"/>
        <v/>
      </c>
      <c r="F1367" s="115" t="str">
        <f t="shared" si="88"/>
        <v/>
      </c>
      <c r="G1367" s="116" t="str">
        <f>IF(ISNONTEXT(D1367),"",E1367-MAX($F$2:F1366))</f>
        <v/>
      </c>
      <c r="H1367" s="97"/>
      <c r="I1367" s="74" t="str">
        <f ca="1">IF(D1367="N",COUNTIF(INDIRECT(ADDRESS(MATCH(Plages!$D$19,'Planning annuel mixing coater'!$B:$B),4)):D1367,"N"),IF(D1367="N1",COUNTIF($D$9:D1367,"N1"),""))</f>
        <v/>
      </c>
      <c r="J1367" s="96" t="str">
        <f>IF(D1367="","",COUNTA(D1360:D1367)-(COUNTA(D1367:D1367)-1))</f>
        <v/>
      </c>
    </row>
    <row r="1368" spans="1:10" thickBot="1">
      <c r="A1368" s="117"/>
      <c r="B1368" s="70">
        <f t="shared" si="89"/>
        <v>45160</v>
      </c>
      <c r="C1368" s="82" t="str">
        <f t="shared" si="86"/>
        <v>mardi</v>
      </c>
      <c r="D1368" s="87"/>
      <c r="E1368" s="115" t="str">
        <f t="shared" si="87"/>
        <v/>
      </c>
      <c r="F1368" s="115" t="str">
        <f t="shared" si="88"/>
        <v/>
      </c>
      <c r="G1368" s="116" t="str">
        <f>IF(ISNONTEXT(D1368),"",E1368-MAX($F$2:F1367))</f>
        <v/>
      </c>
      <c r="H1368" s="97"/>
      <c r="I1368" s="74" t="str">
        <f ca="1">IF(D1368="N",COUNTIF(INDIRECT(ADDRESS(MATCH(Plages!$D$19,'Planning annuel mixing coater'!$B:$B),4)):D1368,"N"),IF(D1368="N1",COUNTIF($D$9:D1368,"N1"),""))</f>
        <v/>
      </c>
      <c r="J1368" s="96" t="str">
        <f>IF(D1368="","",COUNTA(D1360:D1368)-(COUNTA(D1368:D1368)-1))</f>
        <v/>
      </c>
    </row>
    <row r="1369" spans="1:10" thickBot="1">
      <c r="A1369" s="117"/>
      <c r="B1369" s="70">
        <f t="shared" si="89"/>
        <v>45161</v>
      </c>
      <c r="C1369" s="82" t="str">
        <f t="shared" si="86"/>
        <v>mercredi</v>
      </c>
      <c r="D1369" s="87"/>
      <c r="E1369" s="115" t="str">
        <f t="shared" si="87"/>
        <v/>
      </c>
      <c r="F1369" s="115" t="str">
        <f t="shared" si="88"/>
        <v/>
      </c>
      <c r="G1369" s="116" t="str">
        <f>IF(ISNONTEXT(D1369),"",E1369-MAX($F$2:F1368))</f>
        <v/>
      </c>
      <c r="H1369" s="97"/>
      <c r="I1369" s="74" t="str">
        <f ca="1">IF(D1369="N",COUNTIF(INDIRECT(ADDRESS(MATCH(Plages!$D$19,'Planning annuel mixing coater'!$B:$B),4)):D1369,"N"),IF(D1369="N1",COUNTIF($D$9:D1369,"N1"),""))</f>
        <v/>
      </c>
      <c r="J1369" s="96" t="str">
        <f>IF(D1369="","",COUNTA(D1360:D1369)-(COUNTA(D1369:D1369)-1))</f>
        <v/>
      </c>
    </row>
    <row r="1370" spans="1:10" thickBot="1">
      <c r="A1370" s="117"/>
      <c r="B1370" s="70">
        <f t="shared" si="89"/>
        <v>45162</v>
      </c>
      <c r="C1370" s="82" t="str">
        <f t="shared" si="86"/>
        <v>jeudi</v>
      </c>
      <c r="D1370" s="87"/>
      <c r="E1370" s="115" t="str">
        <f t="shared" si="87"/>
        <v/>
      </c>
      <c r="F1370" s="115" t="str">
        <f t="shared" si="88"/>
        <v/>
      </c>
      <c r="G1370" s="116" t="str">
        <f>IF(ISNONTEXT(D1370),"",E1370-MAX($F$2:F1369))</f>
        <v/>
      </c>
      <c r="H1370" s="97"/>
      <c r="I1370" s="74" t="str">
        <f ca="1">IF(D1370="N",COUNTIF(INDIRECT(ADDRESS(MATCH(Plages!$D$19,'Planning annuel mixing coater'!$B:$B),4)):D1370,"N"),IF(D1370="N1",COUNTIF($D$9:D1370,"N1"),""))</f>
        <v/>
      </c>
      <c r="J1370" s="96" t="str">
        <f>IF(D1370="","",COUNTA(D1360:D1370)-(COUNTA(D1370:D1370)-1))</f>
        <v/>
      </c>
    </row>
    <row r="1371" spans="1:10" thickBot="1">
      <c r="A1371" s="117"/>
      <c r="B1371" s="70">
        <f t="shared" si="89"/>
        <v>45163</v>
      </c>
      <c r="C1371" s="82" t="str">
        <f t="shared" si="86"/>
        <v>vendredi</v>
      </c>
      <c r="D1371" s="87"/>
      <c r="E1371" s="115" t="str">
        <f t="shared" si="87"/>
        <v/>
      </c>
      <c r="F1371" s="115" t="str">
        <f t="shared" si="88"/>
        <v/>
      </c>
      <c r="G1371" s="116" t="str">
        <f>IF(ISNONTEXT(D1371),"",E1371-MAX($F$2:F1370))</f>
        <v/>
      </c>
      <c r="H1371" s="97"/>
      <c r="I1371" s="74" t="str">
        <f ca="1">IF(D1371="N",COUNTIF(INDIRECT(ADDRESS(MATCH(Plages!$D$19,'Planning annuel mixing coater'!$B:$B),4)):D1371,"N"),IF(D1371="N1",COUNTIF($D$9:D1371,"N1"),""))</f>
        <v/>
      </c>
      <c r="J1371" s="96" t="str">
        <f>IF(D1371="","",COUNTA(D1360:D1371)-(COUNTA(D1371:D1371)-1))</f>
        <v/>
      </c>
    </row>
    <row r="1372" spans="1:10" thickBot="1">
      <c r="A1372" s="117"/>
      <c r="B1372" s="70">
        <f t="shared" si="89"/>
        <v>45164</v>
      </c>
      <c r="C1372" s="82" t="str">
        <f t="shared" si="86"/>
        <v>samedi</v>
      </c>
      <c r="D1372" s="87"/>
      <c r="E1372" s="115" t="str">
        <f t="shared" si="87"/>
        <v/>
      </c>
      <c r="F1372" s="115" t="str">
        <f t="shared" si="88"/>
        <v/>
      </c>
      <c r="G1372" s="116" t="str">
        <f>IF(ISNONTEXT(D1372),"",E1372-MAX($F$2:F1371))</f>
        <v/>
      </c>
      <c r="H1372" s="97"/>
      <c r="I1372" s="74" t="str">
        <f ca="1">IF(D1372="N",COUNTIF(INDIRECT(ADDRESS(MATCH(Plages!$D$19,'Planning annuel mixing coater'!$B:$B),4)):D1372,"N"),IF(D1372="N1",COUNTIF($D$9:D1372,"N1"),""))</f>
        <v/>
      </c>
      <c r="J1372" s="96" t="str">
        <f>IF(D1372="","",COUNTA(D1360:D1372)-(COUNTA(D1372:D1372)-1))</f>
        <v/>
      </c>
    </row>
    <row r="1373" spans="1:10" s="77" customFormat="1" thickBot="1">
      <c r="A1373" s="117"/>
      <c r="B1373" s="75">
        <f t="shared" si="89"/>
        <v>45165</v>
      </c>
      <c r="C1373" s="83" t="str">
        <f t="shared" si="86"/>
        <v>dimanche</v>
      </c>
      <c r="D1373" s="88"/>
      <c r="E1373" s="115" t="str">
        <f t="shared" si="87"/>
        <v/>
      </c>
      <c r="F1373" s="115" t="str">
        <f t="shared" si="88"/>
        <v/>
      </c>
      <c r="G1373" s="116" t="str">
        <f>IF(ISNONTEXT(D1373),"",E1373-MAX($F$2:F1372))</f>
        <v/>
      </c>
      <c r="H1373" s="98"/>
      <c r="I1373" s="76" t="str">
        <f ca="1">IF(D1373="N",COUNTIF(INDIRECT(ADDRESS(MATCH(Plages!$D$19,'Planning annuel mixing coater'!$B:$B),4)):D1373,"N"),IF(D1373="N1",COUNTIF($D$9:D1373,"N1"),""))</f>
        <v/>
      </c>
      <c r="J1373" s="99" t="str">
        <f>IF(D1373="","",COUNTA(D1360:D1373)-(COUNTA(D1373:D1373)-1))</f>
        <v/>
      </c>
    </row>
    <row r="1374" spans="1:10" ht="16.5" thickTop="1" thickBot="1">
      <c r="A1374" s="117"/>
      <c r="B1374" s="78">
        <f t="shared" si="89"/>
        <v>45166</v>
      </c>
      <c r="C1374" s="81" t="str">
        <f t="shared" ref="C1374:C1437" si="90">IF(B1374="","",TEXT(B1374,"jjjj"))</f>
        <v>lundi</v>
      </c>
      <c r="D1374" s="89"/>
      <c r="E1374" s="115" t="str">
        <f t="shared" ref="E1374:E1437" si="91">IF(D1374="","",B1374+VLOOKUP(D1374,Plageh,2,0))</f>
        <v/>
      </c>
      <c r="F1374" s="115" t="str">
        <f t="shared" ref="F1374:F1437" si="92">IF(D1374="","",B1374+VLOOKUP(D1374,Plageh,3,0))</f>
        <v/>
      </c>
      <c r="G1374" s="116" t="str">
        <f>IF(ISNONTEXT(D1374),"",E1374-MAX($F$2:F1373))</f>
        <v/>
      </c>
      <c r="H1374" s="100"/>
      <c r="I1374" s="79" t="str">
        <f ca="1">IF(D1374="N",COUNTIF(INDIRECT(ADDRESS(MATCH(Plages!$D$19,'Planning annuel mixing coater'!$B:$B),4)):D1374,"N"),IF(D1374="N1",COUNTIF($D$9:D1374,"N1"),""))</f>
        <v/>
      </c>
      <c r="J1374" s="101" t="str">
        <f>IF(D1374="","",COUNTA(D1374:D1374)-(COUNTA(D1374:D1374)-1))</f>
        <v/>
      </c>
    </row>
    <row r="1375" spans="1:10" thickBot="1">
      <c r="A1375" s="117"/>
      <c r="B1375" s="70">
        <f t="shared" si="89"/>
        <v>45167</v>
      </c>
      <c r="C1375" s="82" t="str">
        <f t="shared" si="90"/>
        <v>mardi</v>
      </c>
      <c r="D1375" s="87"/>
      <c r="E1375" s="115" t="str">
        <f t="shared" si="91"/>
        <v/>
      </c>
      <c r="F1375" s="115" t="str">
        <f t="shared" si="92"/>
        <v/>
      </c>
      <c r="G1375" s="116" t="str">
        <f>IF(ISNONTEXT(D1375),"",E1375-MAX($F$2:F1374))</f>
        <v/>
      </c>
      <c r="H1375" s="97"/>
      <c r="I1375" s="74" t="str">
        <f ca="1">IF(D1375="N",COUNTIF(INDIRECT(ADDRESS(MATCH(Plages!$D$19,'Planning annuel mixing coater'!$B:$B),4)):D1375,"N"),IF(D1375="N1",COUNTIF($D$9:D1375,"N1"),""))</f>
        <v/>
      </c>
      <c r="J1375" s="96" t="str">
        <f>IF(D1375="","",COUNTA(D1374:D1375)-(COUNTA(D1375:D1375)-1))</f>
        <v/>
      </c>
    </row>
    <row r="1376" spans="1:10" thickBot="1">
      <c r="A1376" s="117"/>
      <c r="B1376" s="70">
        <f t="shared" si="89"/>
        <v>45168</v>
      </c>
      <c r="C1376" s="82" t="str">
        <f t="shared" si="90"/>
        <v>mercredi</v>
      </c>
      <c r="D1376" s="87"/>
      <c r="E1376" s="115" t="str">
        <f t="shared" si="91"/>
        <v/>
      </c>
      <c r="F1376" s="115" t="str">
        <f t="shared" si="92"/>
        <v/>
      </c>
      <c r="G1376" s="116" t="str">
        <f>IF(ISNONTEXT(D1376),"",E1376-MAX($F$2:F1375))</f>
        <v/>
      </c>
      <c r="H1376" s="97"/>
      <c r="I1376" s="74" t="str">
        <f ca="1">IF(D1376="N",COUNTIF(INDIRECT(ADDRESS(MATCH(Plages!$D$19,'Planning annuel mixing coater'!$B:$B),4)):D1376,"N"),IF(D1376="N1",COUNTIF($D$9:D1376,"N1"),""))</f>
        <v/>
      </c>
      <c r="J1376" s="96" t="str">
        <f>IF(D1376="","",COUNTA(D1374:D1376)-(COUNTA(D1376:D1376)-1))</f>
        <v/>
      </c>
    </row>
    <row r="1377" spans="1:10" thickBot="1">
      <c r="A1377" s="117"/>
      <c r="B1377" s="70">
        <f t="shared" si="89"/>
        <v>45169</v>
      </c>
      <c r="C1377" s="82" t="str">
        <f t="shared" si="90"/>
        <v>jeudi</v>
      </c>
      <c r="D1377" s="87"/>
      <c r="E1377" s="115" t="str">
        <f t="shared" si="91"/>
        <v/>
      </c>
      <c r="F1377" s="115" t="str">
        <f t="shared" si="92"/>
        <v/>
      </c>
      <c r="G1377" s="116" t="str">
        <f>IF(ISNONTEXT(D1377),"",E1377-MAX($F$2:F1376))</f>
        <v/>
      </c>
      <c r="H1377" s="97"/>
      <c r="I1377" s="74" t="str">
        <f ca="1">IF(D1377="N",COUNTIF(INDIRECT(ADDRESS(MATCH(Plages!$D$19,'Planning annuel mixing coater'!$B:$B),4)):D1377,"N"),IF(D1377="N1",COUNTIF($D$9:D1377,"N1"),""))</f>
        <v/>
      </c>
      <c r="J1377" s="96" t="str">
        <f>IF(D1377="","",COUNTA(D1374:D1377)-(COUNTA(D1377:D1377)-1))</f>
        <v/>
      </c>
    </row>
    <row r="1378" spans="1:10" thickBot="1">
      <c r="A1378" s="117"/>
      <c r="B1378" s="70">
        <f t="shared" si="89"/>
        <v>45170</v>
      </c>
      <c r="C1378" s="82" t="str">
        <f t="shared" si="90"/>
        <v>vendredi</v>
      </c>
      <c r="D1378" s="87"/>
      <c r="E1378" s="115" t="str">
        <f t="shared" si="91"/>
        <v/>
      </c>
      <c r="F1378" s="115" t="str">
        <f t="shared" si="92"/>
        <v/>
      </c>
      <c r="G1378" s="116" t="str">
        <f>IF(ISNONTEXT(D1378),"",E1378-MAX($F$2:F1377))</f>
        <v/>
      </c>
      <c r="H1378" s="97"/>
      <c r="I1378" s="74" t="str">
        <f ca="1">IF(D1378="N",COUNTIF(INDIRECT(ADDRESS(MATCH(Plages!$D$19,'Planning annuel mixing coater'!$B:$B),4)):D1378,"N"),IF(D1378="N1",COUNTIF($D$9:D1378,"N1"),""))</f>
        <v/>
      </c>
      <c r="J1378" s="96" t="str">
        <f>IF(D1378="","",COUNTA(D1374:D1378)-(COUNTA(D1378:D1378)-1))</f>
        <v/>
      </c>
    </row>
    <row r="1379" spans="1:10" thickBot="1">
      <c r="A1379" s="117"/>
      <c r="B1379" s="70">
        <f t="shared" si="89"/>
        <v>45171</v>
      </c>
      <c r="C1379" s="82" t="str">
        <f t="shared" si="90"/>
        <v>samedi</v>
      </c>
      <c r="D1379" s="87"/>
      <c r="E1379" s="115" t="str">
        <f t="shared" si="91"/>
        <v/>
      </c>
      <c r="F1379" s="115" t="str">
        <f t="shared" si="92"/>
        <v/>
      </c>
      <c r="G1379" s="116" t="str">
        <f>IF(ISNONTEXT(D1379),"",E1379-MAX($F$2:F1378))</f>
        <v/>
      </c>
      <c r="H1379" s="97"/>
      <c r="I1379" s="74" t="str">
        <f ca="1">IF(D1379="N",COUNTIF(INDIRECT(ADDRESS(MATCH(Plages!$D$19,'Planning annuel mixing coater'!$B:$B),4)):D1379,"N"),IF(D1379="N1",COUNTIF($D$9:D1379,"N1"),""))</f>
        <v/>
      </c>
      <c r="J1379" s="96" t="str">
        <f>IF(D1379="","",COUNTA(D1374:D1379)-(COUNTA(D1379:D1379)-1))</f>
        <v/>
      </c>
    </row>
    <row r="1380" spans="1:10" thickBot="1">
      <c r="A1380" s="117"/>
      <c r="B1380" s="70">
        <f t="shared" si="89"/>
        <v>45172</v>
      </c>
      <c r="C1380" s="82" t="str">
        <f t="shared" si="90"/>
        <v>dimanche</v>
      </c>
      <c r="D1380" s="87"/>
      <c r="E1380" s="115" t="str">
        <f t="shared" si="91"/>
        <v/>
      </c>
      <c r="F1380" s="115" t="str">
        <f t="shared" si="92"/>
        <v/>
      </c>
      <c r="G1380" s="116" t="str">
        <f>IF(ISNONTEXT(D1380),"",E1380-MAX($F$2:F1379))</f>
        <v/>
      </c>
      <c r="H1380" s="98"/>
      <c r="I1380" s="74" t="str">
        <f ca="1">IF(D1380="N",COUNTIF(INDIRECT(ADDRESS(MATCH(Plages!$D$19,'Planning annuel mixing coater'!$B:$B),4)):D1380,"N"),IF(D1380="N1",COUNTIF($D$9:D1380,"N1"),""))</f>
        <v/>
      </c>
      <c r="J1380" s="96" t="str">
        <f>IF(D1380="","",COUNTA(D1374:D1380)-(COUNTA(D1380:D1380)-1))</f>
        <v/>
      </c>
    </row>
    <row r="1381" spans="1:10" thickBot="1">
      <c r="A1381" s="117"/>
      <c r="B1381" s="70">
        <f t="shared" si="89"/>
        <v>45173</v>
      </c>
      <c r="C1381" s="82" t="str">
        <f t="shared" si="90"/>
        <v>lundi</v>
      </c>
      <c r="D1381" s="87"/>
      <c r="E1381" s="115" t="str">
        <f t="shared" si="91"/>
        <v/>
      </c>
      <c r="F1381" s="115" t="str">
        <f t="shared" si="92"/>
        <v/>
      </c>
      <c r="G1381" s="116" t="str">
        <f>IF(ISNONTEXT(D1381),"",E1381-MAX($F$2:F1380))</f>
        <v/>
      </c>
      <c r="H1381" s="97"/>
      <c r="I1381" s="74" t="str">
        <f ca="1">IF(D1381="N",COUNTIF(INDIRECT(ADDRESS(MATCH(Plages!$D$19,'Planning annuel mixing coater'!$B:$B),4)):D1381,"N"),IF(D1381="N1",COUNTIF($D$9:D1381,"N1"),""))</f>
        <v/>
      </c>
      <c r="J1381" s="96" t="str">
        <f>IF(D1381="","",COUNTA(D1374:D1381)-(COUNTA(D1381:D1381)-1))</f>
        <v/>
      </c>
    </row>
    <row r="1382" spans="1:10" thickBot="1">
      <c r="A1382" s="117"/>
      <c r="B1382" s="70">
        <f t="shared" si="89"/>
        <v>45174</v>
      </c>
      <c r="C1382" s="82" t="str">
        <f t="shared" si="90"/>
        <v>mardi</v>
      </c>
      <c r="D1382" s="87"/>
      <c r="E1382" s="115" t="str">
        <f t="shared" si="91"/>
        <v/>
      </c>
      <c r="F1382" s="115" t="str">
        <f t="shared" si="92"/>
        <v/>
      </c>
      <c r="G1382" s="116" t="str">
        <f>IF(ISNONTEXT(D1382),"",E1382-MAX($F$2:F1381))</f>
        <v/>
      </c>
      <c r="H1382" s="97"/>
      <c r="I1382" s="74" t="str">
        <f ca="1">IF(D1382="N",COUNTIF(INDIRECT(ADDRESS(MATCH(Plages!$D$19,'Planning annuel mixing coater'!$B:$B),4)):D1382,"N"),IF(D1382="N1",COUNTIF($D$9:D1382,"N1"),""))</f>
        <v/>
      </c>
      <c r="J1382" s="96" t="str">
        <f>IF(D1382="","",COUNTA(D1374:D1382)-(COUNTA(D1382:D1382)-1))</f>
        <v/>
      </c>
    </row>
    <row r="1383" spans="1:10" thickBot="1">
      <c r="A1383" s="117"/>
      <c r="B1383" s="70">
        <f t="shared" si="89"/>
        <v>45175</v>
      </c>
      <c r="C1383" s="82" t="str">
        <f t="shared" si="90"/>
        <v>mercredi</v>
      </c>
      <c r="D1383" s="87"/>
      <c r="E1383" s="115" t="str">
        <f t="shared" si="91"/>
        <v/>
      </c>
      <c r="F1383" s="115" t="str">
        <f t="shared" si="92"/>
        <v/>
      </c>
      <c r="G1383" s="116" t="str">
        <f>IF(ISNONTEXT(D1383),"",E1383-MAX($F$2:F1382))</f>
        <v/>
      </c>
      <c r="H1383" s="97"/>
      <c r="I1383" s="74" t="str">
        <f ca="1">IF(D1383="N",COUNTIF(INDIRECT(ADDRESS(MATCH(Plages!$D$19,'Planning annuel mixing coater'!$B:$B),4)):D1383,"N"),IF(D1383="N1",COUNTIF($D$9:D1383,"N1"),""))</f>
        <v/>
      </c>
      <c r="J1383" s="96" t="str">
        <f>IF(D1383="","",COUNTA(D1374:D1383)-(COUNTA(D1383:D1383)-1))</f>
        <v/>
      </c>
    </row>
    <row r="1384" spans="1:10" thickBot="1">
      <c r="A1384" s="117"/>
      <c r="B1384" s="70">
        <f t="shared" si="89"/>
        <v>45176</v>
      </c>
      <c r="C1384" s="82" t="str">
        <f t="shared" si="90"/>
        <v>jeudi</v>
      </c>
      <c r="D1384" s="87"/>
      <c r="E1384" s="115" t="str">
        <f t="shared" si="91"/>
        <v/>
      </c>
      <c r="F1384" s="115" t="str">
        <f t="shared" si="92"/>
        <v/>
      </c>
      <c r="G1384" s="116" t="str">
        <f>IF(ISNONTEXT(D1384),"",E1384-MAX($F$2:F1383))</f>
        <v/>
      </c>
      <c r="H1384" s="97"/>
      <c r="I1384" s="74" t="str">
        <f ca="1">IF(D1384="N",COUNTIF(INDIRECT(ADDRESS(MATCH(Plages!$D$19,'Planning annuel mixing coater'!$B:$B),4)):D1384,"N"),IF(D1384="N1",COUNTIF($D$9:D1384,"N1"),""))</f>
        <v/>
      </c>
      <c r="J1384" s="96" t="str">
        <f>IF(D1384="","",COUNTA(D1374:D1384)-(COUNTA(D1384:D1384)-1))</f>
        <v/>
      </c>
    </row>
    <row r="1385" spans="1:10" thickBot="1">
      <c r="A1385" s="117"/>
      <c r="B1385" s="70">
        <f t="shared" si="89"/>
        <v>45177</v>
      </c>
      <c r="C1385" s="82" t="str">
        <f t="shared" si="90"/>
        <v>vendredi</v>
      </c>
      <c r="D1385" s="87"/>
      <c r="E1385" s="115" t="str">
        <f t="shared" si="91"/>
        <v/>
      </c>
      <c r="F1385" s="115" t="str">
        <f t="shared" si="92"/>
        <v/>
      </c>
      <c r="G1385" s="116" t="str">
        <f>IF(ISNONTEXT(D1385),"",E1385-MAX($F$2:F1384))</f>
        <v/>
      </c>
      <c r="H1385" s="97"/>
      <c r="I1385" s="74" t="str">
        <f ca="1">IF(D1385="N",COUNTIF(INDIRECT(ADDRESS(MATCH(Plages!$D$19,'Planning annuel mixing coater'!$B:$B),4)):D1385,"N"),IF(D1385="N1",COUNTIF($D$9:D1385,"N1"),""))</f>
        <v/>
      </c>
      <c r="J1385" s="96" t="str">
        <f>IF(D1385="","",COUNTA(D1374:D1385)-(COUNTA(D1385:D1385)-1))</f>
        <v/>
      </c>
    </row>
    <row r="1386" spans="1:10" thickBot="1">
      <c r="A1386" s="117"/>
      <c r="B1386" s="70">
        <f t="shared" si="89"/>
        <v>45178</v>
      </c>
      <c r="C1386" s="82" t="str">
        <f t="shared" si="90"/>
        <v>samedi</v>
      </c>
      <c r="D1386" s="87"/>
      <c r="E1386" s="115" t="str">
        <f t="shared" si="91"/>
        <v/>
      </c>
      <c r="F1386" s="115" t="str">
        <f t="shared" si="92"/>
        <v/>
      </c>
      <c r="G1386" s="116" t="str">
        <f>IF(ISNONTEXT(D1386),"",E1386-MAX($F$2:F1385))</f>
        <v/>
      </c>
      <c r="H1386" s="97"/>
      <c r="I1386" s="74" t="str">
        <f ca="1">IF(D1386="N",COUNTIF(INDIRECT(ADDRESS(MATCH(Plages!$D$19,'Planning annuel mixing coater'!$B:$B),4)):D1386,"N"),IF(D1386="N1",COUNTIF($D$9:D1386,"N1"),""))</f>
        <v/>
      </c>
      <c r="J1386" s="96" t="str">
        <f>IF(D1386="","",COUNTA(D1374:D1386)-(COUNTA(D1386:D1386)-1))</f>
        <v/>
      </c>
    </row>
    <row r="1387" spans="1:10" s="77" customFormat="1" thickBot="1">
      <c r="A1387" s="117"/>
      <c r="B1387" s="75">
        <f t="shared" si="89"/>
        <v>45179</v>
      </c>
      <c r="C1387" s="83" t="str">
        <f t="shared" si="90"/>
        <v>dimanche</v>
      </c>
      <c r="D1387" s="88"/>
      <c r="E1387" s="115" t="str">
        <f t="shared" si="91"/>
        <v/>
      </c>
      <c r="F1387" s="115" t="str">
        <f t="shared" si="92"/>
        <v/>
      </c>
      <c r="G1387" s="116" t="str">
        <f>IF(ISNONTEXT(D1387),"",E1387-MAX($F$2:F1386))</f>
        <v/>
      </c>
      <c r="H1387" s="98"/>
      <c r="I1387" s="76" t="str">
        <f ca="1">IF(D1387="N",COUNTIF(INDIRECT(ADDRESS(MATCH(Plages!$D$19,'Planning annuel mixing coater'!$B:$B),4)):D1387,"N"),IF(D1387="N1",COUNTIF($D$9:D1387,"N1"),""))</f>
        <v/>
      </c>
      <c r="J1387" s="99" t="str">
        <f>IF(D1387="","",COUNTA(D1374:D1387)-(COUNTA(D1387:D1387)-1))</f>
        <v/>
      </c>
    </row>
    <row r="1388" spans="1:10" ht="16.5" thickTop="1" thickBot="1">
      <c r="A1388" s="117"/>
      <c r="B1388" s="78">
        <f t="shared" si="89"/>
        <v>45180</v>
      </c>
      <c r="C1388" s="81" t="str">
        <f t="shared" si="90"/>
        <v>lundi</v>
      </c>
      <c r="D1388" s="89"/>
      <c r="E1388" s="115" t="str">
        <f t="shared" si="91"/>
        <v/>
      </c>
      <c r="F1388" s="115" t="str">
        <f t="shared" si="92"/>
        <v/>
      </c>
      <c r="G1388" s="116" t="str">
        <f>IF(ISNONTEXT(D1388),"",E1388-MAX($F$2:F1387))</f>
        <v/>
      </c>
      <c r="H1388" s="100"/>
      <c r="I1388" s="79" t="str">
        <f ca="1">IF(D1388="N",COUNTIF(INDIRECT(ADDRESS(MATCH(Plages!$D$19,'Planning annuel mixing coater'!$B:$B),4)):D1388,"N"),IF(D1388="N1",COUNTIF($D$9:D1388,"N1"),""))</f>
        <v/>
      </c>
      <c r="J1388" s="101" t="str">
        <f>IF(D1388="","",COUNTA(D1388:D1388)-(COUNTA(D1388:D1388)-1))</f>
        <v/>
      </c>
    </row>
    <row r="1389" spans="1:10" thickBot="1">
      <c r="A1389" s="117"/>
      <c r="B1389" s="70">
        <f t="shared" si="89"/>
        <v>45181</v>
      </c>
      <c r="C1389" s="82" t="str">
        <f t="shared" si="90"/>
        <v>mardi</v>
      </c>
      <c r="D1389" s="87"/>
      <c r="E1389" s="115" t="str">
        <f t="shared" si="91"/>
        <v/>
      </c>
      <c r="F1389" s="115" t="str">
        <f t="shared" si="92"/>
        <v/>
      </c>
      <c r="G1389" s="116" t="str">
        <f>IF(ISNONTEXT(D1389),"",E1389-MAX($F$2:F1388))</f>
        <v/>
      </c>
      <c r="H1389" s="97"/>
      <c r="I1389" s="74" t="str">
        <f ca="1">IF(D1389="N",COUNTIF(INDIRECT(ADDRESS(MATCH(Plages!$D$19,'Planning annuel mixing coater'!$B:$B),4)):D1389,"N"),IF(D1389="N1",COUNTIF($D$9:D1389,"N1"),""))</f>
        <v/>
      </c>
      <c r="J1389" s="96" t="str">
        <f>IF(D1389="","",COUNTA(D1388:D1389)-(COUNTA(D1389:D1389)-1))</f>
        <v/>
      </c>
    </row>
    <row r="1390" spans="1:10" thickBot="1">
      <c r="A1390" s="117"/>
      <c r="B1390" s="70">
        <f t="shared" si="89"/>
        <v>45182</v>
      </c>
      <c r="C1390" s="82" t="str">
        <f t="shared" si="90"/>
        <v>mercredi</v>
      </c>
      <c r="D1390" s="87"/>
      <c r="E1390" s="115" t="str">
        <f t="shared" si="91"/>
        <v/>
      </c>
      <c r="F1390" s="115" t="str">
        <f t="shared" si="92"/>
        <v/>
      </c>
      <c r="G1390" s="116" t="str">
        <f>IF(ISNONTEXT(D1390),"",E1390-MAX($F$2:F1389))</f>
        <v/>
      </c>
      <c r="H1390" s="97"/>
      <c r="I1390" s="74" t="str">
        <f ca="1">IF(D1390="N",COUNTIF(INDIRECT(ADDRESS(MATCH(Plages!$D$19,'Planning annuel mixing coater'!$B:$B),4)):D1390,"N"),IF(D1390="N1",COUNTIF($D$9:D1390,"N1"),""))</f>
        <v/>
      </c>
      <c r="J1390" s="96" t="str">
        <f>IF(D1390="","",COUNTA(D1388:D1390)-(COUNTA(D1390:D1390)-1))</f>
        <v/>
      </c>
    </row>
    <row r="1391" spans="1:10" thickBot="1">
      <c r="A1391" s="117"/>
      <c r="B1391" s="70">
        <f t="shared" si="89"/>
        <v>45183</v>
      </c>
      <c r="C1391" s="82" t="str">
        <f t="shared" si="90"/>
        <v>jeudi</v>
      </c>
      <c r="D1391" s="87"/>
      <c r="E1391" s="115" t="str">
        <f t="shared" si="91"/>
        <v/>
      </c>
      <c r="F1391" s="115" t="str">
        <f t="shared" si="92"/>
        <v/>
      </c>
      <c r="G1391" s="116" t="str">
        <f>IF(ISNONTEXT(D1391),"",E1391-MAX($F$2:F1390))</f>
        <v/>
      </c>
      <c r="H1391" s="97"/>
      <c r="I1391" s="74" t="str">
        <f ca="1">IF(D1391="N",COUNTIF(INDIRECT(ADDRESS(MATCH(Plages!$D$19,'Planning annuel mixing coater'!$B:$B),4)):D1391,"N"),IF(D1391="N1",COUNTIF($D$9:D1391,"N1"),""))</f>
        <v/>
      </c>
      <c r="J1391" s="96" t="str">
        <f>IF(D1391="","",COUNTA(D1388:D1391)-(COUNTA(D1391:D1391)-1))</f>
        <v/>
      </c>
    </row>
    <row r="1392" spans="1:10" thickBot="1">
      <c r="A1392" s="117"/>
      <c r="B1392" s="70">
        <f t="shared" si="89"/>
        <v>45184</v>
      </c>
      <c r="C1392" s="82" t="str">
        <f t="shared" si="90"/>
        <v>vendredi</v>
      </c>
      <c r="D1392" s="87"/>
      <c r="E1392" s="115" t="str">
        <f t="shared" si="91"/>
        <v/>
      </c>
      <c r="F1392" s="115" t="str">
        <f t="shared" si="92"/>
        <v/>
      </c>
      <c r="G1392" s="116" t="str">
        <f>IF(ISNONTEXT(D1392),"",E1392-MAX($F$2:F1391))</f>
        <v/>
      </c>
      <c r="H1392" s="97"/>
      <c r="I1392" s="74" t="str">
        <f ca="1">IF(D1392="N",COUNTIF(INDIRECT(ADDRESS(MATCH(Plages!$D$19,'Planning annuel mixing coater'!$B:$B),4)):D1392,"N"),IF(D1392="N1",COUNTIF($D$9:D1392,"N1"),""))</f>
        <v/>
      </c>
      <c r="J1392" s="96" t="str">
        <f>IF(D1392="","",COUNTA(D1388:D1392)-(COUNTA(D1392:D1392)-1))</f>
        <v/>
      </c>
    </row>
    <row r="1393" spans="1:10" thickBot="1">
      <c r="A1393" s="117"/>
      <c r="B1393" s="70">
        <f t="shared" si="89"/>
        <v>45185</v>
      </c>
      <c r="C1393" s="82" t="str">
        <f t="shared" si="90"/>
        <v>samedi</v>
      </c>
      <c r="D1393" s="87"/>
      <c r="E1393" s="115" t="str">
        <f t="shared" si="91"/>
        <v/>
      </c>
      <c r="F1393" s="115" t="str">
        <f t="shared" si="92"/>
        <v/>
      </c>
      <c r="G1393" s="116" t="str">
        <f>IF(ISNONTEXT(D1393),"",E1393-MAX($F$2:F1392))</f>
        <v/>
      </c>
      <c r="H1393" s="97"/>
      <c r="I1393" s="74" t="str">
        <f ca="1">IF(D1393="N",COUNTIF(INDIRECT(ADDRESS(MATCH(Plages!$D$19,'Planning annuel mixing coater'!$B:$B),4)):D1393,"N"),IF(D1393="N1",COUNTIF($D$9:D1393,"N1"),""))</f>
        <v/>
      </c>
      <c r="J1393" s="96" t="str">
        <f>IF(D1393="","",COUNTA(D1388:D1393)-(COUNTA(D1393:D1393)-1))</f>
        <v/>
      </c>
    </row>
    <row r="1394" spans="1:10" thickBot="1">
      <c r="A1394" s="117"/>
      <c r="B1394" s="70">
        <f t="shared" si="89"/>
        <v>45186</v>
      </c>
      <c r="C1394" s="82" t="str">
        <f t="shared" si="90"/>
        <v>dimanche</v>
      </c>
      <c r="D1394" s="87"/>
      <c r="E1394" s="115" t="str">
        <f t="shared" si="91"/>
        <v/>
      </c>
      <c r="F1394" s="115" t="str">
        <f t="shared" si="92"/>
        <v/>
      </c>
      <c r="G1394" s="116" t="str">
        <f>IF(ISNONTEXT(D1394),"",E1394-MAX($F$2:F1393))</f>
        <v/>
      </c>
      <c r="H1394" s="98"/>
      <c r="I1394" s="74" t="str">
        <f ca="1">IF(D1394="N",COUNTIF(INDIRECT(ADDRESS(MATCH(Plages!$D$19,'Planning annuel mixing coater'!$B:$B),4)):D1394,"N"),IF(D1394="N1",COUNTIF($D$9:D1394,"N1"),""))</f>
        <v/>
      </c>
      <c r="J1394" s="96" t="str">
        <f>IF(D1394="","",COUNTA(D1388:D1394)-(COUNTA(D1394:D1394)-1))</f>
        <v/>
      </c>
    </row>
    <row r="1395" spans="1:10" thickBot="1">
      <c r="A1395" s="117"/>
      <c r="B1395" s="70">
        <f t="shared" si="89"/>
        <v>45187</v>
      </c>
      <c r="C1395" s="82" t="str">
        <f t="shared" si="90"/>
        <v>lundi</v>
      </c>
      <c r="D1395" s="87"/>
      <c r="E1395" s="115" t="str">
        <f t="shared" si="91"/>
        <v/>
      </c>
      <c r="F1395" s="115" t="str">
        <f t="shared" si="92"/>
        <v/>
      </c>
      <c r="G1395" s="116" t="str">
        <f>IF(ISNONTEXT(D1395),"",E1395-MAX($F$2:F1394))</f>
        <v/>
      </c>
      <c r="H1395" s="97"/>
      <c r="I1395" s="74" t="str">
        <f ca="1">IF(D1395="N",COUNTIF(INDIRECT(ADDRESS(MATCH(Plages!$D$19,'Planning annuel mixing coater'!$B:$B),4)):D1395,"N"),IF(D1395="N1",COUNTIF($D$9:D1395,"N1"),""))</f>
        <v/>
      </c>
      <c r="J1395" s="96" t="str">
        <f>IF(D1395="","",COUNTA(D1388:D1395)-(COUNTA(D1395:D1395)-1))</f>
        <v/>
      </c>
    </row>
    <row r="1396" spans="1:10" thickBot="1">
      <c r="A1396" s="117"/>
      <c r="B1396" s="70">
        <f t="shared" si="89"/>
        <v>45188</v>
      </c>
      <c r="C1396" s="82" t="str">
        <f t="shared" si="90"/>
        <v>mardi</v>
      </c>
      <c r="D1396" s="87"/>
      <c r="E1396" s="115" t="str">
        <f t="shared" si="91"/>
        <v/>
      </c>
      <c r="F1396" s="115" t="str">
        <f t="shared" si="92"/>
        <v/>
      </c>
      <c r="G1396" s="116" t="str">
        <f>IF(ISNONTEXT(D1396),"",E1396-MAX($F$2:F1395))</f>
        <v/>
      </c>
      <c r="H1396" s="97"/>
      <c r="I1396" s="74" t="str">
        <f ca="1">IF(D1396="N",COUNTIF(INDIRECT(ADDRESS(MATCH(Plages!$D$19,'Planning annuel mixing coater'!$B:$B),4)):D1396,"N"),IF(D1396="N1",COUNTIF($D$9:D1396,"N1"),""))</f>
        <v/>
      </c>
      <c r="J1396" s="96" t="str">
        <f>IF(D1396="","",COUNTA(D1388:D1396)-(COUNTA(D1396:D1396)-1))</f>
        <v/>
      </c>
    </row>
    <row r="1397" spans="1:10" thickBot="1">
      <c r="A1397" s="117"/>
      <c r="B1397" s="70">
        <f t="shared" si="89"/>
        <v>45189</v>
      </c>
      <c r="C1397" s="82" t="str">
        <f t="shared" si="90"/>
        <v>mercredi</v>
      </c>
      <c r="D1397" s="87"/>
      <c r="E1397" s="115" t="str">
        <f t="shared" si="91"/>
        <v/>
      </c>
      <c r="F1397" s="115" t="str">
        <f t="shared" si="92"/>
        <v/>
      </c>
      <c r="G1397" s="116" t="str">
        <f>IF(ISNONTEXT(D1397),"",E1397-MAX($F$2:F1396))</f>
        <v/>
      </c>
      <c r="H1397" s="97"/>
      <c r="I1397" s="74" t="str">
        <f ca="1">IF(D1397="N",COUNTIF(INDIRECT(ADDRESS(MATCH(Plages!$D$19,'Planning annuel mixing coater'!$B:$B),4)):D1397,"N"),IF(D1397="N1",COUNTIF($D$9:D1397,"N1"),""))</f>
        <v/>
      </c>
      <c r="J1397" s="96" t="str">
        <f>IF(D1397="","",COUNTA(D1388:D1397)-(COUNTA(D1397:D1397)-1))</f>
        <v/>
      </c>
    </row>
    <row r="1398" spans="1:10" thickBot="1">
      <c r="A1398" s="117"/>
      <c r="B1398" s="70">
        <f t="shared" si="89"/>
        <v>45190</v>
      </c>
      <c r="C1398" s="82" t="str">
        <f t="shared" si="90"/>
        <v>jeudi</v>
      </c>
      <c r="D1398" s="87"/>
      <c r="E1398" s="115" t="str">
        <f t="shared" si="91"/>
        <v/>
      </c>
      <c r="F1398" s="115" t="str">
        <f t="shared" si="92"/>
        <v/>
      </c>
      <c r="G1398" s="116" t="str">
        <f>IF(ISNONTEXT(D1398),"",E1398-MAX($F$2:F1397))</f>
        <v/>
      </c>
      <c r="H1398" s="97"/>
      <c r="I1398" s="74" t="str">
        <f ca="1">IF(D1398="N",COUNTIF(INDIRECT(ADDRESS(MATCH(Plages!$D$19,'Planning annuel mixing coater'!$B:$B),4)):D1398,"N"),IF(D1398="N1",COUNTIF($D$9:D1398,"N1"),""))</f>
        <v/>
      </c>
      <c r="J1398" s="96" t="str">
        <f>IF(D1398="","",COUNTA(D1388:D1398)-(COUNTA(D1398:D1398)-1))</f>
        <v/>
      </c>
    </row>
    <row r="1399" spans="1:10" thickBot="1">
      <c r="A1399" s="117"/>
      <c r="B1399" s="70">
        <f t="shared" si="89"/>
        <v>45191</v>
      </c>
      <c r="C1399" s="82" t="str">
        <f t="shared" si="90"/>
        <v>vendredi</v>
      </c>
      <c r="D1399" s="87"/>
      <c r="E1399" s="115" t="str">
        <f t="shared" si="91"/>
        <v/>
      </c>
      <c r="F1399" s="115" t="str">
        <f t="shared" si="92"/>
        <v/>
      </c>
      <c r="G1399" s="116" t="str">
        <f>IF(ISNONTEXT(D1399),"",E1399-MAX($F$2:F1398))</f>
        <v/>
      </c>
      <c r="H1399" s="97"/>
      <c r="I1399" s="74" t="str">
        <f ca="1">IF(D1399="N",COUNTIF(INDIRECT(ADDRESS(MATCH(Plages!$D$19,'Planning annuel mixing coater'!$B:$B),4)):D1399,"N"),IF(D1399="N1",COUNTIF($D$9:D1399,"N1"),""))</f>
        <v/>
      </c>
      <c r="J1399" s="96" t="str">
        <f>IF(D1399="","",COUNTA(D1388:D1399)-(COUNTA(D1399:D1399)-1))</f>
        <v/>
      </c>
    </row>
    <row r="1400" spans="1:10" thickBot="1">
      <c r="A1400" s="117"/>
      <c r="B1400" s="70">
        <f t="shared" si="89"/>
        <v>45192</v>
      </c>
      <c r="C1400" s="82" t="str">
        <f t="shared" si="90"/>
        <v>samedi</v>
      </c>
      <c r="D1400" s="87"/>
      <c r="E1400" s="115" t="str">
        <f t="shared" si="91"/>
        <v/>
      </c>
      <c r="F1400" s="115" t="str">
        <f t="shared" si="92"/>
        <v/>
      </c>
      <c r="G1400" s="116" t="str">
        <f>IF(ISNONTEXT(D1400),"",E1400-MAX($F$2:F1399))</f>
        <v/>
      </c>
      <c r="H1400" s="97"/>
      <c r="I1400" s="74" t="str">
        <f ca="1">IF(D1400="N",COUNTIF(INDIRECT(ADDRESS(MATCH(Plages!$D$19,'Planning annuel mixing coater'!$B:$B),4)):D1400,"N"),IF(D1400="N1",COUNTIF($D$9:D1400,"N1"),""))</f>
        <v/>
      </c>
      <c r="J1400" s="96" t="str">
        <f>IF(D1400="","",COUNTA(D1388:D1400)-(COUNTA(D1400:D1400)-1))</f>
        <v/>
      </c>
    </row>
    <row r="1401" spans="1:10" s="77" customFormat="1" thickBot="1">
      <c r="A1401" s="117"/>
      <c r="B1401" s="75">
        <f t="shared" si="89"/>
        <v>45193</v>
      </c>
      <c r="C1401" s="83" t="str">
        <f t="shared" si="90"/>
        <v>dimanche</v>
      </c>
      <c r="D1401" s="88"/>
      <c r="E1401" s="115" t="str">
        <f t="shared" si="91"/>
        <v/>
      </c>
      <c r="F1401" s="115" t="str">
        <f t="shared" si="92"/>
        <v/>
      </c>
      <c r="G1401" s="116" t="str">
        <f>IF(ISNONTEXT(D1401),"",E1401-MAX($F$2:F1400))</f>
        <v/>
      </c>
      <c r="H1401" s="98"/>
      <c r="I1401" s="76" t="str">
        <f ca="1">IF(D1401="N",COUNTIF(INDIRECT(ADDRESS(MATCH(Plages!$D$19,'Planning annuel mixing coater'!$B:$B),4)):D1401,"N"),IF(D1401="N1",COUNTIF($D$9:D1401,"N1"),""))</f>
        <v/>
      </c>
      <c r="J1401" s="99" t="str">
        <f>IF(D1401="","",COUNTA(D1388:D1401)-(COUNTA(D1401:D1401)-1))</f>
        <v/>
      </c>
    </row>
    <row r="1402" spans="1:10" ht="16.5" thickTop="1" thickBot="1">
      <c r="A1402" s="117"/>
      <c r="B1402" s="78">
        <f t="shared" si="89"/>
        <v>45194</v>
      </c>
      <c r="C1402" s="81" t="str">
        <f t="shared" si="90"/>
        <v>lundi</v>
      </c>
      <c r="D1402" s="89"/>
      <c r="E1402" s="115" t="str">
        <f t="shared" si="91"/>
        <v/>
      </c>
      <c r="F1402" s="115" t="str">
        <f t="shared" si="92"/>
        <v/>
      </c>
      <c r="G1402" s="116" t="str">
        <f>IF(ISNONTEXT(D1402),"",E1402-MAX($F$2:F1401))</f>
        <v/>
      </c>
      <c r="H1402" s="100"/>
      <c r="I1402" s="79" t="str">
        <f ca="1">IF(D1402="N",COUNTIF(INDIRECT(ADDRESS(MATCH(Plages!$D$19,'Planning annuel mixing coater'!$B:$B),4)):D1402,"N"),IF(D1402="N1",COUNTIF($D$9:D1402,"N1"),""))</f>
        <v/>
      </c>
      <c r="J1402" s="101" t="str">
        <f>IF(D1402="","",COUNTA(D1402:D1402)-(COUNTA(D1402:D1402)-1))</f>
        <v/>
      </c>
    </row>
    <row r="1403" spans="1:10" thickBot="1">
      <c r="A1403" s="117"/>
      <c r="B1403" s="70">
        <f t="shared" si="89"/>
        <v>45195</v>
      </c>
      <c r="C1403" s="82" t="str">
        <f t="shared" si="90"/>
        <v>mardi</v>
      </c>
      <c r="D1403" s="87"/>
      <c r="E1403" s="115" t="str">
        <f t="shared" si="91"/>
        <v/>
      </c>
      <c r="F1403" s="115" t="str">
        <f t="shared" si="92"/>
        <v/>
      </c>
      <c r="G1403" s="116" t="str">
        <f>IF(ISNONTEXT(D1403),"",E1403-MAX($F$2:F1402))</f>
        <v/>
      </c>
      <c r="H1403" s="97"/>
      <c r="I1403" s="74" t="str">
        <f ca="1">IF(D1403="N",COUNTIF(INDIRECT(ADDRESS(MATCH(Plages!$D$19,'Planning annuel mixing coater'!$B:$B),4)):D1403,"N"),IF(D1403="N1",COUNTIF($D$9:D1403,"N1"),""))</f>
        <v/>
      </c>
      <c r="J1403" s="96" t="str">
        <f>IF(D1403="","",COUNTA(D1402:D1403)-(COUNTA(D1403:D1403)-1))</f>
        <v/>
      </c>
    </row>
    <row r="1404" spans="1:10" thickBot="1">
      <c r="A1404" s="117"/>
      <c r="B1404" s="70">
        <f t="shared" si="89"/>
        <v>45196</v>
      </c>
      <c r="C1404" s="82" t="str">
        <f t="shared" si="90"/>
        <v>mercredi</v>
      </c>
      <c r="D1404" s="87"/>
      <c r="E1404" s="115" t="str">
        <f t="shared" si="91"/>
        <v/>
      </c>
      <c r="F1404" s="115" t="str">
        <f t="shared" si="92"/>
        <v/>
      </c>
      <c r="G1404" s="116" t="str">
        <f>IF(ISNONTEXT(D1404),"",E1404-MAX($F$2:F1403))</f>
        <v/>
      </c>
      <c r="H1404" s="97"/>
      <c r="I1404" s="74" t="str">
        <f ca="1">IF(D1404="N",COUNTIF(INDIRECT(ADDRESS(MATCH(Plages!$D$19,'Planning annuel mixing coater'!$B:$B),4)):D1404,"N"),IF(D1404="N1",COUNTIF($D$9:D1404,"N1"),""))</f>
        <v/>
      </c>
      <c r="J1404" s="96" t="str">
        <f>IF(D1404="","",COUNTA(D1402:D1404)-(COUNTA(D1404:D1404)-1))</f>
        <v/>
      </c>
    </row>
    <row r="1405" spans="1:10" thickBot="1">
      <c r="A1405" s="117"/>
      <c r="B1405" s="70">
        <f t="shared" si="89"/>
        <v>45197</v>
      </c>
      <c r="C1405" s="82" t="str">
        <f t="shared" si="90"/>
        <v>jeudi</v>
      </c>
      <c r="D1405" s="87"/>
      <c r="E1405" s="115" t="str">
        <f t="shared" si="91"/>
        <v/>
      </c>
      <c r="F1405" s="115" t="str">
        <f t="shared" si="92"/>
        <v/>
      </c>
      <c r="G1405" s="116" t="str">
        <f>IF(ISNONTEXT(D1405),"",E1405-MAX($F$2:F1404))</f>
        <v/>
      </c>
      <c r="H1405" s="97"/>
      <c r="I1405" s="74" t="str">
        <f ca="1">IF(D1405="N",COUNTIF(INDIRECT(ADDRESS(MATCH(Plages!$D$19,'Planning annuel mixing coater'!$B:$B),4)):D1405,"N"),IF(D1405="N1",COUNTIF($D$9:D1405,"N1"),""))</f>
        <v/>
      </c>
      <c r="J1405" s="96" t="str">
        <f>IF(D1405="","",COUNTA(D1402:D1405)-(COUNTA(D1405:D1405)-1))</f>
        <v/>
      </c>
    </row>
    <row r="1406" spans="1:10" thickBot="1">
      <c r="A1406" s="117"/>
      <c r="B1406" s="70">
        <f t="shared" si="89"/>
        <v>45198</v>
      </c>
      <c r="C1406" s="82" t="str">
        <f t="shared" si="90"/>
        <v>vendredi</v>
      </c>
      <c r="D1406" s="87"/>
      <c r="E1406" s="115" t="str">
        <f t="shared" si="91"/>
        <v/>
      </c>
      <c r="F1406" s="115" t="str">
        <f t="shared" si="92"/>
        <v/>
      </c>
      <c r="G1406" s="116" t="str">
        <f>IF(ISNONTEXT(D1406),"",E1406-MAX($F$2:F1405))</f>
        <v/>
      </c>
      <c r="H1406" s="97"/>
      <c r="I1406" s="74" t="str">
        <f ca="1">IF(D1406="N",COUNTIF(INDIRECT(ADDRESS(MATCH(Plages!$D$19,'Planning annuel mixing coater'!$B:$B),4)):D1406,"N"),IF(D1406="N1",COUNTIF($D$9:D1406,"N1"),""))</f>
        <v/>
      </c>
      <c r="J1406" s="96" t="str">
        <f>IF(D1406="","",COUNTA(D1402:D1406)-(COUNTA(D1406:D1406)-1))</f>
        <v/>
      </c>
    </row>
    <row r="1407" spans="1:10" thickBot="1">
      <c r="A1407" s="117"/>
      <c r="B1407" s="70">
        <f t="shared" si="89"/>
        <v>45199</v>
      </c>
      <c r="C1407" s="82" t="str">
        <f t="shared" si="90"/>
        <v>samedi</v>
      </c>
      <c r="D1407" s="87"/>
      <c r="E1407" s="115" t="str">
        <f t="shared" si="91"/>
        <v/>
      </c>
      <c r="F1407" s="115" t="str">
        <f t="shared" si="92"/>
        <v/>
      </c>
      <c r="G1407" s="116" t="str">
        <f>IF(ISNONTEXT(D1407),"",E1407-MAX($F$2:F1406))</f>
        <v/>
      </c>
      <c r="H1407" s="97"/>
      <c r="I1407" s="74" t="str">
        <f ca="1">IF(D1407="N",COUNTIF(INDIRECT(ADDRESS(MATCH(Plages!$D$19,'Planning annuel mixing coater'!$B:$B),4)):D1407,"N"),IF(D1407="N1",COUNTIF($D$9:D1407,"N1"),""))</f>
        <v/>
      </c>
      <c r="J1407" s="96" t="str">
        <f>IF(D1407="","",COUNTA(D1402:D1407)-(COUNTA(D1407:D1407)-1))</f>
        <v/>
      </c>
    </row>
    <row r="1408" spans="1:10" thickBot="1">
      <c r="A1408" s="117"/>
      <c r="B1408" s="70">
        <f t="shared" si="89"/>
        <v>45200</v>
      </c>
      <c r="C1408" s="82" t="str">
        <f t="shared" si="90"/>
        <v>dimanche</v>
      </c>
      <c r="D1408" s="87"/>
      <c r="E1408" s="115" t="str">
        <f t="shared" si="91"/>
        <v/>
      </c>
      <c r="F1408" s="115" t="str">
        <f t="shared" si="92"/>
        <v/>
      </c>
      <c r="G1408" s="116" t="str">
        <f>IF(ISNONTEXT(D1408),"",E1408-MAX($F$2:F1407))</f>
        <v/>
      </c>
      <c r="H1408" s="98"/>
      <c r="I1408" s="74" t="str">
        <f ca="1">IF(D1408="N",COUNTIF(INDIRECT(ADDRESS(MATCH(Plages!$D$19,'Planning annuel mixing coater'!$B:$B),4)):D1408,"N"),IF(D1408="N1",COUNTIF($D$9:D1408,"N1"),""))</f>
        <v/>
      </c>
      <c r="J1408" s="96" t="str">
        <f>IF(D1408="","",COUNTA(D1402:D1408)-(COUNTA(D1408:D1408)-1))</f>
        <v/>
      </c>
    </row>
    <row r="1409" spans="1:10" thickBot="1">
      <c r="A1409" s="117"/>
      <c r="B1409" s="70">
        <f t="shared" si="89"/>
        <v>45201</v>
      </c>
      <c r="C1409" s="82" t="str">
        <f t="shared" si="90"/>
        <v>lundi</v>
      </c>
      <c r="D1409" s="87"/>
      <c r="E1409" s="115" t="str">
        <f t="shared" si="91"/>
        <v/>
      </c>
      <c r="F1409" s="115" t="str">
        <f t="shared" si="92"/>
        <v/>
      </c>
      <c r="G1409" s="116" t="str">
        <f>IF(ISNONTEXT(D1409),"",E1409-MAX($F$2:F1408))</f>
        <v/>
      </c>
      <c r="H1409" s="97"/>
      <c r="I1409" s="74" t="str">
        <f ca="1">IF(D1409="N",COUNTIF(INDIRECT(ADDRESS(MATCH(Plages!$D$19,'Planning annuel mixing coater'!$B:$B),4)):D1409,"N"),IF(D1409="N1",COUNTIF($D$9:D1409,"N1"),""))</f>
        <v/>
      </c>
      <c r="J1409" s="96" t="str">
        <f>IF(D1409="","",COUNTA(D1402:D1409)-(COUNTA(D1409:D1409)-1))</f>
        <v/>
      </c>
    </row>
    <row r="1410" spans="1:10" thickBot="1">
      <c r="A1410" s="117"/>
      <c r="B1410" s="70">
        <f t="shared" si="89"/>
        <v>45202</v>
      </c>
      <c r="C1410" s="82" t="str">
        <f t="shared" si="90"/>
        <v>mardi</v>
      </c>
      <c r="D1410" s="87"/>
      <c r="E1410" s="115" t="str">
        <f t="shared" si="91"/>
        <v/>
      </c>
      <c r="F1410" s="115" t="str">
        <f t="shared" si="92"/>
        <v/>
      </c>
      <c r="G1410" s="116" t="str">
        <f>IF(ISNONTEXT(D1410),"",E1410-MAX($F$2:F1409))</f>
        <v/>
      </c>
      <c r="H1410" s="97"/>
      <c r="I1410" s="74" t="str">
        <f ca="1">IF(D1410="N",COUNTIF(INDIRECT(ADDRESS(MATCH(Plages!$D$19,'Planning annuel mixing coater'!$B:$B),4)):D1410,"N"),IF(D1410="N1",COUNTIF($D$9:D1410,"N1"),""))</f>
        <v/>
      </c>
      <c r="J1410" s="96" t="str">
        <f>IF(D1410="","",COUNTA(D1402:D1410)-(COUNTA(D1410:D1410)-1))</f>
        <v/>
      </c>
    </row>
    <row r="1411" spans="1:10" thickBot="1">
      <c r="A1411" s="117"/>
      <c r="B1411" s="70">
        <f t="shared" si="89"/>
        <v>45203</v>
      </c>
      <c r="C1411" s="82" t="str">
        <f t="shared" si="90"/>
        <v>mercredi</v>
      </c>
      <c r="D1411" s="87"/>
      <c r="E1411" s="115" t="str">
        <f t="shared" si="91"/>
        <v/>
      </c>
      <c r="F1411" s="115" t="str">
        <f t="shared" si="92"/>
        <v/>
      </c>
      <c r="G1411" s="116" t="str">
        <f>IF(ISNONTEXT(D1411),"",E1411-MAX($F$2:F1410))</f>
        <v/>
      </c>
      <c r="H1411" s="97"/>
      <c r="I1411" s="74" t="str">
        <f ca="1">IF(D1411="N",COUNTIF(INDIRECT(ADDRESS(MATCH(Plages!$D$19,'Planning annuel mixing coater'!$B:$B),4)):D1411,"N"),IF(D1411="N1",COUNTIF($D$9:D1411,"N1"),""))</f>
        <v/>
      </c>
      <c r="J1411" s="96" t="str">
        <f>IF(D1411="","",COUNTA(D1402:D1411)-(COUNTA(D1411:D1411)-1))</f>
        <v/>
      </c>
    </row>
    <row r="1412" spans="1:10" thickBot="1">
      <c r="A1412" s="117"/>
      <c r="B1412" s="70">
        <f t="shared" ref="B1412:B1475" si="93">IF(B1411="","",B1411+1)</f>
        <v>45204</v>
      </c>
      <c r="C1412" s="82" t="str">
        <f t="shared" si="90"/>
        <v>jeudi</v>
      </c>
      <c r="D1412" s="87"/>
      <c r="E1412" s="115" t="str">
        <f t="shared" si="91"/>
        <v/>
      </c>
      <c r="F1412" s="115" t="str">
        <f t="shared" si="92"/>
        <v/>
      </c>
      <c r="G1412" s="116" t="str">
        <f>IF(ISNONTEXT(D1412),"",E1412-MAX($F$2:F1411))</f>
        <v/>
      </c>
      <c r="H1412" s="97"/>
      <c r="I1412" s="74" t="str">
        <f ca="1">IF(D1412="N",COUNTIF(INDIRECT(ADDRESS(MATCH(Plages!$D$19,'Planning annuel mixing coater'!$B:$B),4)):D1412,"N"),IF(D1412="N1",COUNTIF($D$9:D1412,"N1"),""))</f>
        <v/>
      </c>
      <c r="J1412" s="96" t="str">
        <f>IF(D1412="","",COUNTA(D1402:D1412)-(COUNTA(D1412:D1412)-1))</f>
        <v/>
      </c>
    </row>
    <row r="1413" spans="1:10" thickBot="1">
      <c r="A1413" s="117"/>
      <c r="B1413" s="70">
        <f t="shared" si="93"/>
        <v>45205</v>
      </c>
      <c r="C1413" s="82" t="str">
        <f t="shared" si="90"/>
        <v>vendredi</v>
      </c>
      <c r="D1413" s="87"/>
      <c r="E1413" s="115" t="str">
        <f t="shared" si="91"/>
        <v/>
      </c>
      <c r="F1413" s="115" t="str">
        <f t="shared" si="92"/>
        <v/>
      </c>
      <c r="G1413" s="116" t="str">
        <f>IF(ISNONTEXT(D1413),"",E1413-MAX($F$2:F1412))</f>
        <v/>
      </c>
      <c r="H1413" s="97"/>
      <c r="I1413" s="74" t="str">
        <f ca="1">IF(D1413="N",COUNTIF(INDIRECT(ADDRESS(MATCH(Plages!$D$19,'Planning annuel mixing coater'!$B:$B),4)):D1413,"N"),IF(D1413="N1",COUNTIF($D$9:D1413,"N1"),""))</f>
        <v/>
      </c>
      <c r="J1413" s="96" t="str">
        <f>IF(D1413="","",COUNTA(D1402:D1413)-(COUNTA(D1413:D1413)-1))</f>
        <v/>
      </c>
    </row>
    <row r="1414" spans="1:10" thickBot="1">
      <c r="A1414" s="117"/>
      <c r="B1414" s="70">
        <f t="shared" si="93"/>
        <v>45206</v>
      </c>
      <c r="C1414" s="82" t="str">
        <f t="shared" si="90"/>
        <v>samedi</v>
      </c>
      <c r="D1414" s="87"/>
      <c r="E1414" s="115" t="str">
        <f t="shared" si="91"/>
        <v/>
      </c>
      <c r="F1414" s="115" t="str">
        <f t="shared" si="92"/>
        <v/>
      </c>
      <c r="G1414" s="116" t="str">
        <f>IF(ISNONTEXT(D1414),"",E1414-MAX($F$2:F1413))</f>
        <v/>
      </c>
      <c r="H1414" s="97"/>
      <c r="I1414" s="74" t="str">
        <f ca="1">IF(D1414="N",COUNTIF(INDIRECT(ADDRESS(MATCH(Plages!$D$19,'Planning annuel mixing coater'!$B:$B),4)):D1414,"N"),IF(D1414="N1",COUNTIF($D$9:D1414,"N1"),""))</f>
        <v/>
      </c>
      <c r="J1414" s="96" t="str">
        <f>IF(D1414="","",COUNTA(D1402:D1414)-(COUNTA(D1414:D1414)-1))</f>
        <v/>
      </c>
    </row>
    <row r="1415" spans="1:10" s="77" customFormat="1" thickBot="1">
      <c r="A1415" s="117"/>
      <c r="B1415" s="75">
        <f t="shared" si="93"/>
        <v>45207</v>
      </c>
      <c r="C1415" s="83" t="str">
        <f t="shared" si="90"/>
        <v>dimanche</v>
      </c>
      <c r="D1415" s="88"/>
      <c r="E1415" s="115" t="str">
        <f t="shared" si="91"/>
        <v/>
      </c>
      <c r="F1415" s="115" t="str">
        <f t="shared" si="92"/>
        <v/>
      </c>
      <c r="G1415" s="116" t="str">
        <f>IF(ISNONTEXT(D1415),"",E1415-MAX($F$2:F1414))</f>
        <v/>
      </c>
      <c r="H1415" s="98"/>
      <c r="I1415" s="76" t="str">
        <f ca="1">IF(D1415="N",COUNTIF(INDIRECT(ADDRESS(MATCH(Plages!$D$19,'Planning annuel mixing coater'!$B:$B),4)):D1415,"N"),IF(D1415="N1",COUNTIF($D$9:D1415,"N1"),""))</f>
        <v/>
      </c>
      <c r="J1415" s="99" t="str">
        <f>IF(D1415="","",COUNTA(D1402:D1415)-(COUNTA(D1415:D1415)-1))</f>
        <v/>
      </c>
    </row>
    <row r="1416" spans="1:10" ht="16.5" thickTop="1" thickBot="1">
      <c r="A1416" s="117"/>
      <c r="B1416" s="78">
        <f t="shared" si="93"/>
        <v>45208</v>
      </c>
      <c r="C1416" s="81" t="str">
        <f t="shared" si="90"/>
        <v>lundi</v>
      </c>
      <c r="D1416" s="89"/>
      <c r="E1416" s="115" t="str">
        <f t="shared" si="91"/>
        <v/>
      </c>
      <c r="F1416" s="115" t="str">
        <f t="shared" si="92"/>
        <v/>
      </c>
      <c r="G1416" s="116" t="str">
        <f>IF(ISNONTEXT(D1416),"",E1416-MAX($F$2:F1415))</f>
        <v/>
      </c>
      <c r="H1416" s="100"/>
      <c r="I1416" s="79" t="str">
        <f ca="1">IF(D1416="N",COUNTIF(INDIRECT(ADDRESS(MATCH(Plages!$D$19,'Planning annuel mixing coater'!$B:$B),4)):D1416,"N"),IF(D1416="N1",COUNTIF($D$9:D1416,"N1"),""))</f>
        <v/>
      </c>
      <c r="J1416" s="101" t="str">
        <f>IF(D1416="","",COUNTA(D1416:D1416)-(COUNTA(D1416:D1416)-1))</f>
        <v/>
      </c>
    </row>
    <row r="1417" spans="1:10" thickBot="1">
      <c r="A1417" s="117"/>
      <c r="B1417" s="70">
        <f t="shared" si="93"/>
        <v>45209</v>
      </c>
      <c r="C1417" s="82" t="str">
        <f t="shared" si="90"/>
        <v>mardi</v>
      </c>
      <c r="D1417" s="87"/>
      <c r="E1417" s="115" t="str">
        <f t="shared" si="91"/>
        <v/>
      </c>
      <c r="F1417" s="115" t="str">
        <f t="shared" si="92"/>
        <v/>
      </c>
      <c r="G1417" s="116" t="str">
        <f>IF(ISNONTEXT(D1417),"",E1417-MAX($F$2:F1416))</f>
        <v/>
      </c>
      <c r="H1417" s="97"/>
      <c r="I1417" s="74" t="str">
        <f ca="1">IF(D1417="N",COUNTIF(INDIRECT(ADDRESS(MATCH(Plages!$D$19,'Planning annuel mixing coater'!$B:$B),4)):D1417,"N"),IF(D1417="N1",COUNTIF($D$9:D1417,"N1"),""))</f>
        <v/>
      </c>
      <c r="J1417" s="96" t="str">
        <f>IF(D1417="","",COUNTA(D1416:D1417)-(COUNTA(D1417:D1417)-1))</f>
        <v/>
      </c>
    </row>
    <row r="1418" spans="1:10" thickBot="1">
      <c r="A1418" s="117"/>
      <c r="B1418" s="70">
        <f t="shared" si="93"/>
        <v>45210</v>
      </c>
      <c r="C1418" s="82" t="str">
        <f t="shared" si="90"/>
        <v>mercredi</v>
      </c>
      <c r="D1418" s="87"/>
      <c r="E1418" s="115" t="str">
        <f t="shared" si="91"/>
        <v/>
      </c>
      <c r="F1418" s="115" t="str">
        <f t="shared" si="92"/>
        <v/>
      </c>
      <c r="G1418" s="116" t="str">
        <f>IF(ISNONTEXT(D1418),"",E1418-MAX($F$2:F1417))</f>
        <v/>
      </c>
      <c r="H1418" s="97"/>
      <c r="I1418" s="74" t="str">
        <f ca="1">IF(D1418="N",COUNTIF(INDIRECT(ADDRESS(MATCH(Plages!$D$19,'Planning annuel mixing coater'!$B:$B),4)):D1418,"N"),IF(D1418="N1",COUNTIF($D$9:D1418,"N1"),""))</f>
        <v/>
      </c>
      <c r="J1418" s="96" t="str">
        <f>IF(D1418="","",COUNTA(D1416:D1418)-(COUNTA(D1418:D1418)-1))</f>
        <v/>
      </c>
    </row>
    <row r="1419" spans="1:10" thickBot="1">
      <c r="A1419" s="117"/>
      <c r="B1419" s="70">
        <f t="shared" si="93"/>
        <v>45211</v>
      </c>
      <c r="C1419" s="82" t="str">
        <f t="shared" si="90"/>
        <v>jeudi</v>
      </c>
      <c r="D1419" s="87"/>
      <c r="E1419" s="115" t="str">
        <f t="shared" si="91"/>
        <v/>
      </c>
      <c r="F1419" s="115" t="str">
        <f t="shared" si="92"/>
        <v/>
      </c>
      <c r="G1419" s="116" t="str">
        <f>IF(ISNONTEXT(D1419),"",E1419-MAX($F$2:F1418))</f>
        <v/>
      </c>
      <c r="H1419" s="97"/>
      <c r="I1419" s="74" t="str">
        <f ca="1">IF(D1419="N",COUNTIF(INDIRECT(ADDRESS(MATCH(Plages!$D$19,'Planning annuel mixing coater'!$B:$B),4)):D1419,"N"),IF(D1419="N1",COUNTIF($D$9:D1419,"N1"),""))</f>
        <v/>
      </c>
      <c r="J1419" s="96" t="str">
        <f>IF(D1419="","",COUNTA(D1416:D1419)-(COUNTA(D1419:D1419)-1))</f>
        <v/>
      </c>
    </row>
    <row r="1420" spans="1:10" thickBot="1">
      <c r="A1420" s="117"/>
      <c r="B1420" s="70">
        <f t="shared" si="93"/>
        <v>45212</v>
      </c>
      <c r="C1420" s="82" t="str">
        <f t="shared" si="90"/>
        <v>vendredi</v>
      </c>
      <c r="D1420" s="87"/>
      <c r="E1420" s="115" t="str">
        <f t="shared" si="91"/>
        <v/>
      </c>
      <c r="F1420" s="115" t="str">
        <f t="shared" si="92"/>
        <v/>
      </c>
      <c r="G1420" s="116" t="str">
        <f>IF(ISNONTEXT(D1420),"",E1420-MAX($F$2:F1419))</f>
        <v/>
      </c>
      <c r="H1420" s="97"/>
      <c r="I1420" s="74" t="str">
        <f ca="1">IF(D1420="N",COUNTIF(INDIRECT(ADDRESS(MATCH(Plages!$D$19,'Planning annuel mixing coater'!$B:$B),4)):D1420,"N"),IF(D1420="N1",COUNTIF($D$9:D1420,"N1"),""))</f>
        <v/>
      </c>
      <c r="J1420" s="96" t="str">
        <f>IF(D1420="","",COUNTA(D1416:D1420)-(COUNTA(D1420:D1420)-1))</f>
        <v/>
      </c>
    </row>
    <row r="1421" spans="1:10" thickBot="1">
      <c r="A1421" s="117"/>
      <c r="B1421" s="70">
        <f t="shared" si="93"/>
        <v>45213</v>
      </c>
      <c r="C1421" s="82" t="str">
        <f t="shared" si="90"/>
        <v>samedi</v>
      </c>
      <c r="D1421" s="87"/>
      <c r="E1421" s="115" t="str">
        <f t="shared" si="91"/>
        <v/>
      </c>
      <c r="F1421" s="115" t="str">
        <f t="shared" si="92"/>
        <v/>
      </c>
      <c r="G1421" s="116" t="str">
        <f>IF(ISNONTEXT(D1421),"",E1421-MAX($F$2:F1420))</f>
        <v/>
      </c>
      <c r="H1421" s="97"/>
      <c r="I1421" s="74" t="str">
        <f ca="1">IF(D1421="N",COUNTIF(INDIRECT(ADDRESS(MATCH(Plages!$D$19,'Planning annuel mixing coater'!$B:$B),4)):D1421,"N"),IF(D1421="N1",COUNTIF($D$9:D1421,"N1"),""))</f>
        <v/>
      </c>
      <c r="J1421" s="96" t="str">
        <f>IF(D1421="","",COUNTA(D1416:D1421)-(COUNTA(D1421:D1421)-1))</f>
        <v/>
      </c>
    </row>
    <row r="1422" spans="1:10" thickBot="1">
      <c r="A1422" s="117"/>
      <c r="B1422" s="70">
        <f t="shared" si="93"/>
        <v>45214</v>
      </c>
      <c r="C1422" s="82" t="str">
        <f t="shared" si="90"/>
        <v>dimanche</v>
      </c>
      <c r="D1422" s="87"/>
      <c r="E1422" s="115" t="str">
        <f t="shared" si="91"/>
        <v/>
      </c>
      <c r="F1422" s="115" t="str">
        <f t="shared" si="92"/>
        <v/>
      </c>
      <c r="G1422" s="116" t="str">
        <f>IF(ISNONTEXT(D1422),"",E1422-MAX($F$2:F1421))</f>
        <v/>
      </c>
      <c r="H1422" s="98"/>
      <c r="I1422" s="74" t="str">
        <f ca="1">IF(D1422="N",COUNTIF(INDIRECT(ADDRESS(MATCH(Plages!$D$19,'Planning annuel mixing coater'!$B:$B),4)):D1422,"N"),IF(D1422="N1",COUNTIF($D$9:D1422,"N1"),""))</f>
        <v/>
      </c>
      <c r="J1422" s="96" t="str">
        <f>IF(D1422="","",COUNTA(D1416:D1422)-(COUNTA(D1422:D1422)-1))</f>
        <v/>
      </c>
    </row>
    <row r="1423" spans="1:10" thickBot="1">
      <c r="A1423" s="117"/>
      <c r="B1423" s="70">
        <f t="shared" si="93"/>
        <v>45215</v>
      </c>
      <c r="C1423" s="82" t="str">
        <f t="shared" si="90"/>
        <v>lundi</v>
      </c>
      <c r="D1423" s="87"/>
      <c r="E1423" s="115" t="str">
        <f t="shared" si="91"/>
        <v/>
      </c>
      <c r="F1423" s="115" t="str">
        <f t="shared" si="92"/>
        <v/>
      </c>
      <c r="G1423" s="116" t="str">
        <f>IF(ISNONTEXT(D1423),"",E1423-MAX($F$2:F1422))</f>
        <v/>
      </c>
      <c r="H1423" s="97"/>
      <c r="I1423" s="74" t="str">
        <f ca="1">IF(D1423="N",COUNTIF(INDIRECT(ADDRESS(MATCH(Plages!$D$19,'Planning annuel mixing coater'!$B:$B),4)):D1423,"N"),IF(D1423="N1",COUNTIF($D$9:D1423,"N1"),""))</f>
        <v/>
      </c>
      <c r="J1423" s="96" t="str">
        <f>IF(D1423="","",COUNTA(D1416:D1423)-(COUNTA(D1423:D1423)-1))</f>
        <v/>
      </c>
    </row>
    <row r="1424" spans="1:10" thickBot="1">
      <c r="A1424" s="117"/>
      <c r="B1424" s="70">
        <f t="shared" si="93"/>
        <v>45216</v>
      </c>
      <c r="C1424" s="82" t="str">
        <f t="shared" si="90"/>
        <v>mardi</v>
      </c>
      <c r="D1424" s="87"/>
      <c r="E1424" s="115" t="str">
        <f t="shared" si="91"/>
        <v/>
      </c>
      <c r="F1424" s="115" t="str">
        <f t="shared" si="92"/>
        <v/>
      </c>
      <c r="G1424" s="116" t="str">
        <f>IF(ISNONTEXT(D1424),"",E1424-MAX($F$2:F1423))</f>
        <v/>
      </c>
      <c r="H1424" s="97"/>
      <c r="I1424" s="74" t="str">
        <f ca="1">IF(D1424="N",COUNTIF(INDIRECT(ADDRESS(MATCH(Plages!$D$19,'Planning annuel mixing coater'!$B:$B),4)):D1424,"N"),IF(D1424="N1",COUNTIF($D$9:D1424,"N1"),""))</f>
        <v/>
      </c>
      <c r="J1424" s="96" t="str">
        <f>IF(D1424="","",COUNTA(D1416:D1424)-(COUNTA(D1424:D1424)-1))</f>
        <v/>
      </c>
    </row>
    <row r="1425" spans="1:10" thickBot="1">
      <c r="A1425" s="117"/>
      <c r="B1425" s="70">
        <f t="shared" si="93"/>
        <v>45217</v>
      </c>
      <c r="C1425" s="82" t="str">
        <f t="shared" si="90"/>
        <v>mercredi</v>
      </c>
      <c r="D1425" s="87"/>
      <c r="E1425" s="115" t="str">
        <f t="shared" si="91"/>
        <v/>
      </c>
      <c r="F1425" s="115" t="str">
        <f t="shared" si="92"/>
        <v/>
      </c>
      <c r="G1425" s="116" t="str">
        <f>IF(ISNONTEXT(D1425),"",E1425-MAX($F$2:F1424))</f>
        <v/>
      </c>
      <c r="H1425" s="97"/>
      <c r="I1425" s="74" t="str">
        <f ca="1">IF(D1425="N",COUNTIF(INDIRECT(ADDRESS(MATCH(Plages!$D$19,'Planning annuel mixing coater'!$B:$B),4)):D1425,"N"),IF(D1425="N1",COUNTIF($D$9:D1425,"N1"),""))</f>
        <v/>
      </c>
      <c r="J1425" s="96" t="str">
        <f>IF(D1425="","",COUNTA(D1416:D1425)-(COUNTA(D1425:D1425)-1))</f>
        <v/>
      </c>
    </row>
    <row r="1426" spans="1:10" thickBot="1">
      <c r="A1426" s="117"/>
      <c r="B1426" s="70">
        <f t="shared" si="93"/>
        <v>45218</v>
      </c>
      <c r="C1426" s="82" t="str">
        <f t="shared" si="90"/>
        <v>jeudi</v>
      </c>
      <c r="D1426" s="87"/>
      <c r="E1426" s="115" t="str">
        <f t="shared" si="91"/>
        <v/>
      </c>
      <c r="F1426" s="115" t="str">
        <f t="shared" si="92"/>
        <v/>
      </c>
      <c r="G1426" s="116" t="str">
        <f>IF(ISNONTEXT(D1426),"",E1426-MAX($F$2:F1425))</f>
        <v/>
      </c>
      <c r="H1426" s="97"/>
      <c r="I1426" s="74" t="str">
        <f ca="1">IF(D1426="N",COUNTIF(INDIRECT(ADDRESS(MATCH(Plages!$D$19,'Planning annuel mixing coater'!$B:$B),4)):D1426,"N"),IF(D1426="N1",COUNTIF($D$9:D1426,"N1"),""))</f>
        <v/>
      </c>
      <c r="J1426" s="96" t="str">
        <f>IF(D1426="","",COUNTA(D1416:D1426)-(COUNTA(D1426:D1426)-1))</f>
        <v/>
      </c>
    </row>
    <row r="1427" spans="1:10" thickBot="1">
      <c r="A1427" s="117"/>
      <c r="B1427" s="70">
        <f t="shared" si="93"/>
        <v>45219</v>
      </c>
      <c r="C1427" s="82" t="str">
        <f t="shared" si="90"/>
        <v>vendredi</v>
      </c>
      <c r="D1427" s="87"/>
      <c r="E1427" s="115" t="str">
        <f t="shared" si="91"/>
        <v/>
      </c>
      <c r="F1427" s="115" t="str">
        <f t="shared" si="92"/>
        <v/>
      </c>
      <c r="G1427" s="116" t="str">
        <f>IF(ISNONTEXT(D1427),"",E1427-MAX($F$2:F1426))</f>
        <v/>
      </c>
      <c r="H1427" s="97"/>
      <c r="I1427" s="74" t="str">
        <f ca="1">IF(D1427="N",COUNTIF(INDIRECT(ADDRESS(MATCH(Plages!$D$19,'Planning annuel mixing coater'!$B:$B),4)):D1427,"N"),IF(D1427="N1",COUNTIF($D$9:D1427,"N1"),""))</f>
        <v/>
      </c>
      <c r="J1427" s="96" t="str">
        <f>IF(D1427="","",COUNTA(D1416:D1427)-(COUNTA(D1427:D1427)-1))</f>
        <v/>
      </c>
    </row>
    <row r="1428" spans="1:10" thickBot="1">
      <c r="A1428" s="117"/>
      <c r="B1428" s="70">
        <f t="shared" si="93"/>
        <v>45220</v>
      </c>
      <c r="C1428" s="82" t="str">
        <f t="shared" si="90"/>
        <v>samedi</v>
      </c>
      <c r="D1428" s="87"/>
      <c r="E1428" s="115" t="str">
        <f t="shared" si="91"/>
        <v/>
      </c>
      <c r="F1428" s="115" t="str">
        <f t="shared" si="92"/>
        <v/>
      </c>
      <c r="G1428" s="116" t="str">
        <f>IF(ISNONTEXT(D1428),"",E1428-MAX($F$2:F1427))</f>
        <v/>
      </c>
      <c r="H1428" s="97"/>
      <c r="I1428" s="74" t="str">
        <f ca="1">IF(D1428="N",COUNTIF(INDIRECT(ADDRESS(MATCH(Plages!$D$19,'Planning annuel mixing coater'!$B:$B),4)):D1428,"N"),IF(D1428="N1",COUNTIF($D$9:D1428,"N1"),""))</f>
        <v/>
      </c>
      <c r="J1428" s="96" t="str">
        <f>IF(D1428="","",COUNTA(D1416:D1428)-(COUNTA(D1428:D1428)-1))</f>
        <v/>
      </c>
    </row>
    <row r="1429" spans="1:10" s="77" customFormat="1" thickBot="1">
      <c r="A1429" s="117"/>
      <c r="B1429" s="75">
        <f t="shared" si="93"/>
        <v>45221</v>
      </c>
      <c r="C1429" s="83" t="str">
        <f t="shared" si="90"/>
        <v>dimanche</v>
      </c>
      <c r="D1429" s="88"/>
      <c r="E1429" s="115" t="str">
        <f t="shared" si="91"/>
        <v/>
      </c>
      <c r="F1429" s="115" t="str">
        <f t="shared" si="92"/>
        <v/>
      </c>
      <c r="G1429" s="116" t="str">
        <f>IF(ISNONTEXT(D1429),"",E1429-MAX($F$2:F1428))</f>
        <v/>
      </c>
      <c r="H1429" s="98"/>
      <c r="I1429" s="76" t="str">
        <f ca="1">IF(D1429="N",COUNTIF(INDIRECT(ADDRESS(MATCH(Plages!$D$19,'Planning annuel mixing coater'!$B:$B),4)):D1429,"N"),IF(D1429="N1",COUNTIF($D$9:D1429,"N1"),""))</f>
        <v/>
      </c>
      <c r="J1429" s="99" t="str">
        <f>IF(D1429="","",COUNTA(D1416:D1429)-(COUNTA(D1429:D1429)-1))</f>
        <v/>
      </c>
    </row>
    <row r="1430" spans="1:10" ht="16.5" thickTop="1" thickBot="1">
      <c r="A1430" s="117"/>
      <c r="B1430" s="78">
        <f t="shared" si="93"/>
        <v>45222</v>
      </c>
      <c r="C1430" s="81" t="str">
        <f t="shared" si="90"/>
        <v>lundi</v>
      </c>
      <c r="D1430" s="89"/>
      <c r="E1430" s="115" t="str">
        <f t="shared" si="91"/>
        <v/>
      </c>
      <c r="F1430" s="115" t="str">
        <f t="shared" si="92"/>
        <v/>
      </c>
      <c r="G1430" s="116" t="str">
        <f>IF(ISNONTEXT(D1430),"",E1430-MAX($F$2:F1429))</f>
        <v/>
      </c>
      <c r="H1430" s="100"/>
      <c r="I1430" s="79" t="str">
        <f ca="1">IF(D1430="N",COUNTIF(INDIRECT(ADDRESS(MATCH(Plages!$D$19,'Planning annuel mixing coater'!$B:$B),4)):D1430,"N"),IF(D1430="N1",COUNTIF($D$9:D1430,"N1"),""))</f>
        <v/>
      </c>
      <c r="J1430" s="101" t="str">
        <f>IF(D1430="","",COUNTA(D1430:D1430)-(COUNTA(D1430:D1430)-1))</f>
        <v/>
      </c>
    </row>
    <row r="1431" spans="1:10" thickBot="1">
      <c r="A1431" s="117"/>
      <c r="B1431" s="70">
        <f t="shared" si="93"/>
        <v>45223</v>
      </c>
      <c r="C1431" s="82" t="str">
        <f t="shared" si="90"/>
        <v>mardi</v>
      </c>
      <c r="D1431" s="87"/>
      <c r="E1431" s="115" t="str">
        <f t="shared" si="91"/>
        <v/>
      </c>
      <c r="F1431" s="115" t="str">
        <f t="shared" si="92"/>
        <v/>
      </c>
      <c r="G1431" s="116" t="str">
        <f>IF(ISNONTEXT(D1431),"",E1431-MAX($F$2:F1430))</f>
        <v/>
      </c>
      <c r="H1431" s="97"/>
      <c r="I1431" s="74" t="str">
        <f ca="1">IF(D1431="N",COUNTIF(INDIRECT(ADDRESS(MATCH(Plages!$D$19,'Planning annuel mixing coater'!$B:$B),4)):D1431,"N"),IF(D1431="N1",COUNTIF($D$9:D1431,"N1"),""))</f>
        <v/>
      </c>
      <c r="J1431" s="96" t="str">
        <f>IF(D1431="","",COUNTA(D1430:D1431)-(COUNTA(D1431:D1431)-1))</f>
        <v/>
      </c>
    </row>
    <row r="1432" spans="1:10" thickBot="1">
      <c r="A1432" s="117"/>
      <c r="B1432" s="70">
        <f t="shared" si="93"/>
        <v>45224</v>
      </c>
      <c r="C1432" s="82" t="str">
        <f t="shared" si="90"/>
        <v>mercredi</v>
      </c>
      <c r="D1432" s="87"/>
      <c r="E1432" s="115" t="str">
        <f t="shared" si="91"/>
        <v/>
      </c>
      <c r="F1432" s="115" t="str">
        <f t="shared" si="92"/>
        <v/>
      </c>
      <c r="G1432" s="116" t="str">
        <f>IF(ISNONTEXT(D1432),"",E1432-MAX($F$2:F1431))</f>
        <v/>
      </c>
      <c r="H1432" s="97"/>
      <c r="I1432" s="74" t="str">
        <f ca="1">IF(D1432="N",COUNTIF(INDIRECT(ADDRESS(MATCH(Plages!$D$19,'Planning annuel mixing coater'!$B:$B),4)):D1432,"N"),IF(D1432="N1",COUNTIF($D$9:D1432,"N1"),""))</f>
        <v/>
      </c>
      <c r="J1432" s="96" t="str">
        <f>IF(D1432="","",COUNTA(D1430:D1432)-(COUNTA(D1432:D1432)-1))</f>
        <v/>
      </c>
    </row>
    <row r="1433" spans="1:10" thickBot="1">
      <c r="A1433" s="117"/>
      <c r="B1433" s="70">
        <f t="shared" si="93"/>
        <v>45225</v>
      </c>
      <c r="C1433" s="82" t="str">
        <f t="shared" si="90"/>
        <v>jeudi</v>
      </c>
      <c r="D1433" s="87"/>
      <c r="E1433" s="115" t="str">
        <f t="shared" si="91"/>
        <v/>
      </c>
      <c r="F1433" s="115" t="str">
        <f t="shared" si="92"/>
        <v/>
      </c>
      <c r="G1433" s="116" t="str">
        <f>IF(ISNONTEXT(D1433),"",E1433-MAX($F$2:F1432))</f>
        <v/>
      </c>
      <c r="H1433" s="97"/>
      <c r="I1433" s="74" t="str">
        <f ca="1">IF(D1433="N",COUNTIF(INDIRECT(ADDRESS(MATCH(Plages!$D$19,'Planning annuel mixing coater'!$B:$B),4)):D1433,"N"),IF(D1433="N1",COUNTIF($D$9:D1433,"N1"),""))</f>
        <v/>
      </c>
      <c r="J1433" s="96" t="str">
        <f>IF(D1433="","",COUNTA(D1430:D1433)-(COUNTA(D1433:D1433)-1))</f>
        <v/>
      </c>
    </row>
    <row r="1434" spans="1:10" thickBot="1">
      <c r="A1434" s="117"/>
      <c r="B1434" s="70">
        <f t="shared" si="93"/>
        <v>45226</v>
      </c>
      <c r="C1434" s="82" t="str">
        <f t="shared" si="90"/>
        <v>vendredi</v>
      </c>
      <c r="D1434" s="87"/>
      <c r="E1434" s="115" t="str">
        <f t="shared" si="91"/>
        <v/>
      </c>
      <c r="F1434" s="115" t="str">
        <f t="shared" si="92"/>
        <v/>
      </c>
      <c r="G1434" s="116" t="str">
        <f>IF(ISNONTEXT(D1434),"",E1434-MAX($F$2:F1433))</f>
        <v/>
      </c>
      <c r="H1434" s="97"/>
      <c r="I1434" s="74" t="str">
        <f ca="1">IF(D1434="N",COUNTIF(INDIRECT(ADDRESS(MATCH(Plages!$D$19,'Planning annuel mixing coater'!$B:$B),4)):D1434,"N"),IF(D1434="N1",COUNTIF($D$9:D1434,"N1"),""))</f>
        <v/>
      </c>
      <c r="J1434" s="96" t="str">
        <f>IF(D1434="","",COUNTA(D1430:D1434)-(COUNTA(D1434:D1434)-1))</f>
        <v/>
      </c>
    </row>
    <row r="1435" spans="1:10" thickBot="1">
      <c r="A1435" s="117"/>
      <c r="B1435" s="70">
        <f t="shared" si="93"/>
        <v>45227</v>
      </c>
      <c r="C1435" s="82" t="str">
        <f t="shared" si="90"/>
        <v>samedi</v>
      </c>
      <c r="D1435" s="87"/>
      <c r="E1435" s="115" t="str">
        <f t="shared" si="91"/>
        <v/>
      </c>
      <c r="F1435" s="115" t="str">
        <f t="shared" si="92"/>
        <v/>
      </c>
      <c r="G1435" s="116" t="str">
        <f>IF(ISNONTEXT(D1435),"",E1435-MAX($F$2:F1434))</f>
        <v/>
      </c>
      <c r="H1435" s="97"/>
      <c r="I1435" s="74" t="str">
        <f ca="1">IF(D1435="N",COUNTIF(INDIRECT(ADDRESS(MATCH(Plages!$D$19,'Planning annuel mixing coater'!$B:$B),4)):D1435,"N"),IF(D1435="N1",COUNTIF($D$9:D1435,"N1"),""))</f>
        <v/>
      </c>
      <c r="J1435" s="96" t="str">
        <f>IF(D1435="","",COUNTA(D1430:D1435)-(COUNTA(D1435:D1435)-1))</f>
        <v/>
      </c>
    </row>
    <row r="1436" spans="1:10" thickBot="1">
      <c r="A1436" s="117"/>
      <c r="B1436" s="70">
        <f t="shared" si="93"/>
        <v>45228</v>
      </c>
      <c r="C1436" s="82" t="str">
        <f t="shared" si="90"/>
        <v>dimanche</v>
      </c>
      <c r="D1436" s="87"/>
      <c r="E1436" s="115" t="str">
        <f t="shared" si="91"/>
        <v/>
      </c>
      <c r="F1436" s="115" t="str">
        <f t="shared" si="92"/>
        <v/>
      </c>
      <c r="G1436" s="116" t="str">
        <f>IF(ISNONTEXT(D1436),"",E1436-MAX($F$2:F1435))</f>
        <v/>
      </c>
      <c r="H1436" s="98"/>
      <c r="I1436" s="74" t="str">
        <f ca="1">IF(D1436="N",COUNTIF(INDIRECT(ADDRESS(MATCH(Plages!$D$19,'Planning annuel mixing coater'!$B:$B),4)):D1436,"N"),IF(D1436="N1",COUNTIF($D$9:D1436,"N1"),""))</f>
        <v/>
      </c>
      <c r="J1436" s="96" t="str">
        <f>IF(D1436="","",COUNTA(D1430:D1436)-(COUNTA(D1436:D1436)-1))</f>
        <v/>
      </c>
    </row>
    <row r="1437" spans="1:10" thickBot="1">
      <c r="A1437" s="117"/>
      <c r="B1437" s="70">
        <f t="shared" si="93"/>
        <v>45229</v>
      </c>
      <c r="C1437" s="82" t="str">
        <f t="shared" si="90"/>
        <v>lundi</v>
      </c>
      <c r="D1437" s="87"/>
      <c r="E1437" s="115" t="str">
        <f t="shared" si="91"/>
        <v/>
      </c>
      <c r="F1437" s="115" t="str">
        <f t="shared" si="92"/>
        <v/>
      </c>
      <c r="G1437" s="116" t="str">
        <f>IF(ISNONTEXT(D1437),"",E1437-MAX($F$2:F1436))</f>
        <v/>
      </c>
      <c r="H1437" s="97"/>
      <c r="I1437" s="74" t="str">
        <f ca="1">IF(D1437="N",COUNTIF(INDIRECT(ADDRESS(MATCH(Plages!$D$19,'Planning annuel mixing coater'!$B:$B),4)):D1437,"N"),IF(D1437="N1",COUNTIF($D$9:D1437,"N1"),""))</f>
        <v/>
      </c>
      <c r="J1437" s="96" t="str">
        <f>IF(D1437="","",COUNTA(D1430:D1437)-(COUNTA(D1437:D1437)-1))</f>
        <v/>
      </c>
    </row>
    <row r="1438" spans="1:10" thickBot="1">
      <c r="A1438" s="117"/>
      <c r="B1438" s="70">
        <f t="shared" si="93"/>
        <v>45230</v>
      </c>
      <c r="C1438" s="82" t="str">
        <f t="shared" ref="C1438:C1501" si="94">IF(B1438="","",TEXT(B1438,"jjjj"))</f>
        <v>mardi</v>
      </c>
      <c r="D1438" s="87"/>
      <c r="E1438" s="115" t="str">
        <f t="shared" ref="E1438:E1501" si="95">IF(D1438="","",B1438+VLOOKUP(D1438,Plageh,2,0))</f>
        <v/>
      </c>
      <c r="F1438" s="115" t="str">
        <f t="shared" ref="F1438:F1501" si="96">IF(D1438="","",B1438+VLOOKUP(D1438,Plageh,3,0))</f>
        <v/>
      </c>
      <c r="G1438" s="116" t="str">
        <f>IF(ISNONTEXT(D1438),"",E1438-MAX($F$2:F1437))</f>
        <v/>
      </c>
      <c r="H1438" s="97"/>
      <c r="I1438" s="74" t="str">
        <f ca="1">IF(D1438="N",COUNTIF(INDIRECT(ADDRESS(MATCH(Plages!$D$19,'Planning annuel mixing coater'!$B:$B),4)):D1438,"N"),IF(D1438="N1",COUNTIF($D$9:D1438,"N1"),""))</f>
        <v/>
      </c>
      <c r="J1438" s="96" t="str">
        <f>IF(D1438="","",COUNTA(D1430:D1438)-(COUNTA(D1438:D1438)-1))</f>
        <v/>
      </c>
    </row>
    <row r="1439" spans="1:10" thickBot="1">
      <c r="A1439" s="117"/>
      <c r="B1439" s="70">
        <f t="shared" si="93"/>
        <v>45231</v>
      </c>
      <c r="C1439" s="82" t="str">
        <f t="shared" si="94"/>
        <v>mercredi</v>
      </c>
      <c r="D1439" s="87"/>
      <c r="E1439" s="115" t="str">
        <f t="shared" si="95"/>
        <v/>
      </c>
      <c r="F1439" s="115" t="str">
        <f t="shared" si="96"/>
        <v/>
      </c>
      <c r="G1439" s="116" t="str">
        <f>IF(ISNONTEXT(D1439),"",E1439-MAX($F$2:F1438))</f>
        <v/>
      </c>
      <c r="H1439" s="97"/>
      <c r="I1439" s="74" t="str">
        <f ca="1">IF(D1439="N",COUNTIF(INDIRECT(ADDRESS(MATCH(Plages!$D$19,'Planning annuel mixing coater'!$B:$B),4)):D1439,"N"),IF(D1439="N1",COUNTIF($D$9:D1439,"N1"),""))</f>
        <v/>
      </c>
      <c r="J1439" s="96" t="str">
        <f>IF(D1439="","",COUNTA(D1430:D1439)-(COUNTA(D1439:D1439)-1))</f>
        <v/>
      </c>
    </row>
    <row r="1440" spans="1:10" thickBot="1">
      <c r="A1440" s="117"/>
      <c r="B1440" s="70">
        <f t="shared" si="93"/>
        <v>45232</v>
      </c>
      <c r="C1440" s="82" t="str">
        <f t="shared" si="94"/>
        <v>jeudi</v>
      </c>
      <c r="D1440" s="87"/>
      <c r="E1440" s="115" t="str">
        <f t="shared" si="95"/>
        <v/>
      </c>
      <c r="F1440" s="115" t="str">
        <f t="shared" si="96"/>
        <v/>
      </c>
      <c r="G1440" s="116" t="str">
        <f>IF(ISNONTEXT(D1440),"",E1440-MAX($F$2:F1439))</f>
        <v/>
      </c>
      <c r="H1440" s="97"/>
      <c r="I1440" s="74" t="str">
        <f ca="1">IF(D1440="N",COUNTIF(INDIRECT(ADDRESS(MATCH(Plages!$D$19,'Planning annuel mixing coater'!$B:$B),4)):D1440,"N"),IF(D1440="N1",COUNTIF($D$9:D1440,"N1"),""))</f>
        <v/>
      </c>
      <c r="J1440" s="96" t="str">
        <f>IF(D1440="","",COUNTA(D1430:D1440)-(COUNTA(D1440:D1440)-1))</f>
        <v/>
      </c>
    </row>
    <row r="1441" spans="1:10" thickBot="1">
      <c r="A1441" s="117"/>
      <c r="B1441" s="70">
        <f t="shared" si="93"/>
        <v>45233</v>
      </c>
      <c r="C1441" s="82" t="str">
        <f t="shared" si="94"/>
        <v>vendredi</v>
      </c>
      <c r="D1441" s="87"/>
      <c r="E1441" s="115" t="str">
        <f t="shared" si="95"/>
        <v/>
      </c>
      <c r="F1441" s="115" t="str">
        <f t="shared" si="96"/>
        <v/>
      </c>
      <c r="G1441" s="116" t="str">
        <f>IF(ISNONTEXT(D1441),"",E1441-MAX($F$2:F1440))</f>
        <v/>
      </c>
      <c r="H1441" s="97"/>
      <c r="I1441" s="74" t="str">
        <f ca="1">IF(D1441="N",COUNTIF(INDIRECT(ADDRESS(MATCH(Plages!$D$19,'Planning annuel mixing coater'!$B:$B),4)):D1441,"N"),IF(D1441="N1",COUNTIF($D$9:D1441,"N1"),""))</f>
        <v/>
      </c>
      <c r="J1441" s="96" t="str">
        <f>IF(D1441="","",COUNTA(D1430:D1441)-(COUNTA(D1441:D1441)-1))</f>
        <v/>
      </c>
    </row>
    <row r="1442" spans="1:10" thickBot="1">
      <c r="A1442" s="117"/>
      <c r="B1442" s="70">
        <f t="shared" si="93"/>
        <v>45234</v>
      </c>
      <c r="C1442" s="82" t="str">
        <f t="shared" si="94"/>
        <v>samedi</v>
      </c>
      <c r="D1442" s="87"/>
      <c r="E1442" s="115" t="str">
        <f t="shared" si="95"/>
        <v/>
      </c>
      <c r="F1442" s="115" t="str">
        <f t="shared" si="96"/>
        <v/>
      </c>
      <c r="G1442" s="116" t="str">
        <f>IF(ISNONTEXT(D1442),"",E1442-MAX($F$2:F1441))</f>
        <v/>
      </c>
      <c r="H1442" s="97"/>
      <c r="I1442" s="74" t="str">
        <f ca="1">IF(D1442="N",COUNTIF(INDIRECT(ADDRESS(MATCH(Plages!$D$19,'Planning annuel mixing coater'!$B:$B),4)):D1442,"N"),IF(D1442="N1",COUNTIF($D$9:D1442,"N1"),""))</f>
        <v/>
      </c>
      <c r="J1442" s="96" t="str">
        <f>IF(D1442="","",COUNTA(D1430:D1442)-(COUNTA(D1442:D1442)-1))</f>
        <v/>
      </c>
    </row>
    <row r="1443" spans="1:10" s="77" customFormat="1" thickBot="1">
      <c r="A1443" s="117"/>
      <c r="B1443" s="75">
        <f t="shared" si="93"/>
        <v>45235</v>
      </c>
      <c r="C1443" s="83" t="str">
        <f t="shared" si="94"/>
        <v>dimanche</v>
      </c>
      <c r="D1443" s="88"/>
      <c r="E1443" s="115" t="str">
        <f t="shared" si="95"/>
        <v/>
      </c>
      <c r="F1443" s="115" t="str">
        <f t="shared" si="96"/>
        <v/>
      </c>
      <c r="G1443" s="116" t="str">
        <f>IF(ISNONTEXT(D1443),"",E1443-MAX($F$2:F1442))</f>
        <v/>
      </c>
      <c r="H1443" s="98"/>
      <c r="I1443" s="76" t="str">
        <f ca="1">IF(D1443="N",COUNTIF(INDIRECT(ADDRESS(MATCH(Plages!$D$19,'Planning annuel mixing coater'!$B:$B),4)):D1443,"N"),IF(D1443="N1",COUNTIF($D$9:D1443,"N1"),""))</f>
        <v/>
      </c>
      <c r="J1443" s="99" t="str">
        <f>IF(D1443="","",COUNTA(D1430:D1443)-(COUNTA(D1443:D1443)-1))</f>
        <v/>
      </c>
    </row>
    <row r="1444" spans="1:10" ht="16.5" thickTop="1" thickBot="1">
      <c r="A1444" s="117"/>
      <c r="B1444" s="78">
        <f t="shared" si="93"/>
        <v>45236</v>
      </c>
      <c r="C1444" s="81" t="str">
        <f t="shared" si="94"/>
        <v>lundi</v>
      </c>
      <c r="D1444" s="89"/>
      <c r="E1444" s="115" t="str">
        <f t="shared" si="95"/>
        <v/>
      </c>
      <c r="F1444" s="115" t="str">
        <f t="shared" si="96"/>
        <v/>
      </c>
      <c r="G1444" s="116" t="str">
        <f>IF(ISNONTEXT(D1444),"",E1444-MAX($F$2:F1443))</f>
        <v/>
      </c>
      <c r="H1444" s="100"/>
      <c r="I1444" s="79" t="str">
        <f ca="1">IF(D1444="N",COUNTIF(INDIRECT(ADDRESS(MATCH(Plages!$D$19,'Planning annuel mixing coater'!$B:$B),4)):D1444,"N"),IF(D1444="N1",COUNTIF($D$9:D1444,"N1"),""))</f>
        <v/>
      </c>
      <c r="J1444" s="101" t="str">
        <f>IF(D1444="","",COUNTA(D1444:D1444)-(COUNTA(D1444:D1444)-1))</f>
        <v/>
      </c>
    </row>
    <row r="1445" spans="1:10" thickBot="1">
      <c r="A1445" s="117"/>
      <c r="B1445" s="70">
        <f t="shared" si="93"/>
        <v>45237</v>
      </c>
      <c r="C1445" s="82" t="str">
        <f t="shared" si="94"/>
        <v>mardi</v>
      </c>
      <c r="D1445" s="87"/>
      <c r="E1445" s="115" t="str">
        <f t="shared" si="95"/>
        <v/>
      </c>
      <c r="F1445" s="115" t="str">
        <f t="shared" si="96"/>
        <v/>
      </c>
      <c r="G1445" s="116" t="str">
        <f>IF(ISNONTEXT(D1445),"",E1445-MAX($F$2:F1444))</f>
        <v/>
      </c>
      <c r="H1445" s="97"/>
      <c r="I1445" s="74" t="str">
        <f ca="1">IF(D1445="N",COUNTIF(INDIRECT(ADDRESS(MATCH(Plages!$D$19,'Planning annuel mixing coater'!$B:$B),4)):D1445,"N"),IF(D1445="N1",COUNTIF($D$9:D1445,"N1"),""))</f>
        <v/>
      </c>
      <c r="J1445" s="96" t="str">
        <f>IF(D1445="","",COUNTA(D1444:D1445)-(COUNTA(D1445:D1445)-1))</f>
        <v/>
      </c>
    </row>
    <row r="1446" spans="1:10" thickBot="1">
      <c r="A1446" s="117"/>
      <c r="B1446" s="70">
        <f t="shared" si="93"/>
        <v>45238</v>
      </c>
      <c r="C1446" s="82" t="str">
        <f t="shared" si="94"/>
        <v>mercredi</v>
      </c>
      <c r="D1446" s="87"/>
      <c r="E1446" s="115" t="str">
        <f t="shared" si="95"/>
        <v/>
      </c>
      <c r="F1446" s="115" t="str">
        <f t="shared" si="96"/>
        <v/>
      </c>
      <c r="G1446" s="116" t="str">
        <f>IF(ISNONTEXT(D1446),"",E1446-MAX($F$2:F1445))</f>
        <v/>
      </c>
      <c r="H1446" s="97"/>
      <c r="I1446" s="74" t="str">
        <f ca="1">IF(D1446="N",COUNTIF(INDIRECT(ADDRESS(MATCH(Plages!$D$19,'Planning annuel mixing coater'!$B:$B),4)):D1446,"N"),IF(D1446="N1",COUNTIF($D$9:D1446,"N1"),""))</f>
        <v/>
      </c>
      <c r="J1446" s="96" t="str">
        <f>IF(D1446="","",COUNTA(D1444:D1446)-(COUNTA(D1446:D1446)-1))</f>
        <v/>
      </c>
    </row>
    <row r="1447" spans="1:10" thickBot="1">
      <c r="A1447" s="117"/>
      <c r="B1447" s="70">
        <f t="shared" si="93"/>
        <v>45239</v>
      </c>
      <c r="C1447" s="82" t="str">
        <f t="shared" si="94"/>
        <v>jeudi</v>
      </c>
      <c r="D1447" s="87"/>
      <c r="E1447" s="115" t="str">
        <f t="shared" si="95"/>
        <v/>
      </c>
      <c r="F1447" s="115" t="str">
        <f t="shared" si="96"/>
        <v/>
      </c>
      <c r="G1447" s="116" t="str">
        <f>IF(ISNONTEXT(D1447),"",E1447-MAX($F$2:F1446))</f>
        <v/>
      </c>
      <c r="H1447" s="97"/>
      <c r="I1447" s="74" t="str">
        <f ca="1">IF(D1447="N",COUNTIF(INDIRECT(ADDRESS(MATCH(Plages!$D$19,'Planning annuel mixing coater'!$B:$B),4)):D1447,"N"),IF(D1447="N1",COUNTIF($D$9:D1447,"N1"),""))</f>
        <v/>
      </c>
      <c r="J1447" s="96" t="str">
        <f>IF(D1447="","",COUNTA(D1444:D1447)-(COUNTA(D1447:D1447)-1))</f>
        <v/>
      </c>
    </row>
    <row r="1448" spans="1:10" thickBot="1">
      <c r="A1448" s="117"/>
      <c r="B1448" s="70">
        <f t="shared" si="93"/>
        <v>45240</v>
      </c>
      <c r="C1448" s="82" t="str">
        <f t="shared" si="94"/>
        <v>vendredi</v>
      </c>
      <c r="D1448" s="87"/>
      <c r="E1448" s="115" t="str">
        <f t="shared" si="95"/>
        <v/>
      </c>
      <c r="F1448" s="115" t="str">
        <f t="shared" si="96"/>
        <v/>
      </c>
      <c r="G1448" s="116" t="str">
        <f>IF(ISNONTEXT(D1448),"",E1448-MAX($F$2:F1447))</f>
        <v/>
      </c>
      <c r="H1448" s="97"/>
      <c r="I1448" s="74" t="str">
        <f ca="1">IF(D1448="N",COUNTIF(INDIRECT(ADDRESS(MATCH(Plages!$D$19,'Planning annuel mixing coater'!$B:$B),4)):D1448,"N"),IF(D1448="N1",COUNTIF($D$9:D1448,"N1"),""))</f>
        <v/>
      </c>
      <c r="J1448" s="96" t="str">
        <f>IF(D1448="","",COUNTA(D1444:D1448)-(COUNTA(D1448:D1448)-1))</f>
        <v/>
      </c>
    </row>
    <row r="1449" spans="1:10" thickBot="1">
      <c r="A1449" s="117"/>
      <c r="B1449" s="70">
        <f t="shared" si="93"/>
        <v>45241</v>
      </c>
      <c r="C1449" s="82" t="str">
        <f t="shared" si="94"/>
        <v>samedi</v>
      </c>
      <c r="D1449" s="87"/>
      <c r="E1449" s="115" t="str">
        <f t="shared" si="95"/>
        <v/>
      </c>
      <c r="F1449" s="115" t="str">
        <f t="shared" si="96"/>
        <v/>
      </c>
      <c r="G1449" s="116" t="str">
        <f>IF(ISNONTEXT(D1449),"",E1449-MAX($F$2:F1448))</f>
        <v/>
      </c>
      <c r="H1449" s="97"/>
      <c r="I1449" s="74" t="str">
        <f ca="1">IF(D1449="N",COUNTIF(INDIRECT(ADDRESS(MATCH(Plages!$D$19,'Planning annuel mixing coater'!$B:$B),4)):D1449,"N"),IF(D1449="N1",COUNTIF($D$9:D1449,"N1"),""))</f>
        <v/>
      </c>
      <c r="J1449" s="96" t="str">
        <f>IF(D1449="","",COUNTA(D1444:D1449)-(COUNTA(D1449:D1449)-1))</f>
        <v/>
      </c>
    </row>
    <row r="1450" spans="1:10" thickBot="1">
      <c r="A1450" s="117"/>
      <c r="B1450" s="70">
        <f t="shared" si="93"/>
        <v>45242</v>
      </c>
      <c r="C1450" s="82" t="str">
        <f t="shared" si="94"/>
        <v>dimanche</v>
      </c>
      <c r="D1450" s="87"/>
      <c r="E1450" s="115" t="str">
        <f t="shared" si="95"/>
        <v/>
      </c>
      <c r="F1450" s="115" t="str">
        <f t="shared" si="96"/>
        <v/>
      </c>
      <c r="G1450" s="116" t="str">
        <f>IF(ISNONTEXT(D1450),"",E1450-MAX($F$2:F1449))</f>
        <v/>
      </c>
      <c r="H1450" s="98"/>
      <c r="I1450" s="74" t="str">
        <f ca="1">IF(D1450="N",COUNTIF(INDIRECT(ADDRESS(MATCH(Plages!$D$19,'Planning annuel mixing coater'!$B:$B),4)):D1450,"N"),IF(D1450="N1",COUNTIF($D$9:D1450,"N1"),""))</f>
        <v/>
      </c>
      <c r="J1450" s="96" t="str">
        <f>IF(D1450="","",COUNTA(D1444:D1450)-(COUNTA(D1450:D1450)-1))</f>
        <v/>
      </c>
    </row>
    <row r="1451" spans="1:10" thickBot="1">
      <c r="A1451" s="117"/>
      <c r="B1451" s="70">
        <f t="shared" si="93"/>
        <v>45243</v>
      </c>
      <c r="C1451" s="82" t="str">
        <f t="shared" si="94"/>
        <v>lundi</v>
      </c>
      <c r="D1451" s="87"/>
      <c r="E1451" s="115" t="str">
        <f t="shared" si="95"/>
        <v/>
      </c>
      <c r="F1451" s="115" t="str">
        <f t="shared" si="96"/>
        <v/>
      </c>
      <c r="G1451" s="116" t="str">
        <f>IF(ISNONTEXT(D1451),"",E1451-MAX($F$2:F1450))</f>
        <v/>
      </c>
      <c r="H1451" s="97"/>
      <c r="I1451" s="74" t="str">
        <f ca="1">IF(D1451="N",COUNTIF(INDIRECT(ADDRESS(MATCH(Plages!$D$19,'Planning annuel mixing coater'!$B:$B),4)):D1451,"N"),IF(D1451="N1",COUNTIF($D$9:D1451,"N1"),""))</f>
        <v/>
      </c>
      <c r="J1451" s="96" t="str">
        <f>IF(D1451="","",COUNTA(D1444:D1451)-(COUNTA(D1451:D1451)-1))</f>
        <v/>
      </c>
    </row>
    <row r="1452" spans="1:10" thickBot="1">
      <c r="A1452" s="117"/>
      <c r="B1452" s="70">
        <f t="shared" si="93"/>
        <v>45244</v>
      </c>
      <c r="C1452" s="82" t="str">
        <f t="shared" si="94"/>
        <v>mardi</v>
      </c>
      <c r="D1452" s="87"/>
      <c r="E1452" s="115" t="str">
        <f t="shared" si="95"/>
        <v/>
      </c>
      <c r="F1452" s="115" t="str">
        <f t="shared" si="96"/>
        <v/>
      </c>
      <c r="G1452" s="116" t="str">
        <f>IF(ISNONTEXT(D1452),"",E1452-MAX($F$2:F1451))</f>
        <v/>
      </c>
      <c r="H1452" s="97"/>
      <c r="I1452" s="74" t="str">
        <f ca="1">IF(D1452="N",COUNTIF(INDIRECT(ADDRESS(MATCH(Plages!$D$19,'Planning annuel mixing coater'!$B:$B),4)):D1452,"N"),IF(D1452="N1",COUNTIF($D$9:D1452,"N1"),""))</f>
        <v/>
      </c>
      <c r="J1452" s="96" t="str">
        <f>IF(D1452="","",COUNTA(D1444:D1452)-(COUNTA(D1452:D1452)-1))</f>
        <v/>
      </c>
    </row>
    <row r="1453" spans="1:10" thickBot="1">
      <c r="A1453" s="117"/>
      <c r="B1453" s="70">
        <f t="shared" si="93"/>
        <v>45245</v>
      </c>
      <c r="C1453" s="82" t="str">
        <f t="shared" si="94"/>
        <v>mercredi</v>
      </c>
      <c r="D1453" s="87"/>
      <c r="E1453" s="115" t="str">
        <f t="shared" si="95"/>
        <v/>
      </c>
      <c r="F1453" s="115" t="str">
        <f t="shared" si="96"/>
        <v/>
      </c>
      <c r="G1453" s="116" t="str">
        <f>IF(ISNONTEXT(D1453),"",E1453-MAX($F$2:F1452))</f>
        <v/>
      </c>
      <c r="H1453" s="97"/>
      <c r="I1453" s="74" t="str">
        <f ca="1">IF(D1453="N",COUNTIF(INDIRECT(ADDRESS(MATCH(Plages!$D$19,'Planning annuel mixing coater'!$B:$B),4)):D1453,"N"),IF(D1453="N1",COUNTIF($D$9:D1453,"N1"),""))</f>
        <v/>
      </c>
      <c r="J1453" s="96" t="str">
        <f>IF(D1453="","",COUNTA(D1444:D1453)-(COUNTA(D1453:D1453)-1))</f>
        <v/>
      </c>
    </row>
    <row r="1454" spans="1:10" thickBot="1">
      <c r="A1454" s="117"/>
      <c r="B1454" s="70">
        <f t="shared" si="93"/>
        <v>45246</v>
      </c>
      <c r="C1454" s="82" t="str">
        <f t="shared" si="94"/>
        <v>jeudi</v>
      </c>
      <c r="D1454" s="87"/>
      <c r="E1454" s="115" t="str">
        <f t="shared" si="95"/>
        <v/>
      </c>
      <c r="F1454" s="115" t="str">
        <f t="shared" si="96"/>
        <v/>
      </c>
      <c r="G1454" s="116" t="str">
        <f>IF(ISNONTEXT(D1454),"",E1454-MAX($F$2:F1453))</f>
        <v/>
      </c>
      <c r="H1454" s="97"/>
      <c r="I1454" s="74" t="str">
        <f ca="1">IF(D1454="N",COUNTIF(INDIRECT(ADDRESS(MATCH(Plages!$D$19,'Planning annuel mixing coater'!$B:$B),4)):D1454,"N"),IF(D1454="N1",COUNTIF($D$9:D1454,"N1"),""))</f>
        <v/>
      </c>
      <c r="J1454" s="96" t="str">
        <f>IF(D1454="","",COUNTA(D1444:D1454)-(COUNTA(D1454:D1454)-1))</f>
        <v/>
      </c>
    </row>
    <row r="1455" spans="1:10" thickBot="1">
      <c r="A1455" s="117"/>
      <c r="B1455" s="70">
        <f t="shared" si="93"/>
        <v>45247</v>
      </c>
      <c r="C1455" s="82" t="str">
        <f t="shared" si="94"/>
        <v>vendredi</v>
      </c>
      <c r="D1455" s="87"/>
      <c r="E1455" s="115" t="str">
        <f t="shared" si="95"/>
        <v/>
      </c>
      <c r="F1455" s="115" t="str">
        <f t="shared" si="96"/>
        <v/>
      </c>
      <c r="G1455" s="116" t="str">
        <f>IF(ISNONTEXT(D1455),"",E1455-MAX($F$2:F1454))</f>
        <v/>
      </c>
      <c r="H1455" s="97"/>
      <c r="I1455" s="74" t="str">
        <f ca="1">IF(D1455="N",COUNTIF(INDIRECT(ADDRESS(MATCH(Plages!$D$19,'Planning annuel mixing coater'!$B:$B),4)):D1455,"N"),IF(D1455="N1",COUNTIF($D$9:D1455,"N1"),""))</f>
        <v/>
      </c>
      <c r="J1455" s="96" t="str">
        <f>IF(D1455="","",COUNTA(D1444:D1455)-(COUNTA(D1455:D1455)-1))</f>
        <v/>
      </c>
    </row>
    <row r="1456" spans="1:10" thickBot="1">
      <c r="A1456" s="117"/>
      <c r="B1456" s="70">
        <f t="shared" si="93"/>
        <v>45248</v>
      </c>
      <c r="C1456" s="82" t="str">
        <f t="shared" si="94"/>
        <v>samedi</v>
      </c>
      <c r="D1456" s="87"/>
      <c r="E1456" s="115" t="str">
        <f t="shared" si="95"/>
        <v/>
      </c>
      <c r="F1456" s="115" t="str">
        <f t="shared" si="96"/>
        <v/>
      </c>
      <c r="G1456" s="116" t="str">
        <f>IF(ISNONTEXT(D1456),"",E1456-MAX($F$2:F1455))</f>
        <v/>
      </c>
      <c r="H1456" s="97"/>
      <c r="I1456" s="74" t="str">
        <f ca="1">IF(D1456="N",COUNTIF(INDIRECT(ADDRESS(MATCH(Plages!$D$19,'Planning annuel mixing coater'!$B:$B),4)):D1456,"N"),IF(D1456="N1",COUNTIF($D$9:D1456,"N1"),""))</f>
        <v/>
      </c>
      <c r="J1456" s="96" t="str">
        <f>IF(D1456="","",COUNTA(D1444:D1456)-(COUNTA(D1456:D1456)-1))</f>
        <v/>
      </c>
    </row>
    <row r="1457" spans="1:10" s="77" customFormat="1" thickBot="1">
      <c r="A1457" s="117"/>
      <c r="B1457" s="75">
        <f t="shared" si="93"/>
        <v>45249</v>
      </c>
      <c r="C1457" s="83" t="str">
        <f t="shared" si="94"/>
        <v>dimanche</v>
      </c>
      <c r="D1457" s="88"/>
      <c r="E1457" s="115" t="str">
        <f t="shared" si="95"/>
        <v/>
      </c>
      <c r="F1457" s="115" t="str">
        <f t="shared" si="96"/>
        <v/>
      </c>
      <c r="G1457" s="116" t="str">
        <f>IF(ISNONTEXT(D1457),"",E1457-MAX($F$2:F1456))</f>
        <v/>
      </c>
      <c r="H1457" s="98"/>
      <c r="I1457" s="76" t="str">
        <f ca="1">IF(D1457="N",COUNTIF(INDIRECT(ADDRESS(MATCH(Plages!$D$19,'Planning annuel mixing coater'!$B:$B),4)):D1457,"N"),IF(D1457="N1",COUNTIF($D$9:D1457,"N1"),""))</f>
        <v/>
      </c>
      <c r="J1457" s="99" t="str">
        <f>IF(D1457="","",COUNTA(D1444:D1457)-(COUNTA(D1457:D1457)-1))</f>
        <v/>
      </c>
    </row>
    <row r="1458" spans="1:10" ht="16.5" thickTop="1" thickBot="1">
      <c r="A1458" s="117"/>
      <c r="B1458" s="78">
        <f t="shared" si="93"/>
        <v>45250</v>
      </c>
      <c r="C1458" s="81" t="str">
        <f t="shared" si="94"/>
        <v>lundi</v>
      </c>
      <c r="D1458" s="89"/>
      <c r="E1458" s="115" t="str">
        <f t="shared" si="95"/>
        <v/>
      </c>
      <c r="F1458" s="115" t="str">
        <f t="shared" si="96"/>
        <v/>
      </c>
      <c r="G1458" s="116" t="str">
        <f>IF(ISNONTEXT(D1458),"",E1458-MAX($F$2:F1457))</f>
        <v/>
      </c>
      <c r="H1458" s="100"/>
      <c r="I1458" s="79" t="str">
        <f ca="1">IF(D1458="N",COUNTIF(INDIRECT(ADDRESS(MATCH(Plages!$D$19,'Planning annuel mixing coater'!$B:$B),4)):D1458,"N"),IF(D1458="N1",COUNTIF($D$9:D1458,"N1"),""))</f>
        <v/>
      </c>
      <c r="J1458" s="101" t="str">
        <f>IF(D1458="","",COUNTA(D1458:D1458)-(COUNTA(D1458:D1458)-1))</f>
        <v/>
      </c>
    </row>
    <row r="1459" spans="1:10" thickBot="1">
      <c r="A1459" s="117"/>
      <c r="B1459" s="70">
        <f t="shared" si="93"/>
        <v>45251</v>
      </c>
      <c r="C1459" s="82" t="str">
        <f t="shared" si="94"/>
        <v>mardi</v>
      </c>
      <c r="D1459" s="87"/>
      <c r="E1459" s="115" t="str">
        <f t="shared" si="95"/>
        <v/>
      </c>
      <c r="F1459" s="115" t="str">
        <f t="shared" si="96"/>
        <v/>
      </c>
      <c r="G1459" s="116" t="str">
        <f>IF(ISNONTEXT(D1459),"",E1459-MAX($F$2:F1458))</f>
        <v/>
      </c>
      <c r="H1459" s="97"/>
      <c r="I1459" s="74" t="str">
        <f ca="1">IF(D1459="N",COUNTIF(INDIRECT(ADDRESS(MATCH(Plages!$D$19,'Planning annuel mixing coater'!$B:$B),4)):D1459,"N"),IF(D1459="N1",COUNTIF($D$9:D1459,"N1"),""))</f>
        <v/>
      </c>
      <c r="J1459" s="96" t="str">
        <f>IF(D1459="","",COUNTA(D1458:D1459)-(COUNTA(D1459:D1459)-1))</f>
        <v/>
      </c>
    </row>
    <row r="1460" spans="1:10" thickBot="1">
      <c r="A1460" s="117"/>
      <c r="B1460" s="70">
        <f t="shared" si="93"/>
        <v>45252</v>
      </c>
      <c r="C1460" s="82" t="str">
        <f t="shared" si="94"/>
        <v>mercredi</v>
      </c>
      <c r="D1460" s="87"/>
      <c r="E1460" s="115" t="str">
        <f t="shared" si="95"/>
        <v/>
      </c>
      <c r="F1460" s="115" t="str">
        <f t="shared" si="96"/>
        <v/>
      </c>
      <c r="G1460" s="116" t="str">
        <f>IF(ISNONTEXT(D1460),"",E1460-MAX($F$2:F1459))</f>
        <v/>
      </c>
      <c r="H1460" s="97"/>
      <c r="I1460" s="74" t="str">
        <f ca="1">IF(D1460="N",COUNTIF(INDIRECT(ADDRESS(MATCH(Plages!$D$19,'Planning annuel mixing coater'!$B:$B),4)):D1460,"N"),IF(D1460="N1",COUNTIF($D$9:D1460,"N1"),""))</f>
        <v/>
      </c>
      <c r="J1460" s="96" t="str">
        <f>IF(D1460="","",COUNTA(D1458:D1460)-(COUNTA(D1460:D1460)-1))</f>
        <v/>
      </c>
    </row>
    <row r="1461" spans="1:10" thickBot="1">
      <c r="A1461" s="117"/>
      <c r="B1461" s="70">
        <f t="shared" si="93"/>
        <v>45253</v>
      </c>
      <c r="C1461" s="82" t="str">
        <f t="shared" si="94"/>
        <v>jeudi</v>
      </c>
      <c r="D1461" s="87"/>
      <c r="E1461" s="115" t="str">
        <f t="shared" si="95"/>
        <v/>
      </c>
      <c r="F1461" s="115" t="str">
        <f t="shared" si="96"/>
        <v/>
      </c>
      <c r="G1461" s="116" t="str">
        <f>IF(ISNONTEXT(D1461),"",E1461-MAX($F$2:F1460))</f>
        <v/>
      </c>
      <c r="H1461" s="97"/>
      <c r="I1461" s="74" t="str">
        <f ca="1">IF(D1461="N",COUNTIF(INDIRECT(ADDRESS(MATCH(Plages!$D$19,'Planning annuel mixing coater'!$B:$B),4)):D1461,"N"),IF(D1461="N1",COUNTIF($D$9:D1461,"N1"),""))</f>
        <v/>
      </c>
      <c r="J1461" s="96" t="str">
        <f>IF(D1461="","",COUNTA(D1458:D1461)-(COUNTA(D1461:D1461)-1))</f>
        <v/>
      </c>
    </row>
    <row r="1462" spans="1:10" thickBot="1">
      <c r="A1462" s="117"/>
      <c r="B1462" s="70">
        <f t="shared" si="93"/>
        <v>45254</v>
      </c>
      <c r="C1462" s="82" t="str">
        <f t="shared" si="94"/>
        <v>vendredi</v>
      </c>
      <c r="D1462" s="87"/>
      <c r="E1462" s="115" t="str">
        <f t="shared" si="95"/>
        <v/>
      </c>
      <c r="F1462" s="115" t="str">
        <f t="shared" si="96"/>
        <v/>
      </c>
      <c r="G1462" s="116" t="str">
        <f>IF(ISNONTEXT(D1462),"",E1462-MAX($F$2:F1461))</f>
        <v/>
      </c>
      <c r="H1462" s="97"/>
      <c r="I1462" s="74" t="str">
        <f ca="1">IF(D1462="N",COUNTIF(INDIRECT(ADDRESS(MATCH(Plages!$D$19,'Planning annuel mixing coater'!$B:$B),4)):D1462,"N"),IF(D1462="N1",COUNTIF($D$9:D1462,"N1"),""))</f>
        <v/>
      </c>
      <c r="J1462" s="96" t="str">
        <f>IF(D1462="","",COUNTA(D1458:D1462)-(COUNTA(D1462:D1462)-1))</f>
        <v/>
      </c>
    </row>
    <row r="1463" spans="1:10" thickBot="1">
      <c r="A1463" s="117"/>
      <c r="B1463" s="70">
        <f t="shared" si="93"/>
        <v>45255</v>
      </c>
      <c r="C1463" s="82" t="str">
        <f t="shared" si="94"/>
        <v>samedi</v>
      </c>
      <c r="D1463" s="87"/>
      <c r="E1463" s="115" t="str">
        <f t="shared" si="95"/>
        <v/>
      </c>
      <c r="F1463" s="115" t="str">
        <f t="shared" si="96"/>
        <v/>
      </c>
      <c r="G1463" s="116" t="str">
        <f>IF(ISNONTEXT(D1463),"",E1463-MAX($F$2:F1462))</f>
        <v/>
      </c>
      <c r="H1463" s="97"/>
      <c r="I1463" s="74" t="str">
        <f ca="1">IF(D1463="N",COUNTIF(INDIRECT(ADDRESS(MATCH(Plages!$D$19,'Planning annuel mixing coater'!$B:$B),4)):D1463,"N"),IF(D1463="N1",COUNTIF($D$9:D1463,"N1"),""))</f>
        <v/>
      </c>
      <c r="J1463" s="96" t="str">
        <f>IF(D1463="","",COUNTA(D1458:D1463)-(COUNTA(D1463:D1463)-1))</f>
        <v/>
      </c>
    </row>
    <row r="1464" spans="1:10" thickBot="1">
      <c r="A1464" s="117"/>
      <c r="B1464" s="70">
        <f t="shared" si="93"/>
        <v>45256</v>
      </c>
      <c r="C1464" s="82" t="str">
        <f t="shared" si="94"/>
        <v>dimanche</v>
      </c>
      <c r="D1464" s="87"/>
      <c r="E1464" s="115" t="str">
        <f t="shared" si="95"/>
        <v/>
      </c>
      <c r="F1464" s="115" t="str">
        <f t="shared" si="96"/>
        <v/>
      </c>
      <c r="G1464" s="116" t="str">
        <f>IF(ISNONTEXT(D1464),"",E1464-MAX($F$2:F1463))</f>
        <v/>
      </c>
      <c r="H1464" s="98"/>
      <c r="I1464" s="74" t="str">
        <f ca="1">IF(D1464="N",COUNTIF(INDIRECT(ADDRESS(MATCH(Plages!$D$19,'Planning annuel mixing coater'!$B:$B),4)):D1464,"N"),IF(D1464="N1",COUNTIF($D$9:D1464,"N1"),""))</f>
        <v/>
      </c>
      <c r="J1464" s="96" t="str">
        <f>IF(D1464="","",COUNTA(D1458:D1464)-(COUNTA(D1464:D1464)-1))</f>
        <v/>
      </c>
    </row>
    <row r="1465" spans="1:10" thickBot="1">
      <c r="A1465" s="117"/>
      <c r="B1465" s="70">
        <f t="shared" si="93"/>
        <v>45257</v>
      </c>
      <c r="C1465" s="82" t="str">
        <f t="shared" si="94"/>
        <v>lundi</v>
      </c>
      <c r="D1465" s="87"/>
      <c r="E1465" s="115" t="str">
        <f t="shared" si="95"/>
        <v/>
      </c>
      <c r="F1465" s="115" t="str">
        <f t="shared" si="96"/>
        <v/>
      </c>
      <c r="G1465" s="116" t="str">
        <f>IF(ISNONTEXT(D1465),"",E1465-MAX($F$2:F1464))</f>
        <v/>
      </c>
      <c r="H1465" s="97"/>
      <c r="I1465" s="74" t="str">
        <f ca="1">IF(D1465="N",COUNTIF(INDIRECT(ADDRESS(MATCH(Plages!$D$19,'Planning annuel mixing coater'!$B:$B),4)):D1465,"N"),IF(D1465="N1",COUNTIF($D$9:D1465,"N1"),""))</f>
        <v/>
      </c>
      <c r="J1465" s="96" t="str">
        <f>IF(D1465="","",COUNTA(D1458:D1465)-(COUNTA(D1465:D1465)-1))</f>
        <v/>
      </c>
    </row>
    <row r="1466" spans="1:10" thickBot="1">
      <c r="A1466" s="117"/>
      <c r="B1466" s="70">
        <f t="shared" si="93"/>
        <v>45258</v>
      </c>
      <c r="C1466" s="82" t="str">
        <f t="shared" si="94"/>
        <v>mardi</v>
      </c>
      <c r="D1466" s="87"/>
      <c r="E1466" s="115" t="str">
        <f t="shared" si="95"/>
        <v/>
      </c>
      <c r="F1466" s="115" t="str">
        <f t="shared" si="96"/>
        <v/>
      </c>
      <c r="G1466" s="116" t="str">
        <f>IF(ISNONTEXT(D1466),"",E1466-MAX($F$2:F1465))</f>
        <v/>
      </c>
      <c r="H1466" s="97"/>
      <c r="I1466" s="74" t="str">
        <f ca="1">IF(D1466="N",COUNTIF(INDIRECT(ADDRESS(MATCH(Plages!$D$19,'Planning annuel mixing coater'!$B:$B),4)):D1466,"N"),IF(D1466="N1",COUNTIF($D$9:D1466,"N1"),""))</f>
        <v/>
      </c>
      <c r="J1466" s="96" t="str">
        <f>IF(D1466="","",COUNTA(D1458:D1466)-(COUNTA(D1466:D1466)-1))</f>
        <v/>
      </c>
    </row>
    <row r="1467" spans="1:10" thickBot="1">
      <c r="A1467" s="117"/>
      <c r="B1467" s="70">
        <f t="shared" si="93"/>
        <v>45259</v>
      </c>
      <c r="C1467" s="82" t="str">
        <f t="shared" si="94"/>
        <v>mercredi</v>
      </c>
      <c r="D1467" s="87"/>
      <c r="E1467" s="115" t="str">
        <f t="shared" si="95"/>
        <v/>
      </c>
      <c r="F1467" s="115" t="str">
        <f t="shared" si="96"/>
        <v/>
      </c>
      <c r="G1467" s="116" t="str">
        <f>IF(ISNONTEXT(D1467),"",E1467-MAX($F$2:F1466))</f>
        <v/>
      </c>
      <c r="H1467" s="97"/>
      <c r="I1467" s="74" t="str">
        <f ca="1">IF(D1467="N",COUNTIF(INDIRECT(ADDRESS(MATCH(Plages!$D$19,'Planning annuel mixing coater'!$B:$B),4)):D1467,"N"),IF(D1467="N1",COUNTIF($D$9:D1467,"N1"),""))</f>
        <v/>
      </c>
      <c r="J1467" s="96" t="str">
        <f>IF(D1467="","",COUNTA(D1458:D1467)-(COUNTA(D1467:D1467)-1))</f>
        <v/>
      </c>
    </row>
    <row r="1468" spans="1:10" thickBot="1">
      <c r="A1468" s="117"/>
      <c r="B1468" s="70">
        <f t="shared" si="93"/>
        <v>45260</v>
      </c>
      <c r="C1468" s="82" t="str">
        <f t="shared" si="94"/>
        <v>jeudi</v>
      </c>
      <c r="D1468" s="87"/>
      <c r="E1468" s="115" t="str">
        <f t="shared" si="95"/>
        <v/>
      </c>
      <c r="F1468" s="115" t="str">
        <f t="shared" si="96"/>
        <v/>
      </c>
      <c r="G1468" s="116" t="str">
        <f>IF(ISNONTEXT(D1468),"",E1468-MAX($F$2:F1467))</f>
        <v/>
      </c>
      <c r="H1468" s="97"/>
      <c r="I1468" s="74" t="str">
        <f ca="1">IF(D1468="N",COUNTIF(INDIRECT(ADDRESS(MATCH(Plages!$D$19,'Planning annuel mixing coater'!$B:$B),4)):D1468,"N"),IF(D1468="N1",COUNTIF($D$9:D1468,"N1"),""))</f>
        <v/>
      </c>
      <c r="J1468" s="96" t="str">
        <f>IF(D1468="","",COUNTA(D1458:D1468)-(COUNTA(D1468:D1468)-1))</f>
        <v/>
      </c>
    </row>
    <row r="1469" spans="1:10" thickBot="1">
      <c r="A1469" s="117"/>
      <c r="B1469" s="70">
        <f t="shared" si="93"/>
        <v>45261</v>
      </c>
      <c r="C1469" s="82" t="str">
        <f t="shared" si="94"/>
        <v>vendredi</v>
      </c>
      <c r="D1469" s="87"/>
      <c r="E1469" s="115" t="str">
        <f t="shared" si="95"/>
        <v/>
      </c>
      <c r="F1469" s="115" t="str">
        <f t="shared" si="96"/>
        <v/>
      </c>
      <c r="G1469" s="116" t="str">
        <f>IF(ISNONTEXT(D1469),"",E1469-MAX($F$2:F1468))</f>
        <v/>
      </c>
      <c r="H1469" s="97"/>
      <c r="I1469" s="74" t="str">
        <f ca="1">IF(D1469="N",COUNTIF(INDIRECT(ADDRESS(MATCH(Plages!$D$19,'Planning annuel mixing coater'!$B:$B),4)):D1469,"N"),IF(D1469="N1",COUNTIF($D$9:D1469,"N1"),""))</f>
        <v/>
      </c>
      <c r="J1469" s="96" t="str">
        <f>IF(D1469="","",COUNTA(D1458:D1469)-(COUNTA(D1469:D1469)-1))</f>
        <v/>
      </c>
    </row>
    <row r="1470" spans="1:10" thickBot="1">
      <c r="A1470" s="117"/>
      <c r="B1470" s="70">
        <f t="shared" si="93"/>
        <v>45262</v>
      </c>
      <c r="C1470" s="82" t="str">
        <f t="shared" si="94"/>
        <v>samedi</v>
      </c>
      <c r="D1470" s="87"/>
      <c r="E1470" s="115" t="str">
        <f t="shared" si="95"/>
        <v/>
      </c>
      <c r="F1470" s="115" t="str">
        <f t="shared" si="96"/>
        <v/>
      </c>
      <c r="G1470" s="116" t="str">
        <f>IF(ISNONTEXT(D1470),"",E1470-MAX($F$2:F1469))</f>
        <v/>
      </c>
      <c r="H1470" s="97"/>
      <c r="I1470" s="74" t="str">
        <f ca="1">IF(D1470="N",COUNTIF(INDIRECT(ADDRESS(MATCH(Plages!$D$19,'Planning annuel mixing coater'!$B:$B),4)):D1470,"N"),IF(D1470="N1",COUNTIF($D$9:D1470,"N1"),""))</f>
        <v/>
      </c>
      <c r="J1470" s="96" t="str">
        <f>IF(D1470="","",COUNTA(D1458:D1470)-(COUNTA(D1470:D1470)-1))</f>
        <v/>
      </c>
    </row>
    <row r="1471" spans="1:10" s="77" customFormat="1" thickBot="1">
      <c r="A1471" s="117"/>
      <c r="B1471" s="75">
        <f t="shared" si="93"/>
        <v>45263</v>
      </c>
      <c r="C1471" s="83" t="str">
        <f t="shared" si="94"/>
        <v>dimanche</v>
      </c>
      <c r="D1471" s="88"/>
      <c r="E1471" s="115" t="str">
        <f t="shared" si="95"/>
        <v/>
      </c>
      <c r="F1471" s="115" t="str">
        <f t="shared" si="96"/>
        <v/>
      </c>
      <c r="G1471" s="116" t="str">
        <f>IF(ISNONTEXT(D1471),"",E1471-MAX($F$2:F1470))</f>
        <v/>
      </c>
      <c r="H1471" s="98"/>
      <c r="I1471" s="76" t="str">
        <f ca="1">IF(D1471="N",COUNTIF(INDIRECT(ADDRESS(MATCH(Plages!$D$19,'Planning annuel mixing coater'!$B:$B),4)):D1471,"N"),IF(D1471="N1",COUNTIF($D$9:D1471,"N1"),""))</f>
        <v/>
      </c>
      <c r="J1471" s="99" t="str">
        <f>IF(D1471="","",COUNTA(D1458:D1471)-(COUNTA(D1471:D1471)-1))</f>
        <v/>
      </c>
    </row>
    <row r="1472" spans="1:10" ht="16.5" thickTop="1" thickBot="1">
      <c r="A1472" s="117"/>
      <c r="B1472" s="78">
        <f t="shared" si="93"/>
        <v>45264</v>
      </c>
      <c r="C1472" s="81" t="str">
        <f t="shared" si="94"/>
        <v>lundi</v>
      </c>
      <c r="D1472" s="89"/>
      <c r="E1472" s="115" t="str">
        <f t="shared" si="95"/>
        <v/>
      </c>
      <c r="F1472" s="115" t="str">
        <f t="shared" si="96"/>
        <v/>
      </c>
      <c r="G1472" s="116" t="str">
        <f>IF(ISNONTEXT(D1472),"",E1472-MAX($F$2:F1471))</f>
        <v/>
      </c>
      <c r="H1472" s="100"/>
      <c r="I1472" s="79" t="str">
        <f ca="1">IF(D1472="N",COUNTIF(INDIRECT(ADDRESS(MATCH(Plages!$D$19,'Planning annuel mixing coater'!$B:$B),4)):D1472,"N"),IF(D1472="N1",COUNTIF($D$9:D1472,"N1"),""))</f>
        <v/>
      </c>
      <c r="J1472" s="101" t="str">
        <f>IF(D1472="","",COUNTA(D1472:D1472)-(COUNTA(D1472:D1472)-1))</f>
        <v/>
      </c>
    </row>
    <row r="1473" spans="1:10" thickBot="1">
      <c r="A1473" s="117"/>
      <c r="B1473" s="70">
        <f t="shared" si="93"/>
        <v>45265</v>
      </c>
      <c r="C1473" s="82" t="str">
        <f t="shared" si="94"/>
        <v>mardi</v>
      </c>
      <c r="D1473" s="87"/>
      <c r="E1473" s="115" t="str">
        <f t="shared" si="95"/>
        <v/>
      </c>
      <c r="F1473" s="115" t="str">
        <f t="shared" si="96"/>
        <v/>
      </c>
      <c r="G1473" s="116" t="str">
        <f>IF(ISNONTEXT(D1473),"",E1473-MAX($F$2:F1472))</f>
        <v/>
      </c>
      <c r="H1473" s="97"/>
      <c r="I1473" s="74" t="str">
        <f ca="1">IF(D1473="N",COUNTIF(INDIRECT(ADDRESS(MATCH(Plages!$D$19,'Planning annuel mixing coater'!$B:$B),4)):D1473,"N"),IF(D1473="N1",COUNTIF($D$9:D1473,"N1"),""))</f>
        <v/>
      </c>
      <c r="J1473" s="96" t="str">
        <f>IF(D1473="","",COUNTA(D1472:D1473)-(COUNTA(D1473:D1473)-1))</f>
        <v/>
      </c>
    </row>
    <row r="1474" spans="1:10" thickBot="1">
      <c r="A1474" s="117"/>
      <c r="B1474" s="70">
        <f t="shared" si="93"/>
        <v>45266</v>
      </c>
      <c r="C1474" s="82" t="str">
        <f t="shared" si="94"/>
        <v>mercredi</v>
      </c>
      <c r="D1474" s="87"/>
      <c r="E1474" s="115" t="str">
        <f t="shared" si="95"/>
        <v/>
      </c>
      <c r="F1474" s="115" t="str">
        <f t="shared" si="96"/>
        <v/>
      </c>
      <c r="G1474" s="116" t="str">
        <f>IF(ISNONTEXT(D1474),"",E1474-MAX($F$2:F1473))</f>
        <v/>
      </c>
      <c r="H1474" s="97"/>
      <c r="I1474" s="74" t="str">
        <f ca="1">IF(D1474="N",COUNTIF(INDIRECT(ADDRESS(MATCH(Plages!$D$19,'Planning annuel mixing coater'!$B:$B),4)):D1474,"N"),IF(D1474="N1",COUNTIF($D$9:D1474,"N1"),""))</f>
        <v/>
      </c>
      <c r="J1474" s="96" t="str">
        <f>IF(D1474="","",COUNTA(D1472:D1474)-(COUNTA(D1474:D1474)-1))</f>
        <v/>
      </c>
    </row>
    <row r="1475" spans="1:10" thickBot="1">
      <c r="A1475" s="117"/>
      <c r="B1475" s="70">
        <f t="shared" si="93"/>
        <v>45267</v>
      </c>
      <c r="C1475" s="82" t="str">
        <f t="shared" si="94"/>
        <v>jeudi</v>
      </c>
      <c r="D1475" s="87"/>
      <c r="E1475" s="115" t="str">
        <f t="shared" si="95"/>
        <v/>
      </c>
      <c r="F1475" s="115" t="str">
        <f t="shared" si="96"/>
        <v/>
      </c>
      <c r="G1475" s="116" t="str">
        <f>IF(ISNONTEXT(D1475),"",E1475-MAX($F$2:F1474))</f>
        <v/>
      </c>
      <c r="H1475" s="97"/>
      <c r="I1475" s="74" t="str">
        <f ca="1">IF(D1475="N",COUNTIF(INDIRECT(ADDRESS(MATCH(Plages!$D$19,'Planning annuel mixing coater'!$B:$B),4)):D1475,"N"),IF(D1475="N1",COUNTIF($D$9:D1475,"N1"),""))</f>
        <v/>
      </c>
      <c r="J1475" s="96" t="str">
        <f>IF(D1475="","",COUNTA(D1472:D1475)-(COUNTA(D1475:D1475)-1))</f>
        <v/>
      </c>
    </row>
    <row r="1476" spans="1:10" thickBot="1">
      <c r="A1476" s="117"/>
      <c r="B1476" s="70">
        <f t="shared" ref="B1476:B1539" si="97">IF(B1475="","",B1475+1)</f>
        <v>45268</v>
      </c>
      <c r="C1476" s="82" t="str">
        <f t="shared" si="94"/>
        <v>vendredi</v>
      </c>
      <c r="D1476" s="87"/>
      <c r="E1476" s="115" t="str">
        <f t="shared" si="95"/>
        <v/>
      </c>
      <c r="F1476" s="115" t="str">
        <f t="shared" si="96"/>
        <v/>
      </c>
      <c r="G1476" s="116" t="str">
        <f>IF(ISNONTEXT(D1476),"",E1476-MAX($F$2:F1475))</f>
        <v/>
      </c>
      <c r="H1476" s="97"/>
      <c r="I1476" s="74" t="str">
        <f ca="1">IF(D1476="N",COUNTIF(INDIRECT(ADDRESS(MATCH(Plages!$D$19,'Planning annuel mixing coater'!$B:$B),4)):D1476,"N"),IF(D1476="N1",COUNTIF($D$9:D1476,"N1"),""))</f>
        <v/>
      </c>
      <c r="J1476" s="96" t="str">
        <f>IF(D1476="","",COUNTA(D1472:D1476)-(COUNTA(D1476:D1476)-1))</f>
        <v/>
      </c>
    </row>
    <row r="1477" spans="1:10" thickBot="1">
      <c r="A1477" s="117"/>
      <c r="B1477" s="70">
        <f t="shared" si="97"/>
        <v>45269</v>
      </c>
      <c r="C1477" s="82" t="str">
        <f t="shared" si="94"/>
        <v>samedi</v>
      </c>
      <c r="D1477" s="87"/>
      <c r="E1477" s="115" t="str">
        <f t="shared" si="95"/>
        <v/>
      </c>
      <c r="F1477" s="115" t="str">
        <f t="shared" si="96"/>
        <v/>
      </c>
      <c r="G1477" s="116" t="str">
        <f>IF(ISNONTEXT(D1477),"",E1477-MAX($F$2:F1476))</f>
        <v/>
      </c>
      <c r="H1477" s="97"/>
      <c r="I1477" s="74" t="str">
        <f ca="1">IF(D1477="N",COUNTIF(INDIRECT(ADDRESS(MATCH(Plages!$D$19,'Planning annuel mixing coater'!$B:$B),4)):D1477,"N"),IF(D1477="N1",COUNTIF($D$9:D1477,"N1"),""))</f>
        <v/>
      </c>
      <c r="J1477" s="96" t="str">
        <f>IF(D1477="","",COUNTA(D1472:D1477)-(COUNTA(D1477:D1477)-1))</f>
        <v/>
      </c>
    </row>
    <row r="1478" spans="1:10" thickBot="1">
      <c r="A1478" s="117"/>
      <c r="B1478" s="70">
        <f t="shared" si="97"/>
        <v>45270</v>
      </c>
      <c r="C1478" s="82" t="str">
        <f t="shared" si="94"/>
        <v>dimanche</v>
      </c>
      <c r="D1478" s="87"/>
      <c r="E1478" s="115" t="str">
        <f t="shared" si="95"/>
        <v/>
      </c>
      <c r="F1478" s="115" t="str">
        <f t="shared" si="96"/>
        <v/>
      </c>
      <c r="G1478" s="116" t="str">
        <f>IF(ISNONTEXT(D1478),"",E1478-MAX($F$2:F1477))</f>
        <v/>
      </c>
      <c r="H1478" s="98"/>
      <c r="I1478" s="74" t="str">
        <f ca="1">IF(D1478="N",COUNTIF(INDIRECT(ADDRESS(MATCH(Plages!$D$19,'Planning annuel mixing coater'!$B:$B),4)):D1478,"N"),IF(D1478="N1",COUNTIF($D$9:D1478,"N1"),""))</f>
        <v/>
      </c>
      <c r="J1478" s="96" t="str">
        <f>IF(D1478="","",COUNTA(D1472:D1478)-(COUNTA(D1478:D1478)-1))</f>
        <v/>
      </c>
    </row>
    <row r="1479" spans="1:10" thickBot="1">
      <c r="A1479" s="117"/>
      <c r="B1479" s="70">
        <f t="shared" si="97"/>
        <v>45271</v>
      </c>
      <c r="C1479" s="82" t="str">
        <f t="shared" si="94"/>
        <v>lundi</v>
      </c>
      <c r="D1479" s="87"/>
      <c r="E1479" s="115" t="str">
        <f t="shared" si="95"/>
        <v/>
      </c>
      <c r="F1479" s="115" t="str">
        <f t="shared" si="96"/>
        <v/>
      </c>
      <c r="G1479" s="116" t="str">
        <f>IF(ISNONTEXT(D1479),"",E1479-MAX($F$2:F1478))</f>
        <v/>
      </c>
      <c r="H1479" s="97"/>
      <c r="I1479" s="74" t="str">
        <f ca="1">IF(D1479="N",COUNTIF(INDIRECT(ADDRESS(MATCH(Plages!$D$19,'Planning annuel mixing coater'!$B:$B),4)):D1479,"N"),IF(D1479="N1",COUNTIF($D$9:D1479,"N1"),""))</f>
        <v/>
      </c>
      <c r="J1479" s="96" t="str">
        <f>IF(D1479="","",COUNTA(D1472:D1479)-(COUNTA(D1479:D1479)-1))</f>
        <v/>
      </c>
    </row>
    <row r="1480" spans="1:10" thickBot="1">
      <c r="A1480" s="117"/>
      <c r="B1480" s="70">
        <f t="shared" si="97"/>
        <v>45272</v>
      </c>
      <c r="C1480" s="82" t="str">
        <f t="shared" si="94"/>
        <v>mardi</v>
      </c>
      <c r="D1480" s="87"/>
      <c r="E1480" s="115" t="str">
        <f t="shared" si="95"/>
        <v/>
      </c>
      <c r="F1480" s="115" t="str">
        <f t="shared" si="96"/>
        <v/>
      </c>
      <c r="G1480" s="116" t="str">
        <f>IF(ISNONTEXT(D1480),"",E1480-MAX($F$2:F1479))</f>
        <v/>
      </c>
      <c r="H1480" s="97"/>
      <c r="I1480" s="74" t="str">
        <f ca="1">IF(D1480="N",COUNTIF(INDIRECT(ADDRESS(MATCH(Plages!$D$19,'Planning annuel mixing coater'!$B:$B),4)):D1480,"N"),IF(D1480="N1",COUNTIF($D$9:D1480,"N1"),""))</f>
        <v/>
      </c>
      <c r="J1480" s="96" t="str">
        <f>IF(D1480="","",COUNTA(D1472:D1480)-(COUNTA(D1480:D1480)-1))</f>
        <v/>
      </c>
    </row>
    <row r="1481" spans="1:10" thickBot="1">
      <c r="A1481" s="117"/>
      <c r="B1481" s="70">
        <f t="shared" si="97"/>
        <v>45273</v>
      </c>
      <c r="C1481" s="82" t="str">
        <f t="shared" si="94"/>
        <v>mercredi</v>
      </c>
      <c r="D1481" s="87"/>
      <c r="E1481" s="115" t="str">
        <f t="shared" si="95"/>
        <v/>
      </c>
      <c r="F1481" s="115" t="str">
        <f t="shared" si="96"/>
        <v/>
      </c>
      <c r="G1481" s="116" t="str">
        <f>IF(ISNONTEXT(D1481),"",E1481-MAX($F$2:F1480))</f>
        <v/>
      </c>
      <c r="H1481" s="97"/>
      <c r="I1481" s="74" t="str">
        <f ca="1">IF(D1481="N",COUNTIF(INDIRECT(ADDRESS(MATCH(Plages!$D$19,'Planning annuel mixing coater'!$B:$B),4)):D1481,"N"),IF(D1481="N1",COUNTIF($D$9:D1481,"N1"),""))</f>
        <v/>
      </c>
      <c r="J1481" s="96" t="str">
        <f>IF(D1481="","",COUNTA(D1472:D1481)-(COUNTA(D1481:D1481)-1))</f>
        <v/>
      </c>
    </row>
    <row r="1482" spans="1:10" thickBot="1">
      <c r="A1482" s="117"/>
      <c r="B1482" s="70">
        <f t="shared" si="97"/>
        <v>45274</v>
      </c>
      <c r="C1482" s="82" t="str">
        <f t="shared" si="94"/>
        <v>jeudi</v>
      </c>
      <c r="D1482" s="87"/>
      <c r="E1482" s="115" t="str">
        <f t="shared" si="95"/>
        <v/>
      </c>
      <c r="F1482" s="115" t="str">
        <f t="shared" si="96"/>
        <v/>
      </c>
      <c r="G1482" s="116" t="str">
        <f>IF(ISNONTEXT(D1482),"",E1482-MAX($F$2:F1481))</f>
        <v/>
      </c>
      <c r="H1482" s="97"/>
      <c r="I1482" s="74" t="str">
        <f ca="1">IF(D1482="N",COUNTIF(INDIRECT(ADDRESS(MATCH(Plages!$D$19,'Planning annuel mixing coater'!$B:$B),4)):D1482,"N"),IF(D1482="N1",COUNTIF($D$9:D1482,"N1"),""))</f>
        <v/>
      </c>
      <c r="J1482" s="96" t="str">
        <f>IF(D1482="","",COUNTA(D1472:D1482)-(COUNTA(D1482:D1482)-1))</f>
        <v/>
      </c>
    </row>
    <row r="1483" spans="1:10" thickBot="1">
      <c r="A1483" s="117"/>
      <c r="B1483" s="70">
        <f t="shared" si="97"/>
        <v>45275</v>
      </c>
      <c r="C1483" s="82" t="str">
        <f t="shared" si="94"/>
        <v>vendredi</v>
      </c>
      <c r="D1483" s="87"/>
      <c r="E1483" s="115" t="str">
        <f t="shared" si="95"/>
        <v/>
      </c>
      <c r="F1483" s="115" t="str">
        <f t="shared" si="96"/>
        <v/>
      </c>
      <c r="G1483" s="116" t="str">
        <f>IF(ISNONTEXT(D1483),"",E1483-MAX($F$2:F1482))</f>
        <v/>
      </c>
      <c r="H1483" s="97"/>
      <c r="I1483" s="74" t="str">
        <f ca="1">IF(D1483="N",COUNTIF(INDIRECT(ADDRESS(MATCH(Plages!$D$19,'Planning annuel mixing coater'!$B:$B),4)):D1483,"N"),IF(D1483="N1",COUNTIF($D$9:D1483,"N1"),""))</f>
        <v/>
      </c>
      <c r="J1483" s="96" t="str">
        <f>IF(D1483="","",COUNTA(D1472:D1483)-(COUNTA(D1483:D1483)-1))</f>
        <v/>
      </c>
    </row>
    <row r="1484" spans="1:10" thickBot="1">
      <c r="A1484" s="117"/>
      <c r="B1484" s="70">
        <f t="shared" si="97"/>
        <v>45276</v>
      </c>
      <c r="C1484" s="82" t="str">
        <f t="shared" si="94"/>
        <v>samedi</v>
      </c>
      <c r="D1484" s="87"/>
      <c r="E1484" s="115" t="str">
        <f t="shared" si="95"/>
        <v/>
      </c>
      <c r="F1484" s="115" t="str">
        <f t="shared" si="96"/>
        <v/>
      </c>
      <c r="G1484" s="116" t="str">
        <f>IF(ISNONTEXT(D1484),"",E1484-MAX($F$2:F1483))</f>
        <v/>
      </c>
      <c r="H1484" s="97"/>
      <c r="I1484" s="74" t="str">
        <f ca="1">IF(D1484="N",COUNTIF(INDIRECT(ADDRESS(MATCH(Plages!$D$19,'Planning annuel mixing coater'!$B:$B),4)):D1484,"N"),IF(D1484="N1",COUNTIF($D$9:D1484,"N1"),""))</f>
        <v/>
      </c>
      <c r="J1484" s="96" t="str">
        <f>IF(D1484="","",COUNTA(D1472:D1484)-(COUNTA(D1484:D1484)-1))</f>
        <v/>
      </c>
    </row>
    <row r="1485" spans="1:10" s="77" customFormat="1" thickBot="1">
      <c r="A1485" s="117"/>
      <c r="B1485" s="75">
        <f t="shared" si="97"/>
        <v>45277</v>
      </c>
      <c r="C1485" s="83" t="str">
        <f t="shared" si="94"/>
        <v>dimanche</v>
      </c>
      <c r="D1485" s="88"/>
      <c r="E1485" s="115" t="str">
        <f t="shared" si="95"/>
        <v/>
      </c>
      <c r="F1485" s="115" t="str">
        <f t="shared" si="96"/>
        <v/>
      </c>
      <c r="G1485" s="116" t="str">
        <f>IF(ISNONTEXT(D1485),"",E1485-MAX($F$2:F1484))</f>
        <v/>
      </c>
      <c r="H1485" s="98"/>
      <c r="I1485" s="76" t="str">
        <f ca="1">IF(D1485="N",COUNTIF(INDIRECT(ADDRESS(MATCH(Plages!$D$19,'Planning annuel mixing coater'!$B:$B),4)):D1485,"N"),IF(D1485="N1",COUNTIF($D$9:D1485,"N1"),""))</f>
        <v/>
      </c>
      <c r="J1485" s="99" t="str">
        <f>IF(D1485="","",COUNTA(D1472:D1485)-(COUNTA(D1485:D1485)-1))</f>
        <v/>
      </c>
    </row>
    <row r="1486" spans="1:10" ht="16.5" thickTop="1" thickBot="1">
      <c r="A1486" s="117"/>
      <c r="B1486" s="78">
        <f t="shared" si="97"/>
        <v>45278</v>
      </c>
      <c r="C1486" s="81" t="str">
        <f t="shared" si="94"/>
        <v>lundi</v>
      </c>
      <c r="D1486" s="89"/>
      <c r="E1486" s="115" t="str">
        <f t="shared" si="95"/>
        <v/>
      </c>
      <c r="F1486" s="115" t="str">
        <f t="shared" si="96"/>
        <v/>
      </c>
      <c r="G1486" s="116" t="str">
        <f>IF(ISNONTEXT(D1486),"",E1486-MAX($F$2:F1485))</f>
        <v/>
      </c>
      <c r="H1486" s="100"/>
      <c r="I1486" s="79" t="str">
        <f ca="1">IF(D1486="N",COUNTIF(INDIRECT(ADDRESS(MATCH(Plages!$D$19,'Planning annuel mixing coater'!$B:$B),4)):D1486,"N"),IF(D1486="N1",COUNTIF($D$9:D1486,"N1"),""))</f>
        <v/>
      </c>
      <c r="J1486" s="101" t="str">
        <f>IF(D1486="","",COUNTA(D1486:D1486)-(COUNTA(D1486:D1486)-1))</f>
        <v/>
      </c>
    </row>
    <row r="1487" spans="1:10" thickBot="1">
      <c r="A1487" s="117"/>
      <c r="B1487" s="70">
        <f t="shared" si="97"/>
        <v>45279</v>
      </c>
      <c r="C1487" s="82" t="str">
        <f t="shared" si="94"/>
        <v>mardi</v>
      </c>
      <c r="D1487" s="87"/>
      <c r="E1487" s="115" t="str">
        <f t="shared" si="95"/>
        <v/>
      </c>
      <c r="F1487" s="115" t="str">
        <f t="shared" si="96"/>
        <v/>
      </c>
      <c r="G1487" s="116" t="str">
        <f>IF(ISNONTEXT(D1487),"",E1487-MAX($F$2:F1486))</f>
        <v/>
      </c>
      <c r="H1487" s="97"/>
      <c r="I1487" s="74" t="str">
        <f ca="1">IF(D1487="N",COUNTIF(INDIRECT(ADDRESS(MATCH(Plages!$D$19,'Planning annuel mixing coater'!$B:$B),4)):D1487,"N"),IF(D1487="N1",COUNTIF($D$9:D1487,"N1"),""))</f>
        <v/>
      </c>
      <c r="J1487" s="96" t="str">
        <f>IF(D1487="","",COUNTA(D1486:D1487)-(COUNTA(D1487:D1487)-1))</f>
        <v/>
      </c>
    </row>
    <row r="1488" spans="1:10" thickBot="1">
      <c r="A1488" s="117"/>
      <c r="B1488" s="70">
        <f t="shared" si="97"/>
        <v>45280</v>
      </c>
      <c r="C1488" s="82" t="str">
        <f t="shared" si="94"/>
        <v>mercredi</v>
      </c>
      <c r="D1488" s="87"/>
      <c r="E1488" s="115" t="str">
        <f t="shared" si="95"/>
        <v/>
      </c>
      <c r="F1488" s="115" t="str">
        <f t="shared" si="96"/>
        <v/>
      </c>
      <c r="G1488" s="116" t="str">
        <f>IF(ISNONTEXT(D1488),"",E1488-MAX($F$2:F1487))</f>
        <v/>
      </c>
      <c r="H1488" s="97"/>
      <c r="I1488" s="74" t="str">
        <f ca="1">IF(D1488="N",COUNTIF(INDIRECT(ADDRESS(MATCH(Plages!$D$19,'Planning annuel mixing coater'!$B:$B),4)):D1488,"N"),IF(D1488="N1",COUNTIF($D$9:D1488,"N1"),""))</f>
        <v/>
      </c>
      <c r="J1488" s="96" t="str">
        <f>IF(D1488="","",COUNTA(D1486:D1488)-(COUNTA(D1488:D1488)-1))</f>
        <v/>
      </c>
    </row>
    <row r="1489" spans="1:10" thickBot="1">
      <c r="A1489" s="117"/>
      <c r="B1489" s="70">
        <f t="shared" si="97"/>
        <v>45281</v>
      </c>
      <c r="C1489" s="82" t="str">
        <f t="shared" si="94"/>
        <v>jeudi</v>
      </c>
      <c r="D1489" s="87"/>
      <c r="E1489" s="115" t="str">
        <f t="shared" si="95"/>
        <v/>
      </c>
      <c r="F1489" s="115" t="str">
        <f t="shared" si="96"/>
        <v/>
      </c>
      <c r="G1489" s="116" t="str">
        <f>IF(ISNONTEXT(D1489),"",E1489-MAX($F$2:F1488))</f>
        <v/>
      </c>
      <c r="H1489" s="97"/>
      <c r="I1489" s="74" t="str">
        <f ca="1">IF(D1489="N",COUNTIF(INDIRECT(ADDRESS(MATCH(Plages!$D$19,'Planning annuel mixing coater'!$B:$B),4)):D1489,"N"),IF(D1489="N1",COUNTIF($D$9:D1489,"N1"),""))</f>
        <v/>
      </c>
      <c r="J1489" s="96" t="str">
        <f>IF(D1489="","",COUNTA(D1486:D1489)-(COUNTA(D1489:D1489)-1))</f>
        <v/>
      </c>
    </row>
    <row r="1490" spans="1:10" thickBot="1">
      <c r="A1490" s="117"/>
      <c r="B1490" s="70">
        <f t="shared" si="97"/>
        <v>45282</v>
      </c>
      <c r="C1490" s="82" t="str">
        <f t="shared" si="94"/>
        <v>vendredi</v>
      </c>
      <c r="D1490" s="87"/>
      <c r="E1490" s="115" t="str">
        <f t="shared" si="95"/>
        <v/>
      </c>
      <c r="F1490" s="115" t="str">
        <f t="shared" si="96"/>
        <v/>
      </c>
      <c r="G1490" s="116" t="str">
        <f>IF(ISNONTEXT(D1490),"",E1490-MAX($F$2:F1489))</f>
        <v/>
      </c>
      <c r="H1490" s="97"/>
      <c r="I1490" s="74" t="str">
        <f ca="1">IF(D1490="N",COUNTIF(INDIRECT(ADDRESS(MATCH(Plages!$D$19,'Planning annuel mixing coater'!$B:$B),4)):D1490,"N"),IF(D1490="N1",COUNTIF($D$9:D1490,"N1"),""))</f>
        <v/>
      </c>
      <c r="J1490" s="96" t="str">
        <f>IF(D1490="","",COUNTA(D1486:D1490)-(COUNTA(D1490:D1490)-1))</f>
        <v/>
      </c>
    </row>
    <row r="1491" spans="1:10" thickBot="1">
      <c r="A1491" s="117"/>
      <c r="B1491" s="70">
        <f t="shared" si="97"/>
        <v>45283</v>
      </c>
      <c r="C1491" s="82" t="str">
        <f t="shared" si="94"/>
        <v>samedi</v>
      </c>
      <c r="D1491" s="87"/>
      <c r="E1491" s="115" t="str">
        <f t="shared" si="95"/>
        <v/>
      </c>
      <c r="F1491" s="115" t="str">
        <f t="shared" si="96"/>
        <v/>
      </c>
      <c r="G1491" s="116" t="str">
        <f>IF(ISNONTEXT(D1491),"",E1491-MAX($F$2:F1490))</f>
        <v/>
      </c>
      <c r="H1491" s="97"/>
      <c r="I1491" s="74" t="str">
        <f ca="1">IF(D1491="N",COUNTIF(INDIRECT(ADDRESS(MATCH(Plages!$D$19,'Planning annuel mixing coater'!$B:$B),4)):D1491,"N"),IF(D1491="N1",COUNTIF($D$9:D1491,"N1"),""))</f>
        <v/>
      </c>
      <c r="J1491" s="96" t="str">
        <f>IF(D1491="","",COUNTA(D1486:D1491)-(COUNTA(D1491:D1491)-1))</f>
        <v/>
      </c>
    </row>
    <row r="1492" spans="1:10" thickBot="1">
      <c r="A1492" s="117"/>
      <c r="B1492" s="70">
        <f t="shared" si="97"/>
        <v>45284</v>
      </c>
      <c r="C1492" s="82" t="str">
        <f t="shared" si="94"/>
        <v>dimanche</v>
      </c>
      <c r="D1492" s="87"/>
      <c r="E1492" s="115" t="str">
        <f t="shared" si="95"/>
        <v/>
      </c>
      <c r="F1492" s="115" t="str">
        <f t="shared" si="96"/>
        <v/>
      </c>
      <c r="G1492" s="116" t="str">
        <f>IF(ISNONTEXT(D1492),"",E1492-MAX($F$2:F1491))</f>
        <v/>
      </c>
      <c r="H1492" s="98"/>
      <c r="I1492" s="74" t="str">
        <f ca="1">IF(D1492="N",COUNTIF(INDIRECT(ADDRESS(MATCH(Plages!$D$19,'Planning annuel mixing coater'!$B:$B),4)):D1492,"N"),IF(D1492="N1",COUNTIF($D$9:D1492,"N1"),""))</f>
        <v/>
      </c>
      <c r="J1492" s="96" t="str">
        <f>IF(D1492="","",COUNTA(D1486:D1492)-(COUNTA(D1492:D1492)-1))</f>
        <v/>
      </c>
    </row>
    <row r="1493" spans="1:10" thickBot="1">
      <c r="A1493" s="117"/>
      <c r="B1493" s="70">
        <f t="shared" si="97"/>
        <v>45285</v>
      </c>
      <c r="C1493" s="82" t="str">
        <f t="shared" si="94"/>
        <v>lundi</v>
      </c>
      <c r="D1493" s="87"/>
      <c r="E1493" s="115" t="str">
        <f t="shared" si="95"/>
        <v/>
      </c>
      <c r="F1493" s="115" t="str">
        <f t="shared" si="96"/>
        <v/>
      </c>
      <c r="G1493" s="116" t="str">
        <f>IF(ISNONTEXT(D1493),"",E1493-MAX($F$2:F1492))</f>
        <v/>
      </c>
      <c r="H1493" s="97"/>
      <c r="I1493" s="74" t="str">
        <f ca="1">IF(D1493="N",COUNTIF(INDIRECT(ADDRESS(MATCH(Plages!$D$19,'Planning annuel mixing coater'!$B:$B),4)):D1493,"N"),IF(D1493="N1",COUNTIF($D$9:D1493,"N1"),""))</f>
        <v/>
      </c>
      <c r="J1493" s="96" t="str">
        <f>IF(D1493="","",COUNTA(D1486:D1493)-(COUNTA(D1493:D1493)-1))</f>
        <v/>
      </c>
    </row>
    <row r="1494" spans="1:10" thickBot="1">
      <c r="A1494" s="117"/>
      <c r="B1494" s="70">
        <f t="shared" si="97"/>
        <v>45286</v>
      </c>
      <c r="C1494" s="82" t="str">
        <f t="shared" si="94"/>
        <v>mardi</v>
      </c>
      <c r="D1494" s="87"/>
      <c r="E1494" s="115" t="str">
        <f t="shared" si="95"/>
        <v/>
      </c>
      <c r="F1494" s="115" t="str">
        <f t="shared" si="96"/>
        <v/>
      </c>
      <c r="G1494" s="116" t="str">
        <f>IF(ISNONTEXT(D1494),"",E1494-MAX($F$2:F1493))</f>
        <v/>
      </c>
      <c r="H1494" s="97"/>
      <c r="I1494" s="74" t="str">
        <f ca="1">IF(D1494="N",COUNTIF(INDIRECT(ADDRESS(MATCH(Plages!$D$19,'Planning annuel mixing coater'!$B:$B),4)):D1494,"N"),IF(D1494="N1",COUNTIF($D$9:D1494,"N1"),""))</f>
        <v/>
      </c>
      <c r="J1494" s="96" t="str">
        <f>IF(D1494="","",COUNTA(D1486:D1494)-(COUNTA(D1494:D1494)-1))</f>
        <v/>
      </c>
    </row>
    <row r="1495" spans="1:10" thickBot="1">
      <c r="A1495" s="117"/>
      <c r="B1495" s="70">
        <f t="shared" si="97"/>
        <v>45287</v>
      </c>
      <c r="C1495" s="82" t="str">
        <f t="shared" si="94"/>
        <v>mercredi</v>
      </c>
      <c r="D1495" s="87"/>
      <c r="E1495" s="115" t="str">
        <f t="shared" si="95"/>
        <v/>
      </c>
      <c r="F1495" s="115" t="str">
        <f t="shared" si="96"/>
        <v/>
      </c>
      <c r="G1495" s="116" t="str">
        <f>IF(ISNONTEXT(D1495),"",E1495-MAX($F$2:F1494))</f>
        <v/>
      </c>
      <c r="H1495" s="97"/>
      <c r="I1495" s="74" t="str">
        <f ca="1">IF(D1495="N",COUNTIF(INDIRECT(ADDRESS(MATCH(Plages!$D$19,'Planning annuel mixing coater'!$B:$B),4)):D1495,"N"),IF(D1495="N1",COUNTIF($D$9:D1495,"N1"),""))</f>
        <v/>
      </c>
      <c r="J1495" s="96" t="str">
        <f>IF(D1495="","",COUNTA(D1486:D1495)-(COUNTA(D1495:D1495)-1))</f>
        <v/>
      </c>
    </row>
    <row r="1496" spans="1:10" thickBot="1">
      <c r="A1496" s="117"/>
      <c r="B1496" s="70">
        <f t="shared" si="97"/>
        <v>45288</v>
      </c>
      <c r="C1496" s="82" t="str">
        <f t="shared" si="94"/>
        <v>jeudi</v>
      </c>
      <c r="D1496" s="87"/>
      <c r="E1496" s="115" t="str">
        <f t="shared" si="95"/>
        <v/>
      </c>
      <c r="F1496" s="115" t="str">
        <f t="shared" si="96"/>
        <v/>
      </c>
      <c r="G1496" s="116" t="str">
        <f>IF(ISNONTEXT(D1496),"",E1496-MAX($F$2:F1495))</f>
        <v/>
      </c>
      <c r="H1496" s="97"/>
      <c r="I1496" s="74" t="str">
        <f ca="1">IF(D1496="N",COUNTIF(INDIRECT(ADDRESS(MATCH(Plages!$D$19,'Planning annuel mixing coater'!$B:$B),4)):D1496,"N"),IF(D1496="N1",COUNTIF($D$9:D1496,"N1"),""))</f>
        <v/>
      </c>
      <c r="J1496" s="96" t="str">
        <f>IF(D1496="","",COUNTA(D1486:D1496)-(COUNTA(D1496:D1496)-1))</f>
        <v/>
      </c>
    </row>
    <row r="1497" spans="1:10" thickBot="1">
      <c r="A1497" s="117"/>
      <c r="B1497" s="70">
        <f t="shared" si="97"/>
        <v>45289</v>
      </c>
      <c r="C1497" s="82" t="str">
        <f t="shared" si="94"/>
        <v>vendredi</v>
      </c>
      <c r="D1497" s="87"/>
      <c r="E1497" s="115" t="str">
        <f t="shared" si="95"/>
        <v/>
      </c>
      <c r="F1497" s="115" t="str">
        <f t="shared" si="96"/>
        <v/>
      </c>
      <c r="G1497" s="116" t="str">
        <f>IF(ISNONTEXT(D1497),"",E1497-MAX($F$2:F1496))</f>
        <v/>
      </c>
      <c r="H1497" s="97"/>
      <c r="I1497" s="74" t="str">
        <f ca="1">IF(D1497="N",COUNTIF(INDIRECT(ADDRESS(MATCH(Plages!$D$19,'Planning annuel mixing coater'!$B:$B),4)):D1497,"N"),IF(D1497="N1",COUNTIF($D$9:D1497,"N1"),""))</f>
        <v/>
      </c>
      <c r="J1497" s="96" t="str">
        <f>IF(D1497="","",COUNTA(D1486:D1497)-(COUNTA(D1497:D1497)-1))</f>
        <v/>
      </c>
    </row>
    <row r="1498" spans="1:10" thickBot="1">
      <c r="A1498" s="117"/>
      <c r="B1498" s="70">
        <f t="shared" si="97"/>
        <v>45290</v>
      </c>
      <c r="C1498" s="82" t="str">
        <f t="shared" si="94"/>
        <v>samedi</v>
      </c>
      <c r="D1498" s="87"/>
      <c r="E1498" s="115" t="str">
        <f t="shared" si="95"/>
        <v/>
      </c>
      <c r="F1498" s="115" t="str">
        <f t="shared" si="96"/>
        <v/>
      </c>
      <c r="G1498" s="116" t="str">
        <f>IF(ISNONTEXT(D1498),"",E1498-MAX($F$2:F1497))</f>
        <v/>
      </c>
      <c r="H1498" s="97"/>
      <c r="I1498" s="74" t="str">
        <f ca="1">IF(D1498="N",COUNTIF(INDIRECT(ADDRESS(MATCH(Plages!$D$19,'Planning annuel mixing coater'!$B:$B),4)):D1498,"N"),IF(D1498="N1",COUNTIF($D$9:D1498,"N1"),""))</f>
        <v/>
      </c>
      <c r="J1498" s="96" t="str">
        <f>IF(D1498="","",COUNTA(D1486:D1498)-(COUNTA(D1498:D1498)-1))</f>
        <v/>
      </c>
    </row>
    <row r="1499" spans="1:10" s="77" customFormat="1" thickBot="1">
      <c r="A1499" s="117"/>
      <c r="B1499" s="75">
        <f t="shared" si="97"/>
        <v>45291</v>
      </c>
      <c r="C1499" s="83" t="str">
        <f t="shared" si="94"/>
        <v>dimanche</v>
      </c>
      <c r="D1499" s="88"/>
      <c r="E1499" s="115" t="str">
        <f t="shared" si="95"/>
        <v/>
      </c>
      <c r="F1499" s="115" t="str">
        <f t="shared" si="96"/>
        <v/>
      </c>
      <c r="G1499" s="116" t="str">
        <f>IF(ISNONTEXT(D1499),"",E1499-MAX($F$2:F1498))</f>
        <v/>
      </c>
      <c r="H1499" s="98"/>
      <c r="I1499" s="76" t="str">
        <f ca="1">IF(D1499="N",COUNTIF(INDIRECT(ADDRESS(MATCH(Plages!$D$19,'Planning annuel mixing coater'!$B:$B),4)):D1499,"N"),IF(D1499="N1",COUNTIF($D$9:D1499,"N1"),""))</f>
        <v/>
      </c>
      <c r="J1499" s="99" t="str">
        <f>IF(D1499="","",COUNTA(D1486:D1499)-(COUNTA(D1499:D1499)-1))</f>
        <v/>
      </c>
    </row>
    <row r="1500" spans="1:10" ht="16.5" thickTop="1" thickBot="1">
      <c r="A1500" s="117"/>
      <c r="B1500" s="78">
        <f t="shared" si="97"/>
        <v>45292</v>
      </c>
      <c r="C1500" s="81" t="str">
        <f t="shared" si="94"/>
        <v>lundi</v>
      </c>
      <c r="D1500" s="89"/>
      <c r="E1500" s="115" t="str">
        <f t="shared" si="95"/>
        <v/>
      </c>
      <c r="F1500" s="115" t="str">
        <f t="shared" si="96"/>
        <v/>
      </c>
      <c r="G1500" s="116" t="str">
        <f>IF(ISNONTEXT(D1500),"",E1500-MAX($F$2:F1499))</f>
        <v/>
      </c>
      <c r="H1500" s="100"/>
      <c r="I1500" s="79" t="str">
        <f ca="1">IF(D1500="N",COUNTIF(INDIRECT(ADDRESS(MATCH(Plages!$D$19,'Planning annuel mixing coater'!$B:$B),4)):D1500,"N"),IF(D1500="N1",COUNTIF($D$9:D1500,"N1"),""))</f>
        <v/>
      </c>
      <c r="J1500" s="101" t="str">
        <f>IF(D1500="","",COUNTA(D1500:D1500)-(COUNTA(D1500:D1500)-1))</f>
        <v/>
      </c>
    </row>
    <row r="1501" spans="1:10" thickBot="1">
      <c r="A1501" s="117"/>
      <c r="B1501" s="70">
        <f t="shared" si="97"/>
        <v>45293</v>
      </c>
      <c r="C1501" s="82" t="str">
        <f t="shared" si="94"/>
        <v>mardi</v>
      </c>
      <c r="D1501" s="87"/>
      <c r="E1501" s="115" t="str">
        <f t="shared" si="95"/>
        <v/>
      </c>
      <c r="F1501" s="115" t="str">
        <f t="shared" si="96"/>
        <v/>
      </c>
      <c r="G1501" s="116" t="str">
        <f>IF(ISNONTEXT(D1501),"",E1501-MAX($F$2:F1500))</f>
        <v/>
      </c>
      <c r="H1501" s="97"/>
      <c r="I1501" s="74" t="str">
        <f ca="1">IF(D1501="N",COUNTIF(INDIRECT(ADDRESS(MATCH(Plages!$D$19,'Planning annuel mixing coater'!$B:$B),4)):D1501,"N"),IF(D1501="N1",COUNTIF($D$9:D1501,"N1"),""))</f>
        <v/>
      </c>
      <c r="J1501" s="96" t="str">
        <f>IF(D1501="","",COUNTA(D1500:D1501)-(COUNTA(D1501:D1501)-1))</f>
        <v/>
      </c>
    </row>
    <row r="1502" spans="1:10" thickBot="1">
      <c r="A1502" s="117"/>
      <c r="B1502" s="70">
        <f t="shared" si="97"/>
        <v>45294</v>
      </c>
      <c r="C1502" s="82" t="str">
        <f t="shared" ref="C1502:C1565" si="98">IF(B1502="","",TEXT(B1502,"jjjj"))</f>
        <v>mercredi</v>
      </c>
      <c r="D1502" s="87"/>
      <c r="E1502" s="115" t="str">
        <f t="shared" ref="E1502:E1565" si="99">IF(D1502="","",B1502+VLOOKUP(D1502,Plageh,2,0))</f>
        <v/>
      </c>
      <c r="F1502" s="115" t="str">
        <f t="shared" ref="F1502:F1565" si="100">IF(D1502="","",B1502+VLOOKUP(D1502,Plageh,3,0))</f>
        <v/>
      </c>
      <c r="G1502" s="116" t="str">
        <f>IF(ISNONTEXT(D1502),"",E1502-MAX($F$2:F1501))</f>
        <v/>
      </c>
      <c r="H1502" s="97"/>
      <c r="I1502" s="74" t="str">
        <f ca="1">IF(D1502="N",COUNTIF(INDIRECT(ADDRESS(MATCH(Plages!$D$19,'Planning annuel mixing coater'!$B:$B),4)):D1502,"N"),IF(D1502="N1",COUNTIF($D$9:D1502,"N1"),""))</f>
        <v/>
      </c>
      <c r="J1502" s="96" t="str">
        <f>IF(D1502="","",COUNTA(D1500:D1502)-(COUNTA(D1502:D1502)-1))</f>
        <v/>
      </c>
    </row>
    <row r="1503" spans="1:10" thickBot="1">
      <c r="A1503" s="117"/>
      <c r="B1503" s="70">
        <f t="shared" si="97"/>
        <v>45295</v>
      </c>
      <c r="C1503" s="82" t="str">
        <f t="shared" si="98"/>
        <v>jeudi</v>
      </c>
      <c r="D1503" s="87"/>
      <c r="E1503" s="115" t="str">
        <f t="shared" si="99"/>
        <v/>
      </c>
      <c r="F1503" s="115" t="str">
        <f t="shared" si="100"/>
        <v/>
      </c>
      <c r="G1503" s="116" t="str">
        <f>IF(ISNONTEXT(D1503),"",E1503-MAX($F$2:F1502))</f>
        <v/>
      </c>
      <c r="H1503" s="97"/>
      <c r="I1503" s="74" t="str">
        <f ca="1">IF(D1503="N",COUNTIF(INDIRECT(ADDRESS(MATCH(Plages!$D$19,'Planning annuel mixing coater'!$B:$B),4)):D1503,"N"),IF(D1503="N1",COUNTIF($D$9:D1503,"N1"),""))</f>
        <v/>
      </c>
      <c r="J1503" s="96" t="str">
        <f>IF(D1503="","",COUNTA(D1500:D1503)-(COUNTA(D1503:D1503)-1))</f>
        <v/>
      </c>
    </row>
    <row r="1504" spans="1:10" thickBot="1">
      <c r="A1504" s="117"/>
      <c r="B1504" s="70">
        <f t="shared" si="97"/>
        <v>45296</v>
      </c>
      <c r="C1504" s="82" t="str">
        <f t="shared" si="98"/>
        <v>vendredi</v>
      </c>
      <c r="D1504" s="87"/>
      <c r="E1504" s="115" t="str">
        <f t="shared" si="99"/>
        <v/>
      </c>
      <c r="F1504" s="115" t="str">
        <f t="shared" si="100"/>
        <v/>
      </c>
      <c r="G1504" s="116" t="str">
        <f>IF(ISNONTEXT(D1504),"",E1504-MAX($F$2:F1503))</f>
        <v/>
      </c>
      <c r="H1504" s="97"/>
      <c r="I1504" s="74" t="str">
        <f ca="1">IF(D1504="N",COUNTIF(INDIRECT(ADDRESS(MATCH(Plages!$D$19,'Planning annuel mixing coater'!$B:$B),4)):D1504,"N"),IF(D1504="N1",COUNTIF($D$9:D1504,"N1"),""))</f>
        <v/>
      </c>
      <c r="J1504" s="96" t="str">
        <f>IF(D1504="","",COUNTA(D1500:D1504)-(COUNTA(D1504:D1504)-1))</f>
        <v/>
      </c>
    </row>
    <row r="1505" spans="1:10" thickBot="1">
      <c r="A1505" s="117"/>
      <c r="B1505" s="70">
        <f t="shared" si="97"/>
        <v>45297</v>
      </c>
      <c r="C1505" s="82" t="str">
        <f t="shared" si="98"/>
        <v>samedi</v>
      </c>
      <c r="D1505" s="87"/>
      <c r="E1505" s="115" t="str">
        <f t="shared" si="99"/>
        <v/>
      </c>
      <c r="F1505" s="115" t="str">
        <f t="shared" si="100"/>
        <v/>
      </c>
      <c r="G1505" s="116" t="str">
        <f>IF(ISNONTEXT(D1505),"",E1505-MAX($F$2:F1504))</f>
        <v/>
      </c>
      <c r="H1505" s="97"/>
      <c r="I1505" s="74" t="str">
        <f ca="1">IF(D1505="N",COUNTIF(INDIRECT(ADDRESS(MATCH(Plages!$D$19,'Planning annuel mixing coater'!$B:$B),4)):D1505,"N"),IF(D1505="N1",COUNTIF($D$9:D1505,"N1"),""))</f>
        <v/>
      </c>
      <c r="J1505" s="96" t="str">
        <f>IF(D1505="","",COUNTA(D1500:D1505)-(COUNTA(D1505:D1505)-1))</f>
        <v/>
      </c>
    </row>
    <row r="1506" spans="1:10" thickBot="1">
      <c r="A1506" s="117"/>
      <c r="B1506" s="70">
        <f t="shared" si="97"/>
        <v>45298</v>
      </c>
      <c r="C1506" s="82" t="str">
        <f t="shared" si="98"/>
        <v>dimanche</v>
      </c>
      <c r="D1506" s="87"/>
      <c r="E1506" s="115" t="str">
        <f t="shared" si="99"/>
        <v/>
      </c>
      <c r="F1506" s="115" t="str">
        <f t="shared" si="100"/>
        <v/>
      </c>
      <c r="G1506" s="116" t="str">
        <f>IF(ISNONTEXT(D1506),"",E1506-MAX($F$2:F1505))</f>
        <v/>
      </c>
      <c r="H1506" s="98"/>
      <c r="I1506" s="74" t="str">
        <f ca="1">IF(D1506="N",COUNTIF(INDIRECT(ADDRESS(MATCH(Plages!$D$19,'Planning annuel mixing coater'!$B:$B),4)):D1506,"N"),IF(D1506="N1",COUNTIF($D$9:D1506,"N1"),""))</f>
        <v/>
      </c>
      <c r="J1506" s="96" t="str">
        <f>IF(D1506="","",COUNTA(D1500:D1506)-(COUNTA(D1506:D1506)-1))</f>
        <v/>
      </c>
    </row>
    <row r="1507" spans="1:10" thickBot="1">
      <c r="A1507" s="117"/>
      <c r="B1507" s="70">
        <f t="shared" si="97"/>
        <v>45299</v>
      </c>
      <c r="C1507" s="82" t="str">
        <f t="shared" si="98"/>
        <v>lundi</v>
      </c>
      <c r="D1507" s="87"/>
      <c r="E1507" s="115" t="str">
        <f t="shared" si="99"/>
        <v/>
      </c>
      <c r="F1507" s="115" t="str">
        <f t="shared" si="100"/>
        <v/>
      </c>
      <c r="G1507" s="116" t="str">
        <f>IF(ISNONTEXT(D1507),"",E1507-MAX($F$2:F1506))</f>
        <v/>
      </c>
      <c r="H1507" s="97"/>
      <c r="I1507" s="74" t="str">
        <f ca="1">IF(D1507="N",COUNTIF(INDIRECT(ADDRESS(MATCH(Plages!$D$19,'Planning annuel mixing coater'!$B:$B),4)):D1507,"N"),IF(D1507="N1",COUNTIF($D$9:D1507,"N1"),""))</f>
        <v/>
      </c>
      <c r="J1507" s="96" t="str">
        <f>IF(D1507="","",COUNTA(D1500:D1507)-(COUNTA(D1507:D1507)-1))</f>
        <v/>
      </c>
    </row>
    <row r="1508" spans="1:10" thickBot="1">
      <c r="A1508" s="117"/>
      <c r="B1508" s="70">
        <f t="shared" si="97"/>
        <v>45300</v>
      </c>
      <c r="C1508" s="82" t="str">
        <f t="shared" si="98"/>
        <v>mardi</v>
      </c>
      <c r="D1508" s="87"/>
      <c r="E1508" s="115" t="str">
        <f t="shared" si="99"/>
        <v/>
      </c>
      <c r="F1508" s="115" t="str">
        <f t="shared" si="100"/>
        <v/>
      </c>
      <c r="G1508" s="116" t="str">
        <f>IF(ISNONTEXT(D1508),"",E1508-MAX($F$2:F1507))</f>
        <v/>
      </c>
      <c r="H1508" s="97"/>
      <c r="I1508" s="74" t="str">
        <f ca="1">IF(D1508="N",COUNTIF(INDIRECT(ADDRESS(MATCH(Plages!$D$19,'Planning annuel mixing coater'!$B:$B),4)):D1508,"N"),IF(D1508="N1",COUNTIF($D$9:D1508,"N1"),""))</f>
        <v/>
      </c>
      <c r="J1508" s="96" t="str">
        <f>IF(D1508="","",COUNTA(D1500:D1508)-(COUNTA(D1508:D1508)-1))</f>
        <v/>
      </c>
    </row>
    <row r="1509" spans="1:10" thickBot="1">
      <c r="A1509" s="117"/>
      <c r="B1509" s="70">
        <f t="shared" si="97"/>
        <v>45301</v>
      </c>
      <c r="C1509" s="82" t="str">
        <f t="shared" si="98"/>
        <v>mercredi</v>
      </c>
      <c r="D1509" s="87"/>
      <c r="E1509" s="115" t="str">
        <f t="shared" si="99"/>
        <v/>
      </c>
      <c r="F1509" s="115" t="str">
        <f t="shared" si="100"/>
        <v/>
      </c>
      <c r="G1509" s="116" t="str">
        <f>IF(ISNONTEXT(D1509),"",E1509-MAX($F$2:F1508))</f>
        <v/>
      </c>
      <c r="H1509" s="97"/>
      <c r="I1509" s="74" t="str">
        <f ca="1">IF(D1509="N",COUNTIF(INDIRECT(ADDRESS(MATCH(Plages!$D$19,'Planning annuel mixing coater'!$B:$B),4)):D1509,"N"),IF(D1509="N1",COUNTIF($D$9:D1509,"N1"),""))</f>
        <v/>
      </c>
      <c r="J1509" s="96" t="str">
        <f>IF(D1509="","",COUNTA(D1500:D1509)-(COUNTA(D1509:D1509)-1))</f>
        <v/>
      </c>
    </row>
    <row r="1510" spans="1:10" thickBot="1">
      <c r="A1510" s="117"/>
      <c r="B1510" s="70">
        <f t="shared" si="97"/>
        <v>45302</v>
      </c>
      <c r="C1510" s="82" t="str">
        <f t="shared" si="98"/>
        <v>jeudi</v>
      </c>
      <c r="D1510" s="87"/>
      <c r="E1510" s="115" t="str">
        <f t="shared" si="99"/>
        <v/>
      </c>
      <c r="F1510" s="115" t="str">
        <f t="shared" si="100"/>
        <v/>
      </c>
      <c r="G1510" s="116" t="str">
        <f>IF(ISNONTEXT(D1510),"",E1510-MAX($F$2:F1509))</f>
        <v/>
      </c>
      <c r="H1510" s="97"/>
      <c r="I1510" s="74" t="str">
        <f ca="1">IF(D1510="N",COUNTIF(INDIRECT(ADDRESS(MATCH(Plages!$D$19,'Planning annuel mixing coater'!$B:$B),4)):D1510,"N"),IF(D1510="N1",COUNTIF($D$9:D1510,"N1"),""))</f>
        <v/>
      </c>
      <c r="J1510" s="96" t="str">
        <f>IF(D1510="","",COUNTA(D1500:D1510)-(COUNTA(D1510:D1510)-1))</f>
        <v/>
      </c>
    </row>
    <row r="1511" spans="1:10" thickBot="1">
      <c r="A1511" s="117"/>
      <c r="B1511" s="70">
        <f t="shared" si="97"/>
        <v>45303</v>
      </c>
      <c r="C1511" s="82" t="str">
        <f t="shared" si="98"/>
        <v>vendredi</v>
      </c>
      <c r="D1511" s="87"/>
      <c r="E1511" s="115" t="str">
        <f t="shared" si="99"/>
        <v/>
      </c>
      <c r="F1511" s="115" t="str">
        <f t="shared" si="100"/>
        <v/>
      </c>
      <c r="G1511" s="116" t="str">
        <f>IF(ISNONTEXT(D1511),"",E1511-MAX($F$2:F1510))</f>
        <v/>
      </c>
      <c r="H1511" s="97"/>
      <c r="I1511" s="74" t="str">
        <f ca="1">IF(D1511="N",COUNTIF(INDIRECT(ADDRESS(MATCH(Plages!$D$19,'Planning annuel mixing coater'!$B:$B),4)):D1511,"N"),IF(D1511="N1",COUNTIF($D$9:D1511,"N1"),""))</f>
        <v/>
      </c>
      <c r="J1511" s="96" t="str">
        <f>IF(D1511="","",COUNTA(D1500:D1511)-(COUNTA(D1511:D1511)-1))</f>
        <v/>
      </c>
    </row>
    <row r="1512" spans="1:10" thickBot="1">
      <c r="A1512" s="117"/>
      <c r="B1512" s="70">
        <f t="shared" si="97"/>
        <v>45304</v>
      </c>
      <c r="C1512" s="82" t="str">
        <f t="shared" si="98"/>
        <v>samedi</v>
      </c>
      <c r="D1512" s="87"/>
      <c r="E1512" s="115" t="str">
        <f t="shared" si="99"/>
        <v/>
      </c>
      <c r="F1512" s="115" t="str">
        <f t="shared" si="100"/>
        <v/>
      </c>
      <c r="G1512" s="116" t="str">
        <f>IF(ISNONTEXT(D1512),"",E1512-MAX($F$2:F1511))</f>
        <v/>
      </c>
      <c r="H1512" s="97"/>
      <c r="I1512" s="74" t="str">
        <f ca="1">IF(D1512="N",COUNTIF(INDIRECT(ADDRESS(MATCH(Plages!$D$19,'Planning annuel mixing coater'!$B:$B),4)):D1512,"N"),IF(D1512="N1",COUNTIF($D$9:D1512,"N1"),""))</f>
        <v/>
      </c>
      <c r="J1512" s="96" t="str">
        <f>IF(D1512="","",COUNTA(D1500:D1512)-(COUNTA(D1512:D1512)-1))</f>
        <v/>
      </c>
    </row>
    <row r="1513" spans="1:10" s="77" customFormat="1" thickBot="1">
      <c r="A1513" s="117"/>
      <c r="B1513" s="75">
        <f t="shared" si="97"/>
        <v>45305</v>
      </c>
      <c r="C1513" s="83" t="str">
        <f t="shared" si="98"/>
        <v>dimanche</v>
      </c>
      <c r="D1513" s="88"/>
      <c r="E1513" s="115" t="str">
        <f t="shared" si="99"/>
        <v/>
      </c>
      <c r="F1513" s="115" t="str">
        <f t="shared" si="100"/>
        <v/>
      </c>
      <c r="G1513" s="116" t="str">
        <f>IF(ISNONTEXT(D1513),"",E1513-MAX($F$2:F1512))</f>
        <v/>
      </c>
      <c r="H1513" s="98"/>
      <c r="I1513" s="76" t="str">
        <f ca="1">IF(D1513="N",COUNTIF(INDIRECT(ADDRESS(MATCH(Plages!$D$19,'Planning annuel mixing coater'!$B:$B),4)):D1513,"N"),IF(D1513="N1",COUNTIF($D$9:D1513,"N1"),""))</f>
        <v/>
      </c>
      <c r="J1513" s="99" t="str">
        <f>IF(D1513="","",COUNTA(D1500:D1513)-(COUNTA(D1513:D1513)-1))</f>
        <v/>
      </c>
    </row>
    <row r="1514" spans="1:10" ht="16.5" thickTop="1" thickBot="1">
      <c r="A1514" s="117"/>
      <c r="B1514" s="78">
        <f t="shared" si="97"/>
        <v>45306</v>
      </c>
      <c r="C1514" s="81" t="str">
        <f t="shared" si="98"/>
        <v>lundi</v>
      </c>
      <c r="D1514" s="89"/>
      <c r="E1514" s="115" t="str">
        <f t="shared" si="99"/>
        <v/>
      </c>
      <c r="F1514" s="115" t="str">
        <f t="shared" si="100"/>
        <v/>
      </c>
      <c r="G1514" s="116" t="str">
        <f>IF(ISNONTEXT(D1514),"",E1514-MAX($F$2:F1513))</f>
        <v/>
      </c>
      <c r="H1514" s="100"/>
      <c r="I1514" s="79" t="str">
        <f ca="1">IF(D1514="N",COUNTIF(INDIRECT(ADDRESS(MATCH(Plages!$D$19,'Planning annuel mixing coater'!$B:$B),4)):D1514,"N"),IF(D1514="N1",COUNTIF($D$9:D1514,"N1"),""))</f>
        <v/>
      </c>
      <c r="J1514" s="101" t="str">
        <f>IF(D1514="","",COUNTA(D1514:D1514)-(COUNTA(D1514:D1514)-1))</f>
        <v/>
      </c>
    </row>
    <row r="1515" spans="1:10" thickBot="1">
      <c r="A1515" s="117"/>
      <c r="B1515" s="70">
        <f t="shared" si="97"/>
        <v>45307</v>
      </c>
      <c r="C1515" s="82" t="str">
        <f t="shared" si="98"/>
        <v>mardi</v>
      </c>
      <c r="D1515" s="87"/>
      <c r="E1515" s="115" t="str">
        <f t="shared" si="99"/>
        <v/>
      </c>
      <c r="F1515" s="115" t="str">
        <f t="shared" si="100"/>
        <v/>
      </c>
      <c r="G1515" s="116" t="str">
        <f>IF(ISNONTEXT(D1515),"",E1515-MAX($F$2:F1514))</f>
        <v/>
      </c>
      <c r="H1515" s="97"/>
      <c r="I1515" s="74" t="str">
        <f ca="1">IF(D1515="N",COUNTIF(INDIRECT(ADDRESS(MATCH(Plages!$D$19,'Planning annuel mixing coater'!$B:$B),4)):D1515,"N"),IF(D1515="N1",COUNTIF($D$9:D1515,"N1"),""))</f>
        <v/>
      </c>
      <c r="J1515" s="96" t="str">
        <f>IF(D1515="","",COUNTA(D1514:D1515)-(COUNTA(D1515:D1515)-1))</f>
        <v/>
      </c>
    </row>
    <row r="1516" spans="1:10" thickBot="1">
      <c r="A1516" s="117"/>
      <c r="B1516" s="70">
        <f t="shared" si="97"/>
        <v>45308</v>
      </c>
      <c r="C1516" s="82" t="str">
        <f t="shared" si="98"/>
        <v>mercredi</v>
      </c>
      <c r="D1516" s="87"/>
      <c r="E1516" s="115" t="str">
        <f t="shared" si="99"/>
        <v/>
      </c>
      <c r="F1516" s="115" t="str">
        <f t="shared" si="100"/>
        <v/>
      </c>
      <c r="G1516" s="116" t="str">
        <f>IF(ISNONTEXT(D1516),"",E1516-MAX($F$2:F1515))</f>
        <v/>
      </c>
      <c r="H1516" s="97"/>
      <c r="I1516" s="74" t="str">
        <f ca="1">IF(D1516="N",COUNTIF(INDIRECT(ADDRESS(MATCH(Plages!$D$19,'Planning annuel mixing coater'!$B:$B),4)):D1516,"N"),IF(D1516="N1",COUNTIF($D$9:D1516,"N1"),""))</f>
        <v/>
      </c>
      <c r="J1516" s="96" t="str">
        <f>IF(D1516="","",COUNTA(D1514:D1516)-(COUNTA(D1516:D1516)-1))</f>
        <v/>
      </c>
    </row>
    <row r="1517" spans="1:10" thickBot="1">
      <c r="A1517" s="117"/>
      <c r="B1517" s="70">
        <f t="shared" si="97"/>
        <v>45309</v>
      </c>
      <c r="C1517" s="82" t="str">
        <f t="shared" si="98"/>
        <v>jeudi</v>
      </c>
      <c r="D1517" s="87"/>
      <c r="E1517" s="115" t="str">
        <f t="shared" si="99"/>
        <v/>
      </c>
      <c r="F1517" s="115" t="str">
        <f t="shared" si="100"/>
        <v/>
      </c>
      <c r="G1517" s="116" t="str">
        <f>IF(ISNONTEXT(D1517),"",E1517-MAX($F$2:F1516))</f>
        <v/>
      </c>
      <c r="H1517" s="97"/>
      <c r="I1517" s="74" t="str">
        <f ca="1">IF(D1517="N",COUNTIF(INDIRECT(ADDRESS(MATCH(Plages!$D$19,'Planning annuel mixing coater'!$B:$B),4)):D1517,"N"),IF(D1517="N1",COUNTIF($D$9:D1517,"N1"),""))</f>
        <v/>
      </c>
      <c r="J1517" s="96" t="str">
        <f>IF(D1517="","",COUNTA(D1514:D1517)-(COUNTA(D1517:D1517)-1))</f>
        <v/>
      </c>
    </row>
    <row r="1518" spans="1:10" thickBot="1">
      <c r="A1518" s="117"/>
      <c r="B1518" s="70">
        <f t="shared" si="97"/>
        <v>45310</v>
      </c>
      <c r="C1518" s="82" t="str">
        <f t="shared" si="98"/>
        <v>vendredi</v>
      </c>
      <c r="D1518" s="87"/>
      <c r="E1518" s="115" t="str">
        <f t="shared" si="99"/>
        <v/>
      </c>
      <c r="F1518" s="115" t="str">
        <f t="shared" si="100"/>
        <v/>
      </c>
      <c r="G1518" s="116" t="str">
        <f>IF(ISNONTEXT(D1518),"",E1518-MAX($F$2:F1517))</f>
        <v/>
      </c>
      <c r="H1518" s="97"/>
      <c r="I1518" s="74" t="str">
        <f ca="1">IF(D1518="N",COUNTIF(INDIRECT(ADDRESS(MATCH(Plages!$D$19,'Planning annuel mixing coater'!$B:$B),4)):D1518,"N"),IF(D1518="N1",COUNTIF($D$9:D1518,"N1"),""))</f>
        <v/>
      </c>
      <c r="J1518" s="96" t="str">
        <f>IF(D1518="","",COUNTA(D1514:D1518)-(COUNTA(D1518:D1518)-1))</f>
        <v/>
      </c>
    </row>
    <row r="1519" spans="1:10" thickBot="1">
      <c r="A1519" s="117"/>
      <c r="B1519" s="70">
        <f t="shared" si="97"/>
        <v>45311</v>
      </c>
      <c r="C1519" s="82" t="str">
        <f t="shared" si="98"/>
        <v>samedi</v>
      </c>
      <c r="D1519" s="87"/>
      <c r="E1519" s="115" t="str">
        <f t="shared" si="99"/>
        <v/>
      </c>
      <c r="F1519" s="115" t="str">
        <f t="shared" si="100"/>
        <v/>
      </c>
      <c r="G1519" s="116" t="str">
        <f>IF(ISNONTEXT(D1519),"",E1519-MAX($F$2:F1518))</f>
        <v/>
      </c>
      <c r="H1519" s="97"/>
      <c r="I1519" s="74" t="str">
        <f ca="1">IF(D1519="N",COUNTIF(INDIRECT(ADDRESS(MATCH(Plages!$D$19,'Planning annuel mixing coater'!$B:$B),4)):D1519,"N"),IF(D1519="N1",COUNTIF($D$9:D1519,"N1"),""))</f>
        <v/>
      </c>
      <c r="J1519" s="96" t="str">
        <f>IF(D1519="","",COUNTA(D1514:D1519)-(COUNTA(D1519:D1519)-1))</f>
        <v/>
      </c>
    </row>
    <row r="1520" spans="1:10" thickBot="1">
      <c r="A1520" s="117"/>
      <c r="B1520" s="70">
        <f t="shared" si="97"/>
        <v>45312</v>
      </c>
      <c r="C1520" s="82" t="str">
        <f t="shared" si="98"/>
        <v>dimanche</v>
      </c>
      <c r="D1520" s="87"/>
      <c r="E1520" s="115" t="str">
        <f t="shared" si="99"/>
        <v/>
      </c>
      <c r="F1520" s="115" t="str">
        <f t="shared" si="100"/>
        <v/>
      </c>
      <c r="G1520" s="116" t="str">
        <f>IF(ISNONTEXT(D1520),"",E1520-MAX($F$2:F1519))</f>
        <v/>
      </c>
      <c r="H1520" s="98"/>
      <c r="I1520" s="74" t="str">
        <f ca="1">IF(D1520="N",COUNTIF(INDIRECT(ADDRESS(MATCH(Plages!$D$19,'Planning annuel mixing coater'!$B:$B),4)):D1520,"N"),IF(D1520="N1",COUNTIF($D$9:D1520,"N1"),""))</f>
        <v/>
      </c>
      <c r="J1520" s="96" t="str">
        <f>IF(D1520="","",COUNTA(D1514:D1520)-(COUNTA(D1520:D1520)-1))</f>
        <v/>
      </c>
    </row>
    <row r="1521" spans="1:10" thickBot="1">
      <c r="A1521" s="117"/>
      <c r="B1521" s="70">
        <f t="shared" si="97"/>
        <v>45313</v>
      </c>
      <c r="C1521" s="82" t="str">
        <f t="shared" si="98"/>
        <v>lundi</v>
      </c>
      <c r="D1521" s="87"/>
      <c r="E1521" s="115" t="str">
        <f t="shared" si="99"/>
        <v/>
      </c>
      <c r="F1521" s="115" t="str">
        <f t="shared" si="100"/>
        <v/>
      </c>
      <c r="G1521" s="116" t="str">
        <f>IF(ISNONTEXT(D1521),"",E1521-MAX($F$2:F1520))</f>
        <v/>
      </c>
      <c r="H1521" s="97"/>
      <c r="I1521" s="74" t="str">
        <f ca="1">IF(D1521="N",COUNTIF(INDIRECT(ADDRESS(MATCH(Plages!$D$19,'Planning annuel mixing coater'!$B:$B),4)):D1521,"N"),IF(D1521="N1",COUNTIF($D$9:D1521,"N1"),""))</f>
        <v/>
      </c>
      <c r="J1521" s="96" t="str">
        <f>IF(D1521="","",COUNTA(D1514:D1521)-(COUNTA(D1521:D1521)-1))</f>
        <v/>
      </c>
    </row>
    <row r="1522" spans="1:10" thickBot="1">
      <c r="A1522" s="117"/>
      <c r="B1522" s="70">
        <f t="shared" si="97"/>
        <v>45314</v>
      </c>
      <c r="C1522" s="82" t="str">
        <f t="shared" si="98"/>
        <v>mardi</v>
      </c>
      <c r="D1522" s="87"/>
      <c r="E1522" s="115" t="str">
        <f t="shared" si="99"/>
        <v/>
      </c>
      <c r="F1522" s="115" t="str">
        <f t="shared" si="100"/>
        <v/>
      </c>
      <c r="G1522" s="116" t="str">
        <f>IF(ISNONTEXT(D1522),"",E1522-MAX($F$2:F1521))</f>
        <v/>
      </c>
      <c r="H1522" s="97"/>
      <c r="I1522" s="74" t="str">
        <f ca="1">IF(D1522="N",COUNTIF(INDIRECT(ADDRESS(MATCH(Plages!$D$19,'Planning annuel mixing coater'!$B:$B),4)):D1522,"N"),IF(D1522="N1",COUNTIF($D$9:D1522,"N1"),""))</f>
        <v/>
      </c>
      <c r="J1522" s="96" t="str">
        <f>IF(D1522="","",COUNTA(D1514:D1522)-(COUNTA(D1522:D1522)-1))</f>
        <v/>
      </c>
    </row>
    <row r="1523" spans="1:10" thickBot="1">
      <c r="A1523" s="117"/>
      <c r="B1523" s="70">
        <f t="shared" si="97"/>
        <v>45315</v>
      </c>
      <c r="C1523" s="82" t="str">
        <f t="shared" si="98"/>
        <v>mercredi</v>
      </c>
      <c r="D1523" s="87"/>
      <c r="E1523" s="115" t="str">
        <f t="shared" si="99"/>
        <v/>
      </c>
      <c r="F1523" s="115" t="str">
        <f t="shared" si="100"/>
        <v/>
      </c>
      <c r="G1523" s="116" t="str">
        <f>IF(ISNONTEXT(D1523),"",E1523-MAX($F$2:F1522))</f>
        <v/>
      </c>
      <c r="H1523" s="97"/>
      <c r="I1523" s="74" t="str">
        <f ca="1">IF(D1523="N",COUNTIF(INDIRECT(ADDRESS(MATCH(Plages!$D$19,'Planning annuel mixing coater'!$B:$B),4)):D1523,"N"),IF(D1523="N1",COUNTIF($D$9:D1523,"N1"),""))</f>
        <v/>
      </c>
      <c r="J1523" s="96" t="str">
        <f>IF(D1523="","",COUNTA(D1514:D1523)-(COUNTA(D1523:D1523)-1))</f>
        <v/>
      </c>
    </row>
    <row r="1524" spans="1:10" thickBot="1">
      <c r="A1524" s="117"/>
      <c r="B1524" s="70">
        <f t="shared" si="97"/>
        <v>45316</v>
      </c>
      <c r="C1524" s="82" t="str">
        <f t="shared" si="98"/>
        <v>jeudi</v>
      </c>
      <c r="D1524" s="87"/>
      <c r="E1524" s="115" t="str">
        <f t="shared" si="99"/>
        <v/>
      </c>
      <c r="F1524" s="115" t="str">
        <f t="shared" si="100"/>
        <v/>
      </c>
      <c r="G1524" s="116" t="str">
        <f>IF(ISNONTEXT(D1524),"",E1524-MAX($F$2:F1523))</f>
        <v/>
      </c>
      <c r="H1524" s="97"/>
      <c r="I1524" s="74" t="str">
        <f ca="1">IF(D1524="N",COUNTIF(INDIRECT(ADDRESS(MATCH(Plages!$D$19,'Planning annuel mixing coater'!$B:$B),4)):D1524,"N"),IF(D1524="N1",COUNTIF($D$9:D1524,"N1"),""))</f>
        <v/>
      </c>
      <c r="J1524" s="96" t="str">
        <f>IF(D1524="","",COUNTA(D1514:D1524)-(COUNTA(D1524:D1524)-1))</f>
        <v/>
      </c>
    </row>
    <row r="1525" spans="1:10" thickBot="1">
      <c r="A1525" s="117"/>
      <c r="B1525" s="70">
        <f t="shared" si="97"/>
        <v>45317</v>
      </c>
      <c r="C1525" s="82" t="str">
        <f t="shared" si="98"/>
        <v>vendredi</v>
      </c>
      <c r="D1525" s="87"/>
      <c r="E1525" s="115" t="str">
        <f t="shared" si="99"/>
        <v/>
      </c>
      <c r="F1525" s="115" t="str">
        <f t="shared" si="100"/>
        <v/>
      </c>
      <c r="G1525" s="116" t="str">
        <f>IF(ISNONTEXT(D1525),"",E1525-MAX($F$2:F1524))</f>
        <v/>
      </c>
      <c r="H1525" s="97"/>
      <c r="I1525" s="74" t="str">
        <f ca="1">IF(D1525="N",COUNTIF(INDIRECT(ADDRESS(MATCH(Plages!$D$19,'Planning annuel mixing coater'!$B:$B),4)):D1525,"N"),IF(D1525="N1",COUNTIF($D$9:D1525,"N1"),""))</f>
        <v/>
      </c>
      <c r="J1525" s="96" t="str">
        <f>IF(D1525="","",COUNTA(D1514:D1525)-(COUNTA(D1525:D1525)-1))</f>
        <v/>
      </c>
    </row>
    <row r="1526" spans="1:10" thickBot="1">
      <c r="A1526" s="117"/>
      <c r="B1526" s="70">
        <f t="shared" si="97"/>
        <v>45318</v>
      </c>
      <c r="C1526" s="82" t="str">
        <f t="shared" si="98"/>
        <v>samedi</v>
      </c>
      <c r="D1526" s="87"/>
      <c r="E1526" s="115" t="str">
        <f t="shared" si="99"/>
        <v/>
      </c>
      <c r="F1526" s="115" t="str">
        <f t="shared" si="100"/>
        <v/>
      </c>
      <c r="G1526" s="116" t="str">
        <f>IF(ISNONTEXT(D1526),"",E1526-MAX($F$2:F1525))</f>
        <v/>
      </c>
      <c r="H1526" s="97"/>
      <c r="I1526" s="74" t="str">
        <f ca="1">IF(D1526="N",COUNTIF(INDIRECT(ADDRESS(MATCH(Plages!$D$19,'Planning annuel mixing coater'!$B:$B),4)):D1526,"N"),IF(D1526="N1",COUNTIF($D$9:D1526,"N1"),""))</f>
        <v/>
      </c>
      <c r="J1526" s="96" t="str">
        <f>IF(D1526="","",COUNTA(D1514:D1526)-(COUNTA(D1526:D1526)-1))</f>
        <v/>
      </c>
    </row>
    <row r="1527" spans="1:10" s="77" customFormat="1" thickBot="1">
      <c r="A1527" s="117"/>
      <c r="B1527" s="75">
        <f t="shared" si="97"/>
        <v>45319</v>
      </c>
      <c r="C1527" s="83" t="str">
        <f t="shared" si="98"/>
        <v>dimanche</v>
      </c>
      <c r="D1527" s="88"/>
      <c r="E1527" s="115" t="str">
        <f t="shared" si="99"/>
        <v/>
      </c>
      <c r="F1527" s="115" t="str">
        <f t="shared" si="100"/>
        <v/>
      </c>
      <c r="G1527" s="116" t="str">
        <f>IF(ISNONTEXT(D1527),"",E1527-MAX($F$2:F1526))</f>
        <v/>
      </c>
      <c r="H1527" s="98"/>
      <c r="I1527" s="76" t="str">
        <f ca="1">IF(D1527="N",COUNTIF(INDIRECT(ADDRESS(MATCH(Plages!$D$19,'Planning annuel mixing coater'!$B:$B),4)):D1527,"N"),IF(D1527="N1",COUNTIF($D$9:D1527,"N1"),""))</f>
        <v/>
      </c>
      <c r="J1527" s="99" t="str">
        <f>IF(D1527="","",COUNTA(D1514:D1527)-(COUNTA(D1527:D1527)-1))</f>
        <v/>
      </c>
    </row>
    <row r="1528" spans="1:10" ht="16.5" thickTop="1" thickBot="1">
      <c r="A1528" s="117"/>
      <c r="B1528" s="78">
        <f t="shared" si="97"/>
        <v>45320</v>
      </c>
      <c r="C1528" s="81" t="str">
        <f t="shared" si="98"/>
        <v>lundi</v>
      </c>
      <c r="D1528" s="89"/>
      <c r="E1528" s="115" t="str">
        <f t="shared" si="99"/>
        <v/>
      </c>
      <c r="F1528" s="115" t="str">
        <f t="shared" si="100"/>
        <v/>
      </c>
      <c r="G1528" s="116" t="str">
        <f>IF(ISNONTEXT(D1528),"",E1528-MAX($F$2:F1527))</f>
        <v/>
      </c>
      <c r="H1528" s="100"/>
      <c r="I1528" s="79" t="str">
        <f ca="1">IF(D1528="N",COUNTIF(INDIRECT(ADDRESS(MATCH(Plages!$D$19,'Planning annuel mixing coater'!$B:$B),4)):D1528,"N"),IF(D1528="N1",COUNTIF($D$9:D1528,"N1"),""))</f>
        <v/>
      </c>
      <c r="J1528" s="101" t="str">
        <f>IF(D1528="","",COUNTA(D1528:D1528)-(COUNTA(D1528:D1528)-1))</f>
        <v/>
      </c>
    </row>
    <row r="1529" spans="1:10" thickBot="1">
      <c r="A1529" s="117"/>
      <c r="B1529" s="70">
        <f t="shared" si="97"/>
        <v>45321</v>
      </c>
      <c r="C1529" s="82" t="str">
        <f t="shared" si="98"/>
        <v>mardi</v>
      </c>
      <c r="D1529" s="87"/>
      <c r="E1529" s="115" t="str">
        <f t="shared" si="99"/>
        <v/>
      </c>
      <c r="F1529" s="115" t="str">
        <f t="shared" si="100"/>
        <v/>
      </c>
      <c r="G1529" s="116" t="str">
        <f>IF(ISNONTEXT(D1529),"",E1529-MAX($F$2:F1528))</f>
        <v/>
      </c>
      <c r="H1529" s="97"/>
      <c r="I1529" s="74" t="str">
        <f ca="1">IF(D1529="N",COUNTIF(INDIRECT(ADDRESS(MATCH(Plages!$D$19,'Planning annuel mixing coater'!$B:$B),4)):D1529,"N"),IF(D1529="N1",COUNTIF($D$9:D1529,"N1"),""))</f>
        <v/>
      </c>
      <c r="J1529" s="96" t="str">
        <f>IF(D1529="","",COUNTA(D1528:D1529)-(COUNTA(D1529:D1529)-1))</f>
        <v/>
      </c>
    </row>
    <row r="1530" spans="1:10" thickBot="1">
      <c r="A1530" s="117"/>
      <c r="B1530" s="70">
        <f t="shared" si="97"/>
        <v>45322</v>
      </c>
      <c r="C1530" s="82" t="str">
        <f t="shared" si="98"/>
        <v>mercredi</v>
      </c>
      <c r="D1530" s="87"/>
      <c r="E1530" s="115" t="str">
        <f t="shared" si="99"/>
        <v/>
      </c>
      <c r="F1530" s="115" t="str">
        <f t="shared" si="100"/>
        <v/>
      </c>
      <c r="G1530" s="116" t="str">
        <f>IF(ISNONTEXT(D1530),"",E1530-MAX($F$2:F1529))</f>
        <v/>
      </c>
      <c r="H1530" s="97"/>
      <c r="I1530" s="74" t="str">
        <f ca="1">IF(D1530="N",COUNTIF(INDIRECT(ADDRESS(MATCH(Plages!$D$19,'Planning annuel mixing coater'!$B:$B),4)):D1530,"N"),IF(D1530="N1",COUNTIF($D$9:D1530,"N1"),""))</f>
        <v/>
      </c>
      <c r="J1530" s="96" t="str">
        <f>IF(D1530="","",COUNTA(D1528:D1530)-(COUNTA(D1530:D1530)-1))</f>
        <v/>
      </c>
    </row>
    <row r="1531" spans="1:10" thickBot="1">
      <c r="A1531" s="117"/>
      <c r="B1531" s="70">
        <f t="shared" si="97"/>
        <v>45323</v>
      </c>
      <c r="C1531" s="82" t="str">
        <f t="shared" si="98"/>
        <v>jeudi</v>
      </c>
      <c r="D1531" s="87"/>
      <c r="E1531" s="115" t="str">
        <f t="shared" si="99"/>
        <v/>
      </c>
      <c r="F1531" s="115" t="str">
        <f t="shared" si="100"/>
        <v/>
      </c>
      <c r="G1531" s="116" t="str">
        <f>IF(ISNONTEXT(D1531),"",E1531-MAX($F$2:F1530))</f>
        <v/>
      </c>
      <c r="H1531" s="97"/>
      <c r="I1531" s="74" t="str">
        <f ca="1">IF(D1531="N",COUNTIF(INDIRECT(ADDRESS(MATCH(Plages!$D$19,'Planning annuel mixing coater'!$B:$B),4)):D1531,"N"),IF(D1531="N1",COUNTIF($D$9:D1531,"N1"),""))</f>
        <v/>
      </c>
      <c r="J1531" s="96" t="str">
        <f>IF(D1531="","",COUNTA(D1528:D1531)-(COUNTA(D1531:D1531)-1))</f>
        <v/>
      </c>
    </row>
    <row r="1532" spans="1:10" thickBot="1">
      <c r="A1532" s="117"/>
      <c r="B1532" s="70">
        <f t="shared" si="97"/>
        <v>45324</v>
      </c>
      <c r="C1532" s="82" t="str">
        <f t="shared" si="98"/>
        <v>vendredi</v>
      </c>
      <c r="D1532" s="87"/>
      <c r="E1532" s="115" t="str">
        <f t="shared" si="99"/>
        <v/>
      </c>
      <c r="F1532" s="115" t="str">
        <f t="shared" si="100"/>
        <v/>
      </c>
      <c r="G1532" s="116" t="str">
        <f>IF(ISNONTEXT(D1532),"",E1532-MAX($F$2:F1531))</f>
        <v/>
      </c>
      <c r="H1532" s="97"/>
      <c r="I1532" s="74" t="str">
        <f ca="1">IF(D1532="N",COUNTIF(INDIRECT(ADDRESS(MATCH(Plages!$D$19,'Planning annuel mixing coater'!$B:$B),4)):D1532,"N"),IF(D1532="N1",COUNTIF($D$9:D1532,"N1"),""))</f>
        <v/>
      </c>
      <c r="J1532" s="96" t="str">
        <f>IF(D1532="","",COUNTA(D1528:D1532)-(COUNTA(D1532:D1532)-1))</f>
        <v/>
      </c>
    </row>
    <row r="1533" spans="1:10" thickBot="1">
      <c r="A1533" s="117"/>
      <c r="B1533" s="70">
        <f t="shared" si="97"/>
        <v>45325</v>
      </c>
      <c r="C1533" s="82" t="str">
        <f t="shared" si="98"/>
        <v>samedi</v>
      </c>
      <c r="D1533" s="87"/>
      <c r="E1533" s="115" t="str">
        <f t="shared" si="99"/>
        <v/>
      </c>
      <c r="F1533" s="115" t="str">
        <f t="shared" si="100"/>
        <v/>
      </c>
      <c r="G1533" s="116" t="str">
        <f>IF(ISNONTEXT(D1533),"",E1533-MAX($F$2:F1532))</f>
        <v/>
      </c>
      <c r="H1533" s="97"/>
      <c r="I1533" s="74" t="str">
        <f ca="1">IF(D1533="N",COUNTIF(INDIRECT(ADDRESS(MATCH(Plages!$D$19,'Planning annuel mixing coater'!$B:$B),4)):D1533,"N"),IF(D1533="N1",COUNTIF($D$9:D1533,"N1"),""))</f>
        <v/>
      </c>
      <c r="J1533" s="96" t="str">
        <f>IF(D1533="","",COUNTA(D1528:D1533)-(COUNTA(D1533:D1533)-1))</f>
        <v/>
      </c>
    </row>
    <row r="1534" spans="1:10" thickBot="1">
      <c r="A1534" s="117"/>
      <c r="B1534" s="70">
        <f t="shared" si="97"/>
        <v>45326</v>
      </c>
      <c r="C1534" s="82" t="str">
        <f t="shared" si="98"/>
        <v>dimanche</v>
      </c>
      <c r="D1534" s="87"/>
      <c r="E1534" s="115" t="str">
        <f t="shared" si="99"/>
        <v/>
      </c>
      <c r="F1534" s="115" t="str">
        <f t="shared" si="100"/>
        <v/>
      </c>
      <c r="G1534" s="116" t="str">
        <f>IF(ISNONTEXT(D1534),"",E1534-MAX($F$2:F1533))</f>
        <v/>
      </c>
      <c r="H1534" s="98"/>
      <c r="I1534" s="74" t="str">
        <f ca="1">IF(D1534="N",COUNTIF(INDIRECT(ADDRESS(MATCH(Plages!$D$19,'Planning annuel mixing coater'!$B:$B),4)):D1534,"N"),IF(D1534="N1",COUNTIF($D$9:D1534,"N1"),""))</f>
        <v/>
      </c>
      <c r="J1534" s="96" t="str">
        <f>IF(D1534="","",COUNTA(D1528:D1534)-(COUNTA(D1534:D1534)-1))</f>
        <v/>
      </c>
    </row>
    <row r="1535" spans="1:10" thickBot="1">
      <c r="A1535" s="117"/>
      <c r="B1535" s="70">
        <f t="shared" si="97"/>
        <v>45327</v>
      </c>
      <c r="C1535" s="82" t="str">
        <f t="shared" si="98"/>
        <v>lundi</v>
      </c>
      <c r="D1535" s="87"/>
      <c r="E1535" s="115" t="str">
        <f t="shared" si="99"/>
        <v/>
      </c>
      <c r="F1535" s="115" t="str">
        <f t="shared" si="100"/>
        <v/>
      </c>
      <c r="G1535" s="116" t="str">
        <f>IF(ISNONTEXT(D1535),"",E1535-MAX($F$2:F1534))</f>
        <v/>
      </c>
      <c r="H1535" s="97"/>
      <c r="I1535" s="74" t="str">
        <f ca="1">IF(D1535="N",COUNTIF(INDIRECT(ADDRESS(MATCH(Plages!$D$19,'Planning annuel mixing coater'!$B:$B),4)):D1535,"N"),IF(D1535="N1",COUNTIF($D$9:D1535,"N1"),""))</f>
        <v/>
      </c>
      <c r="J1535" s="96" t="str">
        <f>IF(D1535="","",COUNTA(D1528:D1535)-(COUNTA(D1535:D1535)-1))</f>
        <v/>
      </c>
    </row>
    <row r="1536" spans="1:10" thickBot="1">
      <c r="A1536" s="117"/>
      <c r="B1536" s="70">
        <f t="shared" si="97"/>
        <v>45328</v>
      </c>
      <c r="C1536" s="82" t="str">
        <f t="shared" si="98"/>
        <v>mardi</v>
      </c>
      <c r="D1536" s="87"/>
      <c r="E1536" s="115" t="str">
        <f t="shared" si="99"/>
        <v/>
      </c>
      <c r="F1536" s="115" t="str">
        <f t="shared" si="100"/>
        <v/>
      </c>
      <c r="G1536" s="116" t="str">
        <f>IF(ISNONTEXT(D1536),"",E1536-MAX($F$2:F1535))</f>
        <v/>
      </c>
      <c r="H1536" s="97"/>
      <c r="I1536" s="74" t="str">
        <f ca="1">IF(D1536="N",COUNTIF(INDIRECT(ADDRESS(MATCH(Plages!$D$19,'Planning annuel mixing coater'!$B:$B),4)):D1536,"N"),IF(D1536="N1",COUNTIF($D$9:D1536,"N1"),""))</f>
        <v/>
      </c>
      <c r="J1536" s="96" t="str">
        <f>IF(D1536="","",COUNTA(D1528:D1536)-(COUNTA(D1536:D1536)-1))</f>
        <v/>
      </c>
    </row>
    <row r="1537" spans="1:10" thickBot="1">
      <c r="A1537" s="117"/>
      <c r="B1537" s="70">
        <f t="shared" si="97"/>
        <v>45329</v>
      </c>
      <c r="C1537" s="82" t="str">
        <f t="shared" si="98"/>
        <v>mercredi</v>
      </c>
      <c r="D1537" s="87"/>
      <c r="E1537" s="115" t="str">
        <f t="shared" si="99"/>
        <v/>
      </c>
      <c r="F1537" s="115" t="str">
        <f t="shared" si="100"/>
        <v/>
      </c>
      <c r="G1537" s="116" t="str">
        <f>IF(ISNONTEXT(D1537),"",E1537-MAX($F$2:F1536))</f>
        <v/>
      </c>
      <c r="H1537" s="97"/>
      <c r="I1537" s="74" t="str">
        <f ca="1">IF(D1537="N",COUNTIF(INDIRECT(ADDRESS(MATCH(Plages!$D$19,'Planning annuel mixing coater'!$B:$B),4)):D1537,"N"),IF(D1537="N1",COUNTIF($D$9:D1537,"N1"),""))</f>
        <v/>
      </c>
      <c r="J1537" s="96" t="str">
        <f>IF(D1537="","",COUNTA(D1528:D1537)-(COUNTA(D1537:D1537)-1))</f>
        <v/>
      </c>
    </row>
    <row r="1538" spans="1:10" thickBot="1">
      <c r="A1538" s="117"/>
      <c r="B1538" s="70">
        <f t="shared" si="97"/>
        <v>45330</v>
      </c>
      <c r="C1538" s="82" t="str">
        <f t="shared" si="98"/>
        <v>jeudi</v>
      </c>
      <c r="D1538" s="87"/>
      <c r="E1538" s="115" t="str">
        <f t="shared" si="99"/>
        <v/>
      </c>
      <c r="F1538" s="115" t="str">
        <f t="shared" si="100"/>
        <v/>
      </c>
      <c r="G1538" s="116" t="str">
        <f>IF(ISNONTEXT(D1538),"",E1538-MAX($F$2:F1537))</f>
        <v/>
      </c>
      <c r="H1538" s="97"/>
      <c r="I1538" s="74" t="str">
        <f ca="1">IF(D1538="N",COUNTIF(INDIRECT(ADDRESS(MATCH(Plages!$D$19,'Planning annuel mixing coater'!$B:$B),4)):D1538,"N"),IF(D1538="N1",COUNTIF($D$9:D1538,"N1"),""))</f>
        <v/>
      </c>
      <c r="J1538" s="96" t="str">
        <f>IF(D1538="","",COUNTA(D1528:D1538)-(COUNTA(D1538:D1538)-1))</f>
        <v/>
      </c>
    </row>
    <row r="1539" spans="1:10" thickBot="1">
      <c r="A1539" s="117"/>
      <c r="B1539" s="70">
        <f t="shared" si="97"/>
        <v>45331</v>
      </c>
      <c r="C1539" s="82" t="str">
        <f t="shared" si="98"/>
        <v>vendredi</v>
      </c>
      <c r="D1539" s="87"/>
      <c r="E1539" s="115" t="str">
        <f t="shared" si="99"/>
        <v/>
      </c>
      <c r="F1539" s="115" t="str">
        <f t="shared" si="100"/>
        <v/>
      </c>
      <c r="G1539" s="116" t="str">
        <f>IF(ISNONTEXT(D1539),"",E1539-MAX($F$2:F1538))</f>
        <v/>
      </c>
      <c r="H1539" s="97"/>
      <c r="I1539" s="74" t="str">
        <f ca="1">IF(D1539="N",COUNTIF(INDIRECT(ADDRESS(MATCH(Plages!$D$19,'Planning annuel mixing coater'!$B:$B),4)):D1539,"N"),IF(D1539="N1",COUNTIF($D$9:D1539,"N1"),""))</f>
        <v/>
      </c>
      <c r="J1539" s="96" t="str">
        <f>IF(D1539="","",COUNTA(D1528:D1539)-(COUNTA(D1539:D1539)-1))</f>
        <v/>
      </c>
    </row>
    <row r="1540" spans="1:10" thickBot="1">
      <c r="A1540" s="117"/>
      <c r="B1540" s="70">
        <f t="shared" ref="B1540:B1603" si="101">IF(B1539="","",B1539+1)</f>
        <v>45332</v>
      </c>
      <c r="C1540" s="82" t="str">
        <f t="shared" si="98"/>
        <v>samedi</v>
      </c>
      <c r="D1540" s="87"/>
      <c r="E1540" s="115" t="str">
        <f t="shared" si="99"/>
        <v/>
      </c>
      <c r="F1540" s="115" t="str">
        <f t="shared" si="100"/>
        <v/>
      </c>
      <c r="G1540" s="116" t="str">
        <f>IF(ISNONTEXT(D1540),"",E1540-MAX($F$2:F1539))</f>
        <v/>
      </c>
      <c r="H1540" s="97"/>
      <c r="I1540" s="74" t="str">
        <f ca="1">IF(D1540="N",COUNTIF(INDIRECT(ADDRESS(MATCH(Plages!$D$19,'Planning annuel mixing coater'!$B:$B),4)):D1540,"N"),IF(D1540="N1",COUNTIF($D$9:D1540,"N1"),""))</f>
        <v/>
      </c>
      <c r="J1540" s="96" t="str">
        <f>IF(D1540="","",COUNTA(D1528:D1540)-(COUNTA(D1540:D1540)-1))</f>
        <v/>
      </c>
    </row>
    <row r="1541" spans="1:10" s="77" customFormat="1" thickBot="1">
      <c r="A1541" s="117"/>
      <c r="B1541" s="75">
        <f t="shared" si="101"/>
        <v>45333</v>
      </c>
      <c r="C1541" s="83" t="str">
        <f t="shared" si="98"/>
        <v>dimanche</v>
      </c>
      <c r="D1541" s="88"/>
      <c r="E1541" s="115" t="str">
        <f t="shared" si="99"/>
        <v/>
      </c>
      <c r="F1541" s="115" t="str">
        <f t="shared" si="100"/>
        <v/>
      </c>
      <c r="G1541" s="116" t="str">
        <f>IF(ISNONTEXT(D1541),"",E1541-MAX($F$2:F1540))</f>
        <v/>
      </c>
      <c r="H1541" s="98"/>
      <c r="I1541" s="76" t="str">
        <f ca="1">IF(D1541="N",COUNTIF(INDIRECT(ADDRESS(MATCH(Plages!$D$19,'Planning annuel mixing coater'!$B:$B),4)):D1541,"N"),IF(D1541="N1",COUNTIF($D$9:D1541,"N1"),""))</f>
        <v/>
      </c>
      <c r="J1541" s="99" t="str">
        <f>IF(D1541="","",COUNTA(D1528:D1541)-(COUNTA(D1541:D1541)-1))</f>
        <v/>
      </c>
    </row>
    <row r="1542" spans="1:10" ht="16.5" thickTop="1" thickBot="1">
      <c r="A1542" s="117"/>
      <c r="B1542" s="78">
        <f t="shared" si="101"/>
        <v>45334</v>
      </c>
      <c r="C1542" s="81" t="str">
        <f t="shared" si="98"/>
        <v>lundi</v>
      </c>
      <c r="D1542" s="89"/>
      <c r="E1542" s="115" t="str">
        <f t="shared" si="99"/>
        <v/>
      </c>
      <c r="F1542" s="115" t="str">
        <f t="shared" si="100"/>
        <v/>
      </c>
      <c r="G1542" s="116" t="str">
        <f>IF(ISNONTEXT(D1542),"",E1542-MAX($F$2:F1541))</f>
        <v/>
      </c>
      <c r="H1542" s="100"/>
      <c r="I1542" s="79" t="str">
        <f ca="1">IF(D1542="N",COUNTIF(INDIRECT(ADDRESS(MATCH(Plages!$D$19,'Planning annuel mixing coater'!$B:$B),4)):D1542,"N"),IF(D1542="N1",COUNTIF($D$9:D1542,"N1"),""))</f>
        <v/>
      </c>
      <c r="J1542" s="101" t="str">
        <f>IF(D1542="","",COUNTA(D1542:D1542)-(COUNTA(D1542:D1542)-1))</f>
        <v/>
      </c>
    </row>
    <row r="1543" spans="1:10" thickBot="1">
      <c r="A1543" s="117"/>
      <c r="B1543" s="70">
        <f t="shared" si="101"/>
        <v>45335</v>
      </c>
      <c r="C1543" s="82" t="str">
        <f t="shared" si="98"/>
        <v>mardi</v>
      </c>
      <c r="D1543" s="87"/>
      <c r="E1543" s="115" t="str">
        <f t="shared" si="99"/>
        <v/>
      </c>
      <c r="F1543" s="115" t="str">
        <f t="shared" si="100"/>
        <v/>
      </c>
      <c r="G1543" s="116" t="str">
        <f>IF(ISNONTEXT(D1543),"",E1543-MAX($F$2:F1542))</f>
        <v/>
      </c>
      <c r="H1543" s="97"/>
      <c r="I1543" s="74" t="str">
        <f ca="1">IF(D1543="N",COUNTIF(INDIRECT(ADDRESS(MATCH(Plages!$D$19,'Planning annuel mixing coater'!$B:$B),4)):D1543,"N"),IF(D1543="N1",COUNTIF($D$9:D1543,"N1"),""))</f>
        <v/>
      </c>
      <c r="J1543" s="96" t="str">
        <f>IF(D1543="","",COUNTA(D1542:D1543)-(COUNTA(D1543:D1543)-1))</f>
        <v/>
      </c>
    </row>
    <row r="1544" spans="1:10" thickBot="1">
      <c r="A1544" s="117"/>
      <c r="B1544" s="70">
        <f t="shared" si="101"/>
        <v>45336</v>
      </c>
      <c r="C1544" s="82" t="str">
        <f t="shared" si="98"/>
        <v>mercredi</v>
      </c>
      <c r="D1544" s="87"/>
      <c r="E1544" s="115" t="str">
        <f t="shared" si="99"/>
        <v/>
      </c>
      <c r="F1544" s="115" t="str">
        <f t="shared" si="100"/>
        <v/>
      </c>
      <c r="G1544" s="116" t="str">
        <f>IF(ISNONTEXT(D1544),"",E1544-MAX($F$2:F1543))</f>
        <v/>
      </c>
      <c r="H1544" s="97"/>
      <c r="I1544" s="74" t="str">
        <f ca="1">IF(D1544="N",COUNTIF(INDIRECT(ADDRESS(MATCH(Plages!$D$19,'Planning annuel mixing coater'!$B:$B),4)):D1544,"N"),IF(D1544="N1",COUNTIF($D$9:D1544,"N1"),""))</f>
        <v/>
      </c>
      <c r="J1544" s="96" t="str">
        <f>IF(D1544="","",COUNTA(D1542:D1544)-(COUNTA(D1544:D1544)-1))</f>
        <v/>
      </c>
    </row>
    <row r="1545" spans="1:10" thickBot="1">
      <c r="A1545" s="117"/>
      <c r="B1545" s="70">
        <f t="shared" si="101"/>
        <v>45337</v>
      </c>
      <c r="C1545" s="82" t="str">
        <f t="shared" si="98"/>
        <v>jeudi</v>
      </c>
      <c r="D1545" s="87"/>
      <c r="E1545" s="115" t="str">
        <f t="shared" si="99"/>
        <v/>
      </c>
      <c r="F1545" s="115" t="str">
        <f t="shared" si="100"/>
        <v/>
      </c>
      <c r="G1545" s="116" t="str">
        <f>IF(ISNONTEXT(D1545),"",E1545-MAX($F$2:F1544))</f>
        <v/>
      </c>
      <c r="H1545" s="97"/>
      <c r="I1545" s="74" t="str">
        <f ca="1">IF(D1545="N",COUNTIF(INDIRECT(ADDRESS(MATCH(Plages!$D$19,'Planning annuel mixing coater'!$B:$B),4)):D1545,"N"),IF(D1545="N1",COUNTIF($D$9:D1545,"N1"),""))</f>
        <v/>
      </c>
      <c r="J1545" s="96" t="str">
        <f>IF(D1545="","",COUNTA(D1542:D1545)-(COUNTA(D1545:D1545)-1))</f>
        <v/>
      </c>
    </row>
    <row r="1546" spans="1:10" thickBot="1">
      <c r="A1546" s="117"/>
      <c r="B1546" s="70">
        <f t="shared" si="101"/>
        <v>45338</v>
      </c>
      <c r="C1546" s="82" t="str">
        <f t="shared" si="98"/>
        <v>vendredi</v>
      </c>
      <c r="D1546" s="87"/>
      <c r="E1546" s="115" t="str">
        <f t="shared" si="99"/>
        <v/>
      </c>
      <c r="F1546" s="115" t="str">
        <f t="shared" si="100"/>
        <v/>
      </c>
      <c r="G1546" s="116" t="str">
        <f>IF(ISNONTEXT(D1546),"",E1546-MAX($F$2:F1545))</f>
        <v/>
      </c>
      <c r="H1546" s="97"/>
      <c r="I1546" s="74" t="str">
        <f ca="1">IF(D1546="N",COUNTIF(INDIRECT(ADDRESS(MATCH(Plages!$D$19,'Planning annuel mixing coater'!$B:$B),4)):D1546,"N"),IF(D1546="N1",COUNTIF($D$9:D1546,"N1"),""))</f>
        <v/>
      </c>
      <c r="J1546" s="96" t="str">
        <f>IF(D1546="","",COUNTA(D1542:D1546)-(COUNTA(D1546:D1546)-1))</f>
        <v/>
      </c>
    </row>
    <row r="1547" spans="1:10" thickBot="1">
      <c r="A1547" s="117"/>
      <c r="B1547" s="70">
        <f t="shared" si="101"/>
        <v>45339</v>
      </c>
      <c r="C1547" s="82" t="str">
        <f t="shared" si="98"/>
        <v>samedi</v>
      </c>
      <c r="D1547" s="87"/>
      <c r="E1547" s="115" t="str">
        <f t="shared" si="99"/>
        <v/>
      </c>
      <c r="F1547" s="115" t="str">
        <f t="shared" si="100"/>
        <v/>
      </c>
      <c r="G1547" s="116" t="str">
        <f>IF(ISNONTEXT(D1547),"",E1547-MAX($F$2:F1546))</f>
        <v/>
      </c>
      <c r="H1547" s="97"/>
      <c r="I1547" s="74" t="str">
        <f ca="1">IF(D1547="N",COUNTIF(INDIRECT(ADDRESS(MATCH(Plages!$D$19,'Planning annuel mixing coater'!$B:$B),4)):D1547,"N"),IF(D1547="N1",COUNTIF($D$9:D1547,"N1"),""))</f>
        <v/>
      </c>
      <c r="J1547" s="96" t="str">
        <f>IF(D1547="","",COUNTA(D1542:D1547)-(COUNTA(D1547:D1547)-1))</f>
        <v/>
      </c>
    </row>
    <row r="1548" spans="1:10" thickBot="1">
      <c r="A1548" s="117"/>
      <c r="B1548" s="70">
        <f t="shared" si="101"/>
        <v>45340</v>
      </c>
      <c r="C1548" s="82" t="str">
        <f t="shared" si="98"/>
        <v>dimanche</v>
      </c>
      <c r="D1548" s="87"/>
      <c r="E1548" s="115" t="str">
        <f t="shared" si="99"/>
        <v/>
      </c>
      <c r="F1548" s="115" t="str">
        <f t="shared" si="100"/>
        <v/>
      </c>
      <c r="G1548" s="116" t="str">
        <f>IF(ISNONTEXT(D1548),"",E1548-MAX($F$2:F1547))</f>
        <v/>
      </c>
      <c r="H1548" s="98"/>
      <c r="I1548" s="74" t="str">
        <f ca="1">IF(D1548="N",COUNTIF(INDIRECT(ADDRESS(MATCH(Plages!$D$19,'Planning annuel mixing coater'!$B:$B),4)):D1548,"N"),IF(D1548="N1",COUNTIF($D$9:D1548,"N1"),""))</f>
        <v/>
      </c>
      <c r="J1548" s="96" t="str">
        <f>IF(D1548="","",COUNTA(D1542:D1548)-(COUNTA(D1548:D1548)-1))</f>
        <v/>
      </c>
    </row>
    <row r="1549" spans="1:10" thickBot="1">
      <c r="A1549" s="117"/>
      <c r="B1549" s="70">
        <f t="shared" si="101"/>
        <v>45341</v>
      </c>
      <c r="C1549" s="82" t="str">
        <f t="shared" si="98"/>
        <v>lundi</v>
      </c>
      <c r="D1549" s="87"/>
      <c r="E1549" s="115" t="str">
        <f t="shared" si="99"/>
        <v/>
      </c>
      <c r="F1549" s="115" t="str">
        <f t="shared" si="100"/>
        <v/>
      </c>
      <c r="G1549" s="116" t="str">
        <f>IF(ISNONTEXT(D1549),"",E1549-MAX($F$2:F1548))</f>
        <v/>
      </c>
      <c r="H1549" s="97"/>
      <c r="I1549" s="74" t="str">
        <f ca="1">IF(D1549="N",COUNTIF(INDIRECT(ADDRESS(MATCH(Plages!$D$19,'Planning annuel mixing coater'!$B:$B),4)):D1549,"N"),IF(D1549="N1",COUNTIF($D$9:D1549,"N1"),""))</f>
        <v/>
      </c>
      <c r="J1549" s="96" t="str">
        <f>IF(D1549="","",COUNTA(D1542:D1549)-(COUNTA(D1549:D1549)-1))</f>
        <v/>
      </c>
    </row>
    <row r="1550" spans="1:10" thickBot="1">
      <c r="A1550" s="117"/>
      <c r="B1550" s="70">
        <f t="shared" si="101"/>
        <v>45342</v>
      </c>
      <c r="C1550" s="82" t="str">
        <f t="shared" si="98"/>
        <v>mardi</v>
      </c>
      <c r="D1550" s="87"/>
      <c r="E1550" s="115" t="str">
        <f t="shared" si="99"/>
        <v/>
      </c>
      <c r="F1550" s="115" t="str">
        <f t="shared" si="100"/>
        <v/>
      </c>
      <c r="G1550" s="116" t="str">
        <f>IF(ISNONTEXT(D1550),"",E1550-MAX($F$2:F1549))</f>
        <v/>
      </c>
      <c r="H1550" s="97"/>
      <c r="I1550" s="74" t="str">
        <f ca="1">IF(D1550="N",COUNTIF(INDIRECT(ADDRESS(MATCH(Plages!$D$19,'Planning annuel mixing coater'!$B:$B),4)):D1550,"N"),IF(D1550="N1",COUNTIF($D$9:D1550,"N1"),""))</f>
        <v/>
      </c>
      <c r="J1550" s="96" t="str">
        <f>IF(D1550="","",COUNTA(D1542:D1550)-(COUNTA(D1550:D1550)-1))</f>
        <v/>
      </c>
    </row>
    <row r="1551" spans="1:10" thickBot="1">
      <c r="A1551" s="117"/>
      <c r="B1551" s="70">
        <f t="shared" si="101"/>
        <v>45343</v>
      </c>
      <c r="C1551" s="82" t="str">
        <f t="shared" si="98"/>
        <v>mercredi</v>
      </c>
      <c r="D1551" s="87"/>
      <c r="E1551" s="115" t="str">
        <f t="shared" si="99"/>
        <v/>
      </c>
      <c r="F1551" s="115" t="str">
        <f t="shared" si="100"/>
        <v/>
      </c>
      <c r="G1551" s="116" t="str">
        <f>IF(ISNONTEXT(D1551),"",E1551-MAX($F$2:F1550))</f>
        <v/>
      </c>
      <c r="H1551" s="97"/>
      <c r="I1551" s="74" t="str">
        <f ca="1">IF(D1551="N",COUNTIF(INDIRECT(ADDRESS(MATCH(Plages!$D$19,'Planning annuel mixing coater'!$B:$B),4)):D1551,"N"),IF(D1551="N1",COUNTIF($D$9:D1551,"N1"),""))</f>
        <v/>
      </c>
      <c r="J1551" s="96" t="str">
        <f>IF(D1551="","",COUNTA(D1542:D1551)-(COUNTA(D1551:D1551)-1))</f>
        <v/>
      </c>
    </row>
    <row r="1552" spans="1:10" thickBot="1">
      <c r="A1552" s="117"/>
      <c r="B1552" s="70">
        <f t="shared" si="101"/>
        <v>45344</v>
      </c>
      <c r="C1552" s="82" t="str">
        <f t="shared" si="98"/>
        <v>jeudi</v>
      </c>
      <c r="D1552" s="87"/>
      <c r="E1552" s="115" t="str">
        <f t="shared" si="99"/>
        <v/>
      </c>
      <c r="F1552" s="115" t="str">
        <f t="shared" si="100"/>
        <v/>
      </c>
      <c r="G1552" s="116" t="str">
        <f>IF(ISNONTEXT(D1552),"",E1552-MAX($F$2:F1551))</f>
        <v/>
      </c>
      <c r="H1552" s="97"/>
      <c r="I1552" s="74" t="str">
        <f ca="1">IF(D1552="N",COUNTIF(INDIRECT(ADDRESS(MATCH(Plages!$D$19,'Planning annuel mixing coater'!$B:$B),4)):D1552,"N"),IF(D1552="N1",COUNTIF($D$9:D1552,"N1"),""))</f>
        <v/>
      </c>
      <c r="J1552" s="96" t="str">
        <f>IF(D1552="","",COUNTA(D1542:D1552)-(COUNTA(D1552:D1552)-1))</f>
        <v/>
      </c>
    </row>
    <row r="1553" spans="1:10" thickBot="1">
      <c r="A1553" s="117"/>
      <c r="B1553" s="70">
        <f t="shared" si="101"/>
        <v>45345</v>
      </c>
      <c r="C1553" s="82" t="str">
        <f t="shared" si="98"/>
        <v>vendredi</v>
      </c>
      <c r="D1553" s="87"/>
      <c r="E1553" s="115" t="str">
        <f t="shared" si="99"/>
        <v/>
      </c>
      <c r="F1553" s="115" t="str">
        <f t="shared" si="100"/>
        <v/>
      </c>
      <c r="G1553" s="116" t="str">
        <f>IF(ISNONTEXT(D1553),"",E1553-MAX($F$2:F1552))</f>
        <v/>
      </c>
      <c r="H1553" s="97"/>
      <c r="I1553" s="74" t="str">
        <f ca="1">IF(D1553="N",COUNTIF(INDIRECT(ADDRESS(MATCH(Plages!$D$19,'Planning annuel mixing coater'!$B:$B),4)):D1553,"N"),IF(D1553="N1",COUNTIF($D$9:D1553,"N1"),""))</f>
        <v/>
      </c>
      <c r="J1553" s="96" t="str">
        <f>IF(D1553="","",COUNTA(D1542:D1553)-(COUNTA(D1553:D1553)-1))</f>
        <v/>
      </c>
    </row>
    <row r="1554" spans="1:10" thickBot="1">
      <c r="A1554" s="117"/>
      <c r="B1554" s="70">
        <f t="shared" si="101"/>
        <v>45346</v>
      </c>
      <c r="C1554" s="82" t="str">
        <f t="shared" si="98"/>
        <v>samedi</v>
      </c>
      <c r="D1554" s="87"/>
      <c r="E1554" s="115" t="str">
        <f t="shared" si="99"/>
        <v/>
      </c>
      <c r="F1554" s="115" t="str">
        <f t="shared" si="100"/>
        <v/>
      </c>
      <c r="G1554" s="116" t="str">
        <f>IF(ISNONTEXT(D1554),"",E1554-MAX($F$2:F1553))</f>
        <v/>
      </c>
      <c r="H1554" s="97"/>
      <c r="I1554" s="74" t="str">
        <f ca="1">IF(D1554="N",COUNTIF(INDIRECT(ADDRESS(MATCH(Plages!$D$19,'Planning annuel mixing coater'!$B:$B),4)):D1554,"N"),IF(D1554="N1",COUNTIF($D$9:D1554,"N1"),""))</f>
        <v/>
      </c>
      <c r="J1554" s="96" t="str">
        <f>IF(D1554="","",COUNTA(D1542:D1554)-(COUNTA(D1554:D1554)-1))</f>
        <v/>
      </c>
    </row>
    <row r="1555" spans="1:10" s="77" customFormat="1" thickBot="1">
      <c r="A1555" s="117"/>
      <c r="B1555" s="75">
        <f t="shared" si="101"/>
        <v>45347</v>
      </c>
      <c r="C1555" s="83" t="str">
        <f t="shared" si="98"/>
        <v>dimanche</v>
      </c>
      <c r="D1555" s="88"/>
      <c r="E1555" s="115" t="str">
        <f t="shared" si="99"/>
        <v/>
      </c>
      <c r="F1555" s="115" t="str">
        <f t="shared" si="100"/>
        <v/>
      </c>
      <c r="G1555" s="116" t="str">
        <f>IF(ISNONTEXT(D1555),"",E1555-MAX($F$2:F1554))</f>
        <v/>
      </c>
      <c r="H1555" s="98"/>
      <c r="I1555" s="76" t="str">
        <f ca="1">IF(D1555="N",COUNTIF(INDIRECT(ADDRESS(MATCH(Plages!$D$19,'Planning annuel mixing coater'!$B:$B),4)):D1555,"N"),IF(D1555="N1",COUNTIF($D$9:D1555,"N1"),""))</f>
        <v/>
      </c>
      <c r="J1555" s="99" t="str">
        <f>IF(D1555="","",COUNTA(D1542:D1555)-(COUNTA(D1555:D1555)-1))</f>
        <v/>
      </c>
    </row>
    <row r="1556" spans="1:10" ht="16.5" thickTop="1" thickBot="1">
      <c r="A1556" s="117"/>
      <c r="B1556" s="78">
        <f t="shared" si="101"/>
        <v>45348</v>
      </c>
      <c r="C1556" s="81" t="str">
        <f t="shared" si="98"/>
        <v>lundi</v>
      </c>
      <c r="D1556" s="89"/>
      <c r="E1556" s="115" t="str">
        <f t="shared" si="99"/>
        <v/>
      </c>
      <c r="F1556" s="115" t="str">
        <f t="shared" si="100"/>
        <v/>
      </c>
      <c r="G1556" s="116" t="str">
        <f>IF(ISNONTEXT(D1556),"",E1556-MAX($F$2:F1555))</f>
        <v/>
      </c>
      <c r="H1556" s="100"/>
      <c r="I1556" s="79" t="str">
        <f ca="1">IF(D1556="N",COUNTIF(INDIRECT(ADDRESS(MATCH(Plages!$D$19,'Planning annuel mixing coater'!$B:$B),4)):D1556,"N"),IF(D1556="N1",COUNTIF($D$9:D1556,"N1"),""))</f>
        <v/>
      </c>
      <c r="J1556" s="101" t="str">
        <f>IF(D1556="","",COUNTA(D1556:D1556)-(COUNTA(D1556:D1556)-1))</f>
        <v/>
      </c>
    </row>
    <row r="1557" spans="1:10" thickBot="1">
      <c r="A1557" s="117"/>
      <c r="B1557" s="70">
        <f t="shared" si="101"/>
        <v>45349</v>
      </c>
      <c r="C1557" s="82" t="str">
        <f t="shared" si="98"/>
        <v>mardi</v>
      </c>
      <c r="D1557" s="87"/>
      <c r="E1557" s="115" t="str">
        <f t="shared" si="99"/>
        <v/>
      </c>
      <c r="F1557" s="115" t="str">
        <f t="shared" si="100"/>
        <v/>
      </c>
      <c r="G1557" s="116" t="str">
        <f>IF(ISNONTEXT(D1557),"",E1557-MAX($F$2:F1556))</f>
        <v/>
      </c>
      <c r="H1557" s="97"/>
      <c r="I1557" s="74" t="str">
        <f ca="1">IF(D1557="N",COUNTIF(INDIRECT(ADDRESS(MATCH(Plages!$D$19,'Planning annuel mixing coater'!$B:$B),4)):D1557,"N"),IF(D1557="N1",COUNTIF($D$9:D1557,"N1"),""))</f>
        <v/>
      </c>
      <c r="J1557" s="96" t="str">
        <f>IF(D1557="","",COUNTA(D1556:D1557)-(COUNTA(D1557:D1557)-1))</f>
        <v/>
      </c>
    </row>
    <row r="1558" spans="1:10" thickBot="1">
      <c r="A1558" s="117"/>
      <c r="B1558" s="70">
        <f t="shared" si="101"/>
        <v>45350</v>
      </c>
      <c r="C1558" s="82" t="str">
        <f t="shared" si="98"/>
        <v>mercredi</v>
      </c>
      <c r="D1558" s="87"/>
      <c r="E1558" s="115" t="str">
        <f t="shared" si="99"/>
        <v/>
      </c>
      <c r="F1558" s="115" t="str">
        <f t="shared" si="100"/>
        <v/>
      </c>
      <c r="G1558" s="116" t="str">
        <f>IF(ISNONTEXT(D1558),"",E1558-MAX($F$2:F1557))</f>
        <v/>
      </c>
      <c r="H1558" s="97"/>
      <c r="I1558" s="74" t="str">
        <f ca="1">IF(D1558="N",COUNTIF(INDIRECT(ADDRESS(MATCH(Plages!$D$19,'Planning annuel mixing coater'!$B:$B),4)):D1558,"N"),IF(D1558="N1",COUNTIF($D$9:D1558,"N1"),""))</f>
        <v/>
      </c>
      <c r="J1558" s="96" t="str">
        <f>IF(D1558="","",COUNTA(D1556:D1558)-(COUNTA(D1558:D1558)-1))</f>
        <v/>
      </c>
    </row>
    <row r="1559" spans="1:10" thickBot="1">
      <c r="A1559" s="117"/>
      <c r="B1559" s="70">
        <f t="shared" si="101"/>
        <v>45351</v>
      </c>
      <c r="C1559" s="82" t="str">
        <f t="shared" si="98"/>
        <v>jeudi</v>
      </c>
      <c r="D1559" s="87"/>
      <c r="E1559" s="115" t="str">
        <f t="shared" si="99"/>
        <v/>
      </c>
      <c r="F1559" s="115" t="str">
        <f t="shared" si="100"/>
        <v/>
      </c>
      <c r="G1559" s="116" t="str">
        <f>IF(ISNONTEXT(D1559),"",E1559-MAX($F$2:F1558))</f>
        <v/>
      </c>
      <c r="H1559" s="97"/>
      <c r="I1559" s="74" t="str">
        <f ca="1">IF(D1559="N",COUNTIF(INDIRECT(ADDRESS(MATCH(Plages!$D$19,'Planning annuel mixing coater'!$B:$B),4)):D1559,"N"),IF(D1559="N1",COUNTIF($D$9:D1559,"N1"),""))</f>
        <v/>
      </c>
      <c r="J1559" s="96" t="str">
        <f>IF(D1559="","",COUNTA(D1556:D1559)-(COUNTA(D1559:D1559)-1))</f>
        <v/>
      </c>
    </row>
    <row r="1560" spans="1:10" thickBot="1">
      <c r="A1560" s="117"/>
      <c r="B1560" s="70">
        <f t="shared" si="101"/>
        <v>45352</v>
      </c>
      <c r="C1560" s="82" t="str">
        <f t="shared" si="98"/>
        <v>vendredi</v>
      </c>
      <c r="D1560" s="87"/>
      <c r="E1560" s="115" t="str">
        <f t="shared" si="99"/>
        <v/>
      </c>
      <c r="F1560" s="115" t="str">
        <f t="shared" si="100"/>
        <v/>
      </c>
      <c r="G1560" s="116" t="str">
        <f>IF(ISNONTEXT(D1560),"",E1560-MAX($F$2:F1559))</f>
        <v/>
      </c>
      <c r="H1560" s="97"/>
      <c r="I1560" s="74" t="str">
        <f ca="1">IF(D1560="N",COUNTIF(INDIRECT(ADDRESS(MATCH(Plages!$D$19,'Planning annuel mixing coater'!$B:$B),4)):D1560,"N"),IF(D1560="N1",COUNTIF($D$9:D1560,"N1"),""))</f>
        <v/>
      </c>
      <c r="J1560" s="96" t="str">
        <f>IF(D1560="","",COUNTA(D1556:D1560)-(COUNTA(D1560:D1560)-1))</f>
        <v/>
      </c>
    </row>
    <row r="1561" spans="1:10" thickBot="1">
      <c r="A1561" s="117"/>
      <c r="B1561" s="70">
        <f t="shared" si="101"/>
        <v>45353</v>
      </c>
      <c r="C1561" s="82" t="str">
        <f t="shared" si="98"/>
        <v>samedi</v>
      </c>
      <c r="D1561" s="87"/>
      <c r="E1561" s="115" t="str">
        <f t="shared" si="99"/>
        <v/>
      </c>
      <c r="F1561" s="115" t="str">
        <f t="shared" si="100"/>
        <v/>
      </c>
      <c r="G1561" s="116" t="str">
        <f>IF(ISNONTEXT(D1561),"",E1561-MAX($F$2:F1560))</f>
        <v/>
      </c>
      <c r="H1561" s="97"/>
      <c r="I1561" s="74" t="str">
        <f ca="1">IF(D1561="N",COUNTIF(INDIRECT(ADDRESS(MATCH(Plages!$D$19,'Planning annuel mixing coater'!$B:$B),4)):D1561,"N"),IF(D1561="N1",COUNTIF($D$9:D1561,"N1"),""))</f>
        <v/>
      </c>
      <c r="J1561" s="96" t="str">
        <f>IF(D1561="","",COUNTA(D1556:D1561)-(COUNTA(D1561:D1561)-1))</f>
        <v/>
      </c>
    </row>
    <row r="1562" spans="1:10" thickBot="1">
      <c r="A1562" s="117"/>
      <c r="B1562" s="70">
        <f t="shared" si="101"/>
        <v>45354</v>
      </c>
      <c r="C1562" s="82" t="str">
        <f t="shared" si="98"/>
        <v>dimanche</v>
      </c>
      <c r="D1562" s="87"/>
      <c r="E1562" s="115" t="str">
        <f t="shared" si="99"/>
        <v/>
      </c>
      <c r="F1562" s="115" t="str">
        <f t="shared" si="100"/>
        <v/>
      </c>
      <c r="G1562" s="116" t="str">
        <f>IF(ISNONTEXT(D1562),"",E1562-MAX($F$2:F1561))</f>
        <v/>
      </c>
      <c r="H1562" s="98"/>
      <c r="I1562" s="74" t="str">
        <f ca="1">IF(D1562="N",COUNTIF(INDIRECT(ADDRESS(MATCH(Plages!$D$19,'Planning annuel mixing coater'!$B:$B),4)):D1562,"N"),IF(D1562="N1",COUNTIF($D$9:D1562,"N1"),""))</f>
        <v/>
      </c>
      <c r="J1562" s="96" t="str">
        <f>IF(D1562="","",COUNTA(D1556:D1562)-(COUNTA(D1562:D1562)-1))</f>
        <v/>
      </c>
    </row>
    <row r="1563" spans="1:10" thickBot="1">
      <c r="A1563" s="117"/>
      <c r="B1563" s="70">
        <f t="shared" si="101"/>
        <v>45355</v>
      </c>
      <c r="C1563" s="82" t="str">
        <f t="shared" si="98"/>
        <v>lundi</v>
      </c>
      <c r="D1563" s="87"/>
      <c r="E1563" s="115" t="str">
        <f t="shared" si="99"/>
        <v/>
      </c>
      <c r="F1563" s="115" t="str">
        <f t="shared" si="100"/>
        <v/>
      </c>
      <c r="G1563" s="116" t="str">
        <f>IF(ISNONTEXT(D1563),"",E1563-MAX($F$2:F1562))</f>
        <v/>
      </c>
      <c r="H1563" s="97"/>
      <c r="I1563" s="74" t="str">
        <f ca="1">IF(D1563="N",COUNTIF(INDIRECT(ADDRESS(MATCH(Plages!$D$19,'Planning annuel mixing coater'!$B:$B),4)):D1563,"N"),IF(D1563="N1",COUNTIF($D$9:D1563,"N1"),""))</f>
        <v/>
      </c>
      <c r="J1563" s="96" t="str">
        <f>IF(D1563="","",COUNTA(D1556:D1563)-(COUNTA(D1563:D1563)-1))</f>
        <v/>
      </c>
    </row>
    <row r="1564" spans="1:10" thickBot="1">
      <c r="A1564" s="117"/>
      <c r="B1564" s="70">
        <f t="shared" si="101"/>
        <v>45356</v>
      </c>
      <c r="C1564" s="82" t="str">
        <f t="shared" si="98"/>
        <v>mardi</v>
      </c>
      <c r="D1564" s="87"/>
      <c r="E1564" s="115" t="str">
        <f t="shared" si="99"/>
        <v/>
      </c>
      <c r="F1564" s="115" t="str">
        <f t="shared" si="100"/>
        <v/>
      </c>
      <c r="G1564" s="116" t="str">
        <f>IF(ISNONTEXT(D1564),"",E1564-MAX($F$2:F1563))</f>
        <v/>
      </c>
      <c r="H1564" s="97"/>
      <c r="I1564" s="74" t="str">
        <f ca="1">IF(D1564="N",COUNTIF(INDIRECT(ADDRESS(MATCH(Plages!$D$19,'Planning annuel mixing coater'!$B:$B),4)):D1564,"N"),IF(D1564="N1",COUNTIF($D$9:D1564,"N1"),""))</f>
        <v/>
      </c>
      <c r="J1564" s="96" t="str">
        <f>IF(D1564="","",COUNTA(D1556:D1564)-(COUNTA(D1564:D1564)-1))</f>
        <v/>
      </c>
    </row>
    <row r="1565" spans="1:10" thickBot="1">
      <c r="A1565" s="117"/>
      <c r="B1565" s="70">
        <f t="shared" si="101"/>
        <v>45357</v>
      </c>
      <c r="C1565" s="82" t="str">
        <f t="shared" si="98"/>
        <v>mercredi</v>
      </c>
      <c r="D1565" s="87"/>
      <c r="E1565" s="115" t="str">
        <f t="shared" si="99"/>
        <v/>
      </c>
      <c r="F1565" s="115" t="str">
        <f t="shared" si="100"/>
        <v/>
      </c>
      <c r="G1565" s="116" t="str">
        <f>IF(ISNONTEXT(D1565),"",E1565-MAX($F$2:F1564))</f>
        <v/>
      </c>
      <c r="H1565" s="97"/>
      <c r="I1565" s="74" t="str">
        <f ca="1">IF(D1565="N",COUNTIF(INDIRECT(ADDRESS(MATCH(Plages!$D$19,'Planning annuel mixing coater'!$B:$B),4)):D1565,"N"),IF(D1565="N1",COUNTIF($D$9:D1565,"N1"),""))</f>
        <v/>
      </c>
      <c r="J1565" s="96" t="str">
        <f>IF(D1565="","",COUNTA(D1556:D1565)-(COUNTA(D1565:D1565)-1))</f>
        <v/>
      </c>
    </row>
    <row r="1566" spans="1:10" thickBot="1">
      <c r="A1566" s="117"/>
      <c r="B1566" s="70">
        <f t="shared" si="101"/>
        <v>45358</v>
      </c>
      <c r="C1566" s="82" t="str">
        <f t="shared" ref="C1566:C1629" si="102">IF(B1566="","",TEXT(B1566,"jjjj"))</f>
        <v>jeudi</v>
      </c>
      <c r="D1566" s="87"/>
      <c r="E1566" s="115" t="str">
        <f t="shared" ref="E1566:E1629" si="103">IF(D1566="","",B1566+VLOOKUP(D1566,Plageh,2,0))</f>
        <v/>
      </c>
      <c r="F1566" s="115" t="str">
        <f t="shared" ref="F1566:F1629" si="104">IF(D1566="","",B1566+VLOOKUP(D1566,Plageh,3,0))</f>
        <v/>
      </c>
      <c r="G1566" s="116" t="str">
        <f>IF(ISNONTEXT(D1566),"",E1566-MAX($F$2:F1565))</f>
        <v/>
      </c>
      <c r="H1566" s="97"/>
      <c r="I1566" s="74" t="str">
        <f ca="1">IF(D1566="N",COUNTIF(INDIRECT(ADDRESS(MATCH(Plages!$D$19,'Planning annuel mixing coater'!$B:$B),4)):D1566,"N"),IF(D1566="N1",COUNTIF($D$9:D1566,"N1"),""))</f>
        <v/>
      </c>
      <c r="J1566" s="96" t="str">
        <f>IF(D1566="","",COUNTA(D1556:D1566)-(COUNTA(D1566:D1566)-1))</f>
        <v/>
      </c>
    </row>
    <row r="1567" spans="1:10" thickBot="1">
      <c r="A1567" s="117"/>
      <c r="B1567" s="70">
        <f t="shared" si="101"/>
        <v>45359</v>
      </c>
      <c r="C1567" s="82" t="str">
        <f t="shared" si="102"/>
        <v>vendredi</v>
      </c>
      <c r="D1567" s="87"/>
      <c r="E1567" s="115" t="str">
        <f t="shared" si="103"/>
        <v/>
      </c>
      <c r="F1567" s="115" t="str">
        <f t="shared" si="104"/>
        <v/>
      </c>
      <c r="G1567" s="116" t="str">
        <f>IF(ISNONTEXT(D1567),"",E1567-MAX($F$2:F1566))</f>
        <v/>
      </c>
      <c r="H1567" s="97"/>
      <c r="I1567" s="74" t="str">
        <f ca="1">IF(D1567="N",COUNTIF(INDIRECT(ADDRESS(MATCH(Plages!$D$19,'Planning annuel mixing coater'!$B:$B),4)):D1567,"N"),IF(D1567="N1",COUNTIF($D$9:D1567,"N1"),""))</f>
        <v/>
      </c>
      <c r="J1567" s="96" t="str">
        <f>IF(D1567="","",COUNTA(D1556:D1567)-(COUNTA(D1567:D1567)-1))</f>
        <v/>
      </c>
    </row>
    <row r="1568" spans="1:10" thickBot="1">
      <c r="A1568" s="117"/>
      <c r="B1568" s="70">
        <f t="shared" si="101"/>
        <v>45360</v>
      </c>
      <c r="C1568" s="82" t="str">
        <f t="shared" si="102"/>
        <v>samedi</v>
      </c>
      <c r="D1568" s="87"/>
      <c r="E1568" s="115" t="str">
        <f t="shared" si="103"/>
        <v/>
      </c>
      <c r="F1568" s="115" t="str">
        <f t="shared" si="104"/>
        <v/>
      </c>
      <c r="G1568" s="116" t="str">
        <f>IF(ISNONTEXT(D1568),"",E1568-MAX($F$2:F1567))</f>
        <v/>
      </c>
      <c r="H1568" s="97"/>
      <c r="I1568" s="74" t="str">
        <f ca="1">IF(D1568="N",COUNTIF(INDIRECT(ADDRESS(MATCH(Plages!$D$19,'Planning annuel mixing coater'!$B:$B),4)):D1568,"N"),IF(D1568="N1",COUNTIF($D$9:D1568,"N1"),""))</f>
        <v/>
      </c>
      <c r="J1568" s="96" t="str">
        <f>IF(D1568="","",COUNTA(D1556:D1568)-(COUNTA(D1568:D1568)-1))</f>
        <v/>
      </c>
    </row>
    <row r="1569" spans="1:10" s="77" customFormat="1" thickBot="1">
      <c r="A1569" s="117"/>
      <c r="B1569" s="75">
        <f t="shared" si="101"/>
        <v>45361</v>
      </c>
      <c r="C1569" s="83" t="str">
        <f t="shared" si="102"/>
        <v>dimanche</v>
      </c>
      <c r="D1569" s="88"/>
      <c r="E1569" s="115" t="str">
        <f t="shared" si="103"/>
        <v/>
      </c>
      <c r="F1569" s="115" t="str">
        <f t="shared" si="104"/>
        <v/>
      </c>
      <c r="G1569" s="116" t="str">
        <f>IF(ISNONTEXT(D1569),"",E1569-MAX($F$2:F1568))</f>
        <v/>
      </c>
      <c r="H1569" s="98"/>
      <c r="I1569" s="76" t="str">
        <f ca="1">IF(D1569="N",COUNTIF(INDIRECT(ADDRESS(MATCH(Plages!$D$19,'Planning annuel mixing coater'!$B:$B),4)):D1569,"N"),IF(D1569="N1",COUNTIF($D$9:D1569,"N1"),""))</f>
        <v/>
      </c>
      <c r="J1569" s="99" t="str">
        <f>IF(D1569="","",COUNTA(D1556:D1569)-(COUNTA(D1569:D1569)-1))</f>
        <v/>
      </c>
    </row>
    <row r="1570" spans="1:10" ht="16.5" thickTop="1" thickBot="1">
      <c r="A1570" s="117"/>
      <c r="B1570" s="78">
        <f t="shared" si="101"/>
        <v>45362</v>
      </c>
      <c r="C1570" s="81" t="str">
        <f t="shared" si="102"/>
        <v>lundi</v>
      </c>
      <c r="D1570" s="89"/>
      <c r="E1570" s="115" t="str">
        <f t="shared" si="103"/>
        <v/>
      </c>
      <c r="F1570" s="115" t="str">
        <f t="shared" si="104"/>
        <v/>
      </c>
      <c r="G1570" s="116" t="str">
        <f>IF(ISNONTEXT(D1570),"",E1570-MAX($F$2:F1569))</f>
        <v/>
      </c>
      <c r="H1570" s="100"/>
      <c r="I1570" s="79" t="str">
        <f ca="1">IF(D1570="N",COUNTIF(INDIRECT(ADDRESS(MATCH(Plages!$D$19,'Planning annuel mixing coater'!$B:$B),4)):D1570,"N"),IF(D1570="N1",COUNTIF($D$9:D1570,"N1"),""))</f>
        <v/>
      </c>
      <c r="J1570" s="101" t="str">
        <f>IF(D1570="","",COUNTA(D1570:D1570)-(COUNTA(D1570:D1570)-1))</f>
        <v/>
      </c>
    </row>
    <row r="1571" spans="1:10" thickBot="1">
      <c r="A1571" s="117"/>
      <c r="B1571" s="70">
        <f t="shared" si="101"/>
        <v>45363</v>
      </c>
      <c r="C1571" s="82" t="str">
        <f t="shared" si="102"/>
        <v>mardi</v>
      </c>
      <c r="D1571" s="87"/>
      <c r="E1571" s="115" t="str">
        <f t="shared" si="103"/>
        <v/>
      </c>
      <c r="F1571" s="115" t="str">
        <f t="shared" si="104"/>
        <v/>
      </c>
      <c r="G1571" s="116" t="str">
        <f>IF(ISNONTEXT(D1571),"",E1571-MAX($F$2:F1570))</f>
        <v/>
      </c>
      <c r="H1571" s="97"/>
      <c r="I1571" s="74" t="str">
        <f ca="1">IF(D1571="N",COUNTIF(INDIRECT(ADDRESS(MATCH(Plages!$D$19,'Planning annuel mixing coater'!$B:$B),4)):D1571,"N"),IF(D1571="N1",COUNTIF($D$9:D1571,"N1"),""))</f>
        <v/>
      </c>
      <c r="J1571" s="96" t="str">
        <f>IF(D1571="","",COUNTA(D1570:D1571)-(COUNTA(D1571:D1571)-1))</f>
        <v/>
      </c>
    </row>
    <row r="1572" spans="1:10" thickBot="1">
      <c r="A1572" s="117"/>
      <c r="B1572" s="70">
        <f t="shared" si="101"/>
        <v>45364</v>
      </c>
      <c r="C1572" s="82" t="str">
        <f t="shared" si="102"/>
        <v>mercredi</v>
      </c>
      <c r="D1572" s="87"/>
      <c r="E1572" s="115" t="str">
        <f t="shared" si="103"/>
        <v/>
      </c>
      <c r="F1572" s="115" t="str">
        <f t="shared" si="104"/>
        <v/>
      </c>
      <c r="G1572" s="116" t="str">
        <f>IF(ISNONTEXT(D1572),"",E1572-MAX($F$2:F1571))</f>
        <v/>
      </c>
      <c r="H1572" s="97"/>
      <c r="I1572" s="74" t="str">
        <f ca="1">IF(D1572="N",COUNTIF(INDIRECT(ADDRESS(MATCH(Plages!$D$19,'Planning annuel mixing coater'!$B:$B),4)):D1572,"N"),IF(D1572="N1",COUNTIF($D$9:D1572,"N1"),""))</f>
        <v/>
      </c>
      <c r="J1572" s="96" t="str">
        <f>IF(D1572="","",COUNTA(D1570:D1572)-(COUNTA(D1572:D1572)-1))</f>
        <v/>
      </c>
    </row>
    <row r="1573" spans="1:10" thickBot="1">
      <c r="A1573" s="117"/>
      <c r="B1573" s="70">
        <f t="shared" si="101"/>
        <v>45365</v>
      </c>
      <c r="C1573" s="82" t="str">
        <f t="shared" si="102"/>
        <v>jeudi</v>
      </c>
      <c r="D1573" s="87"/>
      <c r="E1573" s="115" t="str">
        <f t="shared" si="103"/>
        <v/>
      </c>
      <c r="F1573" s="115" t="str">
        <f t="shared" si="104"/>
        <v/>
      </c>
      <c r="G1573" s="116" t="str">
        <f>IF(ISNONTEXT(D1573),"",E1573-MAX($F$2:F1572))</f>
        <v/>
      </c>
      <c r="H1573" s="97"/>
      <c r="I1573" s="74" t="str">
        <f ca="1">IF(D1573="N",COUNTIF(INDIRECT(ADDRESS(MATCH(Plages!$D$19,'Planning annuel mixing coater'!$B:$B),4)):D1573,"N"),IF(D1573="N1",COUNTIF($D$9:D1573,"N1"),""))</f>
        <v/>
      </c>
      <c r="J1573" s="96" t="str">
        <f>IF(D1573="","",COUNTA(D1570:D1573)-(COUNTA(D1573:D1573)-1))</f>
        <v/>
      </c>
    </row>
    <row r="1574" spans="1:10" thickBot="1">
      <c r="A1574" s="117"/>
      <c r="B1574" s="70">
        <f t="shared" si="101"/>
        <v>45366</v>
      </c>
      <c r="C1574" s="82" t="str">
        <f t="shared" si="102"/>
        <v>vendredi</v>
      </c>
      <c r="D1574" s="87"/>
      <c r="E1574" s="115" t="str">
        <f t="shared" si="103"/>
        <v/>
      </c>
      <c r="F1574" s="115" t="str">
        <f t="shared" si="104"/>
        <v/>
      </c>
      <c r="G1574" s="116" t="str">
        <f>IF(ISNONTEXT(D1574),"",E1574-MAX($F$2:F1573))</f>
        <v/>
      </c>
      <c r="H1574" s="97"/>
      <c r="I1574" s="74" t="str">
        <f ca="1">IF(D1574="N",COUNTIF(INDIRECT(ADDRESS(MATCH(Plages!$D$19,'Planning annuel mixing coater'!$B:$B),4)):D1574,"N"),IF(D1574="N1",COUNTIF($D$9:D1574,"N1"),""))</f>
        <v/>
      </c>
      <c r="J1574" s="96" t="str">
        <f>IF(D1574="","",COUNTA(D1570:D1574)-(COUNTA(D1574:D1574)-1))</f>
        <v/>
      </c>
    </row>
    <row r="1575" spans="1:10" thickBot="1">
      <c r="A1575" s="117"/>
      <c r="B1575" s="70">
        <f t="shared" si="101"/>
        <v>45367</v>
      </c>
      <c r="C1575" s="82" t="str">
        <f t="shared" si="102"/>
        <v>samedi</v>
      </c>
      <c r="D1575" s="87"/>
      <c r="E1575" s="115" t="str">
        <f t="shared" si="103"/>
        <v/>
      </c>
      <c r="F1575" s="115" t="str">
        <f t="shared" si="104"/>
        <v/>
      </c>
      <c r="G1575" s="116" t="str">
        <f>IF(ISNONTEXT(D1575),"",E1575-MAX($F$2:F1574))</f>
        <v/>
      </c>
      <c r="H1575" s="97"/>
      <c r="I1575" s="74" t="str">
        <f ca="1">IF(D1575="N",COUNTIF(INDIRECT(ADDRESS(MATCH(Plages!$D$19,'Planning annuel mixing coater'!$B:$B),4)):D1575,"N"),IF(D1575="N1",COUNTIF($D$9:D1575,"N1"),""))</f>
        <v/>
      </c>
      <c r="J1575" s="96" t="str">
        <f>IF(D1575="","",COUNTA(D1570:D1575)-(COUNTA(D1575:D1575)-1))</f>
        <v/>
      </c>
    </row>
    <row r="1576" spans="1:10" thickBot="1">
      <c r="A1576" s="117"/>
      <c r="B1576" s="70">
        <f t="shared" si="101"/>
        <v>45368</v>
      </c>
      <c r="C1576" s="82" t="str">
        <f t="shared" si="102"/>
        <v>dimanche</v>
      </c>
      <c r="D1576" s="87"/>
      <c r="E1576" s="115" t="str">
        <f t="shared" si="103"/>
        <v/>
      </c>
      <c r="F1576" s="115" t="str">
        <f t="shared" si="104"/>
        <v/>
      </c>
      <c r="G1576" s="116" t="str">
        <f>IF(ISNONTEXT(D1576),"",E1576-MAX($F$2:F1575))</f>
        <v/>
      </c>
      <c r="H1576" s="98"/>
      <c r="I1576" s="74" t="str">
        <f ca="1">IF(D1576="N",COUNTIF(INDIRECT(ADDRESS(MATCH(Plages!$D$19,'Planning annuel mixing coater'!$B:$B),4)):D1576,"N"),IF(D1576="N1",COUNTIF($D$9:D1576,"N1"),""))</f>
        <v/>
      </c>
      <c r="J1576" s="96" t="str">
        <f>IF(D1576="","",COUNTA(D1570:D1576)-(COUNTA(D1576:D1576)-1))</f>
        <v/>
      </c>
    </row>
    <row r="1577" spans="1:10" thickBot="1">
      <c r="A1577" s="117"/>
      <c r="B1577" s="70">
        <f t="shared" si="101"/>
        <v>45369</v>
      </c>
      <c r="C1577" s="82" t="str">
        <f t="shared" si="102"/>
        <v>lundi</v>
      </c>
      <c r="D1577" s="87"/>
      <c r="E1577" s="115" t="str">
        <f t="shared" si="103"/>
        <v/>
      </c>
      <c r="F1577" s="115" t="str">
        <f t="shared" si="104"/>
        <v/>
      </c>
      <c r="G1577" s="116" t="str">
        <f>IF(ISNONTEXT(D1577),"",E1577-MAX($F$2:F1576))</f>
        <v/>
      </c>
      <c r="H1577" s="97"/>
      <c r="I1577" s="74" t="str">
        <f ca="1">IF(D1577="N",COUNTIF(INDIRECT(ADDRESS(MATCH(Plages!$D$19,'Planning annuel mixing coater'!$B:$B),4)):D1577,"N"),IF(D1577="N1",COUNTIF($D$9:D1577,"N1"),""))</f>
        <v/>
      </c>
      <c r="J1577" s="96" t="str">
        <f>IF(D1577="","",COUNTA(D1570:D1577)-(COUNTA(D1577:D1577)-1))</f>
        <v/>
      </c>
    </row>
    <row r="1578" spans="1:10" thickBot="1">
      <c r="A1578" s="117"/>
      <c r="B1578" s="70">
        <f t="shared" si="101"/>
        <v>45370</v>
      </c>
      <c r="C1578" s="82" t="str">
        <f t="shared" si="102"/>
        <v>mardi</v>
      </c>
      <c r="D1578" s="87"/>
      <c r="E1578" s="115" t="str">
        <f t="shared" si="103"/>
        <v/>
      </c>
      <c r="F1578" s="115" t="str">
        <f t="shared" si="104"/>
        <v/>
      </c>
      <c r="G1578" s="116" t="str">
        <f>IF(ISNONTEXT(D1578),"",E1578-MAX($F$2:F1577))</f>
        <v/>
      </c>
      <c r="H1578" s="97"/>
      <c r="I1578" s="74" t="str">
        <f ca="1">IF(D1578="N",COUNTIF(INDIRECT(ADDRESS(MATCH(Plages!$D$19,'Planning annuel mixing coater'!$B:$B),4)):D1578,"N"),IF(D1578="N1",COUNTIF($D$9:D1578,"N1"),""))</f>
        <v/>
      </c>
      <c r="J1578" s="96" t="str">
        <f>IF(D1578="","",COUNTA(D1570:D1578)-(COUNTA(D1578:D1578)-1))</f>
        <v/>
      </c>
    </row>
    <row r="1579" spans="1:10" thickBot="1">
      <c r="A1579" s="117"/>
      <c r="B1579" s="70">
        <f t="shared" si="101"/>
        <v>45371</v>
      </c>
      <c r="C1579" s="82" t="str">
        <f t="shared" si="102"/>
        <v>mercredi</v>
      </c>
      <c r="D1579" s="87"/>
      <c r="E1579" s="115" t="str">
        <f t="shared" si="103"/>
        <v/>
      </c>
      <c r="F1579" s="115" t="str">
        <f t="shared" si="104"/>
        <v/>
      </c>
      <c r="G1579" s="116" t="str">
        <f>IF(ISNONTEXT(D1579),"",E1579-MAX($F$2:F1578))</f>
        <v/>
      </c>
      <c r="H1579" s="97"/>
      <c r="I1579" s="74" t="str">
        <f ca="1">IF(D1579="N",COUNTIF(INDIRECT(ADDRESS(MATCH(Plages!$D$19,'Planning annuel mixing coater'!$B:$B),4)):D1579,"N"),IF(D1579="N1",COUNTIF($D$9:D1579,"N1"),""))</f>
        <v/>
      </c>
      <c r="J1579" s="96" t="str">
        <f>IF(D1579="","",COUNTA(D1570:D1579)-(COUNTA(D1579:D1579)-1))</f>
        <v/>
      </c>
    </row>
    <row r="1580" spans="1:10" thickBot="1">
      <c r="A1580" s="117"/>
      <c r="B1580" s="70">
        <f t="shared" si="101"/>
        <v>45372</v>
      </c>
      <c r="C1580" s="82" t="str">
        <f t="shared" si="102"/>
        <v>jeudi</v>
      </c>
      <c r="D1580" s="87"/>
      <c r="E1580" s="115" t="str">
        <f t="shared" si="103"/>
        <v/>
      </c>
      <c r="F1580" s="115" t="str">
        <f t="shared" si="104"/>
        <v/>
      </c>
      <c r="G1580" s="116" t="str">
        <f>IF(ISNONTEXT(D1580),"",E1580-MAX($F$2:F1579))</f>
        <v/>
      </c>
      <c r="H1580" s="97"/>
      <c r="I1580" s="74" t="str">
        <f ca="1">IF(D1580="N",COUNTIF(INDIRECT(ADDRESS(MATCH(Plages!$D$19,'Planning annuel mixing coater'!$B:$B),4)):D1580,"N"),IF(D1580="N1",COUNTIF($D$9:D1580,"N1"),""))</f>
        <v/>
      </c>
      <c r="J1580" s="96" t="str">
        <f>IF(D1580="","",COUNTA(D1570:D1580)-(COUNTA(D1580:D1580)-1))</f>
        <v/>
      </c>
    </row>
    <row r="1581" spans="1:10" thickBot="1">
      <c r="A1581" s="117"/>
      <c r="B1581" s="70">
        <f t="shared" si="101"/>
        <v>45373</v>
      </c>
      <c r="C1581" s="82" t="str">
        <f t="shared" si="102"/>
        <v>vendredi</v>
      </c>
      <c r="D1581" s="87"/>
      <c r="E1581" s="115" t="str">
        <f t="shared" si="103"/>
        <v/>
      </c>
      <c r="F1581" s="115" t="str">
        <f t="shared" si="104"/>
        <v/>
      </c>
      <c r="G1581" s="116" t="str">
        <f>IF(ISNONTEXT(D1581),"",E1581-MAX($F$2:F1580))</f>
        <v/>
      </c>
      <c r="H1581" s="97"/>
      <c r="I1581" s="74" t="str">
        <f ca="1">IF(D1581="N",COUNTIF(INDIRECT(ADDRESS(MATCH(Plages!$D$19,'Planning annuel mixing coater'!$B:$B),4)):D1581,"N"),IF(D1581="N1",COUNTIF($D$9:D1581,"N1"),""))</f>
        <v/>
      </c>
      <c r="J1581" s="96" t="str">
        <f>IF(D1581="","",COUNTA(D1570:D1581)-(COUNTA(D1581:D1581)-1))</f>
        <v/>
      </c>
    </row>
    <row r="1582" spans="1:10" thickBot="1">
      <c r="A1582" s="117"/>
      <c r="B1582" s="70">
        <f t="shared" si="101"/>
        <v>45374</v>
      </c>
      <c r="C1582" s="82" t="str">
        <f t="shared" si="102"/>
        <v>samedi</v>
      </c>
      <c r="D1582" s="87"/>
      <c r="E1582" s="115" t="str">
        <f t="shared" si="103"/>
        <v/>
      </c>
      <c r="F1582" s="115" t="str">
        <f t="shared" si="104"/>
        <v/>
      </c>
      <c r="G1582" s="116" t="str">
        <f>IF(ISNONTEXT(D1582),"",E1582-MAX($F$2:F1581))</f>
        <v/>
      </c>
      <c r="H1582" s="97"/>
      <c r="I1582" s="74" t="str">
        <f ca="1">IF(D1582="N",COUNTIF(INDIRECT(ADDRESS(MATCH(Plages!$D$19,'Planning annuel mixing coater'!$B:$B),4)):D1582,"N"),IF(D1582="N1",COUNTIF($D$9:D1582,"N1"),""))</f>
        <v/>
      </c>
      <c r="J1582" s="96" t="str">
        <f>IF(D1582="","",COUNTA(D1570:D1582)-(COUNTA(D1582:D1582)-1))</f>
        <v/>
      </c>
    </row>
    <row r="1583" spans="1:10" s="77" customFormat="1" thickBot="1">
      <c r="A1583" s="117"/>
      <c r="B1583" s="75">
        <f t="shared" si="101"/>
        <v>45375</v>
      </c>
      <c r="C1583" s="83" t="str">
        <f t="shared" si="102"/>
        <v>dimanche</v>
      </c>
      <c r="D1583" s="88"/>
      <c r="E1583" s="115" t="str">
        <f t="shared" si="103"/>
        <v/>
      </c>
      <c r="F1583" s="115" t="str">
        <f t="shared" si="104"/>
        <v/>
      </c>
      <c r="G1583" s="116" t="str">
        <f>IF(ISNONTEXT(D1583),"",E1583-MAX($F$2:F1582))</f>
        <v/>
      </c>
      <c r="H1583" s="98"/>
      <c r="I1583" s="76" t="str">
        <f ca="1">IF(D1583="N",COUNTIF(INDIRECT(ADDRESS(MATCH(Plages!$D$19,'Planning annuel mixing coater'!$B:$B),4)):D1583,"N"),IF(D1583="N1",COUNTIF($D$9:D1583,"N1"),""))</f>
        <v/>
      </c>
      <c r="J1583" s="99" t="str">
        <f>IF(D1583="","",COUNTA(D1570:D1583)-(COUNTA(D1583:D1583)-1))</f>
        <v/>
      </c>
    </row>
    <row r="1584" spans="1:10" ht="16.5" thickTop="1" thickBot="1">
      <c r="A1584" s="117"/>
      <c r="B1584" s="78">
        <f t="shared" si="101"/>
        <v>45376</v>
      </c>
      <c r="C1584" s="81" t="str">
        <f t="shared" si="102"/>
        <v>lundi</v>
      </c>
      <c r="D1584" s="89"/>
      <c r="E1584" s="115" t="str">
        <f t="shared" si="103"/>
        <v/>
      </c>
      <c r="F1584" s="115" t="str">
        <f t="shared" si="104"/>
        <v/>
      </c>
      <c r="G1584" s="116" t="str">
        <f>IF(ISNONTEXT(D1584),"",E1584-MAX($F$2:F1583))</f>
        <v/>
      </c>
      <c r="H1584" s="100"/>
      <c r="I1584" s="79" t="str">
        <f ca="1">IF(D1584="N",COUNTIF(INDIRECT(ADDRESS(MATCH(Plages!$D$19,'Planning annuel mixing coater'!$B:$B),4)):D1584,"N"),IF(D1584="N1",COUNTIF($D$9:D1584,"N1"),""))</f>
        <v/>
      </c>
      <c r="J1584" s="101" t="str">
        <f>IF(D1584="","",COUNTA(D1584:D1584)-(COUNTA(D1584:D1584)-1))</f>
        <v/>
      </c>
    </row>
    <row r="1585" spans="1:10" thickBot="1">
      <c r="A1585" s="117"/>
      <c r="B1585" s="70">
        <f t="shared" si="101"/>
        <v>45377</v>
      </c>
      <c r="C1585" s="82" t="str">
        <f t="shared" si="102"/>
        <v>mardi</v>
      </c>
      <c r="D1585" s="87"/>
      <c r="E1585" s="115" t="str">
        <f t="shared" si="103"/>
        <v/>
      </c>
      <c r="F1585" s="115" t="str">
        <f t="shared" si="104"/>
        <v/>
      </c>
      <c r="G1585" s="116" t="str">
        <f>IF(ISNONTEXT(D1585),"",E1585-MAX($F$2:F1584))</f>
        <v/>
      </c>
      <c r="H1585" s="97"/>
      <c r="I1585" s="74" t="str">
        <f ca="1">IF(D1585="N",COUNTIF(INDIRECT(ADDRESS(MATCH(Plages!$D$19,'Planning annuel mixing coater'!$B:$B),4)):D1585,"N"),IF(D1585="N1",COUNTIF($D$9:D1585,"N1"),""))</f>
        <v/>
      </c>
      <c r="J1585" s="96" t="str">
        <f>IF(D1585="","",COUNTA(D1584:D1585)-(COUNTA(D1585:D1585)-1))</f>
        <v/>
      </c>
    </row>
    <row r="1586" spans="1:10" thickBot="1">
      <c r="A1586" s="117"/>
      <c r="B1586" s="70">
        <f t="shared" si="101"/>
        <v>45378</v>
      </c>
      <c r="C1586" s="82" t="str">
        <f t="shared" si="102"/>
        <v>mercredi</v>
      </c>
      <c r="D1586" s="87"/>
      <c r="E1586" s="115" t="str">
        <f t="shared" si="103"/>
        <v/>
      </c>
      <c r="F1586" s="115" t="str">
        <f t="shared" si="104"/>
        <v/>
      </c>
      <c r="G1586" s="116" t="str">
        <f>IF(ISNONTEXT(D1586),"",E1586-MAX($F$2:F1585))</f>
        <v/>
      </c>
      <c r="H1586" s="97"/>
      <c r="I1586" s="74" t="str">
        <f ca="1">IF(D1586="N",COUNTIF(INDIRECT(ADDRESS(MATCH(Plages!$D$19,'Planning annuel mixing coater'!$B:$B),4)):D1586,"N"),IF(D1586="N1",COUNTIF($D$9:D1586,"N1"),""))</f>
        <v/>
      </c>
      <c r="J1586" s="96" t="str">
        <f>IF(D1586="","",COUNTA(D1584:D1586)-(COUNTA(D1586:D1586)-1))</f>
        <v/>
      </c>
    </row>
    <row r="1587" spans="1:10" thickBot="1">
      <c r="A1587" s="117"/>
      <c r="B1587" s="70">
        <f t="shared" si="101"/>
        <v>45379</v>
      </c>
      <c r="C1587" s="82" t="str">
        <f t="shared" si="102"/>
        <v>jeudi</v>
      </c>
      <c r="D1587" s="87"/>
      <c r="E1587" s="115" t="str">
        <f t="shared" si="103"/>
        <v/>
      </c>
      <c r="F1587" s="115" t="str">
        <f t="shared" si="104"/>
        <v/>
      </c>
      <c r="G1587" s="116" t="str">
        <f>IF(ISNONTEXT(D1587),"",E1587-MAX($F$2:F1586))</f>
        <v/>
      </c>
      <c r="H1587" s="97"/>
      <c r="I1587" s="74" t="str">
        <f ca="1">IF(D1587="N",COUNTIF(INDIRECT(ADDRESS(MATCH(Plages!$D$19,'Planning annuel mixing coater'!$B:$B),4)):D1587,"N"),IF(D1587="N1",COUNTIF($D$9:D1587,"N1"),""))</f>
        <v/>
      </c>
      <c r="J1587" s="96" t="str">
        <f>IF(D1587="","",COUNTA(D1584:D1587)-(COUNTA(D1587:D1587)-1))</f>
        <v/>
      </c>
    </row>
    <row r="1588" spans="1:10" thickBot="1">
      <c r="A1588" s="117"/>
      <c r="B1588" s="70">
        <f t="shared" si="101"/>
        <v>45380</v>
      </c>
      <c r="C1588" s="82" t="str">
        <f t="shared" si="102"/>
        <v>vendredi</v>
      </c>
      <c r="D1588" s="87"/>
      <c r="E1588" s="115" t="str">
        <f t="shared" si="103"/>
        <v/>
      </c>
      <c r="F1588" s="115" t="str">
        <f t="shared" si="104"/>
        <v/>
      </c>
      <c r="G1588" s="116" t="str">
        <f>IF(ISNONTEXT(D1588),"",E1588-MAX($F$2:F1587))</f>
        <v/>
      </c>
      <c r="H1588" s="97"/>
      <c r="I1588" s="74" t="str">
        <f ca="1">IF(D1588="N",COUNTIF(INDIRECT(ADDRESS(MATCH(Plages!$D$19,'Planning annuel mixing coater'!$B:$B),4)):D1588,"N"),IF(D1588="N1",COUNTIF($D$9:D1588,"N1"),""))</f>
        <v/>
      </c>
      <c r="J1588" s="96" t="str">
        <f>IF(D1588="","",COUNTA(D1584:D1588)-(COUNTA(D1588:D1588)-1))</f>
        <v/>
      </c>
    </row>
    <row r="1589" spans="1:10" thickBot="1">
      <c r="A1589" s="117"/>
      <c r="B1589" s="70">
        <f t="shared" si="101"/>
        <v>45381</v>
      </c>
      <c r="C1589" s="82" t="str">
        <f t="shared" si="102"/>
        <v>samedi</v>
      </c>
      <c r="D1589" s="87"/>
      <c r="E1589" s="115" t="str">
        <f t="shared" si="103"/>
        <v/>
      </c>
      <c r="F1589" s="115" t="str">
        <f t="shared" si="104"/>
        <v/>
      </c>
      <c r="G1589" s="116" t="str">
        <f>IF(ISNONTEXT(D1589),"",E1589-MAX($F$2:F1588))</f>
        <v/>
      </c>
      <c r="H1589" s="97"/>
      <c r="I1589" s="74" t="str">
        <f ca="1">IF(D1589="N",COUNTIF(INDIRECT(ADDRESS(MATCH(Plages!$D$19,'Planning annuel mixing coater'!$B:$B),4)):D1589,"N"),IF(D1589="N1",COUNTIF($D$9:D1589,"N1"),""))</f>
        <v/>
      </c>
      <c r="J1589" s="96" t="str">
        <f>IF(D1589="","",COUNTA(D1584:D1589)-(COUNTA(D1589:D1589)-1))</f>
        <v/>
      </c>
    </row>
    <row r="1590" spans="1:10" thickBot="1">
      <c r="A1590" s="117"/>
      <c r="B1590" s="70">
        <f t="shared" si="101"/>
        <v>45382</v>
      </c>
      <c r="C1590" s="82" t="str">
        <f t="shared" si="102"/>
        <v>dimanche</v>
      </c>
      <c r="D1590" s="87"/>
      <c r="E1590" s="115" t="str">
        <f t="shared" si="103"/>
        <v/>
      </c>
      <c r="F1590" s="115" t="str">
        <f t="shared" si="104"/>
        <v/>
      </c>
      <c r="G1590" s="116" t="str">
        <f>IF(ISNONTEXT(D1590),"",E1590-MAX($F$2:F1589))</f>
        <v/>
      </c>
      <c r="H1590" s="98"/>
      <c r="I1590" s="74" t="str">
        <f ca="1">IF(D1590="N",COUNTIF(INDIRECT(ADDRESS(MATCH(Plages!$D$19,'Planning annuel mixing coater'!$B:$B),4)):D1590,"N"),IF(D1590="N1",COUNTIF($D$9:D1590,"N1"),""))</f>
        <v/>
      </c>
      <c r="J1590" s="96" t="str">
        <f>IF(D1590="","",COUNTA(D1584:D1590)-(COUNTA(D1590:D1590)-1))</f>
        <v/>
      </c>
    </row>
    <row r="1591" spans="1:10" thickBot="1">
      <c r="A1591" s="117"/>
      <c r="B1591" s="70">
        <f t="shared" si="101"/>
        <v>45383</v>
      </c>
      <c r="C1591" s="82" t="str">
        <f t="shared" si="102"/>
        <v>lundi</v>
      </c>
      <c r="D1591" s="87"/>
      <c r="E1591" s="115" t="str">
        <f t="shared" si="103"/>
        <v/>
      </c>
      <c r="F1591" s="115" t="str">
        <f t="shared" si="104"/>
        <v/>
      </c>
      <c r="G1591" s="116" t="str">
        <f>IF(ISNONTEXT(D1591),"",E1591-MAX($F$2:F1590))</f>
        <v/>
      </c>
      <c r="H1591" s="97"/>
      <c r="I1591" s="74" t="str">
        <f ca="1">IF(D1591="N",COUNTIF(INDIRECT(ADDRESS(MATCH(Plages!$D$19,'Planning annuel mixing coater'!$B:$B),4)):D1591,"N"),IF(D1591="N1",COUNTIF($D$9:D1591,"N1"),""))</f>
        <v/>
      </c>
      <c r="J1591" s="96" t="str">
        <f>IF(D1591="","",COUNTA(D1584:D1591)-(COUNTA(D1591:D1591)-1))</f>
        <v/>
      </c>
    </row>
    <row r="1592" spans="1:10" thickBot="1">
      <c r="A1592" s="117"/>
      <c r="B1592" s="70">
        <f t="shared" si="101"/>
        <v>45384</v>
      </c>
      <c r="C1592" s="82" t="str">
        <f t="shared" si="102"/>
        <v>mardi</v>
      </c>
      <c r="D1592" s="87"/>
      <c r="E1592" s="115" t="str">
        <f t="shared" si="103"/>
        <v/>
      </c>
      <c r="F1592" s="115" t="str">
        <f t="shared" si="104"/>
        <v/>
      </c>
      <c r="G1592" s="116" t="str">
        <f>IF(ISNONTEXT(D1592),"",E1592-MAX($F$2:F1591))</f>
        <v/>
      </c>
      <c r="H1592" s="97"/>
      <c r="I1592" s="74" t="str">
        <f ca="1">IF(D1592="N",COUNTIF(INDIRECT(ADDRESS(MATCH(Plages!$D$19,'Planning annuel mixing coater'!$B:$B),4)):D1592,"N"),IF(D1592="N1",COUNTIF($D$9:D1592,"N1"),""))</f>
        <v/>
      </c>
      <c r="J1592" s="96" t="str">
        <f>IF(D1592="","",COUNTA(D1584:D1592)-(COUNTA(D1592:D1592)-1))</f>
        <v/>
      </c>
    </row>
    <row r="1593" spans="1:10" thickBot="1">
      <c r="A1593" s="117"/>
      <c r="B1593" s="70">
        <f t="shared" si="101"/>
        <v>45385</v>
      </c>
      <c r="C1593" s="82" t="str">
        <f t="shared" si="102"/>
        <v>mercredi</v>
      </c>
      <c r="D1593" s="87"/>
      <c r="E1593" s="115" t="str">
        <f t="shared" si="103"/>
        <v/>
      </c>
      <c r="F1593" s="115" t="str">
        <f t="shared" si="104"/>
        <v/>
      </c>
      <c r="G1593" s="116" t="str">
        <f>IF(ISNONTEXT(D1593),"",E1593-MAX($F$2:F1592))</f>
        <v/>
      </c>
      <c r="H1593" s="97"/>
      <c r="I1593" s="74" t="str">
        <f ca="1">IF(D1593="N",COUNTIF(INDIRECT(ADDRESS(MATCH(Plages!$D$19,'Planning annuel mixing coater'!$B:$B),4)):D1593,"N"),IF(D1593="N1",COUNTIF($D$9:D1593,"N1"),""))</f>
        <v/>
      </c>
      <c r="J1593" s="96" t="str">
        <f>IF(D1593="","",COUNTA(D1584:D1593)-(COUNTA(D1593:D1593)-1))</f>
        <v/>
      </c>
    </row>
    <row r="1594" spans="1:10" thickBot="1">
      <c r="A1594" s="117"/>
      <c r="B1594" s="70">
        <f t="shared" si="101"/>
        <v>45386</v>
      </c>
      <c r="C1594" s="82" t="str">
        <f t="shared" si="102"/>
        <v>jeudi</v>
      </c>
      <c r="D1594" s="87"/>
      <c r="E1594" s="115" t="str">
        <f t="shared" si="103"/>
        <v/>
      </c>
      <c r="F1594" s="115" t="str">
        <f t="shared" si="104"/>
        <v/>
      </c>
      <c r="G1594" s="116" t="str">
        <f>IF(ISNONTEXT(D1594),"",E1594-MAX($F$2:F1593))</f>
        <v/>
      </c>
      <c r="H1594" s="97"/>
      <c r="I1594" s="74" t="str">
        <f ca="1">IF(D1594="N",COUNTIF(INDIRECT(ADDRESS(MATCH(Plages!$D$19,'Planning annuel mixing coater'!$B:$B),4)):D1594,"N"),IF(D1594="N1",COUNTIF($D$9:D1594,"N1"),""))</f>
        <v/>
      </c>
      <c r="J1594" s="96" t="str">
        <f>IF(D1594="","",COUNTA(D1584:D1594)-(COUNTA(D1594:D1594)-1))</f>
        <v/>
      </c>
    </row>
    <row r="1595" spans="1:10" thickBot="1">
      <c r="A1595" s="117"/>
      <c r="B1595" s="70">
        <f t="shared" si="101"/>
        <v>45387</v>
      </c>
      <c r="C1595" s="82" t="str">
        <f t="shared" si="102"/>
        <v>vendredi</v>
      </c>
      <c r="D1595" s="87"/>
      <c r="E1595" s="115" t="str">
        <f t="shared" si="103"/>
        <v/>
      </c>
      <c r="F1595" s="115" t="str">
        <f t="shared" si="104"/>
        <v/>
      </c>
      <c r="G1595" s="116" t="str">
        <f>IF(ISNONTEXT(D1595),"",E1595-MAX($F$2:F1594))</f>
        <v/>
      </c>
      <c r="H1595" s="97"/>
      <c r="I1595" s="74" t="str">
        <f ca="1">IF(D1595="N",COUNTIF(INDIRECT(ADDRESS(MATCH(Plages!$D$19,'Planning annuel mixing coater'!$B:$B),4)):D1595,"N"),IF(D1595="N1",COUNTIF($D$9:D1595,"N1"),""))</f>
        <v/>
      </c>
      <c r="J1595" s="96" t="str">
        <f>IF(D1595="","",COUNTA(D1584:D1595)-(COUNTA(D1595:D1595)-1))</f>
        <v/>
      </c>
    </row>
    <row r="1596" spans="1:10" thickBot="1">
      <c r="A1596" s="117"/>
      <c r="B1596" s="70">
        <f t="shared" si="101"/>
        <v>45388</v>
      </c>
      <c r="C1596" s="82" t="str">
        <f t="shared" si="102"/>
        <v>samedi</v>
      </c>
      <c r="D1596" s="87"/>
      <c r="E1596" s="115" t="str">
        <f t="shared" si="103"/>
        <v/>
      </c>
      <c r="F1596" s="115" t="str">
        <f t="shared" si="104"/>
        <v/>
      </c>
      <c r="G1596" s="116" t="str">
        <f>IF(ISNONTEXT(D1596),"",E1596-MAX($F$2:F1595))</f>
        <v/>
      </c>
      <c r="H1596" s="97"/>
      <c r="I1596" s="74" t="str">
        <f ca="1">IF(D1596="N",COUNTIF(INDIRECT(ADDRESS(MATCH(Plages!$D$19,'Planning annuel mixing coater'!$B:$B),4)):D1596,"N"),IF(D1596="N1",COUNTIF($D$9:D1596,"N1"),""))</f>
        <v/>
      </c>
      <c r="J1596" s="96" t="str">
        <f>IF(D1596="","",COUNTA(D1584:D1596)-(COUNTA(D1596:D1596)-1))</f>
        <v/>
      </c>
    </row>
    <row r="1597" spans="1:10" s="77" customFormat="1" thickBot="1">
      <c r="A1597" s="117"/>
      <c r="B1597" s="75">
        <f t="shared" si="101"/>
        <v>45389</v>
      </c>
      <c r="C1597" s="83" t="str">
        <f t="shared" si="102"/>
        <v>dimanche</v>
      </c>
      <c r="D1597" s="88"/>
      <c r="E1597" s="115" t="str">
        <f t="shared" si="103"/>
        <v/>
      </c>
      <c r="F1597" s="115" t="str">
        <f t="shared" si="104"/>
        <v/>
      </c>
      <c r="G1597" s="116" t="str">
        <f>IF(ISNONTEXT(D1597),"",E1597-MAX($F$2:F1596))</f>
        <v/>
      </c>
      <c r="H1597" s="98"/>
      <c r="I1597" s="76" t="str">
        <f ca="1">IF(D1597="N",COUNTIF(INDIRECT(ADDRESS(MATCH(Plages!$D$19,'Planning annuel mixing coater'!$B:$B),4)):D1597,"N"),IF(D1597="N1",COUNTIF($D$9:D1597,"N1"),""))</f>
        <v/>
      </c>
      <c r="J1597" s="99" t="str">
        <f>IF(D1597="","",COUNTA(D1584:D1597)-(COUNTA(D1597:D1597)-1))</f>
        <v/>
      </c>
    </row>
    <row r="1598" spans="1:10" ht="16.5" thickTop="1" thickBot="1">
      <c r="A1598" s="117"/>
      <c r="B1598" s="78">
        <f t="shared" si="101"/>
        <v>45390</v>
      </c>
      <c r="C1598" s="81" t="str">
        <f t="shared" si="102"/>
        <v>lundi</v>
      </c>
      <c r="D1598" s="89"/>
      <c r="E1598" s="115" t="str">
        <f t="shared" si="103"/>
        <v/>
      </c>
      <c r="F1598" s="115" t="str">
        <f t="shared" si="104"/>
        <v/>
      </c>
      <c r="G1598" s="116" t="str">
        <f>IF(ISNONTEXT(D1598),"",E1598-MAX($F$2:F1597))</f>
        <v/>
      </c>
      <c r="H1598" s="100"/>
      <c r="I1598" s="79" t="str">
        <f ca="1">IF(D1598="N",COUNTIF(INDIRECT(ADDRESS(MATCH(Plages!$D$19,'Planning annuel mixing coater'!$B:$B),4)):D1598,"N"),IF(D1598="N1",COUNTIF($D$9:D1598,"N1"),""))</f>
        <v/>
      </c>
      <c r="J1598" s="101" t="str">
        <f>IF(D1598="","",COUNTA(D1598:D1598)-(COUNTA(D1598:D1598)-1))</f>
        <v/>
      </c>
    </row>
    <row r="1599" spans="1:10" thickBot="1">
      <c r="A1599" s="117"/>
      <c r="B1599" s="70">
        <f t="shared" si="101"/>
        <v>45391</v>
      </c>
      <c r="C1599" s="82" t="str">
        <f t="shared" si="102"/>
        <v>mardi</v>
      </c>
      <c r="D1599" s="87"/>
      <c r="E1599" s="115" t="str">
        <f t="shared" si="103"/>
        <v/>
      </c>
      <c r="F1599" s="115" t="str">
        <f t="shared" si="104"/>
        <v/>
      </c>
      <c r="G1599" s="116" t="str">
        <f>IF(ISNONTEXT(D1599),"",E1599-MAX($F$2:F1598))</f>
        <v/>
      </c>
      <c r="H1599" s="97"/>
      <c r="I1599" s="74" t="str">
        <f ca="1">IF(D1599="N",COUNTIF(INDIRECT(ADDRESS(MATCH(Plages!$D$19,'Planning annuel mixing coater'!$B:$B),4)):D1599,"N"),IF(D1599="N1",COUNTIF($D$9:D1599,"N1"),""))</f>
        <v/>
      </c>
      <c r="J1599" s="96" t="str">
        <f>IF(D1599="","",COUNTA(D1598:D1599)-(COUNTA(D1599:D1599)-1))</f>
        <v/>
      </c>
    </row>
    <row r="1600" spans="1:10" thickBot="1">
      <c r="A1600" s="117"/>
      <c r="B1600" s="70">
        <f t="shared" si="101"/>
        <v>45392</v>
      </c>
      <c r="C1600" s="82" t="str">
        <f t="shared" si="102"/>
        <v>mercredi</v>
      </c>
      <c r="D1600" s="87"/>
      <c r="E1600" s="115" t="str">
        <f t="shared" si="103"/>
        <v/>
      </c>
      <c r="F1600" s="115" t="str">
        <f t="shared" si="104"/>
        <v/>
      </c>
      <c r="G1600" s="116" t="str">
        <f>IF(ISNONTEXT(D1600),"",E1600-MAX($F$2:F1599))</f>
        <v/>
      </c>
      <c r="H1600" s="97"/>
      <c r="I1600" s="74" t="str">
        <f ca="1">IF(D1600="N",COUNTIF(INDIRECT(ADDRESS(MATCH(Plages!$D$19,'Planning annuel mixing coater'!$B:$B),4)):D1600,"N"),IF(D1600="N1",COUNTIF($D$9:D1600,"N1"),""))</f>
        <v/>
      </c>
      <c r="J1600" s="96" t="str">
        <f>IF(D1600="","",COUNTA(D1598:D1600)-(COUNTA(D1600:D1600)-1))</f>
        <v/>
      </c>
    </row>
    <row r="1601" spans="1:10" thickBot="1">
      <c r="A1601" s="117"/>
      <c r="B1601" s="70">
        <f t="shared" si="101"/>
        <v>45393</v>
      </c>
      <c r="C1601" s="82" t="str">
        <f t="shared" si="102"/>
        <v>jeudi</v>
      </c>
      <c r="D1601" s="87"/>
      <c r="E1601" s="115" t="str">
        <f t="shared" si="103"/>
        <v/>
      </c>
      <c r="F1601" s="115" t="str">
        <f t="shared" si="104"/>
        <v/>
      </c>
      <c r="G1601" s="116" t="str">
        <f>IF(ISNONTEXT(D1601),"",E1601-MAX($F$2:F1600))</f>
        <v/>
      </c>
      <c r="H1601" s="97"/>
      <c r="I1601" s="74" t="str">
        <f ca="1">IF(D1601="N",COUNTIF(INDIRECT(ADDRESS(MATCH(Plages!$D$19,'Planning annuel mixing coater'!$B:$B),4)):D1601,"N"),IF(D1601="N1",COUNTIF($D$9:D1601,"N1"),""))</f>
        <v/>
      </c>
      <c r="J1601" s="96" t="str">
        <f>IF(D1601="","",COUNTA(D1598:D1601)-(COUNTA(D1601:D1601)-1))</f>
        <v/>
      </c>
    </row>
    <row r="1602" spans="1:10" thickBot="1">
      <c r="A1602" s="117"/>
      <c r="B1602" s="70">
        <f t="shared" si="101"/>
        <v>45394</v>
      </c>
      <c r="C1602" s="82" t="str">
        <f t="shared" si="102"/>
        <v>vendredi</v>
      </c>
      <c r="D1602" s="87"/>
      <c r="E1602" s="115" t="str">
        <f t="shared" si="103"/>
        <v/>
      </c>
      <c r="F1602" s="115" t="str">
        <f t="shared" si="104"/>
        <v/>
      </c>
      <c r="G1602" s="116" t="str">
        <f>IF(ISNONTEXT(D1602),"",E1602-MAX($F$2:F1601))</f>
        <v/>
      </c>
      <c r="H1602" s="97"/>
      <c r="I1602" s="74" t="str">
        <f ca="1">IF(D1602="N",COUNTIF(INDIRECT(ADDRESS(MATCH(Plages!$D$19,'Planning annuel mixing coater'!$B:$B),4)):D1602,"N"),IF(D1602="N1",COUNTIF($D$9:D1602,"N1"),""))</f>
        <v/>
      </c>
      <c r="J1602" s="96" t="str">
        <f>IF(D1602="","",COUNTA(D1598:D1602)-(COUNTA(D1602:D1602)-1))</f>
        <v/>
      </c>
    </row>
    <row r="1603" spans="1:10" thickBot="1">
      <c r="A1603" s="117"/>
      <c r="B1603" s="70">
        <f t="shared" si="101"/>
        <v>45395</v>
      </c>
      <c r="C1603" s="82" t="str">
        <f t="shared" si="102"/>
        <v>samedi</v>
      </c>
      <c r="D1603" s="87"/>
      <c r="E1603" s="115" t="str">
        <f t="shared" si="103"/>
        <v/>
      </c>
      <c r="F1603" s="115" t="str">
        <f t="shared" si="104"/>
        <v/>
      </c>
      <c r="G1603" s="116" t="str">
        <f>IF(ISNONTEXT(D1603),"",E1603-MAX($F$2:F1602))</f>
        <v/>
      </c>
      <c r="H1603" s="97"/>
      <c r="I1603" s="74" t="str">
        <f ca="1">IF(D1603="N",COUNTIF(INDIRECT(ADDRESS(MATCH(Plages!$D$19,'Planning annuel mixing coater'!$B:$B),4)):D1603,"N"),IF(D1603="N1",COUNTIF($D$9:D1603,"N1"),""))</f>
        <v/>
      </c>
      <c r="J1603" s="96" t="str">
        <f>IF(D1603="","",COUNTA(D1598:D1603)-(COUNTA(D1603:D1603)-1))</f>
        <v/>
      </c>
    </row>
    <row r="1604" spans="1:10" thickBot="1">
      <c r="A1604" s="117"/>
      <c r="B1604" s="70">
        <f t="shared" ref="B1604:B1667" si="105">IF(B1603="","",B1603+1)</f>
        <v>45396</v>
      </c>
      <c r="C1604" s="82" t="str">
        <f t="shared" si="102"/>
        <v>dimanche</v>
      </c>
      <c r="D1604" s="87"/>
      <c r="E1604" s="115" t="str">
        <f t="shared" si="103"/>
        <v/>
      </c>
      <c r="F1604" s="115" t="str">
        <f t="shared" si="104"/>
        <v/>
      </c>
      <c r="G1604" s="116" t="str">
        <f>IF(ISNONTEXT(D1604),"",E1604-MAX($F$2:F1603))</f>
        <v/>
      </c>
      <c r="H1604" s="98"/>
      <c r="I1604" s="74" t="str">
        <f ca="1">IF(D1604="N",COUNTIF(INDIRECT(ADDRESS(MATCH(Plages!$D$19,'Planning annuel mixing coater'!$B:$B),4)):D1604,"N"),IF(D1604="N1",COUNTIF($D$9:D1604,"N1"),""))</f>
        <v/>
      </c>
      <c r="J1604" s="96" t="str">
        <f>IF(D1604="","",COUNTA(D1598:D1604)-(COUNTA(D1604:D1604)-1))</f>
        <v/>
      </c>
    </row>
    <row r="1605" spans="1:10" thickBot="1">
      <c r="A1605" s="117"/>
      <c r="B1605" s="70">
        <f t="shared" si="105"/>
        <v>45397</v>
      </c>
      <c r="C1605" s="82" t="str">
        <f t="shared" si="102"/>
        <v>lundi</v>
      </c>
      <c r="D1605" s="87"/>
      <c r="E1605" s="115" t="str">
        <f t="shared" si="103"/>
        <v/>
      </c>
      <c r="F1605" s="115" t="str">
        <f t="shared" si="104"/>
        <v/>
      </c>
      <c r="G1605" s="116" t="str">
        <f>IF(ISNONTEXT(D1605),"",E1605-MAX($F$2:F1604))</f>
        <v/>
      </c>
      <c r="H1605" s="97"/>
      <c r="I1605" s="74" t="str">
        <f ca="1">IF(D1605="N",COUNTIF(INDIRECT(ADDRESS(MATCH(Plages!$D$19,'Planning annuel mixing coater'!$B:$B),4)):D1605,"N"),IF(D1605="N1",COUNTIF($D$9:D1605,"N1"),""))</f>
        <v/>
      </c>
      <c r="J1605" s="96" t="str">
        <f>IF(D1605="","",COUNTA(D1598:D1605)-(COUNTA(D1605:D1605)-1))</f>
        <v/>
      </c>
    </row>
    <row r="1606" spans="1:10" thickBot="1">
      <c r="A1606" s="117"/>
      <c r="B1606" s="70">
        <f t="shared" si="105"/>
        <v>45398</v>
      </c>
      <c r="C1606" s="82" t="str">
        <f t="shared" si="102"/>
        <v>mardi</v>
      </c>
      <c r="D1606" s="87"/>
      <c r="E1606" s="115" t="str">
        <f t="shared" si="103"/>
        <v/>
      </c>
      <c r="F1606" s="115" t="str">
        <f t="shared" si="104"/>
        <v/>
      </c>
      <c r="G1606" s="116" t="str">
        <f>IF(ISNONTEXT(D1606),"",E1606-MAX($F$2:F1605))</f>
        <v/>
      </c>
      <c r="H1606" s="97"/>
      <c r="I1606" s="74" t="str">
        <f ca="1">IF(D1606="N",COUNTIF(INDIRECT(ADDRESS(MATCH(Plages!$D$19,'Planning annuel mixing coater'!$B:$B),4)):D1606,"N"),IF(D1606="N1",COUNTIF($D$9:D1606,"N1"),""))</f>
        <v/>
      </c>
      <c r="J1606" s="96" t="str">
        <f>IF(D1606="","",COUNTA(D1598:D1606)-(COUNTA(D1606:D1606)-1))</f>
        <v/>
      </c>
    </row>
    <row r="1607" spans="1:10" thickBot="1">
      <c r="A1607" s="117"/>
      <c r="B1607" s="70">
        <f t="shared" si="105"/>
        <v>45399</v>
      </c>
      <c r="C1607" s="82" t="str">
        <f t="shared" si="102"/>
        <v>mercredi</v>
      </c>
      <c r="D1607" s="87"/>
      <c r="E1607" s="115" t="str">
        <f t="shared" si="103"/>
        <v/>
      </c>
      <c r="F1607" s="115" t="str">
        <f t="shared" si="104"/>
        <v/>
      </c>
      <c r="G1607" s="116" t="str">
        <f>IF(ISNONTEXT(D1607),"",E1607-MAX($F$2:F1606))</f>
        <v/>
      </c>
      <c r="H1607" s="97"/>
      <c r="I1607" s="74" t="str">
        <f ca="1">IF(D1607="N",COUNTIF(INDIRECT(ADDRESS(MATCH(Plages!$D$19,'Planning annuel mixing coater'!$B:$B),4)):D1607,"N"),IF(D1607="N1",COUNTIF($D$9:D1607,"N1"),""))</f>
        <v/>
      </c>
      <c r="J1607" s="96" t="str">
        <f>IF(D1607="","",COUNTA(D1598:D1607)-(COUNTA(D1607:D1607)-1))</f>
        <v/>
      </c>
    </row>
    <row r="1608" spans="1:10" thickBot="1">
      <c r="A1608" s="117"/>
      <c r="B1608" s="70">
        <f t="shared" si="105"/>
        <v>45400</v>
      </c>
      <c r="C1608" s="82" t="str">
        <f t="shared" si="102"/>
        <v>jeudi</v>
      </c>
      <c r="D1608" s="87"/>
      <c r="E1608" s="115" t="str">
        <f t="shared" si="103"/>
        <v/>
      </c>
      <c r="F1608" s="115" t="str">
        <f t="shared" si="104"/>
        <v/>
      </c>
      <c r="G1608" s="116" t="str">
        <f>IF(ISNONTEXT(D1608),"",E1608-MAX($F$2:F1607))</f>
        <v/>
      </c>
      <c r="H1608" s="97"/>
      <c r="I1608" s="74" t="str">
        <f ca="1">IF(D1608="N",COUNTIF(INDIRECT(ADDRESS(MATCH(Plages!$D$19,'Planning annuel mixing coater'!$B:$B),4)):D1608,"N"),IF(D1608="N1",COUNTIF($D$9:D1608,"N1"),""))</f>
        <v/>
      </c>
      <c r="J1608" s="96" t="str">
        <f>IF(D1608="","",COUNTA(D1598:D1608)-(COUNTA(D1608:D1608)-1))</f>
        <v/>
      </c>
    </row>
    <row r="1609" spans="1:10" thickBot="1">
      <c r="A1609" s="117"/>
      <c r="B1609" s="70">
        <f t="shared" si="105"/>
        <v>45401</v>
      </c>
      <c r="C1609" s="82" t="str">
        <f t="shared" si="102"/>
        <v>vendredi</v>
      </c>
      <c r="D1609" s="87"/>
      <c r="E1609" s="115" t="str">
        <f t="shared" si="103"/>
        <v/>
      </c>
      <c r="F1609" s="115" t="str">
        <f t="shared" si="104"/>
        <v/>
      </c>
      <c r="G1609" s="116" t="str">
        <f>IF(ISNONTEXT(D1609),"",E1609-MAX($F$2:F1608))</f>
        <v/>
      </c>
      <c r="H1609" s="97"/>
      <c r="I1609" s="74" t="str">
        <f ca="1">IF(D1609="N",COUNTIF(INDIRECT(ADDRESS(MATCH(Plages!$D$19,'Planning annuel mixing coater'!$B:$B),4)):D1609,"N"),IF(D1609="N1",COUNTIF($D$9:D1609,"N1"),""))</f>
        <v/>
      </c>
      <c r="J1609" s="96" t="str">
        <f>IF(D1609="","",COUNTA(D1598:D1609)-(COUNTA(D1609:D1609)-1))</f>
        <v/>
      </c>
    </row>
    <row r="1610" spans="1:10" thickBot="1">
      <c r="A1610" s="117"/>
      <c r="B1610" s="70">
        <f t="shared" si="105"/>
        <v>45402</v>
      </c>
      <c r="C1610" s="82" t="str">
        <f t="shared" si="102"/>
        <v>samedi</v>
      </c>
      <c r="D1610" s="87"/>
      <c r="E1610" s="115" t="str">
        <f t="shared" si="103"/>
        <v/>
      </c>
      <c r="F1610" s="115" t="str">
        <f t="shared" si="104"/>
        <v/>
      </c>
      <c r="G1610" s="116" t="str">
        <f>IF(ISNONTEXT(D1610),"",E1610-MAX($F$2:F1609))</f>
        <v/>
      </c>
      <c r="H1610" s="97"/>
      <c r="I1610" s="74" t="str">
        <f ca="1">IF(D1610="N",COUNTIF(INDIRECT(ADDRESS(MATCH(Plages!$D$19,'Planning annuel mixing coater'!$B:$B),4)):D1610,"N"),IF(D1610="N1",COUNTIF($D$9:D1610,"N1"),""))</f>
        <v/>
      </c>
      <c r="J1610" s="96" t="str">
        <f>IF(D1610="","",COUNTA(D1598:D1610)-(COUNTA(D1610:D1610)-1))</f>
        <v/>
      </c>
    </row>
    <row r="1611" spans="1:10" s="77" customFormat="1" thickBot="1">
      <c r="A1611" s="117"/>
      <c r="B1611" s="75">
        <f t="shared" si="105"/>
        <v>45403</v>
      </c>
      <c r="C1611" s="83" t="str">
        <f t="shared" si="102"/>
        <v>dimanche</v>
      </c>
      <c r="D1611" s="88"/>
      <c r="E1611" s="115" t="str">
        <f t="shared" si="103"/>
        <v/>
      </c>
      <c r="F1611" s="115" t="str">
        <f t="shared" si="104"/>
        <v/>
      </c>
      <c r="G1611" s="116" t="str">
        <f>IF(ISNONTEXT(D1611),"",E1611-MAX($F$2:F1610))</f>
        <v/>
      </c>
      <c r="H1611" s="98"/>
      <c r="I1611" s="76" t="str">
        <f ca="1">IF(D1611="N",COUNTIF(INDIRECT(ADDRESS(MATCH(Plages!$D$19,'Planning annuel mixing coater'!$B:$B),4)):D1611,"N"),IF(D1611="N1",COUNTIF($D$9:D1611,"N1"),""))</f>
        <v/>
      </c>
      <c r="J1611" s="99" t="str">
        <f>IF(D1611="","",COUNTA(D1598:D1611)-(COUNTA(D1611:D1611)-1))</f>
        <v/>
      </c>
    </row>
    <row r="1612" spans="1:10" ht="16.5" thickTop="1" thickBot="1">
      <c r="A1612" s="117"/>
      <c r="B1612" s="78">
        <f t="shared" si="105"/>
        <v>45404</v>
      </c>
      <c r="C1612" s="81" t="str">
        <f t="shared" si="102"/>
        <v>lundi</v>
      </c>
      <c r="D1612" s="89"/>
      <c r="E1612" s="115" t="str">
        <f t="shared" si="103"/>
        <v/>
      </c>
      <c r="F1612" s="115" t="str">
        <f t="shared" si="104"/>
        <v/>
      </c>
      <c r="G1612" s="116" t="str">
        <f>IF(ISNONTEXT(D1612),"",E1612-MAX($F$2:F1611))</f>
        <v/>
      </c>
      <c r="H1612" s="100"/>
      <c r="I1612" s="79" t="str">
        <f ca="1">IF(D1612="N",COUNTIF(INDIRECT(ADDRESS(MATCH(Plages!$D$19,'Planning annuel mixing coater'!$B:$B),4)):D1612,"N"),IF(D1612="N1",COUNTIF($D$9:D1612,"N1"),""))</f>
        <v/>
      </c>
      <c r="J1612" s="101" t="str">
        <f>IF(D1612="","",COUNTA(D1612:D1612)-(COUNTA(D1612:D1612)-1))</f>
        <v/>
      </c>
    </row>
    <row r="1613" spans="1:10" thickBot="1">
      <c r="A1613" s="117"/>
      <c r="B1613" s="70">
        <f t="shared" si="105"/>
        <v>45405</v>
      </c>
      <c r="C1613" s="82" t="str">
        <f t="shared" si="102"/>
        <v>mardi</v>
      </c>
      <c r="D1613" s="87"/>
      <c r="E1613" s="115" t="str">
        <f t="shared" si="103"/>
        <v/>
      </c>
      <c r="F1613" s="115" t="str">
        <f t="shared" si="104"/>
        <v/>
      </c>
      <c r="G1613" s="116" t="str">
        <f>IF(ISNONTEXT(D1613),"",E1613-MAX($F$2:F1612))</f>
        <v/>
      </c>
      <c r="H1613" s="97"/>
      <c r="I1613" s="74" t="str">
        <f ca="1">IF(D1613="N",COUNTIF(INDIRECT(ADDRESS(MATCH(Plages!$D$19,'Planning annuel mixing coater'!$B:$B),4)):D1613,"N"),IF(D1613="N1",COUNTIF($D$9:D1613,"N1"),""))</f>
        <v/>
      </c>
      <c r="J1613" s="96" t="str">
        <f>IF(D1613="","",COUNTA(D1612:D1613)-(COUNTA(D1613:D1613)-1))</f>
        <v/>
      </c>
    </row>
    <row r="1614" spans="1:10" thickBot="1">
      <c r="A1614" s="117"/>
      <c r="B1614" s="70">
        <f t="shared" si="105"/>
        <v>45406</v>
      </c>
      <c r="C1614" s="82" t="str">
        <f t="shared" si="102"/>
        <v>mercredi</v>
      </c>
      <c r="D1614" s="87"/>
      <c r="E1614" s="115" t="str">
        <f t="shared" si="103"/>
        <v/>
      </c>
      <c r="F1614" s="115" t="str">
        <f t="shared" si="104"/>
        <v/>
      </c>
      <c r="G1614" s="116" t="str">
        <f>IF(ISNONTEXT(D1614),"",E1614-MAX($F$2:F1613))</f>
        <v/>
      </c>
      <c r="H1614" s="97"/>
      <c r="I1614" s="74" t="str">
        <f ca="1">IF(D1614="N",COUNTIF(INDIRECT(ADDRESS(MATCH(Plages!$D$19,'Planning annuel mixing coater'!$B:$B),4)):D1614,"N"),IF(D1614="N1",COUNTIF($D$9:D1614,"N1"),""))</f>
        <v/>
      </c>
      <c r="J1614" s="96" t="str">
        <f>IF(D1614="","",COUNTA(D1612:D1614)-(COUNTA(D1614:D1614)-1))</f>
        <v/>
      </c>
    </row>
    <row r="1615" spans="1:10" thickBot="1">
      <c r="A1615" s="117"/>
      <c r="B1615" s="70">
        <f t="shared" si="105"/>
        <v>45407</v>
      </c>
      <c r="C1615" s="82" t="str">
        <f t="shared" si="102"/>
        <v>jeudi</v>
      </c>
      <c r="D1615" s="87"/>
      <c r="E1615" s="115" t="str">
        <f t="shared" si="103"/>
        <v/>
      </c>
      <c r="F1615" s="115" t="str">
        <f t="shared" si="104"/>
        <v/>
      </c>
      <c r="G1615" s="116" t="str">
        <f>IF(ISNONTEXT(D1615),"",E1615-MAX($F$2:F1614))</f>
        <v/>
      </c>
      <c r="H1615" s="97"/>
      <c r="I1615" s="74" t="str">
        <f ca="1">IF(D1615="N",COUNTIF(INDIRECT(ADDRESS(MATCH(Plages!$D$19,'Planning annuel mixing coater'!$B:$B),4)):D1615,"N"),IF(D1615="N1",COUNTIF($D$9:D1615,"N1"),""))</f>
        <v/>
      </c>
      <c r="J1615" s="96" t="str">
        <f>IF(D1615="","",COUNTA(D1612:D1615)-(COUNTA(D1615:D1615)-1))</f>
        <v/>
      </c>
    </row>
    <row r="1616" spans="1:10" thickBot="1">
      <c r="A1616" s="117"/>
      <c r="B1616" s="70">
        <f t="shared" si="105"/>
        <v>45408</v>
      </c>
      <c r="C1616" s="82" t="str">
        <f t="shared" si="102"/>
        <v>vendredi</v>
      </c>
      <c r="D1616" s="87"/>
      <c r="E1616" s="115" t="str">
        <f t="shared" si="103"/>
        <v/>
      </c>
      <c r="F1616" s="115" t="str">
        <f t="shared" si="104"/>
        <v/>
      </c>
      <c r="G1616" s="116" t="str">
        <f>IF(ISNONTEXT(D1616),"",E1616-MAX($F$2:F1615))</f>
        <v/>
      </c>
      <c r="H1616" s="97"/>
      <c r="I1616" s="74" t="str">
        <f ca="1">IF(D1616="N",COUNTIF(INDIRECT(ADDRESS(MATCH(Plages!$D$19,'Planning annuel mixing coater'!$B:$B),4)):D1616,"N"),IF(D1616="N1",COUNTIF($D$9:D1616,"N1"),""))</f>
        <v/>
      </c>
      <c r="J1616" s="96" t="str">
        <f>IF(D1616="","",COUNTA(D1612:D1616)-(COUNTA(D1616:D1616)-1))</f>
        <v/>
      </c>
    </row>
    <row r="1617" spans="1:10" thickBot="1">
      <c r="A1617" s="117"/>
      <c r="B1617" s="70">
        <f t="shared" si="105"/>
        <v>45409</v>
      </c>
      <c r="C1617" s="82" t="str">
        <f t="shared" si="102"/>
        <v>samedi</v>
      </c>
      <c r="D1617" s="87"/>
      <c r="E1617" s="115" t="str">
        <f t="shared" si="103"/>
        <v/>
      </c>
      <c r="F1617" s="115" t="str">
        <f t="shared" si="104"/>
        <v/>
      </c>
      <c r="G1617" s="116" t="str">
        <f>IF(ISNONTEXT(D1617),"",E1617-MAX($F$2:F1616))</f>
        <v/>
      </c>
      <c r="H1617" s="97"/>
      <c r="I1617" s="74" t="str">
        <f ca="1">IF(D1617="N",COUNTIF(INDIRECT(ADDRESS(MATCH(Plages!$D$19,'Planning annuel mixing coater'!$B:$B),4)):D1617,"N"),IF(D1617="N1",COUNTIF($D$9:D1617,"N1"),""))</f>
        <v/>
      </c>
      <c r="J1617" s="96" t="str">
        <f>IF(D1617="","",COUNTA(D1612:D1617)-(COUNTA(D1617:D1617)-1))</f>
        <v/>
      </c>
    </row>
    <row r="1618" spans="1:10" thickBot="1">
      <c r="A1618" s="117"/>
      <c r="B1618" s="70">
        <f t="shared" si="105"/>
        <v>45410</v>
      </c>
      <c r="C1618" s="82" t="str">
        <f t="shared" si="102"/>
        <v>dimanche</v>
      </c>
      <c r="D1618" s="87"/>
      <c r="E1618" s="115" t="str">
        <f t="shared" si="103"/>
        <v/>
      </c>
      <c r="F1618" s="115" t="str">
        <f t="shared" si="104"/>
        <v/>
      </c>
      <c r="G1618" s="116" t="str">
        <f>IF(ISNONTEXT(D1618),"",E1618-MAX($F$2:F1617))</f>
        <v/>
      </c>
      <c r="H1618" s="98"/>
      <c r="I1618" s="74" t="str">
        <f ca="1">IF(D1618="N",COUNTIF(INDIRECT(ADDRESS(MATCH(Plages!$D$19,'Planning annuel mixing coater'!$B:$B),4)):D1618,"N"),IF(D1618="N1",COUNTIF($D$9:D1618,"N1"),""))</f>
        <v/>
      </c>
      <c r="J1618" s="96" t="str">
        <f>IF(D1618="","",COUNTA(D1612:D1618)-(COUNTA(D1618:D1618)-1))</f>
        <v/>
      </c>
    </row>
    <row r="1619" spans="1:10" thickBot="1">
      <c r="A1619" s="117"/>
      <c r="B1619" s="70">
        <f t="shared" si="105"/>
        <v>45411</v>
      </c>
      <c r="C1619" s="82" t="str">
        <f t="shared" si="102"/>
        <v>lundi</v>
      </c>
      <c r="D1619" s="87"/>
      <c r="E1619" s="115" t="str">
        <f t="shared" si="103"/>
        <v/>
      </c>
      <c r="F1619" s="115" t="str">
        <f t="shared" si="104"/>
        <v/>
      </c>
      <c r="G1619" s="116" t="str">
        <f>IF(ISNONTEXT(D1619),"",E1619-MAX($F$2:F1618))</f>
        <v/>
      </c>
      <c r="H1619" s="97"/>
      <c r="I1619" s="74" t="str">
        <f ca="1">IF(D1619="N",COUNTIF(INDIRECT(ADDRESS(MATCH(Plages!$D$19,'Planning annuel mixing coater'!$B:$B),4)):D1619,"N"),IF(D1619="N1",COUNTIF($D$9:D1619,"N1"),""))</f>
        <v/>
      </c>
      <c r="J1619" s="96" t="str">
        <f>IF(D1619="","",COUNTA(D1612:D1619)-(COUNTA(D1619:D1619)-1))</f>
        <v/>
      </c>
    </row>
    <row r="1620" spans="1:10" thickBot="1">
      <c r="A1620" s="117"/>
      <c r="B1620" s="70">
        <f t="shared" si="105"/>
        <v>45412</v>
      </c>
      <c r="C1620" s="82" t="str">
        <f t="shared" si="102"/>
        <v>mardi</v>
      </c>
      <c r="D1620" s="87"/>
      <c r="E1620" s="115" t="str">
        <f t="shared" si="103"/>
        <v/>
      </c>
      <c r="F1620" s="115" t="str">
        <f t="shared" si="104"/>
        <v/>
      </c>
      <c r="G1620" s="116" t="str">
        <f>IF(ISNONTEXT(D1620),"",E1620-MAX($F$2:F1619))</f>
        <v/>
      </c>
      <c r="H1620" s="97"/>
      <c r="I1620" s="74" t="str">
        <f ca="1">IF(D1620="N",COUNTIF(INDIRECT(ADDRESS(MATCH(Plages!$D$19,'Planning annuel mixing coater'!$B:$B),4)):D1620,"N"),IF(D1620="N1",COUNTIF($D$9:D1620,"N1"),""))</f>
        <v/>
      </c>
      <c r="J1620" s="96" t="str">
        <f>IF(D1620="","",COUNTA(D1612:D1620)-(COUNTA(D1620:D1620)-1))</f>
        <v/>
      </c>
    </row>
    <row r="1621" spans="1:10" thickBot="1">
      <c r="A1621" s="117"/>
      <c r="B1621" s="70">
        <f t="shared" si="105"/>
        <v>45413</v>
      </c>
      <c r="C1621" s="82" t="str">
        <f t="shared" si="102"/>
        <v>mercredi</v>
      </c>
      <c r="D1621" s="87"/>
      <c r="E1621" s="115" t="str">
        <f t="shared" si="103"/>
        <v/>
      </c>
      <c r="F1621" s="115" t="str">
        <f t="shared" si="104"/>
        <v/>
      </c>
      <c r="G1621" s="116" t="str">
        <f>IF(ISNONTEXT(D1621),"",E1621-MAX($F$2:F1620))</f>
        <v/>
      </c>
      <c r="H1621" s="97"/>
      <c r="I1621" s="74" t="str">
        <f ca="1">IF(D1621="N",COUNTIF(INDIRECT(ADDRESS(MATCH(Plages!$D$19,'Planning annuel mixing coater'!$B:$B),4)):D1621,"N"),IF(D1621="N1",COUNTIF($D$9:D1621,"N1"),""))</f>
        <v/>
      </c>
      <c r="J1621" s="96" t="str">
        <f>IF(D1621="","",COUNTA(D1612:D1621)-(COUNTA(D1621:D1621)-1))</f>
        <v/>
      </c>
    </row>
    <row r="1622" spans="1:10" thickBot="1">
      <c r="A1622" s="117"/>
      <c r="B1622" s="70">
        <f t="shared" si="105"/>
        <v>45414</v>
      </c>
      <c r="C1622" s="82" t="str">
        <f t="shared" si="102"/>
        <v>jeudi</v>
      </c>
      <c r="D1622" s="87"/>
      <c r="E1622" s="115" t="str">
        <f t="shared" si="103"/>
        <v/>
      </c>
      <c r="F1622" s="115" t="str">
        <f t="shared" si="104"/>
        <v/>
      </c>
      <c r="G1622" s="116" t="str">
        <f>IF(ISNONTEXT(D1622),"",E1622-MAX($F$2:F1621))</f>
        <v/>
      </c>
      <c r="H1622" s="97"/>
      <c r="I1622" s="74" t="str">
        <f ca="1">IF(D1622="N",COUNTIF(INDIRECT(ADDRESS(MATCH(Plages!$D$19,'Planning annuel mixing coater'!$B:$B),4)):D1622,"N"),IF(D1622="N1",COUNTIF($D$9:D1622,"N1"),""))</f>
        <v/>
      </c>
      <c r="J1622" s="96" t="str">
        <f>IF(D1622="","",COUNTA(D1612:D1622)-(COUNTA(D1622:D1622)-1))</f>
        <v/>
      </c>
    </row>
    <row r="1623" spans="1:10" thickBot="1">
      <c r="A1623" s="117"/>
      <c r="B1623" s="70">
        <f t="shared" si="105"/>
        <v>45415</v>
      </c>
      <c r="C1623" s="82" t="str">
        <f t="shared" si="102"/>
        <v>vendredi</v>
      </c>
      <c r="D1623" s="87"/>
      <c r="E1623" s="115" t="str">
        <f t="shared" si="103"/>
        <v/>
      </c>
      <c r="F1623" s="115" t="str">
        <f t="shared" si="104"/>
        <v/>
      </c>
      <c r="G1623" s="116" t="str">
        <f>IF(ISNONTEXT(D1623),"",E1623-MAX($F$2:F1622))</f>
        <v/>
      </c>
      <c r="H1623" s="97"/>
      <c r="I1623" s="74" t="str">
        <f ca="1">IF(D1623="N",COUNTIF(INDIRECT(ADDRESS(MATCH(Plages!$D$19,'Planning annuel mixing coater'!$B:$B),4)):D1623,"N"),IF(D1623="N1",COUNTIF($D$9:D1623,"N1"),""))</f>
        <v/>
      </c>
      <c r="J1623" s="96" t="str">
        <f>IF(D1623="","",COUNTA(D1612:D1623)-(COUNTA(D1623:D1623)-1))</f>
        <v/>
      </c>
    </row>
    <row r="1624" spans="1:10" thickBot="1">
      <c r="A1624" s="117"/>
      <c r="B1624" s="70">
        <f t="shared" si="105"/>
        <v>45416</v>
      </c>
      <c r="C1624" s="82" t="str">
        <f t="shared" si="102"/>
        <v>samedi</v>
      </c>
      <c r="D1624" s="87"/>
      <c r="E1624" s="115" t="str">
        <f t="shared" si="103"/>
        <v/>
      </c>
      <c r="F1624" s="115" t="str">
        <f t="shared" si="104"/>
        <v/>
      </c>
      <c r="G1624" s="116" t="str">
        <f>IF(ISNONTEXT(D1624),"",E1624-MAX($F$2:F1623))</f>
        <v/>
      </c>
      <c r="H1624" s="97"/>
      <c r="I1624" s="74" t="str">
        <f ca="1">IF(D1624="N",COUNTIF(INDIRECT(ADDRESS(MATCH(Plages!$D$19,'Planning annuel mixing coater'!$B:$B),4)):D1624,"N"),IF(D1624="N1",COUNTIF($D$9:D1624,"N1"),""))</f>
        <v/>
      </c>
      <c r="J1624" s="96" t="str">
        <f>IF(D1624="","",COUNTA(D1612:D1624)-(COUNTA(D1624:D1624)-1))</f>
        <v/>
      </c>
    </row>
    <row r="1625" spans="1:10" s="77" customFormat="1" thickBot="1">
      <c r="A1625" s="117"/>
      <c r="B1625" s="75">
        <f t="shared" si="105"/>
        <v>45417</v>
      </c>
      <c r="C1625" s="83" t="str">
        <f t="shared" si="102"/>
        <v>dimanche</v>
      </c>
      <c r="D1625" s="88"/>
      <c r="E1625" s="115" t="str">
        <f t="shared" si="103"/>
        <v/>
      </c>
      <c r="F1625" s="115" t="str">
        <f t="shared" si="104"/>
        <v/>
      </c>
      <c r="G1625" s="116" t="str">
        <f>IF(ISNONTEXT(D1625),"",E1625-MAX($F$2:F1624))</f>
        <v/>
      </c>
      <c r="H1625" s="98"/>
      <c r="I1625" s="76" t="str">
        <f ca="1">IF(D1625="N",COUNTIF(INDIRECT(ADDRESS(MATCH(Plages!$D$19,'Planning annuel mixing coater'!$B:$B),4)):D1625,"N"),IF(D1625="N1",COUNTIF($D$9:D1625,"N1"),""))</f>
        <v/>
      </c>
      <c r="J1625" s="99" t="str">
        <f>IF(D1625="","",COUNTA(D1612:D1625)-(COUNTA(D1625:D1625)-1))</f>
        <v/>
      </c>
    </row>
    <row r="1626" spans="1:10" ht="16.5" thickTop="1" thickBot="1">
      <c r="A1626" s="117"/>
      <c r="B1626" s="78">
        <f t="shared" si="105"/>
        <v>45418</v>
      </c>
      <c r="C1626" s="81" t="str">
        <f t="shared" si="102"/>
        <v>lundi</v>
      </c>
      <c r="D1626" s="89"/>
      <c r="E1626" s="115" t="str">
        <f t="shared" si="103"/>
        <v/>
      </c>
      <c r="F1626" s="115" t="str">
        <f t="shared" si="104"/>
        <v/>
      </c>
      <c r="G1626" s="116" t="str">
        <f>IF(ISNONTEXT(D1626),"",E1626-MAX($F$2:F1625))</f>
        <v/>
      </c>
      <c r="H1626" s="100"/>
      <c r="I1626" s="79" t="str">
        <f ca="1">IF(D1626="N",COUNTIF(INDIRECT(ADDRESS(MATCH(Plages!$D$19,'Planning annuel mixing coater'!$B:$B),4)):D1626,"N"),IF(D1626="N1",COUNTIF($D$9:D1626,"N1"),""))</f>
        <v/>
      </c>
      <c r="J1626" s="101" t="str">
        <f>IF(D1626="","",COUNTA(D1626:D1626)-(COUNTA(D1626:D1626)-1))</f>
        <v/>
      </c>
    </row>
    <row r="1627" spans="1:10" thickBot="1">
      <c r="A1627" s="117"/>
      <c r="B1627" s="70">
        <f t="shared" si="105"/>
        <v>45419</v>
      </c>
      <c r="C1627" s="82" t="str">
        <f t="shared" si="102"/>
        <v>mardi</v>
      </c>
      <c r="D1627" s="87"/>
      <c r="E1627" s="115" t="str">
        <f t="shared" si="103"/>
        <v/>
      </c>
      <c r="F1627" s="115" t="str">
        <f t="shared" si="104"/>
        <v/>
      </c>
      <c r="G1627" s="116" t="str">
        <f>IF(ISNONTEXT(D1627),"",E1627-MAX($F$2:F1626))</f>
        <v/>
      </c>
      <c r="H1627" s="97"/>
      <c r="I1627" s="74" t="str">
        <f ca="1">IF(D1627="N",COUNTIF(INDIRECT(ADDRESS(MATCH(Plages!$D$19,'Planning annuel mixing coater'!$B:$B),4)):D1627,"N"),IF(D1627="N1",COUNTIF($D$9:D1627,"N1"),""))</f>
        <v/>
      </c>
      <c r="J1627" s="96" t="str">
        <f>IF(D1627="","",COUNTA(D1626:D1627)-(COUNTA(D1627:D1627)-1))</f>
        <v/>
      </c>
    </row>
    <row r="1628" spans="1:10" thickBot="1">
      <c r="A1628" s="117"/>
      <c r="B1628" s="70">
        <f t="shared" si="105"/>
        <v>45420</v>
      </c>
      <c r="C1628" s="82" t="str">
        <f t="shared" si="102"/>
        <v>mercredi</v>
      </c>
      <c r="D1628" s="87"/>
      <c r="E1628" s="115" t="str">
        <f t="shared" si="103"/>
        <v/>
      </c>
      <c r="F1628" s="115" t="str">
        <f t="shared" si="104"/>
        <v/>
      </c>
      <c r="G1628" s="116" t="str">
        <f>IF(ISNONTEXT(D1628),"",E1628-MAX($F$2:F1627))</f>
        <v/>
      </c>
      <c r="H1628" s="97"/>
      <c r="I1628" s="74" t="str">
        <f ca="1">IF(D1628="N",COUNTIF(INDIRECT(ADDRESS(MATCH(Plages!$D$19,'Planning annuel mixing coater'!$B:$B),4)):D1628,"N"),IF(D1628="N1",COUNTIF($D$9:D1628,"N1"),""))</f>
        <v/>
      </c>
      <c r="J1628" s="96" t="str">
        <f>IF(D1628="","",COUNTA(D1626:D1628)-(COUNTA(D1628:D1628)-1))</f>
        <v/>
      </c>
    </row>
    <row r="1629" spans="1:10" thickBot="1">
      <c r="A1629" s="117"/>
      <c r="B1629" s="70">
        <f t="shared" si="105"/>
        <v>45421</v>
      </c>
      <c r="C1629" s="82" t="str">
        <f t="shared" si="102"/>
        <v>jeudi</v>
      </c>
      <c r="D1629" s="87"/>
      <c r="E1629" s="115" t="str">
        <f t="shared" si="103"/>
        <v/>
      </c>
      <c r="F1629" s="115" t="str">
        <f t="shared" si="104"/>
        <v/>
      </c>
      <c r="G1629" s="116" t="str">
        <f>IF(ISNONTEXT(D1629),"",E1629-MAX($F$2:F1628))</f>
        <v/>
      </c>
      <c r="H1629" s="97"/>
      <c r="I1629" s="74" t="str">
        <f ca="1">IF(D1629="N",COUNTIF(INDIRECT(ADDRESS(MATCH(Plages!$D$19,'Planning annuel mixing coater'!$B:$B),4)):D1629,"N"),IF(D1629="N1",COUNTIF($D$9:D1629,"N1"),""))</f>
        <v/>
      </c>
      <c r="J1629" s="96" t="str">
        <f>IF(D1629="","",COUNTA(D1626:D1629)-(COUNTA(D1629:D1629)-1))</f>
        <v/>
      </c>
    </row>
    <row r="1630" spans="1:10" thickBot="1">
      <c r="A1630" s="117"/>
      <c r="B1630" s="70">
        <f t="shared" si="105"/>
        <v>45422</v>
      </c>
      <c r="C1630" s="82" t="str">
        <f t="shared" ref="C1630:C1693" si="106">IF(B1630="","",TEXT(B1630,"jjjj"))</f>
        <v>vendredi</v>
      </c>
      <c r="D1630" s="87"/>
      <c r="E1630" s="115" t="str">
        <f t="shared" ref="E1630:E1693" si="107">IF(D1630="","",B1630+VLOOKUP(D1630,Plageh,2,0))</f>
        <v/>
      </c>
      <c r="F1630" s="115" t="str">
        <f t="shared" ref="F1630:F1693" si="108">IF(D1630="","",B1630+VLOOKUP(D1630,Plageh,3,0))</f>
        <v/>
      </c>
      <c r="G1630" s="116" t="str">
        <f>IF(ISNONTEXT(D1630),"",E1630-MAX($F$2:F1629))</f>
        <v/>
      </c>
      <c r="H1630" s="97"/>
      <c r="I1630" s="74" t="str">
        <f ca="1">IF(D1630="N",COUNTIF(INDIRECT(ADDRESS(MATCH(Plages!$D$19,'Planning annuel mixing coater'!$B:$B),4)):D1630,"N"),IF(D1630="N1",COUNTIF($D$9:D1630,"N1"),""))</f>
        <v/>
      </c>
      <c r="J1630" s="96" t="str">
        <f>IF(D1630="","",COUNTA(D1626:D1630)-(COUNTA(D1630:D1630)-1))</f>
        <v/>
      </c>
    </row>
    <row r="1631" spans="1:10" thickBot="1">
      <c r="A1631" s="117"/>
      <c r="B1631" s="70">
        <f t="shared" si="105"/>
        <v>45423</v>
      </c>
      <c r="C1631" s="82" t="str">
        <f t="shared" si="106"/>
        <v>samedi</v>
      </c>
      <c r="D1631" s="87"/>
      <c r="E1631" s="115" t="str">
        <f t="shared" si="107"/>
        <v/>
      </c>
      <c r="F1631" s="115" t="str">
        <f t="shared" si="108"/>
        <v/>
      </c>
      <c r="G1631" s="116" t="str">
        <f>IF(ISNONTEXT(D1631),"",E1631-MAX($F$2:F1630))</f>
        <v/>
      </c>
      <c r="H1631" s="97"/>
      <c r="I1631" s="74" t="str">
        <f ca="1">IF(D1631="N",COUNTIF(INDIRECT(ADDRESS(MATCH(Plages!$D$19,'Planning annuel mixing coater'!$B:$B),4)):D1631,"N"),IF(D1631="N1",COUNTIF($D$9:D1631,"N1"),""))</f>
        <v/>
      </c>
      <c r="J1631" s="96" t="str">
        <f>IF(D1631="","",COUNTA(D1626:D1631)-(COUNTA(D1631:D1631)-1))</f>
        <v/>
      </c>
    </row>
    <row r="1632" spans="1:10" thickBot="1">
      <c r="A1632" s="117"/>
      <c r="B1632" s="70">
        <f t="shared" si="105"/>
        <v>45424</v>
      </c>
      <c r="C1632" s="82" t="str">
        <f t="shared" si="106"/>
        <v>dimanche</v>
      </c>
      <c r="D1632" s="87"/>
      <c r="E1632" s="115" t="str">
        <f t="shared" si="107"/>
        <v/>
      </c>
      <c r="F1632" s="115" t="str">
        <f t="shared" si="108"/>
        <v/>
      </c>
      <c r="G1632" s="116" t="str">
        <f>IF(ISNONTEXT(D1632),"",E1632-MAX($F$2:F1631))</f>
        <v/>
      </c>
      <c r="H1632" s="98"/>
      <c r="I1632" s="74" t="str">
        <f ca="1">IF(D1632="N",COUNTIF(INDIRECT(ADDRESS(MATCH(Plages!$D$19,'Planning annuel mixing coater'!$B:$B),4)):D1632,"N"),IF(D1632="N1",COUNTIF($D$9:D1632,"N1"),""))</f>
        <v/>
      </c>
      <c r="J1632" s="96" t="str">
        <f>IF(D1632="","",COUNTA(D1626:D1632)-(COUNTA(D1632:D1632)-1))</f>
        <v/>
      </c>
    </row>
    <row r="1633" spans="1:10" thickBot="1">
      <c r="A1633" s="117"/>
      <c r="B1633" s="70">
        <f t="shared" si="105"/>
        <v>45425</v>
      </c>
      <c r="C1633" s="82" t="str">
        <f t="shared" si="106"/>
        <v>lundi</v>
      </c>
      <c r="D1633" s="87"/>
      <c r="E1633" s="115" t="str">
        <f t="shared" si="107"/>
        <v/>
      </c>
      <c r="F1633" s="115" t="str">
        <f t="shared" si="108"/>
        <v/>
      </c>
      <c r="G1633" s="116" t="str">
        <f>IF(ISNONTEXT(D1633),"",E1633-MAX($F$2:F1632))</f>
        <v/>
      </c>
      <c r="H1633" s="97"/>
      <c r="I1633" s="74" t="str">
        <f ca="1">IF(D1633="N",COUNTIF(INDIRECT(ADDRESS(MATCH(Plages!$D$19,'Planning annuel mixing coater'!$B:$B),4)):D1633,"N"),IF(D1633="N1",COUNTIF($D$9:D1633,"N1"),""))</f>
        <v/>
      </c>
      <c r="J1633" s="96" t="str">
        <f>IF(D1633="","",COUNTA(D1626:D1633)-(COUNTA(D1633:D1633)-1))</f>
        <v/>
      </c>
    </row>
    <row r="1634" spans="1:10" thickBot="1">
      <c r="A1634" s="117"/>
      <c r="B1634" s="70">
        <f t="shared" si="105"/>
        <v>45426</v>
      </c>
      <c r="C1634" s="82" t="str">
        <f t="shared" si="106"/>
        <v>mardi</v>
      </c>
      <c r="D1634" s="87"/>
      <c r="E1634" s="115" t="str">
        <f t="shared" si="107"/>
        <v/>
      </c>
      <c r="F1634" s="115" t="str">
        <f t="shared" si="108"/>
        <v/>
      </c>
      <c r="G1634" s="116" t="str">
        <f>IF(ISNONTEXT(D1634),"",E1634-MAX($F$2:F1633))</f>
        <v/>
      </c>
      <c r="H1634" s="97"/>
      <c r="I1634" s="74" t="str">
        <f ca="1">IF(D1634="N",COUNTIF(INDIRECT(ADDRESS(MATCH(Plages!$D$19,'Planning annuel mixing coater'!$B:$B),4)):D1634,"N"),IF(D1634="N1",COUNTIF($D$9:D1634,"N1"),""))</f>
        <v/>
      </c>
      <c r="J1634" s="96" t="str">
        <f>IF(D1634="","",COUNTA(D1626:D1634)-(COUNTA(D1634:D1634)-1))</f>
        <v/>
      </c>
    </row>
    <row r="1635" spans="1:10" thickBot="1">
      <c r="A1635" s="117"/>
      <c r="B1635" s="70">
        <f t="shared" si="105"/>
        <v>45427</v>
      </c>
      <c r="C1635" s="82" t="str">
        <f t="shared" si="106"/>
        <v>mercredi</v>
      </c>
      <c r="D1635" s="87"/>
      <c r="E1635" s="115" t="str">
        <f t="shared" si="107"/>
        <v/>
      </c>
      <c r="F1635" s="115" t="str">
        <f t="shared" si="108"/>
        <v/>
      </c>
      <c r="G1635" s="116" t="str">
        <f>IF(ISNONTEXT(D1635),"",E1635-MAX($F$2:F1634))</f>
        <v/>
      </c>
      <c r="H1635" s="97"/>
      <c r="I1635" s="74" t="str">
        <f ca="1">IF(D1635="N",COUNTIF(INDIRECT(ADDRESS(MATCH(Plages!$D$19,'Planning annuel mixing coater'!$B:$B),4)):D1635,"N"),IF(D1635="N1",COUNTIF($D$9:D1635,"N1"),""))</f>
        <v/>
      </c>
      <c r="J1635" s="96" t="str">
        <f>IF(D1635="","",COUNTA(D1626:D1635)-(COUNTA(D1635:D1635)-1))</f>
        <v/>
      </c>
    </row>
    <row r="1636" spans="1:10" thickBot="1">
      <c r="A1636" s="117"/>
      <c r="B1636" s="70">
        <f t="shared" si="105"/>
        <v>45428</v>
      </c>
      <c r="C1636" s="82" t="str">
        <f t="shared" si="106"/>
        <v>jeudi</v>
      </c>
      <c r="D1636" s="87"/>
      <c r="E1636" s="115" t="str">
        <f t="shared" si="107"/>
        <v/>
      </c>
      <c r="F1636" s="115" t="str">
        <f t="shared" si="108"/>
        <v/>
      </c>
      <c r="G1636" s="116" t="str">
        <f>IF(ISNONTEXT(D1636),"",E1636-MAX($F$2:F1635))</f>
        <v/>
      </c>
      <c r="H1636" s="97"/>
      <c r="I1636" s="74" t="str">
        <f ca="1">IF(D1636="N",COUNTIF(INDIRECT(ADDRESS(MATCH(Plages!$D$19,'Planning annuel mixing coater'!$B:$B),4)):D1636,"N"),IF(D1636="N1",COUNTIF($D$9:D1636,"N1"),""))</f>
        <v/>
      </c>
      <c r="J1636" s="96" t="str">
        <f>IF(D1636="","",COUNTA(D1626:D1636)-(COUNTA(D1636:D1636)-1))</f>
        <v/>
      </c>
    </row>
    <row r="1637" spans="1:10" thickBot="1">
      <c r="A1637" s="117"/>
      <c r="B1637" s="70">
        <f t="shared" si="105"/>
        <v>45429</v>
      </c>
      <c r="C1637" s="82" t="str">
        <f t="shared" si="106"/>
        <v>vendredi</v>
      </c>
      <c r="D1637" s="87"/>
      <c r="E1637" s="115" t="str">
        <f t="shared" si="107"/>
        <v/>
      </c>
      <c r="F1637" s="115" t="str">
        <f t="shared" si="108"/>
        <v/>
      </c>
      <c r="G1637" s="116" t="str">
        <f>IF(ISNONTEXT(D1637),"",E1637-MAX($F$2:F1636))</f>
        <v/>
      </c>
      <c r="H1637" s="97"/>
      <c r="I1637" s="74" t="str">
        <f ca="1">IF(D1637="N",COUNTIF(INDIRECT(ADDRESS(MATCH(Plages!$D$19,'Planning annuel mixing coater'!$B:$B),4)):D1637,"N"),IF(D1637="N1",COUNTIF($D$9:D1637,"N1"),""))</f>
        <v/>
      </c>
      <c r="J1637" s="96" t="str">
        <f>IF(D1637="","",COUNTA(D1626:D1637)-(COUNTA(D1637:D1637)-1))</f>
        <v/>
      </c>
    </row>
    <row r="1638" spans="1:10" thickBot="1">
      <c r="A1638" s="117"/>
      <c r="B1638" s="70">
        <f t="shared" si="105"/>
        <v>45430</v>
      </c>
      <c r="C1638" s="82" t="str">
        <f t="shared" si="106"/>
        <v>samedi</v>
      </c>
      <c r="D1638" s="87"/>
      <c r="E1638" s="115" t="str">
        <f t="shared" si="107"/>
        <v/>
      </c>
      <c r="F1638" s="115" t="str">
        <f t="shared" si="108"/>
        <v/>
      </c>
      <c r="G1638" s="116" t="str">
        <f>IF(ISNONTEXT(D1638),"",E1638-MAX($F$2:F1637))</f>
        <v/>
      </c>
      <c r="H1638" s="97"/>
      <c r="I1638" s="74" t="str">
        <f ca="1">IF(D1638="N",COUNTIF(INDIRECT(ADDRESS(MATCH(Plages!$D$19,'Planning annuel mixing coater'!$B:$B),4)):D1638,"N"),IF(D1638="N1",COUNTIF($D$9:D1638,"N1"),""))</f>
        <v/>
      </c>
      <c r="J1638" s="96" t="str">
        <f>IF(D1638="","",COUNTA(D1626:D1638)-(COUNTA(D1638:D1638)-1))</f>
        <v/>
      </c>
    </row>
    <row r="1639" spans="1:10" s="77" customFormat="1" thickBot="1">
      <c r="A1639" s="117"/>
      <c r="B1639" s="75">
        <f t="shared" si="105"/>
        <v>45431</v>
      </c>
      <c r="C1639" s="83" t="str">
        <f t="shared" si="106"/>
        <v>dimanche</v>
      </c>
      <c r="D1639" s="88"/>
      <c r="E1639" s="115" t="str">
        <f t="shared" si="107"/>
        <v/>
      </c>
      <c r="F1639" s="115" t="str">
        <f t="shared" si="108"/>
        <v/>
      </c>
      <c r="G1639" s="116" t="str">
        <f>IF(ISNONTEXT(D1639),"",E1639-MAX($F$2:F1638))</f>
        <v/>
      </c>
      <c r="H1639" s="98"/>
      <c r="I1639" s="76" t="str">
        <f ca="1">IF(D1639="N",COUNTIF(INDIRECT(ADDRESS(MATCH(Plages!$D$19,'Planning annuel mixing coater'!$B:$B),4)):D1639,"N"),IF(D1639="N1",COUNTIF($D$9:D1639,"N1"),""))</f>
        <v/>
      </c>
      <c r="J1639" s="99" t="str">
        <f>IF(D1639="","",COUNTA(D1626:D1639)-(COUNTA(D1639:D1639)-1))</f>
        <v/>
      </c>
    </row>
    <row r="1640" spans="1:10" ht="16.5" thickTop="1" thickBot="1">
      <c r="A1640" s="117"/>
      <c r="B1640" s="78">
        <f t="shared" si="105"/>
        <v>45432</v>
      </c>
      <c r="C1640" s="81" t="str">
        <f t="shared" si="106"/>
        <v>lundi</v>
      </c>
      <c r="D1640" s="89"/>
      <c r="E1640" s="115" t="str">
        <f t="shared" si="107"/>
        <v/>
      </c>
      <c r="F1640" s="115" t="str">
        <f t="shared" si="108"/>
        <v/>
      </c>
      <c r="G1640" s="116" t="str">
        <f>IF(ISNONTEXT(D1640),"",E1640-MAX($F$2:F1639))</f>
        <v/>
      </c>
      <c r="H1640" s="100"/>
      <c r="I1640" s="79" t="str">
        <f ca="1">IF(D1640="N",COUNTIF(INDIRECT(ADDRESS(MATCH(Plages!$D$19,'Planning annuel mixing coater'!$B:$B),4)):D1640,"N"),IF(D1640="N1",COUNTIF($D$9:D1640,"N1"),""))</f>
        <v/>
      </c>
      <c r="J1640" s="101" t="str">
        <f>IF(D1640="","",COUNTA(D1640:D1640)-(COUNTA(D1640:D1640)-1))</f>
        <v/>
      </c>
    </row>
    <row r="1641" spans="1:10" thickBot="1">
      <c r="A1641" s="117"/>
      <c r="B1641" s="70">
        <f t="shared" si="105"/>
        <v>45433</v>
      </c>
      <c r="C1641" s="82" t="str">
        <f t="shared" si="106"/>
        <v>mardi</v>
      </c>
      <c r="D1641" s="87"/>
      <c r="E1641" s="115" t="str">
        <f t="shared" si="107"/>
        <v/>
      </c>
      <c r="F1641" s="115" t="str">
        <f t="shared" si="108"/>
        <v/>
      </c>
      <c r="G1641" s="116" t="str">
        <f>IF(ISNONTEXT(D1641),"",E1641-MAX($F$2:F1640))</f>
        <v/>
      </c>
      <c r="H1641" s="97"/>
      <c r="I1641" s="74" t="str">
        <f ca="1">IF(D1641="N",COUNTIF(INDIRECT(ADDRESS(MATCH(Plages!$D$19,'Planning annuel mixing coater'!$B:$B),4)):D1641,"N"),IF(D1641="N1",COUNTIF($D$9:D1641,"N1"),""))</f>
        <v/>
      </c>
      <c r="J1641" s="96" t="str">
        <f>IF(D1641="","",COUNTA(D1640:D1641)-(COUNTA(D1641:D1641)-1))</f>
        <v/>
      </c>
    </row>
    <row r="1642" spans="1:10" thickBot="1">
      <c r="A1642" s="117"/>
      <c r="B1642" s="70">
        <f t="shared" si="105"/>
        <v>45434</v>
      </c>
      <c r="C1642" s="82" t="str">
        <f t="shared" si="106"/>
        <v>mercredi</v>
      </c>
      <c r="D1642" s="87"/>
      <c r="E1642" s="115" t="str">
        <f t="shared" si="107"/>
        <v/>
      </c>
      <c r="F1642" s="115" t="str">
        <f t="shared" si="108"/>
        <v/>
      </c>
      <c r="G1642" s="116" t="str">
        <f>IF(ISNONTEXT(D1642),"",E1642-MAX($F$2:F1641))</f>
        <v/>
      </c>
      <c r="H1642" s="97"/>
      <c r="I1642" s="74" t="str">
        <f ca="1">IF(D1642="N",COUNTIF(INDIRECT(ADDRESS(MATCH(Plages!$D$19,'Planning annuel mixing coater'!$B:$B),4)):D1642,"N"),IF(D1642="N1",COUNTIF($D$9:D1642,"N1"),""))</f>
        <v/>
      </c>
      <c r="J1642" s="96" t="str">
        <f>IF(D1642="","",COUNTA(D1640:D1642)-(COUNTA(D1642:D1642)-1))</f>
        <v/>
      </c>
    </row>
    <row r="1643" spans="1:10" thickBot="1">
      <c r="A1643" s="117"/>
      <c r="B1643" s="70">
        <f t="shared" si="105"/>
        <v>45435</v>
      </c>
      <c r="C1643" s="82" t="str">
        <f t="shared" si="106"/>
        <v>jeudi</v>
      </c>
      <c r="D1643" s="87"/>
      <c r="E1643" s="115" t="str">
        <f t="shared" si="107"/>
        <v/>
      </c>
      <c r="F1643" s="115" t="str">
        <f t="shared" si="108"/>
        <v/>
      </c>
      <c r="G1643" s="116" t="str">
        <f>IF(ISNONTEXT(D1643),"",E1643-MAX($F$2:F1642))</f>
        <v/>
      </c>
      <c r="H1643" s="97"/>
      <c r="I1643" s="74" t="str">
        <f ca="1">IF(D1643="N",COUNTIF(INDIRECT(ADDRESS(MATCH(Plages!$D$19,'Planning annuel mixing coater'!$B:$B),4)):D1643,"N"),IF(D1643="N1",COUNTIF($D$9:D1643,"N1"),""))</f>
        <v/>
      </c>
      <c r="J1643" s="96" t="str">
        <f>IF(D1643="","",COUNTA(D1640:D1643)-(COUNTA(D1643:D1643)-1))</f>
        <v/>
      </c>
    </row>
    <row r="1644" spans="1:10" thickBot="1">
      <c r="A1644" s="117"/>
      <c r="B1644" s="70">
        <f t="shared" si="105"/>
        <v>45436</v>
      </c>
      <c r="C1644" s="82" t="str">
        <f t="shared" si="106"/>
        <v>vendredi</v>
      </c>
      <c r="D1644" s="87"/>
      <c r="E1644" s="115" t="str">
        <f t="shared" si="107"/>
        <v/>
      </c>
      <c r="F1644" s="115" t="str">
        <f t="shared" si="108"/>
        <v/>
      </c>
      <c r="G1644" s="116" t="str">
        <f>IF(ISNONTEXT(D1644),"",E1644-MAX($F$2:F1643))</f>
        <v/>
      </c>
      <c r="H1644" s="97"/>
      <c r="I1644" s="74" t="str">
        <f ca="1">IF(D1644="N",COUNTIF(INDIRECT(ADDRESS(MATCH(Plages!$D$19,'Planning annuel mixing coater'!$B:$B),4)):D1644,"N"),IF(D1644="N1",COUNTIF($D$9:D1644,"N1"),""))</f>
        <v/>
      </c>
      <c r="J1644" s="96" t="str">
        <f>IF(D1644="","",COUNTA(D1640:D1644)-(COUNTA(D1644:D1644)-1))</f>
        <v/>
      </c>
    </row>
    <row r="1645" spans="1:10" thickBot="1">
      <c r="A1645" s="117"/>
      <c r="B1645" s="70">
        <f t="shared" si="105"/>
        <v>45437</v>
      </c>
      <c r="C1645" s="82" t="str">
        <f t="shared" si="106"/>
        <v>samedi</v>
      </c>
      <c r="D1645" s="87"/>
      <c r="E1645" s="115" t="str">
        <f t="shared" si="107"/>
        <v/>
      </c>
      <c r="F1645" s="115" t="str">
        <f t="shared" si="108"/>
        <v/>
      </c>
      <c r="G1645" s="116" t="str">
        <f>IF(ISNONTEXT(D1645),"",E1645-MAX($F$2:F1644))</f>
        <v/>
      </c>
      <c r="H1645" s="97"/>
      <c r="I1645" s="74" t="str">
        <f ca="1">IF(D1645="N",COUNTIF(INDIRECT(ADDRESS(MATCH(Plages!$D$19,'Planning annuel mixing coater'!$B:$B),4)):D1645,"N"),IF(D1645="N1",COUNTIF($D$9:D1645,"N1"),""))</f>
        <v/>
      </c>
      <c r="J1645" s="96" t="str">
        <f>IF(D1645="","",COUNTA(D1640:D1645)-(COUNTA(D1645:D1645)-1))</f>
        <v/>
      </c>
    </row>
    <row r="1646" spans="1:10" thickBot="1">
      <c r="A1646" s="117"/>
      <c r="B1646" s="70">
        <f t="shared" si="105"/>
        <v>45438</v>
      </c>
      <c r="C1646" s="82" t="str">
        <f t="shared" si="106"/>
        <v>dimanche</v>
      </c>
      <c r="D1646" s="87"/>
      <c r="E1646" s="115" t="str">
        <f t="shared" si="107"/>
        <v/>
      </c>
      <c r="F1646" s="115" t="str">
        <f t="shared" si="108"/>
        <v/>
      </c>
      <c r="G1646" s="116" t="str">
        <f>IF(ISNONTEXT(D1646),"",E1646-MAX($F$2:F1645))</f>
        <v/>
      </c>
      <c r="H1646" s="98"/>
      <c r="I1646" s="74" t="str">
        <f ca="1">IF(D1646="N",COUNTIF(INDIRECT(ADDRESS(MATCH(Plages!$D$19,'Planning annuel mixing coater'!$B:$B),4)):D1646,"N"),IF(D1646="N1",COUNTIF($D$9:D1646,"N1"),""))</f>
        <v/>
      </c>
      <c r="J1646" s="96" t="str">
        <f>IF(D1646="","",COUNTA(D1640:D1646)-(COUNTA(D1646:D1646)-1))</f>
        <v/>
      </c>
    </row>
    <row r="1647" spans="1:10" thickBot="1">
      <c r="A1647" s="117"/>
      <c r="B1647" s="70">
        <f t="shared" si="105"/>
        <v>45439</v>
      </c>
      <c r="C1647" s="82" t="str">
        <f t="shared" si="106"/>
        <v>lundi</v>
      </c>
      <c r="D1647" s="87"/>
      <c r="E1647" s="115" t="str">
        <f t="shared" si="107"/>
        <v/>
      </c>
      <c r="F1647" s="115" t="str">
        <f t="shared" si="108"/>
        <v/>
      </c>
      <c r="G1647" s="116" t="str">
        <f>IF(ISNONTEXT(D1647),"",E1647-MAX($F$2:F1646))</f>
        <v/>
      </c>
      <c r="H1647" s="97"/>
      <c r="I1647" s="74" t="str">
        <f ca="1">IF(D1647="N",COUNTIF(INDIRECT(ADDRESS(MATCH(Plages!$D$19,'Planning annuel mixing coater'!$B:$B),4)):D1647,"N"),IF(D1647="N1",COUNTIF($D$9:D1647,"N1"),""))</f>
        <v/>
      </c>
      <c r="J1647" s="96" t="str">
        <f>IF(D1647="","",COUNTA(D1640:D1647)-(COUNTA(D1647:D1647)-1))</f>
        <v/>
      </c>
    </row>
    <row r="1648" spans="1:10" thickBot="1">
      <c r="A1648" s="117"/>
      <c r="B1648" s="70">
        <f t="shared" si="105"/>
        <v>45440</v>
      </c>
      <c r="C1648" s="82" t="str">
        <f t="shared" si="106"/>
        <v>mardi</v>
      </c>
      <c r="D1648" s="87"/>
      <c r="E1648" s="115" t="str">
        <f t="shared" si="107"/>
        <v/>
      </c>
      <c r="F1648" s="115" t="str">
        <f t="shared" si="108"/>
        <v/>
      </c>
      <c r="G1648" s="116" t="str">
        <f>IF(ISNONTEXT(D1648),"",E1648-MAX($F$2:F1647))</f>
        <v/>
      </c>
      <c r="H1648" s="97"/>
      <c r="I1648" s="74" t="str">
        <f ca="1">IF(D1648="N",COUNTIF(INDIRECT(ADDRESS(MATCH(Plages!$D$19,'Planning annuel mixing coater'!$B:$B),4)):D1648,"N"),IF(D1648="N1",COUNTIF($D$9:D1648,"N1"),""))</f>
        <v/>
      </c>
      <c r="J1648" s="96" t="str">
        <f>IF(D1648="","",COUNTA(D1640:D1648)-(COUNTA(D1648:D1648)-1))</f>
        <v/>
      </c>
    </row>
    <row r="1649" spans="1:10" thickBot="1">
      <c r="A1649" s="117"/>
      <c r="B1649" s="70">
        <f t="shared" si="105"/>
        <v>45441</v>
      </c>
      <c r="C1649" s="82" t="str">
        <f t="shared" si="106"/>
        <v>mercredi</v>
      </c>
      <c r="D1649" s="87"/>
      <c r="E1649" s="115" t="str">
        <f t="shared" si="107"/>
        <v/>
      </c>
      <c r="F1649" s="115" t="str">
        <f t="shared" si="108"/>
        <v/>
      </c>
      <c r="G1649" s="116" t="str">
        <f>IF(ISNONTEXT(D1649),"",E1649-MAX($F$2:F1648))</f>
        <v/>
      </c>
      <c r="H1649" s="97"/>
      <c r="I1649" s="74" t="str">
        <f ca="1">IF(D1649="N",COUNTIF(INDIRECT(ADDRESS(MATCH(Plages!$D$19,'Planning annuel mixing coater'!$B:$B),4)):D1649,"N"),IF(D1649="N1",COUNTIF($D$9:D1649,"N1"),""))</f>
        <v/>
      </c>
      <c r="J1649" s="96" t="str">
        <f>IF(D1649="","",COUNTA(D1640:D1649)-(COUNTA(D1649:D1649)-1))</f>
        <v/>
      </c>
    </row>
    <row r="1650" spans="1:10" thickBot="1">
      <c r="A1650" s="117"/>
      <c r="B1650" s="70">
        <f t="shared" si="105"/>
        <v>45442</v>
      </c>
      <c r="C1650" s="82" t="str">
        <f t="shared" si="106"/>
        <v>jeudi</v>
      </c>
      <c r="D1650" s="87"/>
      <c r="E1650" s="115" t="str">
        <f t="shared" si="107"/>
        <v/>
      </c>
      <c r="F1650" s="115" t="str">
        <f t="shared" si="108"/>
        <v/>
      </c>
      <c r="G1650" s="116" t="str">
        <f>IF(ISNONTEXT(D1650),"",E1650-MAX($F$2:F1649))</f>
        <v/>
      </c>
      <c r="H1650" s="97"/>
      <c r="I1650" s="74" t="str">
        <f ca="1">IF(D1650="N",COUNTIF(INDIRECT(ADDRESS(MATCH(Plages!$D$19,'Planning annuel mixing coater'!$B:$B),4)):D1650,"N"),IF(D1650="N1",COUNTIF($D$9:D1650,"N1"),""))</f>
        <v/>
      </c>
      <c r="J1650" s="96" t="str">
        <f>IF(D1650="","",COUNTA(D1640:D1650)-(COUNTA(D1650:D1650)-1))</f>
        <v/>
      </c>
    </row>
    <row r="1651" spans="1:10" thickBot="1">
      <c r="A1651" s="117"/>
      <c r="B1651" s="70">
        <f t="shared" si="105"/>
        <v>45443</v>
      </c>
      <c r="C1651" s="82" t="str">
        <f t="shared" si="106"/>
        <v>vendredi</v>
      </c>
      <c r="D1651" s="87"/>
      <c r="E1651" s="115" t="str">
        <f t="shared" si="107"/>
        <v/>
      </c>
      <c r="F1651" s="115" t="str">
        <f t="shared" si="108"/>
        <v/>
      </c>
      <c r="G1651" s="116" t="str">
        <f>IF(ISNONTEXT(D1651),"",E1651-MAX($F$2:F1650))</f>
        <v/>
      </c>
      <c r="H1651" s="97"/>
      <c r="I1651" s="74" t="str">
        <f ca="1">IF(D1651="N",COUNTIF(INDIRECT(ADDRESS(MATCH(Plages!$D$19,'Planning annuel mixing coater'!$B:$B),4)):D1651,"N"),IF(D1651="N1",COUNTIF($D$9:D1651,"N1"),""))</f>
        <v/>
      </c>
      <c r="J1651" s="96" t="str">
        <f>IF(D1651="","",COUNTA(D1640:D1651)-(COUNTA(D1651:D1651)-1))</f>
        <v/>
      </c>
    </row>
    <row r="1652" spans="1:10" thickBot="1">
      <c r="A1652" s="117"/>
      <c r="B1652" s="70">
        <f t="shared" si="105"/>
        <v>45444</v>
      </c>
      <c r="C1652" s="82" t="str">
        <f t="shared" si="106"/>
        <v>samedi</v>
      </c>
      <c r="D1652" s="87"/>
      <c r="E1652" s="115" t="str">
        <f t="shared" si="107"/>
        <v/>
      </c>
      <c r="F1652" s="115" t="str">
        <f t="shared" si="108"/>
        <v/>
      </c>
      <c r="G1652" s="116" t="str">
        <f>IF(ISNONTEXT(D1652),"",E1652-MAX($F$2:F1651))</f>
        <v/>
      </c>
      <c r="H1652" s="97"/>
      <c r="I1652" s="74" t="str">
        <f ca="1">IF(D1652="N",COUNTIF(INDIRECT(ADDRESS(MATCH(Plages!$D$19,'Planning annuel mixing coater'!$B:$B),4)):D1652,"N"),IF(D1652="N1",COUNTIF($D$9:D1652,"N1"),""))</f>
        <v/>
      </c>
      <c r="J1652" s="96" t="str">
        <f>IF(D1652="","",COUNTA(D1640:D1652)-(COUNTA(D1652:D1652)-1))</f>
        <v/>
      </c>
    </row>
    <row r="1653" spans="1:10" s="77" customFormat="1" thickBot="1">
      <c r="A1653" s="117"/>
      <c r="B1653" s="75">
        <f t="shared" si="105"/>
        <v>45445</v>
      </c>
      <c r="C1653" s="83" t="str">
        <f t="shared" si="106"/>
        <v>dimanche</v>
      </c>
      <c r="D1653" s="88"/>
      <c r="E1653" s="115" t="str">
        <f t="shared" si="107"/>
        <v/>
      </c>
      <c r="F1653" s="115" t="str">
        <f t="shared" si="108"/>
        <v/>
      </c>
      <c r="G1653" s="116" t="str">
        <f>IF(ISNONTEXT(D1653),"",E1653-MAX($F$2:F1652))</f>
        <v/>
      </c>
      <c r="H1653" s="98"/>
      <c r="I1653" s="76" t="str">
        <f ca="1">IF(D1653="N",COUNTIF(INDIRECT(ADDRESS(MATCH(Plages!$D$19,'Planning annuel mixing coater'!$B:$B),4)):D1653,"N"),IF(D1653="N1",COUNTIF($D$9:D1653,"N1"),""))</f>
        <v/>
      </c>
      <c r="J1653" s="99" t="str">
        <f>IF(D1653="","",COUNTA(D1640:D1653)-(COUNTA(D1653:D1653)-1))</f>
        <v/>
      </c>
    </row>
    <row r="1654" spans="1:10" ht="16.5" thickTop="1" thickBot="1">
      <c r="A1654" s="117"/>
      <c r="B1654" s="78">
        <f t="shared" si="105"/>
        <v>45446</v>
      </c>
      <c r="C1654" s="81" t="str">
        <f t="shared" si="106"/>
        <v>lundi</v>
      </c>
      <c r="D1654" s="89"/>
      <c r="E1654" s="115" t="str">
        <f t="shared" si="107"/>
        <v/>
      </c>
      <c r="F1654" s="115" t="str">
        <f t="shared" si="108"/>
        <v/>
      </c>
      <c r="G1654" s="116" t="str">
        <f>IF(ISNONTEXT(D1654),"",E1654-MAX($F$2:F1653))</f>
        <v/>
      </c>
      <c r="H1654" s="100"/>
      <c r="I1654" s="79" t="str">
        <f ca="1">IF(D1654="N",COUNTIF(INDIRECT(ADDRESS(MATCH(Plages!$D$19,'Planning annuel mixing coater'!$B:$B),4)):D1654,"N"),IF(D1654="N1",COUNTIF($D$9:D1654,"N1"),""))</f>
        <v/>
      </c>
      <c r="J1654" s="101" t="str">
        <f>IF(D1654="","",COUNTA(D1654:D1654)-(COUNTA(D1654:D1654)-1))</f>
        <v/>
      </c>
    </row>
    <row r="1655" spans="1:10" thickBot="1">
      <c r="A1655" s="117"/>
      <c r="B1655" s="70">
        <f t="shared" si="105"/>
        <v>45447</v>
      </c>
      <c r="C1655" s="82" t="str">
        <f t="shared" si="106"/>
        <v>mardi</v>
      </c>
      <c r="D1655" s="87"/>
      <c r="E1655" s="115" t="str">
        <f t="shared" si="107"/>
        <v/>
      </c>
      <c r="F1655" s="115" t="str">
        <f t="shared" si="108"/>
        <v/>
      </c>
      <c r="G1655" s="116" t="str">
        <f>IF(ISNONTEXT(D1655),"",E1655-MAX($F$2:F1654))</f>
        <v/>
      </c>
      <c r="H1655" s="97"/>
      <c r="I1655" s="74" t="str">
        <f ca="1">IF(D1655="N",COUNTIF(INDIRECT(ADDRESS(MATCH(Plages!$D$19,'Planning annuel mixing coater'!$B:$B),4)):D1655,"N"),IF(D1655="N1",COUNTIF($D$9:D1655,"N1"),""))</f>
        <v/>
      </c>
      <c r="J1655" s="96" t="str">
        <f>IF(D1655="","",COUNTA(D1654:D1655)-(COUNTA(D1655:D1655)-1))</f>
        <v/>
      </c>
    </row>
    <row r="1656" spans="1:10" thickBot="1">
      <c r="A1656" s="117"/>
      <c r="B1656" s="70">
        <f t="shared" si="105"/>
        <v>45448</v>
      </c>
      <c r="C1656" s="82" t="str">
        <f t="shared" si="106"/>
        <v>mercredi</v>
      </c>
      <c r="D1656" s="87"/>
      <c r="E1656" s="115" t="str">
        <f t="shared" si="107"/>
        <v/>
      </c>
      <c r="F1656" s="115" t="str">
        <f t="shared" si="108"/>
        <v/>
      </c>
      <c r="G1656" s="116" t="str">
        <f>IF(ISNONTEXT(D1656),"",E1656-MAX($F$2:F1655))</f>
        <v/>
      </c>
      <c r="H1656" s="97"/>
      <c r="I1656" s="74" t="str">
        <f ca="1">IF(D1656="N",COUNTIF(INDIRECT(ADDRESS(MATCH(Plages!$D$19,'Planning annuel mixing coater'!$B:$B),4)):D1656,"N"),IF(D1656="N1",COUNTIF($D$9:D1656,"N1"),""))</f>
        <v/>
      </c>
      <c r="J1656" s="96" t="str">
        <f>IF(D1656="","",COUNTA(D1654:D1656)-(COUNTA(D1656:D1656)-1))</f>
        <v/>
      </c>
    </row>
    <row r="1657" spans="1:10" thickBot="1">
      <c r="A1657" s="117"/>
      <c r="B1657" s="70">
        <f t="shared" si="105"/>
        <v>45449</v>
      </c>
      <c r="C1657" s="82" t="str">
        <f t="shared" si="106"/>
        <v>jeudi</v>
      </c>
      <c r="D1657" s="87"/>
      <c r="E1657" s="115" t="str">
        <f t="shared" si="107"/>
        <v/>
      </c>
      <c r="F1657" s="115" t="str">
        <f t="shared" si="108"/>
        <v/>
      </c>
      <c r="G1657" s="116" t="str">
        <f>IF(ISNONTEXT(D1657),"",E1657-MAX($F$2:F1656))</f>
        <v/>
      </c>
      <c r="H1657" s="97"/>
      <c r="I1657" s="74" t="str">
        <f ca="1">IF(D1657="N",COUNTIF(INDIRECT(ADDRESS(MATCH(Plages!$D$19,'Planning annuel mixing coater'!$B:$B),4)):D1657,"N"),IF(D1657="N1",COUNTIF($D$9:D1657,"N1"),""))</f>
        <v/>
      </c>
      <c r="J1657" s="96" t="str">
        <f>IF(D1657="","",COUNTA(D1654:D1657)-(COUNTA(D1657:D1657)-1))</f>
        <v/>
      </c>
    </row>
    <row r="1658" spans="1:10" thickBot="1">
      <c r="A1658" s="117"/>
      <c r="B1658" s="70">
        <f t="shared" si="105"/>
        <v>45450</v>
      </c>
      <c r="C1658" s="82" t="str">
        <f t="shared" si="106"/>
        <v>vendredi</v>
      </c>
      <c r="D1658" s="87"/>
      <c r="E1658" s="115" t="str">
        <f t="shared" si="107"/>
        <v/>
      </c>
      <c r="F1658" s="115" t="str">
        <f t="shared" si="108"/>
        <v/>
      </c>
      <c r="G1658" s="116" t="str">
        <f>IF(ISNONTEXT(D1658),"",E1658-MAX($F$2:F1657))</f>
        <v/>
      </c>
      <c r="H1658" s="97"/>
      <c r="I1658" s="74" t="str">
        <f ca="1">IF(D1658="N",COUNTIF(INDIRECT(ADDRESS(MATCH(Plages!$D$19,'Planning annuel mixing coater'!$B:$B),4)):D1658,"N"),IF(D1658="N1",COUNTIF($D$9:D1658,"N1"),""))</f>
        <v/>
      </c>
      <c r="J1658" s="96" t="str">
        <f>IF(D1658="","",COUNTA(D1654:D1658)-(COUNTA(D1658:D1658)-1))</f>
        <v/>
      </c>
    </row>
    <row r="1659" spans="1:10" thickBot="1">
      <c r="A1659" s="117"/>
      <c r="B1659" s="70">
        <f t="shared" si="105"/>
        <v>45451</v>
      </c>
      <c r="C1659" s="82" t="str">
        <f t="shared" si="106"/>
        <v>samedi</v>
      </c>
      <c r="D1659" s="87"/>
      <c r="E1659" s="115" t="str">
        <f t="shared" si="107"/>
        <v/>
      </c>
      <c r="F1659" s="115" t="str">
        <f t="shared" si="108"/>
        <v/>
      </c>
      <c r="G1659" s="116" t="str">
        <f>IF(ISNONTEXT(D1659),"",E1659-MAX($F$2:F1658))</f>
        <v/>
      </c>
      <c r="H1659" s="97"/>
      <c r="I1659" s="74" t="str">
        <f ca="1">IF(D1659="N",COUNTIF(INDIRECT(ADDRESS(MATCH(Plages!$D$19,'Planning annuel mixing coater'!$B:$B),4)):D1659,"N"),IF(D1659="N1",COUNTIF($D$9:D1659,"N1"),""))</f>
        <v/>
      </c>
      <c r="J1659" s="96" t="str">
        <f>IF(D1659="","",COUNTA(D1654:D1659)-(COUNTA(D1659:D1659)-1))</f>
        <v/>
      </c>
    </row>
    <row r="1660" spans="1:10" thickBot="1">
      <c r="A1660" s="117"/>
      <c r="B1660" s="70">
        <f t="shared" si="105"/>
        <v>45452</v>
      </c>
      <c r="C1660" s="82" t="str">
        <f t="shared" si="106"/>
        <v>dimanche</v>
      </c>
      <c r="D1660" s="87"/>
      <c r="E1660" s="115" t="str">
        <f t="shared" si="107"/>
        <v/>
      </c>
      <c r="F1660" s="115" t="str">
        <f t="shared" si="108"/>
        <v/>
      </c>
      <c r="G1660" s="116" t="str">
        <f>IF(ISNONTEXT(D1660),"",E1660-MAX($F$2:F1659))</f>
        <v/>
      </c>
      <c r="H1660" s="98"/>
      <c r="I1660" s="74" t="str">
        <f ca="1">IF(D1660="N",COUNTIF(INDIRECT(ADDRESS(MATCH(Plages!$D$19,'Planning annuel mixing coater'!$B:$B),4)):D1660,"N"),IF(D1660="N1",COUNTIF($D$9:D1660,"N1"),""))</f>
        <v/>
      </c>
      <c r="J1660" s="96" t="str">
        <f>IF(D1660="","",COUNTA(D1654:D1660)-(COUNTA(D1660:D1660)-1))</f>
        <v/>
      </c>
    </row>
    <row r="1661" spans="1:10" thickBot="1">
      <c r="A1661" s="117"/>
      <c r="B1661" s="70">
        <f t="shared" si="105"/>
        <v>45453</v>
      </c>
      <c r="C1661" s="82" t="str">
        <f t="shared" si="106"/>
        <v>lundi</v>
      </c>
      <c r="D1661" s="87"/>
      <c r="E1661" s="115" t="str">
        <f t="shared" si="107"/>
        <v/>
      </c>
      <c r="F1661" s="115" t="str">
        <f t="shared" si="108"/>
        <v/>
      </c>
      <c r="G1661" s="116" t="str">
        <f>IF(ISNONTEXT(D1661),"",E1661-MAX($F$2:F1660))</f>
        <v/>
      </c>
      <c r="H1661" s="97"/>
      <c r="I1661" s="74" t="str">
        <f ca="1">IF(D1661="N",COUNTIF(INDIRECT(ADDRESS(MATCH(Plages!$D$19,'Planning annuel mixing coater'!$B:$B),4)):D1661,"N"),IF(D1661="N1",COUNTIF($D$9:D1661,"N1"),""))</f>
        <v/>
      </c>
      <c r="J1661" s="96" t="str">
        <f>IF(D1661="","",COUNTA(D1654:D1661)-(COUNTA(D1661:D1661)-1))</f>
        <v/>
      </c>
    </row>
    <row r="1662" spans="1:10" thickBot="1">
      <c r="A1662" s="117"/>
      <c r="B1662" s="70">
        <f t="shared" si="105"/>
        <v>45454</v>
      </c>
      <c r="C1662" s="82" t="str">
        <f t="shared" si="106"/>
        <v>mardi</v>
      </c>
      <c r="D1662" s="87"/>
      <c r="E1662" s="115" t="str">
        <f t="shared" si="107"/>
        <v/>
      </c>
      <c r="F1662" s="115" t="str">
        <f t="shared" si="108"/>
        <v/>
      </c>
      <c r="G1662" s="116" t="str">
        <f>IF(ISNONTEXT(D1662),"",E1662-MAX($F$2:F1661))</f>
        <v/>
      </c>
      <c r="H1662" s="97"/>
      <c r="I1662" s="74" t="str">
        <f ca="1">IF(D1662="N",COUNTIF(INDIRECT(ADDRESS(MATCH(Plages!$D$19,'Planning annuel mixing coater'!$B:$B),4)):D1662,"N"),IF(D1662="N1",COUNTIF($D$9:D1662,"N1"),""))</f>
        <v/>
      </c>
      <c r="J1662" s="96" t="str">
        <f>IF(D1662="","",COUNTA(D1654:D1662)-(COUNTA(D1662:D1662)-1))</f>
        <v/>
      </c>
    </row>
    <row r="1663" spans="1:10" thickBot="1">
      <c r="A1663" s="117"/>
      <c r="B1663" s="70">
        <f t="shared" si="105"/>
        <v>45455</v>
      </c>
      <c r="C1663" s="82" t="str">
        <f t="shared" si="106"/>
        <v>mercredi</v>
      </c>
      <c r="D1663" s="87"/>
      <c r="E1663" s="115" t="str">
        <f t="shared" si="107"/>
        <v/>
      </c>
      <c r="F1663" s="115" t="str">
        <f t="shared" si="108"/>
        <v/>
      </c>
      <c r="G1663" s="116" t="str">
        <f>IF(ISNONTEXT(D1663),"",E1663-MAX($F$2:F1662))</f>
        <v/>
      </c>
      <c r="H1663" s="97"/>
      <c r="I1663" s="74" t="str">
        <f ca="1">IF(D1663="N",COUNTIF(INDIRECT(ADDRESS(MATCH(Plages!$D$19,'Planning annuel mixing coater'!$B:$B),4)):D1663,"N"),IF(D1663="N1",COUNTIF($D$9:D1663,"N1"),""))</f>
        <v/>
      </c>
      <c r="J1663" s="96" t="str">
        <f>IF(D1663="","",COUNTA(D1654:D1663)-(COUNTA(D1663:D1663)-1))</f>
        <v/>
      </c>
    </row>
    <row r="1664" spans="1:10" thickBot="1">
      <c r="A1664" s="117"/>
      <c r="B1664" s="70">
        <f t="shared" si="105"/>
        <v>45456</v>
      </c>
      <c r="C1664" s="82" t="str">
        <f t="shared" si="106"/>
        <v>jeudi</v>
      </c>
      <c r="D1664" s="87"/>
      <c r="E1664" s="115" t="str">
        <f t="shared" si="107"/>
        <v/>
      </c>
      <c r="F1664" s="115" t="str">
        <f t="shared" si="108"/>
        <v/>
      </c>
      <c r="G1664" s="116" t="str">
        <f>IF(ISNONTEXT(D1664),"",E1664-MAX($F$2:F1663))</f>
        <v/>
      </c>
      <c r="H1664" s="97"/>
      <c r="I1664" s="74" t="str">
        <f ca="1">IF(D1664="N",COUNTIF(INDIRECT(ADDRESS(MATCH(Plages!$D$19,'Planning annuel mixing coater'!$B:$B),4)):D1664,"N"),IF(D1664="N1",COUNTIF($D$9:D1664,"N1"),""))</f>
        <v/>
      </c>
      <c r="J1664" s="96" t="str">
        <f>IF(D1664="","",COUNTA(D1654:D1664)-(COUNTA(D1664:D1664)-1))</f>
        <v/>
      </c>
    </row>
    <row r="1665" spans="1:10" thickBot="1">
      <c r="A1665" s="117"/>
      <c r="B1665" s="70">
        <f t="shared" si="105"/>
        <v>45457</v>
      </c>
      <c r="C1665" s="82" t="str">
        <f t="shared" si="106"/>
        <v>vendredi</v>
      </c>
      <c r="D1665" s="87"/>
      <c r="E1665" s="115" t="str">
        <f t="shared" si="107"/>
        <v/>
      </c>
      <c r="F1665" s="115" t="str">
        <f t="shared" si="108"/>
        <v/>
      </c>
      <c r="G1665" s="116" t="str">
        <f>IF(ISNONTEXT(D1665),"",E1665-MAX($F$2:F1664))</f>
        <v/>
      </c>
      <c r="H1665" s="97"/>
      <c r="I1665" s="74" t="str">
        <f ca="1">IF(D1665="N",COUNTIF(INDIRECT(ADDRESS(MATCH(Plages!$D$19,'Planning annuel mixing coater'!$B:$B),4)):D1665,"N"),IF(D1665="N1",COUNTIF($D$9:D1665,"N1"),""))</f>
        <v/>
      </c>
      <c r="J1665" s="96" t="str">
        <f>IF(D1665="","",COUNTA(D1654:D1665)-(COUNTA(D1665:D1665)-1))</f>
        <v/>
      </c>
    </row>
    <row r="1666" spans="1:10" thickBot="1">
      <c r="A1666" s="117"/>
      <c r="B1666" s="70">
        <f t="shared" si="105"/>
        <v>45458</v>
      </c>
      <c r="C1666" s="82" t="str">
        <f t="shared" si="106"/>
        <v>samedi</v>
      </c>
      <c r="D1666" s="87"/>
      <c r="E1666" s="115" t="str">
        <f t="shared" si="107"/>
        <v/>
      </c>
      <c r="F1666" s="115" t="str">
        <f t="shared" si="108"/>
        <v/>
      </c>
      <c r="G1666" s="116" t="str">
        <f>IF(ISNONTEXT(D1666),"",E1666-MAX($F$2:F1665))</f>
        <v/>
      </c>
      <c r="H1666" s="97"/>
      <c r="I1666" s="74" t="str">
        <f ca="1">IF(D1666="N",COUNTIF(INDIRECT(ADDRESS(MATCH(Plages!$D$19,'Planning annuel mixing coater'!$B:$B),4)):D1666,"N"),IF(D1666="N1",COUNTIF($D$9:D1666,"N1"),""))</f>
        <v/>
      </c>
      <c r="J1666" s="96" t="str">
        <f>IF(D1666="","",COUNTA(D1654:D1666)-(COUNTA(D1666:D1666)-1))</f>
        <v/>
      </c>
    </row>
    <row r="1667" spans="1:10" s="77" customFormat="1" thickBot="1">
      <c r="A1667" s="117"/>
      <c r="B1667" s="75">
        <f t="shared" si="105"/>
        <v>45459</v>
      </c>
      <c r="C1667" s="83" t="str">
        <f t="shared" si="106"/>
        <v>dimanche</v>
      </c>
      <c r="D1667" s="88"/>
      <c r="E1667" s="115" t="str">
        <f t="shared" si="107"/>
        <v/>
      </c>
      <c r="F1667" s="115" t="str">
        <f t="shared" si="108"/>
        <v/>
      </c>
      <c r="G1667" s="116" t="str">
        <f>IF(ISNONTEXT(D1667),"",E1667-MAX($F$2:F1666))</f>
        <v/>
      </c>
      <c r="H1667" s="98"/>
      <c r="I1667" s="76" t="str">
        <f ca="1">IF(D1667="N",COUNTIF(INDIRECT(ADDRESS(MATCH(Plages!$D$19,'Planning annuel mixing coater'!$B:$B),4)):D1667,"N"),IF(D1667="N1",COUNTIF($D$9:D1667,"N1"),""))</f>
        <v/>
      </c>
      <c r="J1667" s="99" t="str">
        <f>IF(D1667="","",COUNTA(D1654:D1667)-(COUNTA(D1667:D1667)-1))</f>
        <v/>
      </c>
    </row>
    <row r="1668" spans="1:10" ht="16.5" thickTop="1" thickBot="1">
      <c r="A1668" s="117"/>
      <c r="B1668" s="78">
        <f t="shared" ref="B1668:B1731" si="109">IF(B1667="","",B1667+1)</f>
        <v>45460</v>
      </c>
      <c r="C1668" s="81" t="str">
        <f t="shared" si="106"/>
        <v>lundi</v>
      </c>
      <c r="D1668" s="89"/>
      <c r="E1668" s="115" t="str">
        <f t="shared" si="107"/>
        <v/>
      </c>
      <c r="F1668" s="115" t="str">
        <f t="shared" si="108"/>
        <v/>
      </c>
      <c r="G1668" s="116" t="str">
        <f>IF(ISNONTEXT(D1668),"",E1668-MAX($F$2:F1667))</f>
        <v/>
      </c>
      <c r="H1668" s="100"/>
      <c r="I1668" s="79" t="str">
        <f ca="1">IF(D1668="N",COUNTIF(INDIRECT(ADDRESS(MATCH(Plages!$D$19,'Planning annuel mixing coater'!$B:$B),4)):D1668,"N"),IF(D1668="N1",COUNTIF($D$9:D1668,"N1"),""))</f>
        <v/>
      </c>
      <c r="J1668" s="101" t="str">
        <f>IF(D1668="","",COUNTA(D1668:D1668)-(COUNTA(D1668:D1668)-1))</f>
        <v/>
      </c>
    </row>
    <row r="1669" spans="1:10" thickBot="1">
      <c r="A1669" s="117"/>
      <c r="B1669" s="70">
        <f t="shared" si="109"/>
        <v>45461</v>
      </c>
      <c r="C1669" s="82" t="str">
        <f t="shared" si="106"/>
        <v>mardi</v>
      </c>
      <c r="D1669" s="87"/>
      <c r="E1669" s="115" t="str">
        <f t="shared" si="107"/>
        <v/>
      </c>
      <c r="F1669" s="115" t="str">
        <f t="shared" si="108"/>
        <v/>
      </c>
      <c r="G1669" s="116" t="str">
        <f>IF(ISNONTEXT(D1669),"",E1669-MAX($F$2:F1668))</f>
        <v/>
      </c>
      <c r="H1669" s="97"/>
      <c r="I1669" s="74" t="str">
        <f ca="1">IF(D1669="N",COUNTIF(INDIRECT(ADDRESS(MATCH(Plages!$D$19,'Planning annuel mixing coater'!$B:$B),4)):D1669,"N"),IF(D1669="N1",COUNTIF($D$9:D1669,"N1"),""))</f>
        <v/>
      </c>
      <c r="J1669" s="96" t="str">
        <f>IF(D1669="","",COUNTA(D1668:D1669)-(COUNTA(D1669:D1669)-1))</f>
        <v/>
      </c>
    </row>
    <row r="1670" spans="1:10" thickBot="1">
      <c r="A1670" s="117"/>
      <c r="B1670" s="70">
        <f t="shared" si="109"/>
        <v>45462</v>
      </c>
      <c r="C1670" s="82" t="str">
        <f t="shared" si="106"/>
        <v>mercredi</v>
      </c>
      <c r="D1670" s="87"/>
      <c r="E1670" s="115" t="str">
        <f t="shared" si="107"/>
        <v/>
      </c>
      <c r="F1670" s="115" t="str">
        <f t="shared" si="108"/>
        <v/>
      </c>
      <c r="G1670" s="116" t="str">
        <f>IF(ISNONTEXT(D1670),"",E1670-MAX($F$2:F1669))</f>
        <v/>
      </c>
      <c r="H1670" s="97"/>
      <c r="I1670" s="74" t="str">
        <f ca="1">IF(D1670="N",COUNTIF(INDIRECT(ADDRESS(MATCH(Plages!$D$19,'Planning annuel mixing coater'!$B:$B),4)):D1670,"N"),IF(D1670="N1",COUNTIF($D$9:D1670,"N1"),""))</f>
        <v/>
      </c>
      <c r="J1670" s="96" t="str">
        <f>IF(D1670="","",COUNTA(D1668:D1670)-(COUNTA(D1670:D1670)-1))</f>
        <v/>
      </c>
    </row>
    <row r="1671" spans="1:10" thickBot="1">
      <c r="A1671" s="117"/>
      <c r="B1671" s="70">
        <f t="shared" si="109"/>
        <v>45463</v>
      </c>
      <c r="C1671" s="82" t="str">
        <f t="shared" si="106"/>
        <v>jeudi</v>
      </c>
      <c r="D1671" s="87"/>
      <c r="E1671" s="115" t="str">
        <f t="shared" si="107"/>
        <v/>
      </c>
      <c r="F1671" s="115" t="str">
        <f t="shared" si="108"/>
        <v/>
      </c>
      <c r="G1671" s="116" t="str">
        <f>IF(ISNONTEXT(D1671),"",E1671-MAX($F$2:F1670))</f>
        <v/>
      </c>
      <c r="H1671" s="97"/>
      <c r="I1671" s="74" t="str">
        <f ca="1">IF(D1671="N",COUNTIF(INDIRECT(ADDRESS(MATCH(Plages!$D$19,'Planning annuel mixing coater'!$B:$B),4)):D1671,"N"),IF(D1671="N1",COUNTIF($D$9:D1671,"N1"),""))</f>
        <v/>
      </c>
      <c r="J1671" s="96" t="str">
        <f>IF(D1671="","",COUNTA(D1668:D1671)-(COUNTA(D1671:D1671)-1))</f>
        <v/>
      </c>
    </row>
    <row r="1672" spans="1:10" thickBot="1">
      <c r="A1672" s="117"/>
      <c r="B1672" s="70">
        <f t="shared" si="109"/>
        <v>45464</v>
      </c>
      <c r="C1672" s="82" t="str">
        <f t="shared" si="106"/>
        <v>vendredi</v>
      </c>
      <c r="D1672" s="87"/>
      <c r="E1672" s="115" t="str">
        <f t="shared" si="107"/>
        <v/>
      </c>
      <c r="F1672" s="115" t="str">
        <f t="shared" si="108"/>
        <v/>
      </c>
      <c r="G1672" s="116" t="str">
        <f>IF(ISNONTEXT(D1672),"",E1672-MAX($F$2:F1671))</f>
        <v/>
      </c>
      <c r="H1672" s="97"/>
      <c r="I1672" s="74" t="str">
        <f ca="1">IF(D1672="N",COUNTIF(INDIRECT(ADDRESS(MATCH(Plages!$D$19,'Planning annuel mixing coater'!$B:$B),4)):D1672,"N"),IF(D1672="N1",COUNTIF($D$9:D1672,"N1"),""))</f>
        <v/>
      </c>
      <c r="J1672" s="96" t="str">
        <f>IF(D1672="","",COUNTA(D1668:D1672)-(COUNTA(D1672:D1672)-1))</f>
        <v/>
      </c>
    </row>
    <row r="1673" spans="1:10" thickBot="1">
      <c r="A1673" s="117"/>
      <c r="B1673" s="70">
        <f t="shared" si="109"/>
        <v>45465</v>
      </c>
      <c r="C1673" s="82" t="str">
        <f t="shared" si="106"/>
        <v>samedi</v>
      </c>
      <c r="D1673" s="87"/>
      <c r="E1673" s="115" t="str">
        <f t="shared" si="107"/>
        <v/>
      </c>
      <c r="F1673" s="115" t="str">
        <f t="shared" si="108"/>
        <v/>
      </c>
      <c r="G1673" s="116" t="str">
        <f>IF(ISNONTEXT(D1673),"",E1673-MAX($F$2:F1672))</f>
        <v/>
      </c>
      <c r="H1673" s="97"/>
      <c r="I1673" s="74" t="str">
        <f ca="1">IF(D1673="N",COUNTIF(INDIRECT(ADDRESS(MATCH(Plages!$D$19,'Planning annuel mixing coater'!$B:$B),4)):D1673,"N"),IF(D1673="N1",COUNTIF($D$9:D1673,"N1"),""))</f>
        <v/>
      </c>
      <c r="J1673" s="96" t="str">
        <f>IF(D1673="","",COUNTA(D1668:D1673)-(COUNTA(D1673:D1673)-1))</f>
        <v/>
      </c>
    </row>
    <row r="1674" spans="1:10" thickBot="1">
      <c r="A1674" s="117"/>
      <c r="B1674" s="70">
        <f t="shared" si="109"/>
        <v>45466</v>
      </c>
      <c r="C1674" s="82" t="str">
        <f t="shared" si="106"/>
        <v>dimanche</v>
      </c>
      <c r="D1674" s="87"/>
      <c r="E1674" s="115" t="str">
        <f t="shared" si="107"/>
        <v/>
      </c>
      <c r="F1674" s="115" t="str">
        <f t="shared" si="108"/>
        <v/>
      </c>
      <c r="G1674" s="116" t="str">
        <f>IF(ISNONTEXT(D1674),"",E1674-MAX($F$2:F1673))</f>
        <v/>
      </c>
      <c r="H1674" s="98"/>
      <c r="I1674" s="74" t="str">
        <f ca="1">IF(D1674="N",COUNTIF(INDIRECT(ADDRESS(MATCH(Plages!$D$19,'Planning annuel mixing coater'!$B:$B),4)):D1674,"N"),IF(D1674="N1",COUNTIF($D$9:D1674,"N1"),""))</f>
        <v/>
      </c>
      <c r="J1674" s="96" t="str">
        <f>IF(D1674="","",COUNTA(D1668:D1674)-(COUNTA(D1674:D1674)-1))</f>
        <v/>
      </c>
    </row>
    <row r="1675" spans="1:10" thickBot="1">
      <c r="A1675" s="117"/>
      <c r="B1675" s="70">
        <f t="shared" si="109"/>
        <v>45467</v>
      </c>
      <c r="C1675" s="82" t="str">
        <f t="shared" si="106"/>
        <v>lundi</v>
      </c>
      <c r="D1675" s="87"/>
      <c r="E1675" s="115" t="str">
        <f t="shared" si="107"/>
        <v/>
      </c>
      <c r="F1675" s="115" t="str">
        <f t="shared" si="108"/>
        <v/>
      </c>
      <c r="G1675" s="116" t="str">
        <f>IF(ISNONTEXT(D1675),"",E1675-MAX($F$2:F1674))</f>
        <v/>
      </c>
      <c r="H1675" s="97"/>
      <c r="I1675" s="74" t="str">
        <f ca="1">IF(D1675="N",COUNTIF(INDIRECT(ADDRESS(MATCH(Plages!$D$19,'Planning annuel mixing coater'!$B:$B),4)):D1675,"N"),IF(D1675="N1",COUNTIF($D$9:D1675,"N1"),""))</f>
        <v/>
      </c>
      <c r="J1675" s="96" t="str">
        <f>IF(D1675="","",COUNTA(D1668:D1675)-(COUNTA(D1675:D1675)-1))</f>
        <v/>
      </c>
    </row>
    <row r="1676" spans="1:10" thickBot="1">
      <c r="A1676" s="117"/>
      <c r="B1676" s="70">
        <f t="shared" si="109"/>
        <v>45468</v>
      </c>
      <c r="C1676" s="82" t="str">
        <f t="shared" si="106"/>
        <v>mardi</v>
      </c>
      <c r="D1676" s="87"/>
      <c r="E1676" s="115" t="str">
        <f t="shared" si="107"/>
        <v/>
      </c>
      <c r="F1676" s="115" t="str">
        <f t="shared" si="108"/>
        <v/>
      </c>
      <c r="G1676" s="116" t="str">
        <f>IF(ISNONTEXT(D1676),"",E1676-MAX($F$2:F1675))</f>
        <v/>
      </c>
      <c r="H1676" s="97"/>
      <c r="I1676" s="74" t="str">
        <f ca="1">IF(D1676="N",COUNTIF(INDIRECT(ADDRESS(MATCH(Plages!$D$19,'Planning annuel mixing coater'!$B:$B),4)):D1676,"N"),IF(D1676="N1",COUNTIF($D$9:D1676,"N1"),""))</f>
        <v/>
      </c>
      <c r="J1676" s="96" t="str">
        <f>IF(D1676="","",COUNTA(D1668:D1676)-(COUNTA(D1676:D1676)-1))</f>
        <v/>
      </c>
    </row>
    <row r="1677" spans="1:10" thickBot="1">
      <c r="A1677" s="117"/>
      <c r="B1677" s="70">
        <f t="shared" si="109"/>
        <v>45469</v>
      </c>
      <c r="C1677" s="82" t="str">
        <f t="shared" si="106"/>
        <v>mercredi</v>
      </c>
      <c r="D1677" s="87"/>
      <c r="E1677" s="115" t="str">
        <f t="shared" si="107"/>
        <v/>
      </c>
      <c r="F1677" s="115" t="str">
        <f t="shared" si="108"/>
        <v/>
      </c>
      <c r="G1677" s="116" t="str">
        <f>IF(ISNONTEXT(D1677),"",E1677-MAX($F$2:F1676))</f>
        <v/>
      </c>
      <c r="H1677" s="97"/>
      <c r="I1677" s="74" t="str">
        <f ca="1">IF(D1677="N",COUNTIF(INDIRECT(ADDRESS(MATCH(Plages!$D$19,'Planning annuel mixing coater'!$B:$B),4)):D1677,"N"),IF(D1677="N1",COUNTIF($D$9:D1677,"N1"),""))</f>
        <v/>
      </c>
      <c r="J1677" s="96" t="str">
        <f>IF(D1677="","",COUNTA(D1668:D1677)-(COUNTA(D1677:D1677)-1))</f>
        <v/>
      </c>
    </row>
    <row r="1678" spans="1:10" thickBot="1">
      <c r="A1678" s="117"/>
      <c r="B1678" s="70">
        <f t="shared" si="109"/>
        <v>45470</v>
      </c>
      <c r="C1678" s="82" t="str">
        <f t="shared" si="106"/>
        <v>jeudi</v>
      </c>
      <c r="D1678" s="87"/>
      <c r="E1678" s="115" t="str">
        <f t="shared" si="107"/>
        <v/>
      </c>
      <c r="F1678" s="115" t="str">
        <f t="shared" si="108"/>
        <v/>
      </c>
      <c r="G1678" s="116" t="str">
        <f>IF(ISNONTEXT(D1678),"",E1678-MAX($F$2:F1677))</f>
        <v/>
      </c>
      <c r="H1678" s="97"/>
      <c r="I1678" s="74" t="str">
        <f ca="1">IF(D1678="N",COUNTIF(INDIRECT(ADDRESS(MATCH(Plages!$D$19,'Planning annuel mixing coater'!$B:$B),4)):D1678,"N"),IF(D1678="N1",COUNTIF($D$9:D1678,"N1"),""))</f>
        <v/>
      </c>
      <c r="J1678" s="96" t="str">
        <f>IF(D1678="","",COUNTA(D1668:D1678)-(COUNTA(D1678:D1678)-1))</f>
        <v/>
      </c>
    </row>
    <row r="1679" spans="1:10" thickBot="1">
      <c r="A1679" s="117"/>
      <c r="B1679" s="70">
        <f t="shared" si="109"/>
        <v>45471</v>
      </c>
      <c r="C1679" s="82" t="str">
        <f t="shared" si="106"/>
        <v>vendredi</v>
      </c>
      <c r="D1679" s="87"/>
      <c r="E1679" s="115" t="str">
        <f t="shared" si="107"/>
        <v/>
      </c>
      <c r="F1679" s="115" t="str">
        <f t="shared" si="108"/>
        <v/>
      </c>
      <c r="G1679" s="116" t="str">
        <f>IF(ISNONTEXT(D1679),"",E1679-MAX($F$2:F1678))</f>
        <v/>
      </c>
      <c r="H1679" s="97"/>
      <c r="I1679" s="74" t="str">
        <f ca="1">IF(D1679="N",COUNTIF(INDIRECT(ADDRESS(MATCH(Plages!$D$19,'Planning annuel mixing coater'!$B:$B),4)):D1679,"N"),IF(D1679="N1",COUNTIF($D$9:D1679,"N1"),""))</f>
        <v/>
      </c>
      <c r="J1679" s="96" t="str">
        <f>IF(D1679="","",COUNTA(D1668:D1679)-(COUNTA(D1679:D1679)-1))</f>
        <v/>
      </c>
    </row>
    <row r="1680" spans="1:10" thickBot="1">
      <c r="A1680" s="117"/>
      <c r="B1680" s="70">
        <f t="shared" si="109"/>
        <v>45472</v>
      </c>
      <c r="C1680" s="82" t="str">
        <f t="shared" si="106"/>
        <v>samedi</v>
      </c>
      <c r="D1680" s="87"/>
      <c r="E1680" s="115" t="str">
        <f t="shared" si="107"/>
        <v/>
      </c>
      <c r="F1680" s="115" t="str">
        <f t="shared" si="108"/>
        <v/>
      </c>
      <c r="G1680" s="116" t="str">
        <f>IF(ISNONTEXT(D1680),"",E1680-MAX($F$2:F1679))</f>
        <v/>
      </c>
      <c r="H1680" s="97"/>
      <c r="I1680" s="74" t="str">
        <f ca="1">IF(D1680="N",COUNTIF(INDIRECT(ADDRESS(MATCH(Plages!$D$19,'Planning annuel mixing coater'!$B:$B),4)):D1680,"N"),IF(D1680="N1",COUNTIF($D$9:D1680,"N1"),""))</f>
        <v/>
      </c>
      <c r="J1680" s="96" t="str">
        <f>IF(D1680="","",COUNTA(D1668:D1680)-(COUNTA(D1680:D1680)-1))</f>
        <v/>
      </c>
    </row>
    <row r="1681" spans="1:10" s="77" customFormat="1" thickBot="1">
      <c r="A1681" s="117"/>
      <c r="B1681" s="75">
        <f t="shared" si="109"/>
        <v>45473</v>
      </c>
      <c r="C1681" s="83" t="str">
        <f t="shared" si="106"/>
        <v>dimanche</v>
      </c>
      <c r="D1681" s="88"/>
      <c r="E1681" s="115" t="str">
        <f t="shared" si="107"/>
        <v/>
      </c>
      <c r="F1681" s="115" t="str">
        <f t="shared" si="108"/>
        <v/>
      </c>
      <c r="G1681" s="116" t="str">
        <f>IF(ISNONTEXT(D1681),"",E1681-MAX($F$2:F1680))</f>
        <v/>
      </c>
      <c r="H1681" s="98"/>
      <c r="I1681" s="76" t="str">
        <f ca="1">IF(D1681="N",COUNTIF(INDIRECT(ADDRESS(MATCH(Plages!$D$19,'Planning annuel mixing coater'!$B:$B),4)):D1681,"N"),IF(D1681="N1",COUNTIF($D$9:D1681,"N1"),""))</f>
        <v/>
      </c>
      <c r="J1681" s="99" t="str">
        <f>IF(D1681="","",COUNTA(D1668:D1681)-(COUNTA(D1681:D1681)-1))</f>
        <v/>
      </c>
    </row>
    <row r="1682" spans="1:10" ht="16.5" thickTop="1" thickBot="1">
      <c r="A1682" s="117"/>
      <c r="B1682" s="78">
        <f t="shared" si="109"/>
        <v>45474</v>
      </c>
      <c r="C1682" s="81" t="str">
        <f t="shared" si="106"/>
        <v>lundi</v>
      </c>
      <c r="D1682" s="89"/>
      <c r="E1682" s="115" t="str">
        <f t="shared" si="107"/>
        <v/>
      </c>
      <c r="F1682" s="115" t="str">
        <f t="shared" si="108"/>
        <v/>
      </c>
      <c r="G1682" s="116" t="str">
        <f>IF(ISNONTEXT(D1682),"",E1682-MAX($F$2:F1681))</f>
        <v/>
      </c>
      <c r="H1682" s="100"/>
      <c r="I1682" s="79" t="str">
        <f ca="1">IF(D1682="N",COUNTIF(INDIRECT(ADDRESS(MATCH(Plages!$D$19,'Planning annuel mixing coater'!$B:$B),4)):D1682,"N"),IF(D1682="N1",COUNTIF($D$9:D1682,"N1"),""))</f>
        <v/>
      </c>
      <c r="J1682" s="101" t="str">
        <f>IF(D1682="","",COUNTA(D1682:D1682)-(COUNTA(D1682:D1682)-1))</f>
        <v/>
      </c>
    </row>
    <row r="1683" spans="1:10" thickBot="1">
      <c r="A1683" s="117"/>
      <c r="B1683" s="70">
        <f t="shared" si="109"/>
        <v>45475</v>
      </c>
      <c r="C1683" s="82" t="str">
        <f t="shared" si="106"/>
        <v>mardi</v>
      </c>
      <c r="D1683" s="87"/>
      <c r="E1683" s="115" t="str">
        <f t="shared" si="107"/>
        <v/>
      </c>
      <c r="F1683" s="115" t="str">
        <f t="shared" si="108"/>
        <v/>
      </c>
      <c r="G1683" s="116" t="str">
        <f>IF(ISNONTEXT(D1683),"",E1683-MAX($F$2:F1682))</f>
        <v/>
      </c>
      <c r="H1683" s="97"/>
      <c r="I1683" s="74" t="str">
        <f ca="1">IF(D1683="N",COUNTIF(INDIRECT(ADDRESS(MATCH(Plages!$D$19,'Planning annuel mixing coater'!$B:$B),4)):D1683,"N"),IF(D1683="N1",COUNTIF($D$9:D1683,"N1"),""))</f>
        <v/>
      </c>
      <c r="J1683" s="96" t="str">
        <f>IF(D1683="","",COUNTA(D1682:D1683)-(COUNTA(D1683:D1683)-1))</f>
        <v/>
      </c>
    </row>
    <row r="1684" spans="1:10" thickBot="1">
      <c r="A1684" s="117"/>
      <c r="B1684" s="70">
        <f t="shared" si="109"/>
        <v>45476</v>
      </c>
      <c r="C1684" s="82" t="str">
        <f t="shared" si="106"/>
        <v>mercredi</v>
      </c>
      <c r="D1684" s="87"/>
      <c r="E1684" s="115" t="str">
        <f t="shared" si="107"/>
        <v/>
      </c>
      <c r="F1684" s="115" t="str">
        <f t="shared" si="108"/>
        <v/>
      </c>
      <c r="G1684" s="116" t="str">
        <f>IF(ISNONTEXT(D1684),"",E1684-MAX($F$2:F1683))</f>
        <v/>
      </c>
      <c r="H1684" s="97"/>
      <c r="I1684" s="74" t="str">
        <f ca="1">IF(D1684="N",COUNTIF(INDIRECT(ADDRESS(MATCH(Plages!$D$19,'Planning annuel mixing coater'!$B:$B),4)):D1684,"N"),IF(D1684="N1",COUNTIF($D$9:D1684,"N1"),""))</f>
        <v/>
      </c>
      <c r="J1684" s="96" t="str">
        <f>IF(D1684="","",COUNTA(D1682:D1684)-(COUNTA(D1684:D1684)-1))</f>
        <v/>
      </c>
    </row>
    <row r="1685" spans="1:10" thickBot="1">
      <c r="A1685" s="117"/>
      <c r="B1685" s="70">
        <f t="shared" si="109"/>
        <v>45477</v>
      </c>
      <c r="C1685" s="82" t="str">
        <f t="shared" si="106"/>
        <v>jeudi</v>
      </c>
      <c r="D1685" s="87"/>
      <c r="E1685" s="115" t="str">
        <f t="shared" si="107"/>
        <v/>
      </c>
      <c r="F1685" s="115" t="str">
        <f t="shared" si="108"/>
        <v/>
      </c>
      <c r="G1685" s="116" t="str">
        <f>IF(ISNONTEXT(D1685),"",E1685-MAX($F$2:F1684))</f>
        <v/>
      </c>
      <c r="H1685" s="97"/>
      <c r="I1685" s="74" t="str">
        <f ca="1">IF(D1685="N",COUNTIF(INDIRECT(ADDRESS(MATCH(Plages!$D$19,'Planning annuel mixing coater'!$B:$B),4)):D1685,"N"),IF(D1685="N1",COUNTIF($D$9:D1685,"N1"),""))</f>
        <v/>
      </c>
      <c r="J1685" s="96" t="str">
        <f>IF(D1685="","",COUNTA(D1682:D1685)-(COUNTA(D1685:D1685)-1))</f>
        <v/>
      </c>
    </row>
    <row r="1686" spans="1:10" thickBot="1">
      <c r="A1686" s="117"/>
      <c r="B1686" s="70">
        <f t="shared" si="109"/>
        <v>45478</v>
      </c>
      <c r="C1686" s="82" t="str">
        <f t="shared" si="106"/>
        <v>vendredi</v>
      </c>
      <c r="D1686" s="87"/>
      <c r="E1686" s="115" t="str">
        <f t="shared" si="107"/>
        <v/>
      </c>
      <c r="F1686" s="115" t="str">
        <f t="shared" si="108"/>
        <v/>
      </c>
      <c r="G1686" s="116" t="str">
        <f>IF(ISNONTEXT(D1686),"",E1686-MAX($F$2:F1685))</f>
        <v/>
      </c>
      <c r="H1686" s="97"/>
      <c r="I1686" s="74" t="str">
        <f ca="1">IF(D1686="N",COUNTIF(INDIRECT(ADDRESS(MATCH(Plages!$D$19,'Planning annuel mixing coater'!$B:$B),4)):D1686,"N"),IF(D1686="N1",COUNTIF($D$9:D1686,"N1"),""))</f>
        <v/>
      </c>
      <c r="J1686" s="96" t="str">
        <f>IF(D1686="","",COUNTA(D1682:D1686)-(COUNTA(D1686:D1686)-1))</f>
        <v/>
      </c>
    </row>
    <row r="1687" spans="1:10" thickBot="1">
      <c r="A1687" s="117"/>
      <c r="B1687" s="70">
        <f t="shared" si="109"/>
        <v>45479</v>
      </c>
      <c r="C1687" s="82" t="str">
        <f t="shared" si="106"/>
        <v>samedi</v>
      </c>
      <c r="D1687" s="87"/>
      <c r="E1687" s="115" t="str">
        <f t="shared" si="107"/>
        <v/>
      </c>
      <c r="F1687" s="115" t="str">
        <f t="shared" si="108"/>
        <v/>
      </c>
      <c r="G1687" s="116" t="str">
        <f>IF(ISNONTEXT(D1687),"",E1687-MAX($F$2:F1686))</f>
        <v/>
      </c>
      <c r="H1687" s="97"/>
      <c r="I1687" s="74" t="str">
        <f ca="1">IF(D1687="N",COUNTIF(INDIRECT(ADDRESS(MATCH(Plages!$D$19,'Planning annuel mixing coater'!$B:$B),4)):D1687,"N"),IF(D1687="N1",COUNTIF($D$9:D1687,"N1"),""))</f>
        <v/>
      </c>
      <c r="J1687" s="96" t="str">
        <f>IF(D1687="","",COUNTA(D1682:D1687)-(COUNTA(D1687:D1687)-1))</f>
        <v/>
      </c>
    </row>
    <row r="1688" spans="1:10" thickBot="1">
      <c r="A1688" s="117"/>
      <c r="B1688" s="70">
        <f t="shared" si="109"/>
        <v>45480</v>
      </c>
      <c r="C1688" s="82" t="str">
        <f t="shared" si="106"/>
        <v>dimanche</v>
      </c>
      <c r="D1688" s="87"/>
      <c r="E1688" s="115" t="str">
        <f t="shared" si="107"/>
        <v/>
      </c>
      <c r="F1688" s="115" t="str">
        <f t="shared" si="108"/>
        <v/>
      </c>
      <c r="G1688" s="116" t="str">
        <f>IF(ISNONTEXT(D1688),"",E1688-MAX($F$2:F1687))</f>
        <v/>
      </c>
      <c r="H1688" s="98"/>
      <c r="I1688" s="74" t="str">
        <f ca="1">IF(D1688="N",COUNTIF(INDIRECT(ADDRESS(MATCH(Plages!$D$19,'Planning annuel mixing coater'!$B:$B),4)):D1688,"N"),IF(D1688="N1",COUNTIF($D$9:D1688,"N1"),""))</f>
        <v/>
      </c>
      <c r="J1688" s="96" t="str">
        <f>IF(D1688="","",COUNTA(D1682:D1688)-(COUNTA(D1688:D1688)-1))</f>
        <v/>
      </c>
    </row>
    <row r="1689" spans="1:10" thickBot="1">
      <c r="A1689" s="117"/>
      <c r="B1689" s="70">
        <f t="shared" si="109"/>
        <v>45481</v>
      </c>
      <c r="C1689" s="82" t="str">
        <f t="shared" si="106"/>
        <v>lundi</v>
      </c>
      <c r="D1689" s="87"/>
      <c r="E1689" s="115" t="str">
        <f t="shared" si="107"/>
        <v/>
      </c>
      <c r="F1689" s="115" t="str">
        <f t="shared" si="108"/>
        <v/>
      </c>
      <c r="G1689" s="116" t="str">
        <f>IF(ISNONTEXT(D1689),"",E1689-MAX($F$2:F1688))</f>
        <v/>
      </c>
      <c r="H1689" s="97"/>
      <c r="I1689" s="74" t="str">
        <f ca="1">IF(D1689="N",COUNTIF(INDIRECT(ADDRESS(MATCH(Plages!$D$19,'Planning annuel mixing coater'!$B:$B),4)):D1689,"N"),IF(D1689="N1",COUNTIF($D$9:D1689,"N1"),""))</f>
        <v/>
      </c>
      <c r="J1689" s="96" t="str">
        <f>IF(D1689="","",COUNTA(D1682:D1689)-(COUNTA(D1689:D1689)-1))</f>
        <v/>
      </c>
    </row>
    <row r="1690" spans="1:10" thickBot="1">
      <c r="A1690" s="117"/>
      <c r="B1690" s="70">
        <f t="shared" si="109"/>
        <v>45482</v>
      </c>
      <c r="C1690" s="82" t="str">
        <f t="shared" si="106"/>
        <v>mardi</v>
      </c>
      <c r="D1690" s="87"/>
      <c r="E1690" s="115" t="str">
        <f t="shared" si="107"/>
        <v/>
      </c>
      <c r="F1690" s="115" t="str">
        <f t="shared" si="108"/>
        <v/>
      </c>
      <c r="G1690" s="116" t="str">
        <f>IF(ISNONTEXT(D1690),"",E1690-MAX($F$2:F1689))</f>
        <v/>
      </c>
      <c r="H1690" s="97"/>
      <c r="I1690" s="74" t="str">
        <f ca="1">IF(D1690="N",COUNTIF(INDIRECT(ADDRESS(MATCH(Plages!$D$19,'Planning annuel mixing coater'!$B:$B),4)):D1690,"N"),IF(D1690="N1",COUNTIF($D$9:D1690,"N1"),""))</f>
        <v/>
      </c>
      <c r="J1690" s="96" t="str">
        <f>IF(D1690="","",COUNTA(D1682:D1690)-(COUNTA(D1690:D1690)-1))</f>
        <v/>
      </c>
    </row>
    <row r="1691" spans="1:10" thickBot="1">
      <c r="A1691" s="117"/>
      <c r="B1691" s="70">
        <f t="shared" si="109"/>
        <v>45483</v>
      </c>
      <c r="C1691" s="82" t="str">
        <f t="shared" si="106"/>
        <v>mercredi</v>
      </c>
      <c r="D1691" s="87"/>
      <c r="E1691" s="115" t="str">
        <f t="shared" si="107"/>
        <v/>
      </c>
      <c r="F1691" s="115" t="str">
        <f t="shared" si="108"/>
        <v/>
      </c>
      <c r="G1691" s="116" t="str">
        <f>IF(ISNONTEXT(D1691),"",E1691-MAX($F$2:F1690))</f>
        <v/>
      </c>
      <c r="H1691" s="97"/>
      <c r="I1691" s="74" t="str">
        <f ca="1">IF(D1691="N",COUNTIF(INDIRECT(ADDRESS(MATCH(Plages!$D$19,'Planning annuel mixing coater'!$B:$B),4)):D1691,"N"),IF(D1691="N1",COUNTIF($D$9:D1691,"N1"),""))</f>
        <v/>
      </c>
      <c r="J1691" s="96" t="str">
        <f>IF(D1691="","",COUNTA(D1682:D1691)-(COUNTA(D1691:D1691)-1))</f>
        <v/>
      </c>
    </row>
    <row r="1692" spans="1:10" thickBot="1">
      <c r="A1692" s="117"/>
      <c r="B1692" s="70">
        <f t="shared" si="109"/>
        <v>45484</v>
      </c>
      <c r="C1692" s="82" t="str">
        <f t="shared" si="106"/>
        <v>jeudi</v>
      </c>
      <c r="D1692" s="87"/>
      <c r="E1692" s="115" t="str">
        <f t="shared" si="107"/>
        <v/>
      </c>
      <c r="F1692" s="115" t="str">
        <f t="shared" si="108"/>
        <v/>
      </c>
      <c r="G1692" s="116" t="str">
        <f>IF(ISNONTEXT(D1692),"",E1692-MAX($F$2:F1691))</f>
        <v/>
      </c>
      <c r="H1692" s="97"/>
      <c r="I1692" s="74" t="str">
        <f ca="1">IF(D1692="N",COUNTIF(INDIRECT(ADDRESS(MATCH(Plages!$D$19,'Planning annuel mixing coater'!$B:$B),4)):D1692,"N"),IF(D1692="N1",COUNTIF($D$9:D1692,"N1"),""))</f>
        <v/>
      </c>
      <c r="J1692" s="96" t="str">
        <f>IF(D1692="","",COUNTA(D1682:D1692)-(COUNTA(D1692:D1692)-1))</f>
        <v/>
      </c>
    </row>
    <row r="1693" spans="1:10" thickBot="1">
      <c r="A1693" s="117"/>
      <c r="B1693" s="70">
        <f t="shared" si="109"/>
        <v>45485</v>
      </c>
      <c r="C1693" s="82" t="str">
        <f t="shared" si="106"/>
        <v>vendredi</v>
      </c>
      <c r="D1693" s="87"/>
      <c r="E1693" s="115" t="str">
        <f t="shared" si="107"/>
        <v/>
      </c>
      <c r="F1693" s="115" t="str">
        <f t="shared" si="108"/>
        <v/>
      </c>
      <c r="G1693" s="116" t="str">
        <f>IF(ISNONTEXT(D1693),"",E1693-MAX($F$2:F1692))</f>
        <v/>
      </c>
      <c r="H1693" s="97"/>
      <c r="I1693" s="74" t="str">
        <f ca="1">IF(D1693="N",COUNTIF(INDIRECT(ADDRESS(MATCH(Plages!$D$19,'Planning annuel mixing coater'!$B:$B),4)):D1693,"N"),IF(D1693="N1",COUNTIF($D$9:D1693,"N1"),""))</f>
        <v/>
      </c>
      <c r="J1693" s="96" t="str">
        <f>IF(D1693="","",COUNTA(D1682:D1693)-(COUNTA(D1693:D1693)-1))</f>
        <v/>
      </c>
    </row>
    <row r="1694" spans="1:10" thickBot="1">
      <c r="A1694" s="117"/>
      <c r="B1694" s="70">
        <f t="shared" si="109"/>
        <v>45486</v>
      </c>
      <c r="C1694" s="82" t="str">
        <f t="shared" ref="C1694:C1757" si="110">IF(B1694="","",TEXT(B1694,"jjjj"))</f>
        <v>samedi</v>
      </c>
      <c r="D1694" s="87"/>
      <c r="E1694" s="115" t="str">
        <f t="shared" ref="E1694:E1757" si="111">IF(D1694="","",B1694+VLOOKUP(D1694,Plageh,2,0))</f>
        <v/>
      </c>
      <c r="F1694" s="115" t="str">
        <f t="shared" ref="F1694:F1757" si="112">IF(D1694="","",B1694+VLOOKUP(D1694,Plageh,3,0))</f>
        <v/>
      </c>
      <c r="G1694" s="116" t="str">
        <f>IF(ISNONTEXT(D1694),"",E1694-MAX($F$2:F1693))</f>
        <v/>
      </c>
      <c r="H1694" s="97"/>
      <c r="I1694" s="74" t="str">
        <f ca="1">IF(D1694="N",COUNTIF(INDIRECT(ADDRESS(MATCH(Plages!$D$19,'Planning annuel mixing coater'!$B:$B),4)):D1694,"N"),IF(D1694="N1",COUNTIF($D$9:D1694,"N1"),""))</f>
        <v/>
      </c>
      <c r="J1694" s="96" t="str">
        <f>IF(D1694="","",COUNTA(D1682:D1694)-(COUNTA(D1694:D1694)-1))</f>
        <v/>
      </c>
    </row>
    <row r="1695" spans="1:10" s="77" customFormat="1" thickBot="1">
      <c r="A1695" s="117"/>
      <c r="B1695" s="75">
        <f t="shared" si="109"/>
        <v>45487</v>
      </c>
      <c r="C1695" s="83" t="str">
        <f t="shared" si="110"/>
        <v>dimanche</v>
      </c>
      <c r="D1695" s="88"/>
      <c r="E1695" s="115" t="str">
        <f t="shared" si="111"/>
        <v/>
      </c>
      <c r="F1695" s="115" t="str">
        <f t="shared" si="112"/>
        <v/>
      </c>
      <c r="G1695" s="116" t="str">
        <f>IF(ISNONTEXT(D1695),"",E1695-MAX($F$2:F1694))</f>
        <v/>
      </c>
      <c r="H1695" s="98"/>
      <c r="I1695" s="76" t="str">
        <f ca="1">IF(D1695="N",COUNTIF(INDIRECT(ADDRESS(MATCH(Plages!$D$19,'Planning annuel mixing coater'!$B:$B),4)):D1695,"N"),IF(D1695="N1",COUNTIF($D$9:D1695,"N1"),""))</f>
        <v/>
      </c>
      <c r="J1695" s="99" t="str">
        <f>IF(D1695="","",COUNTA(D1682:D1695)-(COUNTA(D1695:D1695)-1))</f>
        <v/>
      </c>
    </row>
    <row r="1696" spans="1:10" ht="16.5" thickTop="1" thickBot="1">
      <c r="A1696" s="117"/>
      <c r="B1696" s="78">
        <f t="shared" si="109"/>
        <v>45488</v>
      </c>
      <c r="C1696" s="81" t="str">
        <f t="shared" si="110"/>
        <v>lundi</v>
      </c>
      <c r="D1696" s="89"/>
      <c r="E1696" s="115" t="str">
        <f t="shared" si="111"/>
        <v/>
      </c>
      <c r="F1696" s="115" t="str">
        <f t="shared" si="112"/>
        <v/>
      </c>
      <c r="G1696" s="116" t="str">
        <f>IF(ISNONTEXT(D1696),"",E1696-MAX($F$2:F1695))</f>
        <v/>
      </c>
      <c r="H1696" s="100"/>
      <c r="I1696" s="79" t="str">
        <f ca="1">IF(D1696="N",COUNTIF(INDIRECT(ADDRESS(MATCH(Plages!$D$19,'Planning annuel mixing coater'!$B:$B),4)):D1696,"N"),IF(D1696="N1",COUNTIF($D$9:D1696,"N1"),""))</f>
        <v/>
      </c>
      <c r="J1696" s="101" t="str">
        <f>IF(D1696="","",COUNTA(D1696:D1696)-(COUNTA(D1696:D1696)-1))</f>
        <v/>
      </c>
    </row>
    <row r="1697" spans="1:10" thickBot="1">
      <c r="A1697" s="117"/>
      <c r="B1697" s="70">
        <f t="shared" si="109"/>
        <v>45489</v>
      </c>
      <c r="C1697" s="82" t="str">
        <f t="shared" si="110"/>
        <v>mardi</v>
      </c>
      <c r="D1697" s="87"/>
      <c r="E1697" s="115" t="str">
        <f t="shared" si="111"/>
        <v/>
      </c>
      <c r="F1697" s="115" t="str">
        <f t="shared" si="112"/>
        <v/>
      </c>
      <c r="G1697" s="116" t="str">
        <f>IF(ISNONTEXT(D1697),"",E1697-MAX($F$2:F1696))</f>
        <v/>
      </c>
      <c r="H1697" s="97"/>
      <c r="I1697" s="74" t="str">
        <f ca="1">IF(D1697="N",COUNTIF(INDIRECT(ADDRESS(MATCH(Plages!$D$19,'Planning annuel mixing coater'!$B:$B),4)):D1697,"N"),IF(D1697="N1",COUNTIF($D$9:D1697,"N1"),""))</f>
        <v/>
      </c>
      <c r="J1697" s="96" t="str">
        <f>IF(D1697="","",COUNTA(D1696:D1697)-(COUNTA(D1697:D1697)-1))</f>
        <v/>
      </c>
    </row>
    <row r="1698" spans="1:10" thickBot="1">
      <c r="A1698" s="117"/>
      <c r="B1698" s="70">
        <f t="shared" si="109"/>
        <v>45490</v>
      </c>
      <c r="C1698" s="82" t="str">
        <f t="shared" si="110"/>
        <v>mercredi</v>
      </c>
      <c r="D1698" s="87"/>
      <c r="E1698" s="115" t="str">
        <f t="shared" si="111"/>
        <v/>
      </c>
      <c r="F1698" s="115" t="str">
        <f t="shared" si="112"/>
        <v/>
      </c>
      <c r="G1698" s="116" t="str">
        <f>IF(ISNONTEXT(D1698),"",E1698-MAX($F$2:F1697))</f>
        <v/>
      </c>
      <c r="H1698" s="97"/>
      <c r="I1698" s="74" t="str">
        <f ca="1">IF(D1698="N",COUNTIF(INDIRECT(ADDRESS(MATCH(Plages!$D$19,'Planning annuel mixing coater'!$B:$B),4)):D1698,"N"),IF(D1698="N1",COUNTIF($D$9:D1698,"N1"),""))</f>
        <v/>
      </c>
      <c r="J1698" s="96" t="str">
        <f>IF(D1698="","",COUNTA(D1696:D1698)-(COUNTA(D1698:D1698)-1))</f>
        <v/>
      </c>
    </row>
    <row r="1699" spans="1:10" thickBot="1">
      <c r="A1699" s="117"/>
      <c r="B1699" s="70">
        <f t="shared" si="109"/>
        <v>45491</v>
      </c>
      <c r="C1699" s="82" t="str">
        <f t="shared" si="110"/>
        <v>jeudi</v>
      </c>
      <c r="D1699" s="87"/>
      <c r="E1699" s="115" t="str">
        <f t="shared" si="111"/>
        <v/>
      </c>
      <c r="F1699" s="115" t="str">
        <f t="shared" si="112"/>
        <v/>
      </c>
      <c r="G1699" s="116" t="str">
        <f>IF(ISNONTEXT(D1699),"",E1699-MAX($F$2:F1698))</f>
        <v/>
      </c>
      <c r="H1699" s="97"/>
      <c r="I1699" s="74" t="str">
        <f ca="1">IF(D1699="N",COUNTIF(INDIRECT(ADDRESS(MATCH(Plages!$D$19,'Planning annuel mixing coater'!$B:$B),4)):D1699,"N"),IF(D1699="N1",COUNTIF($D$9:D1699,"N1"),""))</f>
        <v/>
      </c>
      <c r="J1699" s="96" t="str">
        <f>IF(D1699="","",COUNTA(D1696:D1699)-(COUNTA(D1699:D1699)-1))</f>
        <v/>
      </c>
    </row>
    <row r="1700" spans="1:10" thickBot="1">
      <c r="A1700" s="117"/>
      <c r="B1700" s="70">
        <f t="shared" si="109"/>
        <v>45492</v>
      </c>
      <c r="C1700" s="82" t="str">
        <f t="shared" si="110"/>
        <v>vendredi</v>
      </c>
      <c r="D1700" s="87"/>
      <c r="E1700" s="115" t="str">
        <f t="shared" si="111"/>
        <v/>
      </c>
      <c r="F1700" s="115" t="str">
        <f t="shared" si="112"/>
        <v/>
      </c>
      <c r="G1700" s="116" t="str">
        <f>IF(ISNONTEXT(D1700),"",E1700-MAX($F$2:F1699))</f>
        <v/>
      </c>
      <c r="H1700" s="97"/>
      <c r="I1700" s="74" t="str">
        <f ca="1">IF(D1700="N",COUNTIF(INDIRECT(ADDRESS(MATCH(Plages!$D$19,'Planning annuel mixing coater'!$B:$B),4)):D1700,"N"),IF(D1700="N1",COUNTIF($D$9:D1700,"N1"),""))</f>
        <v/>
      </c>
      <c r="J1700" s="96" t="str">
        <f>IF(D1700="","",COUNTA(D1696:D1700)-(COUNTA(D1700:D1700)-1))</f>
        <v/>
      </c>
    </row>
    <row r="1701" spans="1:10" thickBot="1">
      <c r="A1701" s="117"/>
      <c r="B1701" s="70">
        <f t="shared" si="109"/>
        <v>45493</v>
      </c>
      <c r="C1701" s="82" t="str">
        <f t="shared" si="110"/>
        <v>samedi</v>
      </c>
      <c r="D1701" s="87"/>
      <c r="E1701" s="115" t="str">
        <f t="shared" si="111"/>
        <v/>
      </c>
      <c r="F1701" s="115" t="str">
        <f t="shared" si="112"/>
        <v/>
      </c>
      <c r="G1701" s="116" t="str">
        <f>IF(ISNONTEXT(D1701),"",E1701-MAX($F$2:F1700))</f>
        <v/>
      </c>
      <c r="H1701" s="97"/>
      <c r="I1701" s="74" t="str">
        <f ca="1">IF(D1701="N",COUNTIF(INDIRECT(ADDRESS(MATCH(Plages!$D$19,'Planning annuel mixing coater'!$B:$B),4)):D1701,"N"),IF(D1701="N1",COUNTIF($D$9:D1701,"N1"),""))</f>
        <v/>
      </c>
      <c r="J1701" s="96" t="str">
        <f>IF(D1701="","",COUNTA(D1696:D1701)-(COUNTA(D1701:D1701)-1))</f>
        <v/>
      </c>
    </row>
    <row r="1702" spans="1:10" thickBot="1">
      <c r="A1702" s="117"/>
      <c r="B1702" s="70">
        <f t="shared" si="109"/>
        <v>45494</v>
      </c>
      <c r="C1702" s="82" t="str">
        <f t="shared" si="110"/>
        <v>dimanche</v>
      </c>
      <c r="D1702" s="87"/>
      <c r="E1702" s="115" t="str">
        <f t="shared" si="111"/>
        <v/>
      </c>
      <c r="F1702" s="115" t="str">
        <f t="shared" si="112"/>
        <v/>
      </c>
      <c r="G1702" s="116" t="str">
        <f>IF(ISNONTEXT(D1702),"",E1702-MAX($F$2:F1701))</f>
        <v/>
      </c>
      <c r="H1702" s="98"/>
      <c r="I1702" s="74" t="str">
        <f ca="1">IF(D1702="N",COUNTIF(INDIRECT(ADDRESS(MATCH(Plages!$D$19,'Planning annuel mixing coater'!$B:$B),4)):D1702,"N"),IF(D1702="N1",COUNTIF($D$9:D1702,"N1"),""))</f>
        <v/>
      </c>
      <c r="J1702" s="96" t="str">
        <f>IF(D1702="","",COUNTA(D1696:D1702)-(COUNTA(D1702:D1702)-1))</f>
        <v/>
      </c>
    </row>
    <row r="1703" spans="1:10" thickBot="1">
      <c r="A1703" s="117"/>
      <c r="B1703" s="70">
        <f t="shared" si="109"/>
        <v>45495</v>
      </c>
      <c r="C1703" s="82" t="str">
        <f t="shared" si="110"/>
        <v>lundi</v>
      </c>
      <c r="D1703" s="87"/>
      <c r="E1703" s="115" t="str">
        <f t="shared" si="111"/>
        <v/>
      </c>
      <c r="F1703" s="115" t="str">
        <f t="shared" si="112"/>
        <v/>
      </c>
      <c r="G1703" s="116" t="str">
        <f>IF(ISNONTEXT(D1703),"",E1703-MAX($F$2:F1702))</f>
        <v/>
      </c>
      <c r="H1703" s="97"/>
      <c r="I1703" s="74" t="str">
        <f ca="1">IF(D1703="N",COUNTIF(INDIRECT(ADDRESS(MATCH(Plages!$D$19,'Planning annuel mixing coater'!$B:$B),4)):D1703,"N"),IF(D1703="N1",COUNTIF($D$9:D1703,"N1"),""))</f>
        <v/>
      </c>
      <c r="J1703" s="96" t="str">
        <f>IF(D1703="","",COUNTA(D1696:D1703)-(COUNTA(D1703:D1703)-1))</f>
        <v/>
      </c>
    </row>
    <row r="1704" spans="1:10" thickBot="1">
      <c r="A1704" s="117"/>
      <c r="B1704" s="70">
        <f t="shared" si="109"/>
        <v>45496</v>
      </c>
      <c r="C1704" s="82" t="str">
        <f t="shared" si="110"/>
        <v>mardi</v>
      </c>
      <c r="D1704" s="87"/>
      <c r="E1704" s="115" t="str">
        <f t="shared" si="111"/>
        <v/>
      </c>
      <c r="F1704" s="115" t="str">
        <f t="shared" si="112"/>
        <v/>
      </c>
      <c r="G1704" s="116" t="str">
        <f>IF(ISNONTEXT(D1704),"",E1704-MAX($F$2:F1703))</f>
        <v/>
      </c>
      <c r="H1704" s="97"/>
      <c r="I1704" s="74" t="str">
        <f ca="1">IF(D1704="N",COUNTIF(INDIRECT(ADDRESS(MATCH(Plages!$D$19,'Planning annuel mixing coater'!$B:$B),4)):D1704,"N"),IF(D1704="N1",COUNTIF($D$9:D1704,"N1"),""))</f>
        <v/>
      </c>
      <c r="J1704" s="96" t="str">
        <f>IF(D1704="","",COUNTA(D1696:D1704)-(COUNTA(D1704:D1704)-1))</f>
        <v/>
      </c>
    </row>
    <row r="1705" spans="1:10" thickBot="1">
      <c r="A1705" s="117"/>
      <c r="B1705" s="70">
        <f t="shared" si="109"/>
        <v>45497</v>
      </c>
      <c r="C1705" s="82" t="str">
        <f t="shared" si="110"/>
        <v>mercredi</v>
      </c>
      <c r="D1705" s="87"/>
      <c r="E1705" s="115" t="str">
        <f t="shared" si="111"/>
        <v/>
      </c>
      <c r="F1705" s="115" t="str">
        <f t="shared" si="112"/>
        <v/>
      </c>
      <c r="G1705" s="116" t="str">
        <f>IF(ISNONTEXT(D1705),"",E1705-MAX($F$2:F1704))</f>
        <v/>
      </c>
      <c r="H1705" s="97"/>
      <c r="I1705" s="74" t="str">
        <f ca="1">IF(D1705="N",COUNTIF(INDIRECT(ADDRESS(MATCH(Plages!$D$19,'Planning annuel mixing coater'!$B:$B),4)):D1705,"N"),IF(D1705="N1",COUNTIF($D$9:D1705,"N1"),""))</f>
        <v/>
      </c>
      <c r="J1705" s="96" t="str">
        <f>IF(D1705="","",COUNTA(D1696:D1705)-(COUNTA(D1705:D1705)-1))</f>
        <v/>
      </c>
    </row>
    <row r="1706" spans="1:10" thickBot="1">
      <c r="A1706" s="117"/>
      <c r="B1706" s="70">
        <f t="shared" si="109"/>
        <v>45498</v>
      </c>
      <c r="C1706" s="82" t="str">
        <f t="shared" si="110"/>
        <v>jeudi</v>
      </c>
      <c r="D1706" s="87"/>
      <c r="E1706" s="115" t="str">
        <f t="shared" si="111"/>
        <v/>
      </c>
      <c r="F1706" s="115" t="str">
        <f t="shared" si="112"/>
        <v/>
      </c>
      <c r="G1706" s="116" t="str">
        <f>IF(ISNONTEXT(D1706),"",E1706-MAX($F$2:F1705))</f>
        <v/>
      </c>
      <c r="H1706" s="97"/>
      <c r="I1706" s="74" t="str">
        <f ca="1">IF(D1706="N",COUNTIF(INDIRECT(ADDRESS(MATCH(Plages!$D$19,'Planning annuel mixing coater'!$B:$B),4)):D1706,"N"),IF(D1706="N1",COUNTIF($D$9:D1706,"N1"),""))</f>
        <v/>
      </c>
      <c r="J1706" s="96" t="str">
        <f>IF(D1706="","",COUNTA(D1696:D1706)-(COUNTA(D1706:D1706)-1))</f>
        <v/>
      </c>
    </row>
    <row r="1707" spans="1:10" thickBot="1">
      <c r="A1707" s="117"/>
      <c r="B1707" s="70">
        <f t="shared" si="109"/>
        <v>45499</v>
      </c>
      <c r="C1707" s="82" t="str">
        <f t="shared" si="110"/>
        <v>vendredi</v>
      </c>
      <c r="D1707" s="87"/>
      <c r="E1707" s="115" t="str">
        <f t="shared" si="111"/>
        <v/>
      </c>
      <c r="F1707" s="115" t="str">
        <f t="shared" si="112"/>
        <v/>
      </c>
      <c r="G1707" s="116" t="str">
        <f>IF(ISNONTEXT(D1707),"",E1707-MAX($F$2:F1706))</f>
        <v/>
      </c>
      <c r="H1707" s="97"/>
      <c r="I1707" s="74" t="str">
        <f ca="1">IF(D1707="N",COUNTIF(INDIRECT(ADDRESS(MATCH(Plages!$D$19,'Planning annuel mixing coater'!$B:$B),4)):D1707,"N"),IF(D1707="N1",COUNTIF($D$9:D1707,"N1"),""))</f>
        <v/>
      </c>
      <c r="J1707" s="96" t="str">
        <f>IF(D1707="","",COUNTA(D1696:D1707)-(COUNTA(D1707:D1707)-1))</f>
        <v/>
      </c>
    </row>
    <row r="1708" spans="1:10" thickBot="1">
      <c r="A1708" s="117"/>
      <c r="B1708" s="70">
        <f t="shared" si="109"/>
        <v>45500</v>
      </c>
      <c r="C1708" s="82" t="str">
        <f t="shared" si="110"/>
        <v>samedi</v>
      </c>
      <c r="D1708" s="87"/>
      <c r="E1708" s="115" t="str">
        <f t="shared" si="111"/>
        <v/>
      </c>
      <c r="F1708" s="115" t="str">
        <f t="shared" si="112"/>
        <v/>
      </c>
      <c r="G1708" s="116" t="str">
        <f>IF(ISNONTEXT(D1708),"",E1708-MAX($F$2:F1707))</f>
        <v/>
      </c>
      <c r="H1708" s="97"/>
      <c r="I1708" s="74" t="str">
        <f ca="1">IF(D1708="N",COUNTIF(INDIRECT(ADDRESS(MATCH(Plages!$D$19,'Planning annuel mixing coater'!$B:$B),4)):D1708,"N"),IF(D1708="N1",COUNTIF($D$9:D1708,"N1"),""))</f>
        <v/>
      </c>
      <c r="J1708" s="96" t="str">
        <f>IF(D1708="","",COUNTA(D1696:D1708)-(COUNTA(D1708:D1708)-1))</f>
        <v/>
      </c>
    </row>
    <row r="1709" spans="1:10" s="77" customFormat="1" thickBot="1">
      <c r="A1709" s="117"/>
      <c r="B1709" s="75">
        <f t="shared" si="109"/>
        <v>45501</v>
      </c>
      <c r="C1709" s="83" t="str">
        <f t="shared" si="110"/>
        <v>dimanche</v>
      </c>
      <c r="D1709" s="88"/>
      <c r="E1709" s="115" t="str">
        <f t="shared" si="111"/>
        <v/>
      </c>
      <c r="F1709" s="115" t="str">
        <f t="shared" si="112"/>
        <v/>
      </c>
      <c r="G1709" s="116" t="str">
        <f>IF(ISNONTEXT(D1709),"",E1709-MAX($F$2:F1708))</f>
        <v/>
      </c>
      <c r="H1709" s="98"/>
      <c r="I1709" s="76" t="str">
        <f ca="1">IF(D1709="N",COUNTIF(INDIRECT(ADDRESS(MATCH(Plages!$D$19,'Planning annuel mixing coater'!$B:$B),4)):D1709,"N"),IF(D1709="N1",COUNTIF($D$9:D1709,"N1"),""))</f>
        <v/>
      </c>
      <c r="J1709" s="99" t="str">
        <f>IF(D1709="","",COUNTA(D1696:D1709)-(COUNTA(D1709:D1709)-1))</f>
        <v/>
      </c>
    </row>
    <row r="1710" spans="1:10" ht="16.5" thickTop="1" thickBot="1">
      <c r="A1710" s="117"/>
      <c r="B1710" s="78">
        <f t="shared" si="109"/>
        <v>45502</v>
      </c>
      <c r="C1710" s="81" t="str">
        <f t="shared" si="110"/>
        <v>lundi</v>
      </c>
      <c r="D1710" s="89"/>
      <c r="E1710" s="115" t="str">
        <f t="shared" si="111"/>
        <v/>
      </c>
      <c r="F1710" s="115" t="str">
        <f t="shared" si="112"/>
        <v/>
      </c>
      <c r="G1710" s="116" t="str">
        <f>IF(ISNONTEXT(D1710),"",E1710-MAX($F$2:F1709))</f>
        <v/>
      </c>
      <c r="H1710" s="100"/>
      <c r="I1710" s="79" t="str">
        <f ca="1">IF(D1710="N",COUNTIF(INDIRECT(ADDRESS(MATCH(Plages!$D$19,'Planning annuel mixing coater'!$B:$B),4)):D1710,"N"),IF(D1710="N1",COUNTIF($D$9:D1710,"N1"),""))</f>
        <v/>
      </c>
      <c r="J1710" s="101" t="str">
        <f>IF(D1710="","",COUNTA(D1710:D1710)-(COUNTA(D1710:D1710)-1))</f>
        <v/>
      </c>
    </row>
    <row r="1711" spans="1:10" thickBot="1">
      <c r="A1711" s="117"/>
      <c r="B1711" s="70">
        <f t="shared" si="109"/>
        <v>45503</v>
      </c>
      <c r="C1711" s="82" t="str">
        <f t="shared" si="110"/>
        <v>mardi</v>
      </c>
      <c r="D1711" s="87"/>
      <c r="E1711" s="115" t="str">
        <f t="shared" si="111"/>
        <v/>
      </c>
      <c r="F1711" s="115" t="str">
        <f t="shared" si="112"/>
        <v/>
      </c>
      <c r="G1711" s="116" t="str">
        <f>IF(ISNONTEXT(D1711),"",E1711-MAX($F$2:F1710))</f>
        <v/>
      </c>
      <c r="H1711" s="97"/>
      <c r="I1711" s="74" t="str">
        <f ca="1">IF(D1711="N",COUNTIF(INDIRECT(ADDRESS(MATCH(Plages!$D$19,'Planning annuel mixing coater'!$B:$B),4)):D1711,"N"),IF(D1711="N1",COUNTIF($D$9:D1711,"N1"),""))</f>
        <v/>
      </c>
      <c r="J1711" s="96" t="str">
        <f>IF(D1711="","",COUNTA(D1710:D1711)-(COUNTA(D1711:D1711)-1))</f>
        <v/>
      </c>
    </row>
    <row r="1712" spans="1:10" thickBot="1">
      <c r="A1712" s="117"/>
      <c r="B1712" s="70">
        <f t="shared" si="109"/>
        <v>45504</v>
      </c>
      <c r="C1712" s="82" t="str">
        <f t="shared" si="110"/>
        <v>mercredi</v>
      </c>
      <c r="D1712" s="87"/>
      <c r="E1712" s="115" t="str">
        <f t="shared" si="111"/>
        <v/>
      </c>
      <c r="F1712" s="115" t="str">
        <f t="shared" si="112"/>
        <v/>
      </c>
      <c r="G1712" s="116" t="str">
        <f>IF(ISNONTEXT(D1712),"",E1712-MAX($F$2:F1711))</f>
        <v/>
      </c>
      <c r="H1712" s="97"/>
      <c r="I1712" s="74" t="str">
        <f ca="1">IF(D1712="N",COUNTIF(INDIRECT(ADDRESS(MATCH(Plages!$D$19,'Planning annuel mixing coater'!$B:$B),4)):D1712,"N"),IF(D1712="N1",COUNTIF($D$9:D1712,"N1"),""))</f>
        <v/>
      </c>
      <c r="J1712" s="96" t="str">
        <f>IF(D1712="","",COUNTA(D1710:D1712)-(COUNTA(D1712:D1712)-1))</f>
        <v/>
      </c>
    </row>
    <row r="1713" spans="1:10" thickBot="1">
      <c r="A1713" s="117"/>
      <c r="B1713" s="70">
        <f t="shared" si="109"/>
        <v>45505</v>
      </c>
      <c r="C1713" s="82" t="str">
        <f t="shared" si="110"/>
        <v>jeudi</v>
      </c>
      <c r="D1713" s="87"/>
      <c r="E1713" s="115" t="str">
        <f t="shared" si="111"/>
        <v/>
      </c>
      <c r="F1713" s="115" t="str">
        <f t="shared" si="112"/>
        <v/>
      </c>
      <c r="G1713" s="116" t="str">
        <f>IF(ISNONTEXT(D1713),"",E1713-MAX($F$2:F1712))</f>
        <v/>
      </c>
      <c r="H1713" s="97"/>
      <c r="I1713" s="74" t="str">
        <f ca="1">IF(D1713="N",COUNTIF(INDIRECT(ADDRESS(MATCH(Plages!$D$19,'Planning annuel mixing coater'!$B:$B),4)):D1713,"N"),IF(D1713="N1",COUNTIF($D$9:D1713,"N1"),""))</f>
        <v/>
      </c>
      <c r="J1713" s="96" t="str">
        <f>IF(D1713="","",COUNTA(D1710:D1713)-(COUNTA(D1713:D1713)-1))</f>
        <v/>
      </c>
    </row>
    <row r="1714" spans="1:10" thickBot="1">
      <c r="A1714" s="117"/>
      <c r="B1714" s="70">
        <f t="shared" si="109"/>
        <v>45506</v>
      </c>
      <c r="C1714" s="82" t="str">
        <f t="shared" si="110"/>
        <v>vendredi</v>
      </c>
      <c r="D1714" s="87"/>
      <c r="E1714" s="115" t="str">
        <f t="shared" si="111"/>
        <v/>
      </c>
      <c r="F1714" s="115" t="str">
        <f t="shared" si="112"/>
        <v/>
      </c>
      <c r="G1714" s="116" t="str">
        <f>IF(ISNONTEXT(D1714),"",E1714-MAX($F$2:F1713))</f>
        <v/>
      </c>
      <c r="H1714" s="97"/>
      <c r="I1714" s="74" t="str">
        <f ca="1">IF(D1714="N",COUNTIF(INDIRECT(ADDRESS(MATCH(Plages!$D$19,'Planning annuel mixing coater'!$B:$B),4)):D1714,"N"),IF(D1714="N1",COUNTIF($D$9:D1714,"N1"),""))</f>
        <v/>
      </c>
      <c r="J1714" s="96" t="str">
        <f>IF(D1714="","",COUNTA(D1710:D1714)-(COUNTA(D1714:D1714)-1))</f>
        <v/>
      </c>
    </row>
    <row r="1715" spans="1:10" thickBot="1">
      <c r="A1715" s="117"/>
      <c r="B1715" s="70">
        <f t="shared" si="109"/>
        <v>45507</v>
      </c>
      <c r="C1715" s="82" t="str">
        <f t="shared" si="110"/>
        <v>samedi</v>
      </c>
      <c r="D1715" s="87"/>
      <c r="E1715" s="115" t="str">
        <f t="shared" si="111"/>
        <v/>
      </c>
      <c r="F1715" s="115" t="str">
        <f t="shared" si="112"/>
        <v/>
      </c>
      <c r="G1715" s="116" t="str">
        <f>IF(ISNONTEXT(D1715),"",E1715-MAX($F$2:F1714))</f>
        <v/>
      </c>
      <c r="H1715" s="97"/>
      <c r="I1715" s="74" t="str">
        <f ca="1">IF(D1715="N",COUNTIF(INDIRECT(ADDRESS(MATCH(Plages!$D$19,'Planning annuel mixing coater'!$B:$B),4)):D1715,"N"),IF(D1715="N1",COUNTIF($D$9:D1715,"N1"),""))</f>
        <v/>
      </c>
      <c r="J1715" s="96" t="str">
        <f>IF(D1715="","",COUNTA(D1710:D1715)-(COUNTA(D1715:D1715)-1))</f>
        <v/>
      </c>
    </row>
    <row r="1716" spans="1:10" thickBot="1">
      <c r="A1716" s="117"/>
      <c r="B1716" s="70">
        <f t="shared" si="109"/>
        <v>45508</v>
      </c>
      <c r="C1716" s="82" t="str">
        <f t="shared" si="110"/>
        <v>dimanche</v>
      </c>
      <c r="D1716" s="87"/>
      <c r="E1716" s="115" t="str">
        <f t="shared" si="111"/>
        <v/>
      </c>
      <c r="F1716" s="115" t="str">
        <f t="shared" si="112"/>
        <v/>
      </c>
      <c r="G1716" s="116" t="str">
        <f>IF(ISNONTEXT(D1716),"",E1716-MAX($F$2:F1715))</f>
        <v/>
      </c>
      <c r="H1716" s="98"/>
      <c r="I1716" s="74" t="str">
        <f ca="1">IF(D1716="N",COUNTIF(INDIRECT(ADDRESS(MATCH(Plages!$D$19,'Planning annuel mixing coater'!$B:$B),4)):D1716,"N"),IF(D1716="N1",COUNTIF($D$9:D1716,"N1"),""))</f>
        <v/>
      </c>
      <c r="J1716" s="96" t="str">
        <f>IF(D1716="","",COUNTA(D1710:D1716)-(COUNTA(D1716:D1716)-1))</f>
        <v/>
      </c>
    </row>
    <row r="1717" spans="1:10" thickBot="1">
      <c r="A1717" s="117"/>
      <c r="B1717" s="70">
        <f t="shared" si="109"/>
        <v>45509</v>
      </c>
      <c r="C1717" s="82" t="str">
        <f t="shared" si="110"/>
        <v>lundi</v>
      </c>
      <c r="D1717" s="87"/>
      <c r="E1717" s="115" t="str">
        <f t="shared" si="111"/>
        <v/>
      </c>
      <c r="F1717" s="115" t="str">
        <f t="shared" si="112"/>
        <v/>
      </c>
      <c r="G1717" s="116" t="str">
        <f>IF(ISNONTEXT(D1717),"",E1717-MAX($F$2:F1716))</f>
        <v/>
      </c>
      <c r="H1717" s="97"/>
      <c r="I1717" s="74" t="str">
        <f ca="1">IF(D1717="N",COUNTIF(INDIRECT(ADDRESS(MATCH(Plages!$D$19,'Planning annuel mixing coater'!$B:$B),4)):D1717,"N"),IF(D1717="N1",COUNTIF($D$9:D1717,"N1"),""))</f>
        <v/>
      </c>
      <c r="J1717" s="96" t="str">
        <f>IF(D1717="","",COUNTA(D1710:D1717)-(COUNTA(D1717:D1717)-1))</f>
        <v/>
      </c>
    </row>
    <row r="1718" spans="1:10" thickBot="1">
      <c r="A1718" s="117"/>
      <c r="B1718" s="70">
        <f t="shared" si="109"/>
        <v>45510</v>
      </c>
      <c r="C1718" s="82" t="str">
        <f t="shared" si="110"/>
        <v>mardi</v>
      </c>
      <c r="D1718" s="87"/>
      <c r="E1718" s="115" t="str">
        <f t="shared" si="111"/>
        <v/>
      </c>
      <c r="F1718" s="115" t="str">
        <f t="shared" si="112"/>
        <v/>
      </c>
      <c r="G1718" s="116" t="str">
        <f>IF(ISNONTEXT(D1718),"",E1718-MAX($F$2:F1717))</f>
        <v/>
      </c>
      <c r="H1718" s="97"/>
      <c r="I1718" s="74" t="str">
        <f ca="1">IF(D1718="N",COUNTIF(INDIRECT(ADDRESS(MATCH(Plages!$D$19,'Planning annuel mixing coater'!$B:$B),4)):D1718,"N"),IF(D1718="N1",COUNTIF($D$9:D1718,"N1"),""))</f>
        <v/>
      </c>
      <c r="J1718" s="96" t="str">
        <f>IF(D1718="","",COUNTA(D1710:D1718)-(COUNTA(D1718:D1718)-1))</f>
        <v/>
      </c>
    </row>
    <row r="1719" spans="1:10" thickBot="1">
      <c r="A1719" s="117"/>
      <c r="B1719" s="70">
        <f t="shared" si="109"/>
        <v>45511</v>
      </c>
      <c r="C1719" s="82" t="str">
        <f t="shared" si="110"/>
        <v>mercredi</v>
      </c>
      <c r="D1719" s="87"/>
      <c r="E1719" s="115" t="str">
        <f t="shared" si="111"/>
        <v/>
      </c>
      <c r="F1719" s="115" t="str">
        <f t="shared" si="112"/>
        <v/>
      </c>
      <c r="G1719" s="116" t="str">
        <f>IF(ISNONTEXT(D1719),"",E1719-MAX($F$2:F1718))</f>
        <v/>
      </c>
      <c r="H1719" s="97"/>
      <c r="I1719" s="74" t="str">
        <f ca="1">IF(D1719="N",COUNTIF(INDIRECT(ADDRESS(MATCH(Plages!$D$19,'Planning annuel mixing coater'!$B:$B),4)):D1719,"N"),IF(D1719="N1",COUNTIF($D$9:D1719,"N1"),""))</f>
        <v/>
      </c>
      <c r="J1719" s="96" t="str">
        <f>IF(D1719="","",COUNTA(D1710:D1719)-(COUNTA(D1719:D1719)-1))</f>
        <v/>
      </c>
    </row>
    <row r="1720" spans="1:10" thickBot="1">
      <c r="A1720" s="117"/>
      <c r="B1720" s="70">
        <f t="shared" si="109"/>
        <v>45512</v>
      </c>
      <c r="C1720" s="82" t="str">
        <f t="shared" si="110"/>
        <v>jeudi</v>
      </c>
      <c r="D1720" s="87"/>
      <c r="E1720" s="115" t="str">
        <f t="shared" si="111"/>
        <v/>
      </c>
      <c r="F1720" s="115" t="str">
        <f t="shared" si="112"/>
        <v/>
      </c>
      <c r="G1720" s="116" t="str">
        <f>IF(ISNONTEXT(D1720),"",E1720-MAX($F$2:F1719))</f>
        <v/>
      </c>
      <c r="H1720" s="97"/>
      <c r="I1720" s="74" t="str">
        <f ca="1">IF(D1720="N",COUNTIF(INDIRECT(ADDRESS(MATCH(Plages!$D$19,'Planning annuel mixing coater'!$B:$B),4)):D1720,"N"),IF(D1720="N1",COUNTIF($D$9:D1720,"N1"),""))</f>
        <v/>
      </c>
      <c r="J1720" s="96" t="str">
        <f>IF(D1720="","",COUNTA(D1710:D1720)-(COUNTA(D1720:D1720)-1))</f>
        <v/>
      </c>
    </row>
    <row r="1721" spans="1:10" thickBot="1">
      <c r="A1721" s="117"/>
      <c r="B1721" s="70">
        <f t="shared" si="109"/>
        <v>45513</v>
      </c>
      <c r="C1721" s="82" t="str">
        <f t="shared" si="110"/>
        <v>vendredi</v>
      </c>
      <c r="D1721" s="87"/>
      <c r="E1721" s="115" t="str">
        <f t="shared" si="111"/>
        <v/>
      </c>
      <c r="F1721" s="115" t="str">
        <f t="shared" si="112"/>
        <v/>
      </c>
      <c r="G1721" s="116" t="str">
        <f>IF(ISNONTEXT(D1721),"",E1721-MAX($F$2:F1720))</f>
        <v/>
      </c>
      <c r="H1721" s="97"/>
      <c r="I1721" s="74" t="str">
        <f ca="1">IF(D1721="N",COUNTIF(INDIRECT(ADDRESS(MATCH(Plages!$D$19,'Planning annuel mixing coater'!$B:$B),4)):D1721,"N"),IF(D1721="N1",COUNTIF($D$9:D1721,"N1"),""))</f>
        <v/>
      </c>
      <c r="J1721" s="96" t="str">
        <f>IF(D1721="","",COUNTA(D1710:D1721)-(COUNTA(D1721:D1721)-1))</f>
        <v/>
      </c>
    </row>
    <row r="1722" spans="1:10" thickBot="1">
      <c r="A1722" s="117"/>
      <c r="B1722" s="70">
        <f t="shared" si="109"/>
        <v>45514</v>
      </c>
      <c r="C1722" s="82" t="str">
        <f t="shared" si="110"/>
        <v>samedi</v>
      </c>
      <c r="D1722" s="87"/>
      <c r="E1722" s="115" t="str">
        <f t="shared" si="111"/>
        <v/>
      </c>
      <c r="F1722" s="115" t="str">
        <f t="shared" si="112"/>
        <v/>
      </c>
      <c r="G1722" s="116" t="str">
        <f>IF(ISNONTEXT(D1722),"",E1722-MAX($F$2:F1721))</f>
        <v/>
      </c>
      <c r="H1722" s="97"/>
      <c r="I1722" s="74" t="str">
        <f ca="1">IF(D1722="N",COUNTIF(INDIRECT(ADDRESS(MATCH(Plages!$D$19,'Planning annuel mixing coater'!$B:$B),4)):D1722,"N"),IF(D1722="N1",COUNTIF($D$9:D1722,"N1"),""))</f>
        <v/>
      </c>
      <c r="J1722" s="96" t="str">
        <f>IF(D1722="","",COUNTA(D1710:D1722)-(COUNTA(D1722:D1722)-1))</f>
        <v/>
      </c>
    </row>
    <row r="1723" spans="1:10" s="77" customFormat="1" thickBot="1">
      <c r="A1723" s="117"/>
      <c r="B1723" s="75">
        <f t="shared" si="109"/>
        <v>45515</v>
      </c>
      <c r="C1723" s="83" t="str">
        <f t="shared" si="110"/>
        <v>dimanche</v>
      </c>
      <c r="D1723" s="88"/>
      <c r="E1723" s="115" t="str">
        <f t="shared" si="111"/>
        <v/>
      </c>
      <c r="F1723" s="115" t="str">
        <f t="shared" si="112"/>
        <v/>
      </c>
      <c r="G1723" s="116" t="str">
        <f>IF(ISNONTEXT(D1723),"",E1723-MAX($F$2:F1722))</f>
        <v/>
      </c>
      <c r="H1723" s="98"/>
      <c r="I1723" s="76" t="str">
        <f ca="1">IF(D1723="N",COUNTIF(INDIRECT(ADDRESS(MATCH(Plages!$D$19,'Planning annuel mixing coater'!$B:$B),4)):D1723,"N"),IF(D1723="N1",COUNTIF($D$9:D1723,"N1"),""))</f>
        <v/>
      </c>
      <c r="J1723" s="99" t="str">
        <f>IF(D1723="","",COUNTA(D1710:D1723)-(COUNTA(D1723:D1723)-1))</f>
        <v/>
      </c>
    </row>
    <row r="1724" spans="1:10" ht="16.5" thickTop="1" thickBot="1">
      <c r="A1724" s="117"/>
      <c r="B1724" s="78">
        <f t="shared" si="109"/>
        <v>45516</v>
      </c>
      <c r="C1724" s="81" t="str">
        <f t="shared" si="110"/>
        <v>lundi</v>
      </c>
      <c r="D1724" s="89"/>
      <c r="E1724" s="115" t="str">
        <f t="shared" si="111"/>
        <v/>
      </c>
      <c r="F1724" s="115" t="str">
        <f t="shared" si="112"/>
        <v/>
      </c>
      <c r="G1724" s="116" t="str">
        <f>IF(ISNONTEXT(D1724),"",E1724-MAX($F$2:F1723))</f>
        <v/>
      </c>
      <c r="H1724" s="100"/>
      <c r="I1724" s="79" t="str">
        <f ca="1">IF(D1724="N",COUNTIF(INDIRECT(ADDRESS(MATCH(Plages!$D$19,'Planning annuel mixing coater'!$B:$B),4)):D1724,"N"),IF(D1724="N1",COUNTIF($D$9:D1724,"N1"),""))</f>
        <v/>
      </c>
      <c r="J1724" s="101" t="str">
        <f>IF(D1724="","",COUNTA(D1724:D1724)-(COUNTA(D1724:D1724)-1))</f>
        <v/>
      </c>
    </row>
    <row r="1725" spans="1:10" thickBot="1">
      <c r="A1725" s="117"/>
      <c r="B1725" s="70">
        <f t="shared" si="109"/>
        <v>45517</v>
      </c>
      <c r="C1725" s="82" t="str">
        <f t="shared" si="110"/>
        <v>mardi</v>
      </c>
      <c r="D1725" s="87"/>
      <c r="E1725" s="115" t="str">
        <f t="shared" si="111"/>
        <v/>
      </c>
      <c r="F1725" s="115" t="str">
        <f t="shared" si="112"/>
        <v/>
      </c>
      <c r="G1725" s="116" t="str">
        <f>IF(ISNONTEXT(D1725),"",E1725-MAX($F$2:F1724))</f>
        <v/>
      </c>
      <c r="H1725" s="97"/>
      <c r="I1725" s="74" t="str">
        <f ca="1">IF(D1725="N",COUNTIF(INDIRECT(ADDRESS(MATCH(Plages!$D$19,'Planning annuel mixing coater'!$B:$B),4)):D1725,"N"),IF(D1725="N1",COUNTIF($D$9:D1725,"N1"),""))</f>
        <v/>
      </c>
      <c r="J1725" s="96" t="str">
        <f>IF(D1725="","",COUNTA(D1724:D1725)-(COUNTA(D1725:D1725)-1))</f>
        <v/>
      </c>
    </row>
    <row r="1726" spans="1:10" thickBot="1">
      <c r="A1726" s="117"/>
      <c r="B1726" s="70">
        <f t="shared" si="109"/>
        <v>45518</v>
      </c>
      <c r="C1726" s="82" t="str">
        <f t="shared" si="110"/>
        <v>mercredi</v>
      </c>
      <c r="D1726" s="87"/>
      <c r="E1726" s="115" t="str">
        <f t="shared" si="111"/>
        <v/>
      </c>
      <c r="F1726" s="115" t="str">
        <f t="shared" si="112"/>
        <v/>
      </c>
      <c r="G1726" s="116" t="str">
        <f>IF(ISNONTEXT(D1726),"",E1726-MAX($F$2:F1725))</f>
        <v/>
      </c>
      <c r="H1726" s="97"/>
      <c r="I1726" s="74" t="str">
        <f ca="1">IF(D1726="N",COUNTIF(INDIRECT(ADDRESS(MATCH(Plages!$D$19,'Planning annuel mixing coater'!$B:$B),4)):D1726,"N"),IF(D1726="N1",COUNTIF($D$9:D1726,"N1"),""))</f>
        <v/>
      </c>
      <c r="J1726" s="96" t="str">
        <f>IF(D1726="","",COUNTA(D1724:D1726)-(COUNTA(D1726:D1726)-1))</f>
        <v/>
      </c>
    </row>
    <row r="1727" spans="1:10" thickBot="1">
      <c r="A1727" s="117"/>
      <c r="B1727" s="70">
        <f t="shared" si="109"/>
        <v>45519</v>
      </c>
      <c r="C1727" s="82" t="str">
        <f t="shared" si="110"/>
        <v>jeudi</v>
      </c>
      <c r="D1727" s="87"/>
      <c r="E1727" s="115" t="str">
        <f t="shared" si="111"/>
        <v/>
      </c>
      <c r="F1727" s="115" t="str">
        <f t="shared" si="112"/>
        <v/>
      </c>
      <c r="G1727" s="116" t="str">
        <f>IF(ISNONTEXT(D1727),"",E1727-MAX($F$2:F1726))</f>
        <v/>
      </c>
      <c r="H1727" s="97"/>
      <c r="I1727" s="74" t="str">
        <f ca="1">IF(D1727="N",COUNTIF(INDIRECT(ADDRESS(MATCH(Plages!$D$19,'Planning annuel mixing coater'!$B:$B),4)):D1727,"N"),IF(D1727="N1",COUNTIF($D$9:D1727,"N1"),""))</f>
        <v/>
      </c>
      <c r="J1727" s="96" t="str">
        <f>IF(D1727="","",COUNTA(D1724:D1727)-(COUNTA(D1727:D1727)-1))</f>
        <v/>
      </c>
    </row>
    <row r="1728" spans="1:10" thickBot="1">
      <c r="A1728" s="117"/>
      <c r="B1728" s="70">
        <f t="shared" si="109"/>
        <v>45520</v>
      </c>
      <c r="C1728" s="82" t="str">
        <f t="shared" si="110"/>
        <v>vendredi</v>
      </c>
      <c r="D1728" s="87"/>
      <c r="E1728" s="115" t="str">
        <f t="shared" si="111"/>
        <v/>
      </c>
      <c r="F1728" s="115" t="str">
        <f t="shared" si="112"/>
        <v/>
      </c>
      <c r="G1728" s="116" t="str">
        <f>IF(ISNONTEXT(D1728),"",E1728-MAX($F$2:F1727))</f>
        <v/>
      </c>
      <c r="H1728" s="97"/>
      <c r="I1728" s="74" t="str">
        <f ca="1">IF(D1728="N",COUNTIF(INDIRECT(ADDRESS(MATCH(Plages!$D$19,'Planning annuel mixing coater'!$B:$B),4)):D1728,"N"),IF(D1728="N1",COUNTIF($D$9:D1728,"N1"),""))</f>
        <v/>
      </c>
      <c r="J1728" s="96" t="str">
        <f>IF(D1728="","",COUNTA(D1724:D1728)-(COUNTA(D1728:D1728)-1))</f>
        <v/>
      </c>
    </row>
    <row r="1729" spans="1:10" thickBot="1">
      <c r="A1729" s="117"/>
      <c r="B1729" s="70">
        <f t="shared" si="109"/>
        <v>45521</v>
      </c>
      <c r="C1729" s="82" t="str">
        <f t="shared" si="110"/>
        <v>samedi</v>
      </c>
      <c r="D1729" s="87"/>
      <c r="E1729" s="115" t="str">
        <f t="shared" si="111"/>
        <v/>
      </c>
      <c r="F1729" s="115" t="str">
        <f t="shared" si="112"/>
        <v/>
      </c>
      <c r="G1729" s="116" t="str">
        <f>IF(ISNONTEXT(D1729),"",E1729-MAX($F$2:F1728))</f>
        <v/>
      </c>
      <c r="H1729" s="97"/>
      <c r="I1729" s="74" t="str">
        <f ca="1">IF(D1729="N",COUNTIF(INDIRECT(ADDRESS(MATCH(Plages!$D$19,'Planning annuel mixing coater'!$B:$B),4)):D1729,"N"),IF(D1729="N1",COUNTIF($D$9:D1729,"N1"),""))</f>
        <v/>
      </c>
      <c r="J1729" s="96" t="str">
        <f>IF(D1729="","",COUNTA(D1724:D1729)-(COUNTA(D1729:D1729)-1))</f>
        <v/>
      </c>
    </row>
    <row r="1730" spans="1:10" thickBot="1">
      <c r="A1730" s="117"/>
      <c r="B1730" s="70">
        <f t="shared" si="109"/>
        <v>45522</v>
      </c>
      <c r="C1730" s="82" t="str">
        <f t="shared" si="110"/>
        <v>dimanche</v>
      </c>
      <c r="D1730" s="87"/>
      <c r="E1730" s="115" t="str">
        <f t="shared" si="111"/>
        <v/>
      </c>
      <c r="F1730" s="115" t="str">
        <f t="shared" si="112"/>
        <v/>
      </c>
      <c r="G1730" s="116" t="str">
        <f>IF(ISNONTEXT(D1730),"",E1730-MAX($F$2:F1729))</f>
        <v/>
      </c>
      <c r="H1730" s="98"/>
      <c r="I1730" s="74" t="str">
        <f ca="1">IF(D1730="N",COUNTIF(INDIRECT(ADDRESS(MATCH(Plages!$D$19,'Planning annuel mixing coater'!$B:$B),4)):D1730,"N"),IF(D1730="N1",COUNTIF($D$9:D1730,"N1"),""))</f>
        <v/>
      </c>
      <c r="J1730" s="96" t="str">
        <f>IF(D1730="","",COUNTA(D1724:D1730)-(COUNTA(D1730:D1730)-1))</f>
        <v/>
      </c>
    </row>
    <row r="1731" spans="1:10" thickBot="1">
      <c r="A1731" s="117"/>
      <c r="B1731" s="70">
        <f t="shared" si="109"/>
        <v>45523</v>
      </c>
      <c r="C1731" s="82" t="str">
        <f t="shared" si="110"/>
        <v>lundi</v>
      </c>
      <c r="D1731" s="87"/>
      <c r="E1731" s="115" t="str">
        <f t="shared" si="111"/>
        <v/>
      </c>
      <c r="F1731" s="115" t="str">
        <f t="shared" si="112"/>
        <v/>
      </c>
      <c r="G1731" s="116" t="str">
        <f>IF(ISNONTEXT(D1731),"",E1731-MAX($F$2:F1730))</f>
        <v/>
      </c>
      <c r="H1731" s="97"/>
      <c r="I1731" s="74" t="str">
        <f ca="1">IF(D1731="N",COUNTIF(INDIRECT(ADDRESS(MATCH(Plages!$D$19,'Planning annuel mixing coater'!$B:$B),4)):D1731,"N"),IF(D1731="N1",COUNTIF($D$9:D1731,"N1"),""))</f>
        <v/>
      </c>
      <c r="J1731" s="96" t="str">
        <f>IF(D1731="","",COUNTA(D1724:D1731)-(COUNTA(D1731:D1731)-1))</f>
        <v/>
      </c>
    </row>
    <row r="1732" spans="1:10" thickBot="1">
      <c r="A1732" s="117"/>
      <c r="B1732" s="70">
        <f t="shared" ref="B1732:B1795" si="113">IF(B1731="","",B1731+1)</f>
        <v>45524</v>
      </c>
      <c r="C1732" s="82" t="str">
        <f t="shared" si="110"/>
        <v>mardi</v>
      </c>
      <c r="D1732" s="87"/>
      <c r="E1732" s="115" t="str">
        <f t="shared" si="111"/>
        <v/>
      </c>
      <c r="F1732" s="115" t="str">
        <f t="shared" si="112"/>
        <v/>
      </c>
      <c r="G1732" s="116" t="str">
        <f>IF(ISNONTEXT(D1732),"",E1732-MAX($F$2:F1731))</f>
        <v/>
      </c>
      <c r="H1732" s="97"/>
      <c r="I1732" s="74" t="str">
        <f ca="1">IF(D1732="N",COUNTIF(INDIRECT(ADDRESS(MATCH(Plages!$D$19,'Planning annuel mixing coater'!$B:$B),4)):D1732,"N"),IF(D1732="N1",COUNTIF($D$9:D1732,"N1"),""))</f>
        <v/>
      </c>
      <c r="J1732" s="96" t="str">
        <f>IF(D1732="","",COUNTA(D1724:D1732)-(COUNTA(D1732:D1732)-1))</f>
        <v/>
      </c>
    </row>
    <row r="1733" spans="1:10" thickBot="1">
      <c r="A1733" s="117"/>
      <c r="B1733" s="70">
        <f t="shared" si="113"/>
        <v>45525</v>
      </c>
      <c r="C1733" s="82" t="str">
        <f t="shared" si="110"/>
        <v>mercredi</v>
      </c>
      <c r="D1733" s="87"/>
      <c r="E1733" s="115" t="str">
        <f t="shared" si="111"/>
        <v/>
      </c>
      <c r="F1733" s="115" t="str">
        <f t="shared" si="112"/>
        <v/>
      </c>
      <c r="G1733" s="116" t="str">
        <f>IF(ISNONTEXT(D1733),"",E1733-MAX($F$2:F1732))</f>
        <v/>
      </c>
      <c r="H1733" s="97"/>
      <c r="I1733" s="74" t="str">
        <f ca="1">IF(D1733="N",COUNTIF(INDIRECT(ADDRESS(MATCH(Plages!$D$19,'Planning annuel mixing coater'!$B:$B),4)):D1733,"N"),IF(D1733="N1",COUNTIF($D$9:D1733,"N1"),""))</f>
        <v/>
      </c>
      <c r="J1733" s="96" t="str">
        <f>IF(D1733="","",COUNTA(D1724:D1733)-(COUNTA(D1733:D1733)-1))</f>
        <v/>
      </c>
    </row>
    <row r="1734" spans="1:10" thickBot="1">
      <c r="A1734" s="117"/>
      <c r="B1734" s="70">
        <f t="shared" si="113"/>
        <v>45526</v>
      </c>
      <c r="C1734" s="82" t="str">
        <f t="shared" si="110"/>
        <v>jeudi</v>
      </c>
      <c r="D1734" s="87"/>
      <c r="E1734" s="115" t="str">
        <f t="shared" si="111"/>
        <v/>
      </c>
      <c r="F1734" s="115" t="str">
        <f t="shared" si="112"/>
        <v/>
      </c>
      <c r="G1734" s="116" t="str">
        <f>IF(ISNONTEXT(D1734),"",E1734-MAX($F$2:F1733))</f>
        <v/>
      </c>
      <c r="H1734" s="97"/>
      <c r="I1734" s="74" t="str">
        <f ca="1">IF(D1734="N",COUNTIF(INDIRECT(ADDRESS(MATCH(Plages!$D$19,'Planning annuel mixing coater'!$B:$B),4)):D1734,"N"),IF(D1734="N1",COUNTIF($D$9:D1734,"N1"),""))</f>
        <v/>
      </c>
      <c r="J1734" s="96" t="str">
        <f>IF(D1734="","",COUNTA(D1724:D1734)-(COUNTA(D1734:D1734)-1))</f>
        <v/>
      </c>
    </row>
    <row r="1735" spans="1:10" thickBot="1">
      <c r="A1735" s="117"/>
      <c r="B1735" s="70">
        <f t="shared" si="113"/>
        <v>45527</v>
      </c>
      <c r="C1735" s="82" t="str">
        <f t="shared" si="110"/>
        <v>vendredi</v>
      </c>
      <c r="D1735" s="87"/>
      <c r="E1735" s="115" t="str">
        <f t="shared" si="111"/>
        <v/>
      </c>
      <c r="F1735" s="115" t="str">
        <f t="shared" si="112"/>
        <v/>
      </c>
      <c r="G1735" s="116" t="str">
        <f>IF(ISNONTEXT(D1735),"",E1735-MAX($F$2:F1734))</f>
        <v/>
      </c>
      <c r="H1735" s="97"/>
      <c r="I1735" s="74" t="str">
        <f ca="1">IF(D1735="N",COUNTIF(INDIRECT(ADDRESS(MATCH(Plages!$D$19,'Planning annuel mixing coater'!$B:$B),4)):D1735,"N"),IF(D1735="N1",COUNTIF($D$9:D1735,"N1"),""))</f>
        <v/>
      </c>
      <c r="J1735" s="96" t="str">
        <f>IF(D1735="","",COUNTA(D1724:D1735)-(COUNTA(D1735:D1735)-1))</f>
        <v/>
      </c>
    </row>
    <row r="1736" spans="1:10" thickBot="1">
      <c r="A1736" s="117"/>
      <c r="B1736" s="70">
        <f t="shared" si="113"/>
        <v>45528</v>
      </c>
      <c r="C1736" s="82" t="str">
        <f t="shared" si="110"/>
        <v>samedi</v>
      </c>
      <c r="D1736" s="87"/>
      <c r="E1736" s="115" t="str">
        <f t="shared" si="111"/>
        <v/>
      </c>
      <c r="F1736" s="115" t="str">
        <f t="shared" si="112"/>
        <v/>
      </c>
      <c r="G1736" s="116" t="str">
        <f>IF(ISNONTEXT(D1736),"",E1736-MAX($F$2:F1735))</f>
        <v/>
      </c>
      <c r="H1736" s="97"/>
      <c r="I1736" s="74" t="str">
        <f ca="1">IF(D1736="N",COUNTIF(INDIRECT(ADDRESS(MATCH(Plages!$D$19,'Planning annuel mixing coater'!$B:$B),4)):D1736,"N"),IF(D1736="N1",COUNTIF($D$9:D1736,"N1"),""))</f>
        <v/>
      </c>
      <c r="J1736" s="96" t="str">
        <f>IF(D1736="","",COUNTA(D1724:D1736)-(COUNTA(D1736:D1736)-1))</f>
        <v/>
      </c>
    </row>
    <row r="1737" spans="1:10" s="77" customFormat="1" thickBot="1">
      <c r="A1737" s="117"/>
      <c r="B1737" s="75">
        <f t="shared" si="113"/>
        <v>45529</v>
      </c>
      <c r="C1737" s="83" t="str">
        <f t="shared" si="110"/>
        <v>dimanche</v>
      </c>
      <c r="D1737" s="88"/>
      <c r="E1737" s="115" t="str">
        <f t="shared" si="111"/>
        <v/>
      </c>
      <c r="F1737" s="115" t="str">
        <f t="shared" si="112"/>
        <v/>
      </c>
      <c r="G1737" s="116" t="str">
        <f>IF(ISNONTEXT(D1737),"",E1737-MAX($F$2:F1736))</f>
        <v/>
      </c>
      <c r="H1737" s="98"/>
      <c r="I1737" s="76" t="str">
        <f ca="1">IF(D1737="N",COUNTIF(INDIRECT(ADDRESS(MATCH(Plages!$D$19,'Planning annuel mixing coater'!$B:$B),4)):D1737,"N"),IF(D1737="N1",COUNTIF($D$9:D1737,"N1"),""))</f>
        <v/>
      </c>
      <c r="J1737" s="99" t="str">
        <f>IF(D1737="","",COUNTA(D1724:D1737)-(COUNTA(D1737:D1737)-1))</f>
        <v/>
      </c>
    </row>
    <row r="1738" spans="1:10" ht="16.5" thickTop="1" thickBot="1">
      <c r="A1738" s="117"/>
      <c r="B1738" s="78">
        <f t="shared" si="113"/>
        <v>45530</v>
      </c>
      <c r="C1738" s="81" t="str">
        <f t="shared" si="110"/>
        <v>lundi</v>
      </c>
      <c r="D1738" s="89"/>
      <c r="E1738" s="115" t="str">
        <f t="shared" si="111"/>
        <v/>
      </c>
      <c r="F1738" s="115" t="str">
        <f t="shared" si="112"/>
        <v/>
      </c>
      <c r="G1738" s="116" t="str">
        <f>IF(ISNONTEXT(D1738),"",E1738-MAX($F$2:F1737))</f>
        <v/>
      </c>
      <c r="H1738" s="100"/>
      <c r="I1738" s="79" t="str">
        <f ca="1">IF(D1738="N",COUNTIF(INDIRECT(ADDRESS(MATCH(Plages!$D$19,'Planning annuel mixing coater'!$B:$B),4)):D1738,"N"),IF(D1738="N1",COUNTIF($D$9:D1738,"N1"),""))</f>
        <v/>
      </c>
      <c r="J1738" s="101" t="str">
        <f>IF(D1738="","",COUNTA(D1738:D1738)-(COUNTA(D1738:D1738)-1))</f>
        <v/>
      </c>
    </row>
    <row r="1739" spans="1:10" thickBot="1">
      <c r="A1739" s="117"/>
      <c r="B1739" s="70">
        <f t="shared" si="113"/>
        <v>45531</v>
      </c>
      <c r="C1739" s="82" t="str">
        <f t="shared" si="110"/>
        <v>mardi</v>
      </c>
      <c r="D1739" s="87"/>
      <c r="E1739" s="115" t="str">
        <f t="shared" si="111"/>
        <v/>
      </c>
      <c r="F1739" s="115" t="str">
        <f t="shared" si="112"/>
        <v/>
      </c>
      <c r="G1739" s="116" t="str">
        <f>IF(ISNONTEXT(D1739),"",E1739-MAX($F$2:F1738))</f>
        <v/>
      </c>
      <c r="H1739" s="97"/>
      <c r="I1739" s="74" t="str">
        <f ca="1">IF(D1739="N",COUNTIF(INDIRECT(ADDRESS(MATCH(Plages!$D$19,'Planning annuel mixing coater'!$B:$B),4)):D1739,"N"),IF(D1739="N1",COUNTIF($D$9:D1739,"N1"),""))</f>
        <v/>
      </c>
      <c r="J1739" s="96" t="str">
        <f>IF(D1739="","",COUNTA(D1738:D1739)-(COUNTA(D1739:D1739)-1))</f>
        <v/>
      </c>
    </row>
    <row r="1740" spans="1:10" thickBot="1">
      <c r="A1740" s="117"/>
      <c r="B1740" s="70">
        <f t="shared" si="113"/>
        <v>45532</v>
      </c>
      <c r="C1740" s="82" t="str">
        <f t="shared" si="110"/>
        <v>mercredi</v>
      </c>
      <c r="D1740" s="87"/>
      <c r="E1740" s="115" t="str">
        <f t="shared" si="111"/>
        <v/>
      </c>
      <c r="F1740" s="115" t="str">
        <f t="shared" si="112"/>
        <v/>
      </c>
      <c r="G1740" s="116" t="str">
        <f>IF(ISNONTEXT(D1740),"",E1740-MAX($F$2:F1739))</f>
        <v/>
      </c>
      <c r="H1740" s="97"/>
      <c r="I1740" s="74" t="str">
        <f ca="1">IF(D1740="N",COUNTIF(INDIRECT(ADDRESS(MATCH(Plages!$D$19,'Planning annuel mixing coater'!$B:$B),4)):D1740,"N"),IF(D1740="N1",COUNTIF($D$9:D1740,"N1"),""))</f>
        <v/>
      </c>
      <c r="J1740" s="96" t="str">
        <f>IF(D1740="","",COUNTA(D1738:D1740)-(COUNTA(D1740:D1740)-1))</f>
        <v/>
      </c>
    </row>
    <row r="1741" spans="1:10" thickBot="1">
      <c r="A1741" s="117"/>
      <c r="B1741" s="70">
        <f t="shared" si="113"/>
        <v>45533</v>
      </c>
      <c r="C1741" s="82" t="str">
        <f t="shared" si="110"/>
        <v>jeudi</v>
      </c>
      <c r="D1741" s="87"/>
      <c r="E1741" s="115" t="str">
        <f t="shared" si="111"/>
        <v/>
      </c>
      <c r="F1741" s="115" t="str">
        <f t="shared" si="112"/>
        <v/>
      </c>
      <c r="G1741" s="116" t="str">
        <f>IF(ISNONTEXT(D1741),"",E1741-MAX($F$2:F1740))</f>
        <v/>
      </c>
      <c r="H1741" s="97"/>
      <c r="I1741" s="74" t="str">
        <f ca="1">IF(D1741="N",COUNTIF(INDIRECT(ADDRESS(MATCH(Plages!$D$19,'Planning annuel mixing coater'!$B:$B),4)):D1741,"N"),IF(D1741="N1",COUNTIF($D$9:D1741,"N1"),""))</f>
        <v/>
      </c>
      <c r="J1741" s="96" t="str">
        <f>IF(D1741="","",COUNTA(D1738:D1741)-(COUNTA(D1741:D1741)-1))</f>
        <v/>
      </c>
    </row>
    <row r="1742" spans="1:10" thickBot="1">
      <c r="A1742" s="117"/>
      <c r="B1742" s="70">
        <f t="shared" si="113"/>
        <v>45534</v>
      </c>
      <c r="C1742" s="82" t="str">
        <f t="shared" si="110"/>
        <v>vendredi</v>
      </c>
      <c r="D1742" s="87"/>
      <c r="E1742" s="115" t="str">
        <f t="shared" si="111"/>
        <v/>
      </c>
      <c r="F1742" s="115" t="str">
        <f t="shared" si="112"/>
        <v/>
      </c>
      <c r="G1742" s="116" t="str">
        <f>IF(ISNONTEXT(D1742),"",E1742-MAX($F$2:F1741))</f>
        <v/>
      </c>
      <c r="H1742" s="97"/>
      <c r="I1742" s="74" t="str">
        <f ca="1">IF(D1742="N",COUNTIF(INDIRECT(ADDRESS(MATCH(Plages!$D$19,'Planning annuel mixing coater'!$B:$B),4)):D1742,"N"),IF(D1742="N1",COUNTIF($D$9:D1742,"N1"),""))</f>
        <v/>
      </c>
      <c r="J1742" s="96" t="str">
        <f>IF(D1742="","",COUNTA(D1738:D1742)-(COUNTA(D1742:D1742)-1))</f>
        <v/>
      </c>
    </row>
    <row r="1743" spans="1:10" thickBot="1">
      <c r="A1743" s="117"/>
      <c r="B1743" s="70">
        <f t="shared" si="113"/>
        <v>45535</v>
      </c>
      <c r="C1743" s="82" t="str">
        <f t="shared" si="110"/>
        <v>samedi</v>
      </c>
      <c r="D1743" s="87"/>
      <c r="E1743" s="115" t="str">
        <f t="shared" si="111"/>
        <v/>
      </c>
      <c r="F1743" s="115" t="str">
        <f t="shared" si="112"/>
        <v/>
      </c>
      <c r="G1743" s="116" t="str">
        <f>IF(ISNONTEXT(D1743),"",E1743-MAX($F$2:F1742))</f>
        <v/>
      </c>
      <c r="H1743" s="97"/>
      <c r="I1743" s="74" t="str">
        <f ca="1">IF(D1743="N",COUNTIF(INDIRECT(ADDRESS(MATCH(Plages!$D$19,'Planning annuel mixing coater'!$B:$B),4)):D1743,"N"),IF(D1743="N1",COUNTIF($D$9:D1743,"N1"),""))</f>
        <v/>
      </c>
      <c r="J1743" s="96" t="str">
        <f>IF(D1743="","",COUNTA(D1738:D1743)-(COUNTA(D1743:D1743)-1))</f>
        <v/>
      </c>
    </row>
    <row r="1744" spans="1:10" thickBot="1">
      <c r="A1744" s="117"/>
      <c r="B1744" s="70">
        <f t="shared" si="113"/>
        <v>45536</v>
      </c>
      <c r="C1744" s="82" t="str">
        <f t="shared" si="110"/>
        <v>dimanche</v>
      </c>
      <c r="D1744" s="87"/>
      <c r="E1744" s="115" t="str">
        <f t="shared" si="111"/>
        <v/>
      </c>
      <c r="F1744" s="115" t="str">
        <f t="shared" si="112"/>
        <v/>
      </c>
      <c r="G1744" s="116" t="str">
        <f>IF(ISNONTEXT(D1744),"",E1744-MAX($F$2:F1743))</f>
        <v/>
      </c>
      <c r="H1744" s="98"/>
      <c r="I1744" s="74" t="str">
        <f ca="1">IF(D1744="N",COUNTIF(INDIRECT(ADDRESS(MATCH(Plages!$D$19,'Planning annuel mixing coater'!$B:$B),4)):D1744,"N"),IF(D1744="N1",COUNTIF($D$9:D1744,"N1"),""))</f>
        <v/>
      </c>
      <c r="J1744" s="96" t="str">
        <f>IF(D1744="","",COUNTA(D1738:D1744)-(COUNTA(D1744:D1744)-1))</f>
        <v/>
      </c>
    </row>
    <row r="1745" spans="1:10" thickBot="1">
      <c r="A1745" s="117"/>
      <c r="B1745" s="70">
        <f t="shared" si="113"/>
        <v>45537</v>
      </c>
      <c r="C1745" s="82" t="str">
        <f t="shared" si="110"/>
        <v>lundi</v>
      </c>
      <c r="D1745" s="87"/>
      <c r="E1745" s="115" t="str">
        <f t="shared" si="111"/>
        <v/>
      </c>
      <c r="F1745" s="115" t="str">
        <f t="shared" si="112"/>
        <v/>
      </c>
      <c r="G1745" s="116" t="str">
        <f>IF(ISNONTEXT(D1745),"",E1745-MAX($F$2:F1744))</f>
        <v/>
      </c>
      <c r="H1745" s="97"/>
      <c r="I1745" s="74" t="str">
        <f ca="1">IF(D1745="N",COUNTIF(INDIRECT(ADDRESS(MATCH(Plages!$D$19,'Planning annuel mixing coater'!$B:$B),4)):D1745,"N"),IF(D1745="N1",COUNTIF($D$9:D1745,"N1"),""))</f>
        <v/>
      </c>
      <c r="J1745" s="96" t="str">
        <f>IF(D1745="","",COUNTA(D1738:D1745)-(COUNTA(D1745:D1745)-1))</f>
        <v/>
      </c>
    </row>
    <row r="1746" spans="1:10" thickBot="1">
      <c r="A1746" s="117"/>
      <c r="B1746" s="70">
        <f t="shared" si="113"/>
        <v>45538</v>
      </c>
      <c r="C1746" s="82" t="str">
        <f t="shared" si="110"/>
        <v>mardi</v>
      </c>
      <c r="D1746" s="87"/>
      <c r="E1746" s="115" t="str">
        <f t="shared" si="111"/>
        <v/>
      </c>
      <c r="F1746" s="115" t="str">
        <f t="shared" si="112"/>
        <v/>
      </c>
      <c r="G1746" s="116" t="str">
        <f>IF(ISNONTEXT(D1746),"",E1746-MAX($F$2:F1745))</f>
        <v/>
      </c>
      <c r="H1746" s="97"/>
      <c r="I1746" s="74" t="str">
        <f ca="1">IF(D1746="N",COUNTIF(INDIRECT(ADDRESS(MATCH(Plages!$D$19,'Planning annuel mixing coater'!$B:$B),4)):D1746,"N"),IF(D1746="N1",COUNTIF($D$9:D1746,"N1"),""))</f>
        <v/>
      </c>
      <c r="J1746" s="96" t="str">
        <f>IF(D1746="","",COUNTA(D1738:D1746)-(COUNTA(D1746:D1746)-1))</f>
        <v/>
      </c>
    </row>
    <row r="1747" spans="1:10" thickBot="1">
      <c r="A1747" s="117"/>
      <c r="B1747" s="70">
        <f t="shared" si="113"/>
        <v>45539</v>
      </c>
      <c r="C1747" s="82" t="str">
        <f t="shared" si="110"/>
        <v>mercredi</v>
      </c>
      <c r="D1747" s="87"/>
      <c r="E1747" s="115" t="str">
        <f t="shared" si="111"/>
        <v/>
      </c>
      <c r="F1747" s="115" t="str">
        <f t="shared" si="112"/>
        <v/>
      </c>
      <c r="G1747" s="116" t="str">
        <f>IF(ISNONTEXT(D1747),"",E1747-MAX($F$2:F1746))</f>
        <v/>
      </c>
      <c r="H1747" s="97"/>
      <c r="I1747" s="74" t="str">
        <f ca="1">IF(D1747="N",COUNTIF(INDIRECT(ADDRESS(MATCH(Plages!$D$19,'Planning annuel mixing coater'!$B:$B),4)):D1747,"N"),IF(D1747="N1",COUNTIF($D$9:D1747,"N1"),""))</f>
        <v/>
      </c>
      <c r="J1747" s="96" t="str">
        <f>IF(D1747="","",COUNTA(D1738:D1747)-(COUNTA(D1747:D1747)-1))</f>
        <v/>
      </c>
    </row>
    <row r="1748" spans="1:10" thickBot="1">
      <c r="A1748" s="117"/>
      <c r="B1748" s="70">
        <f t="shared" si="113"/>
        <v>45540</v>
      </c>
      <c r="C1748" s="82" t="str">
        <f t="shared" si="110"/>
        <v>jeudi</v>
      </c>
      <c r="D1748" s="87"/>
      <c r="E1748" s="115" t="str">
        <f t="shared" si="111"/>
        <v/>
      </c>
      <c r="F1748" s="115" t="str">
        <f t="shared" si="112"/>
        <v/>
      </c>
      <c r="G1748" s="116" t="str">
        <f>IF(ISNONTEXT(D1748),"",E1748-MAX($F$2:F1747))</f>
        <v/>
      </c>
      <c r="H1748" s="97"/>
      <c r="I1748" s="74" t="str">
        <f ca="1">IF(D1748="N",COUNTIF(INDIRECT(ADDRESS(MATCH(Plages!$D$19,'Planning annuel mixing coater'!$B:$B),4)):D1748,"N"),IF(D1748="N1",COUNTIF($D$9:D1748,"N1"),""))</f>
        <v/>
      </c>
      <c r="J1748" s="96" t="str">
        <f>IF(D1748="","",COUNTA(D1738:D1748)-(COUNTA(D1748:D1748)-1))</f>
        <v/>
      </c>
    </row>
    <row r="1749" spans="1:10" thickBot="1">
      <c r="A1749" s="117"/>
      <c r="B1749" s="70">
        <f t="shared" si="113"/>
        <v>45541</v>
      </c>
      <c r="C1749" s="82" t="str">
        <f t="shared" si="110"/>
        <v>vendredi</v>
      </c>
      <c r="D1749" s="87"/>
      <c r="E1749" s="115" t="str">
        <f t="shared" si="111"/>
        <v/>
      </c>
      <c r="F1749" s="115" t="str">
        <f t="shared" si="112"/>
        <v/>
      </c>
      <c r="G1749" s="116" t="str">
        <f>IF(ISNONTEXT(D1749),"",E1749-MAX($F$2:F1748))</f>
        <v/>
      </c>
      <c r="H1749" s="97"/>
      <c r="I1749" s="74" t="str">
        <f ca="1">IF(D1749="N",COUNTIF(INDIRECT(ADDRESS(MATCH(Plages!$D$19,'Planning annuel mixing coater'!$B:$B),4)):D1749,"N"),IF(D1749="N1",COUNTIF($D$9:D1749,"N1"),""))</f>
        <v/>
      </c>
      <c r="J1749" s="96" t="str">
        <f>IF(D1749="","",COUNTA(D1738:D1749)-(COUNTA(D1749:D1749)-1))</f>
        <v/>
      </c>
    </row>
    <row r="1750" spans="1:10" thickBot="1">
      <c r="A1750" s="117"/>
      <c r="B1750" s="70">
        <f t="shared" si="113"/>
        <v>45542</v>
      </c>
      <c r="C1750" s="82" t="str">
        <f t="shared" si="110"/>
        <v>samedi</v>
      </c>
      <c r="D1750" s="87"/>
      <c r="E1750" s="115" t="str">
        <f t="shared" si="111"/>
        <v/>
      </c>
      <c r="F1750" s="115" t="str">
        <f t="shared" si="112"/>
        <v/>
      </c>
      <c r="G1750" s="116" t="str">
        <f>IF(ISNONTEXT(D1750),"",E1750-MAX($F$2:F1749))</f>
        <v/>
      </c>
      <c r="H1750" s="97"/>
      <c r="I1750" s="74" t="str">
        <f ca="1">IF(D1750="N",COUNTIF(INDIRECT(ADDRESS(MATCH(Plages!$D$19,'Planning annuel mixing coater'!$B:$B),4)):D1750,"N"),IF(D1750="N1",COUNTIF($D$9:D1750,"N1"),""))</f>
        <v/>
      </c>
      <c r="J1750" s="96" t="str">
        <f>IF(D1750="","",COUNTA(D1738:D1750)-(COUNTA(D1750:D1750)-1))</f>
        <v/>
      </c>
    </row>
    <row r="1751" spans="1:10" s="77" customFormat="1" thickBot="1">
      <c r="A1751" s="117"/>
      <c r="B1751" s="75">
        <f t="shared" si="113"/>
        <v>45543</v>
      </c>
      <c r="C1751" s="83" t="str">
        <f t="shared" si="110"/>
        <v>dimanche</v>
      </c>
      <c r="D1751" s="88"/>
      <c r="E1751" s="115" t="str">
        <f t="shared" si="111"/>
        <v/>
      </c>
      <c r="F1751" s="115" t="str">
        <f t="shared" si="112"/>
        <v/>
      </c>
      <c r="G1751" s="116" t="str">
        <f>IF(ISNONTEXT(D1751),"",E1751-MAX($F$2:F1750))</f>
        <v/>
      </c>
      <c r="H1751" s="98"/>
      <c r="I1751" s="76" t="str">
        <f ca="1">IF(D1751="N",COUNTIF(INDIRECT(ADDRESS(MATCH(Plages!$D$19,'Planning annuel mixing coater'!$B:$B),4)):D1751,"N"),IF(D1751="N1",COUNTIF($D$9:D1751,"N1"),""))</f>
        <v/>
      </c>
      <c r="J1751" s="99" t="str">
        <f>IF(D1751="","",COUNTA(D1738:D1751)-(COUNTA(D1751:D1751)-1))</f>
        <v/>
      </c>
    </row>
    <row r="1752" spans="1:10" ht="16.5" thickTop="1" thickBot="1">
      <c r="A1752" s="117"/>
      <c r="B1752" s="78">
        <f t="shared" si="113"/>
        <v>45544</v>
      </c>
      <c r="C1752" s="81" t="str">
        <f t="shared" si="110"/>
        <v>lundi</v>
      </c>
      <c r="D1752" s="89"/>
      <c r="E1752" s="115" t="str">
        <f t="shared" si="111"/>
        <v/>
      </c>
      <c r="F1752" s="115" t="str">
        <f t="shared" si="112"/>
        <v/>
      </c>
      <c r="G1752" s="116" t="str">
        <f>IF(ISNONTEXT(D1752),"",E1752-MAX($F$2:F1751))</f>
        <v/>
      </c>
      <c r="H1752" s="100"/>
      <c r="I1752" s="79" t="str">
        <f ca="1">IF(D1752="N",COUNTIF(INDIRECT(ADDRESS(MATCH(Plages!$D$19,'Planning annuel mixing coater'!$B:$B),4)):D1752,"N"),IF(D1752="N1",COUNTIF($D$9:D1752,"N1"),""))</f>
        <v/>
      </c>
      <c r="J1752" s="101" t="str">
        <f>IF(D1752="","",COUNTA(D1752:D1752)-(COUNTA(D1752:D1752)-1))</f>
        <v/>
      </c>
    </row>
    <row r="1753" spans="1:10" thickBot="1">
      <c r="A1753" s="117"/>
      <c r="B1753" s="70">
        <f t="shared" si="113"/>
        <v>45545</v>
      </c>
      <c r="C1753" s="82" t="str">
        <f t="shared" si="110"/>
        <v>mardi</v>
      </c>
      <c r="D1753" s="87"/>
      <c r="E1753" s="115" t="str">
        <f t="shared" si="111"/>
        <v/>
      </c>
      <c r="F1753" s="115" t="str">
        <f t="shared" si="112"/>
        <v/>
      </c>
      <c r="G1753" s="116" t="str">
        <f>IF(ISNONTEXT(D1753),"",E1753-MAX($F$2:F1752))</f>
        <v/>
      </c>
      <c r="H1753" s="97"/>
      <c r="I1753" s="74" t="str">
        <f ca="1">IF(D1753="N",COUNTIF(INDIRECT(ADDRESS(MATCH(Plages!$D$19,'Planning annuel mixing coater'!$B:$B),4)):D1753,"N"),IF(D1753="N1",COUNTIF($D$9:D1753,"N1"),""))</f>
        <v/>
      </c>
      <c r="J1753" s="96" t="str">
        <f>IF(D1753="","",COUNTA(D1752:D1753)-(COUNTA(D1753:D1753)-1))</f>
        <v/>
      </c>
    </row>
    <row r="1754" spans="1:10" thickBot="1">
      <c r="A1754" s="117"/>
      <c r="B1754" s="70">
        <f t="shared" si="113"/>
        <v>45546</v>
      </c>
      <c r="C1754" s="82" t="str">
        <f t="shared" si="110"/>
        <v>mercredi</v>
      </c>
      <c r="D1754" s="87"/>
      <c r="E1754" s="115" t="str">
        <f t="shared" si="111"/>
        <v/>
      </c>
      <c r="F1754" s="115" t="str">
        <f t="shared" si="112"/>
        <v/>
      </c>
      <c r="G1754" s="116" t="str">
        <f>IF(ISNONTEXT(D1754),"",E1754-MAX($F$2:F1753))</f>
        <v/>
      </c>
      <c r="H1754" s="97"/>
      <c r="I1754" s="74" t="str">
        <f ca="1">IF(D1754="N",COUNTIF(INDIRECT(ADDRESS(MATCH(Plages!$D$19,'Planning annuel mixing coater'!$B:$B),4)):D1754,"N"),IF(D1754="N1",COUNTIF($D$9:D1754,"N1"),""))</f>
        <v/>
      </c>
      <c r="J1754" s="96" t="str">
        <f>IF(D1754="","",COUNTA(D1752:D1754)-(COUNTA(D1754:D1754)-1))</f>
        <v/>
      </c>
    </row>
    <row r="1755" spans="1:10" thickBot="1">
      <c r="A1755" s="117"/>
      <c r="B1755" s="70">
        <f t="shared" si="113"/>
        <v>45547</v>
      </c>
      <c r="C1755" s="82" t="str">
        <f t="shared" si="110"/>
        <v>jeudi</v>
      </c>
      <c r="D1755" s="87"/>
      <c r="E1755" s="115" t="str">
        <f t="shared" si="111"/>
        <v/>
      </c>
      <c r="F1755" s="115" t="str">
        <f t="shared" si="112"/>
        <v/>
      </c>
      <c r="G1755" s="116" t="str">
        <f>IF(ISNONTEXT(D1755),"",E1755-MAX($F$2:F1754))</f>
        <v/>
      </c>
      <c r="H1755" s="97"/>
      <c r="I1755" s="74" t="str">
        <f ca="1">IF(D1755="N",COUNTIF(INDIRECT(ADDRESS(MATCH(Plages!$D$19,'Planning annuel mixing coater'!$B:$B),4)):D1755,"N"),IF(D1755="N1",COUNTIF($D$9:D1755,"N1"),""))</f>
        <v/>
      </c>
      <c r="J1755" s="96" t="str">
        <f>IF(D1755="","",COUNTA(D1752:D1755)-(COUNTA(D1755:D1755)-1))</f>
        <v/>
      </c>
    </row>
    <row r="1756" spans="1:10" thickBot="1">
      <c r="A1756" s="117"/>
      <c r="B1756" s="70">
        <f t="shared" si="113"/>
        <v>45548</v>
      </c>
      <c r="C1756" s="82" t="str">
        <f t="shared" si="110"/>
        <v>vendredi</v>
      </c>
      <c r="D1756" s="87"/>
      <c r="E1756" s="115" t="str">
        <f t="shared" si="111"/>
        <v/>
      </c>
      <c r="F1756" s="115" t="str">
        <f t="shared" si="112"/>
        <v/>
      </c>
      <c r="G1756" s="116" t="str">
        <f>IF(ISNONTEXT(D1756),"",E1756-MAX($F$2:F1755))</f>
        <v/>
      </c>
      <c r="H1756" s="97"/>
      <c r="I1756" s="74" t="str">
        <f ca="1">IF(D1756="N",COUNTIF(INDIRECT(ADDRESS(MATCH(Plages!$D$19,'Planning annuel mixing coater'!$B:$B),4)):D1756,"N"),IF(D1756="N1",COUNTIF($D$9:D1756,"N1"),""))</f>
        <v/>
      </c>
      <c r="J1756" s="96" t="str">
        <f>IF(D1756="","",COUNTA(D1752:D1756)-(COUNTA(D1756:D1756)-1))</f>
        <v/>
      </c>
    </row>
    <row r="1757" spans="1:10" thickBot="1">
      <c r="A1757" s="117"/>
      <c r="B1757" s="70">
        <f t="shared" si="113"/>
        <v>45549</v>
      </c>
      <c r="C1757" s="82" t="str">
        <f t="shared" si="110"/>
        <v>samedi</v>
      </c>
      <c r="D1757" s="87"/>
      <c r="E1757" s="115" t="str">
        <f t="shared" si="111"/>
        <v/>
      </c>
      <c r="F1757" s="115" t="str">
        <f t="shared" si="112"/>
        <v/>
      </c>
      <c r="G1757" s="116" t="str">
        <f>IF(ISNONTEXT(D1757),"",E1757-MAX($F$2:F1756))</f>
        <v/>
      </c>
      <c r="H1757" s="97"/>
      <c r="I1757" s="74" t="str">
        <f ca="1">IF(D1757="N",COUNTIF(INDIRECT(ADDRESS(MATCH(Plages!$D$19,'Planning annuel mixing coater'!$B:$B),4)):D1757,"N"),IF(D1757="N1",COUNTIF($D$9:D1757,"N1"),""))</f>
        <v/>
      </c>
      <c r="J1757" s="96" t="str">
        <f>IF(D1757="","",COUNTA(D1752:D1757)-(COUNTA(D1757:D1757)-1))</f>
        <v/>
      </c>
    </row>
    <row r="1758" spans="1:10" thickBot="1">
      <c r="A1758" s="117"/>
      <c r="B1758" s="70">
        <f t="shared" si="113"/>
        <v>45550</v>
      </c>
      <c r="C1758" s="82" t="str">
        <f t="shared" ref="C1758:C1821" si="114">IF(B1758="","",TEXT(B1758,"jjjj"))</f>
        <v>dimanche</v>
      </c>
      <c r="D1758" s="87"/>
      <c r="E1758" s="115" t="str">
        <f t="shared" ref="E1758:E1821" si="115">IF(D1758="","",B1758+VLOOKUP(D1758,Plageh,2,0))</f>
        <v/>
      </c>
      <c r="F1758" s="115" t="str">
        <f t="shared" ref="F1758:F1821" si="116">IF(D1758="","",B1758+VLOOKUP(D1758,Plageh,3,0))</f>
        <v/>
      </c>
      <c r="G1758" s="116" t="str">
        <f>IF(ISNONTEXT(D1758),"",E1758-MAX($F$2:F1757))</f>
        <v/>
      </c>
      <c r="H1758" s="98"/>
      <c r="I1758" s="74" t="str">
        <f ca="1">IF(D1758="N",COUNTIF(INDIRECT(ADDRESS(MATCH(Plages!$D$19,'Planning annuel mixing coater'!$B:$B),4)):D1758,"N"),IF(D1758="N1",COUNTIF($D$9:D1758,"N1"),""))</f>
        <v/>
      </c>
      <c r="J1758" s="96" t="str">
        <f>IF(D1758="","",COUNTA(D1752:D1758)-(COUNTA(D1758:D1758)-1))</f>
        <v/>
      </c>
    </row>
    <row r="1759" spans="1:10" thickBot="1">
      <c r="A1759" s="117"/>
      <c r="B1759" s="70">
        <f t="shared" si="113"/>
        <v>45551</v>
      </c>
      <c r="C1759" s="82" t="str">
        <f t="shared" si="114"/>
        <v>lundi</v>
      </c>
      <c r="D1759" s="87"/>
      <c r="E1759" s="115" t="str">
        <f t="shared" si="115"/>
        <v/>
      </c>
      <c r="F1759" s="115" t="str">
        <f t="shared" si="116"/>
        <v/>
      </c>
      <c r="G1759" s="116" t="str">
        <f>IF(ISNONTEXT(D1759),"",E1759-MAX($F$2:F1758))</f>
        <v/>
      </c>
      <c r="H1759" s="97"/>
      <c r="I1759" s="74" t="str">
        <f ca="1">IF(D1759="N",COUNTIF(INDIRECT(ADDRESS(MATCH(Plages!$D$19,'Planning annuel mixing coater'!$B:$B),4)):D1759,"N"),IF(D1759="N1",COUNTIF($D$9:D1759,"N1"),""))</f>
        <v/>
      </c>
      <c r="J1759" s="96" t="str">
        <f>IF(D1759="","",COUNTA(D1752:D1759)-(COUNTA(D1759:D1759)-1))</f>
        <v/>
      </c>
    </row>
    <row r="1760" spans="1:10" thickBot="1">
      <c r="A1760" s="117"/>
      <c r="B1760" s="70">
        <f t="shared" si="113"/>
        <v>45552</v>
      </c>
      <c r="C1760" s="82" t="str">
        <f t="shared" si="114"/>
        <v>mardi</v>
      </c>
      <c r="D1760" s="87"/>
      <c r="E1760" s="115" t="str">
        <f t="shared" si="115"/>
        <v/>
      </c>
      <c r="F1760" s="115" t="str">
        <f t="shared" si="116"/>
        <v/>
      </c>
      <c r="G1760" s="116" t="str">
        <f>IF(ISNONTEXT(D1760),"",E1760-MAX($F$2:F1759))</f>
        <v/>
      </c>
      <c r="H1760" s="97"/>
      <c r="I1760" s="74" t="str">
        <f ca="1">IF(D1760="N",COUNTIF(INDIRECT(ADDRESS(MATCH(Plages!$D$19,'Planning annuel mixing coater'!$B:$B),4)):D1760,"N"),IF(D1760="N1",COUNTIF($D$9:D1760,"N1"),""))</f>
        <v/>
      </c>
      <c r="J1760" s="96" t="str">
        <f>IF(D1760="","",COUNTA(D1752:D1760)-(COUNTA(D1760:D1760)-1))</f>
        <v/>
      </c>
    </row>
    <row r="1761" spans="1:10" thickBot="1">
      <c r="A1761" s="117"/>
      <c r="B1761" s="70">
        <f t="shared" si="113"/>
        <v>45553</v>
      </c>
      <c r="C1761" s="82" t="str">
        <f t="shared" si="114"/>
        <v>mercredi</v>
      </c>
      <c r="D1761" s="87"/>
      <c r="E1761" s="115" t="str">
        <f t="shared" si="115"/>
        <v/>
      </c>
      <c r="F1761" s="115" t="str">
        <f t="shared" si="116"/>
        <v/>
      </c>
      <c r="G1761" s="116" t="str">
        <f>IF(ISNONTEXT(D1761),"",E1761-MAX($F$2:F1760))</f>
        <v/>
      </c>
      <c r="H1761" s="97"/>
      <c r="I1761" s="74" t="str">
        <f ca="1">IF(D1761="N",COUNTIF(INDIRECT(ADDRESS(MATCH(Plages!$D$19,'Planning annuel mixing coater'!$B:$B),4)):D1761,"N"),IF(D1761="N1",COUNTIF($D$9:D1761,"N1"),""))</f>
        <v/>
      </c>
      <c r="J1761" s="96" t="str">
        <f>IF(D1761="","",COUNTA(D1752:D1761)-(COUNTA(D1761:D1761)-1))</f>
        <v/>
      </c>
    </row>
    <row r="1762" spans="1:10" thickBot="1">
      <c r="A1762" s="117"/>
      <c r="B1762" s="70">
        <f t="shared" si="113"/>
        <v>45554</v>
      </c>
      <c r="C1762" s="82" t="str">
        <f t="shared" si="114"/>
        <v>jeudi</v>
      </c>
      <c r="D1762" s="87"/>
      <c r="E1762" s="115" t="str">
        <f t="shared" si="115"/>
        <v/>
      </c>
      <c r="F1762" s="115" t="str">
        <f t="shared" si="116"/>
        <v/>
      </c>
      <c r="G1762" s="116" t="str">
        <f>IF(ISNONTEXT(D1762),"",E1762-MAX($F$2:F1761))</f>
        <v/>
      </c>
      <c r="H1762" s="97"/>
      <c r="I1762" s="74" t="str">
        <f ca="1">IF(D1762="N",COUNTIF(INDIRECT(ADDRESS(MATCH(Plages!$D$19,'Planning annuel mixing coater'!$B:$B),4)):D1762,"N"),IF(D1762="N1",COUNTIF($D$9:D1762,"N1"),""))</f>
        <v/>
      </c>
      <c r="J1762" s="96" t="str">
        <f>IF(D1762="","",COUNTA(D1752:D1762)-(COUNTA(D1762:D1762)-1))</f>
        <v/>
      </c>
    </row>
    <row r="1763" spans="1:10" thickBot="1">
      <c r="A1763" s="117"/>
      <c r="B1763" s="70">
        <f t="shared" si="113"/>
        <v>45555</v>
      </c>
      <c r="C1763" s="82" t="str">
        <f t="shared" si="114"/>
        <v>vendredi</v>
      </c>
      <c r="D1763" s="87"/>
      <c r="E1763" s="115" t="str">
        <f t="shared" si="115"/>
        <v/>
      </c>
      <c r="F1763" s="115" t="str">
        <f t="shared" si="116"/>
        <v/>
      </c>
      <c r="G1763" s="116" t="str">
        <f>IF(ISNONTEXT(D1763),"",E1763-MAX($F$2:F1762))</f>
        <v/>
      </c>
      <c r="H1763" s="97"/>
      <c r="I1763" s="74" t="str">
        <f ca="1">IF(D1763="N",COUNTIF(INDIRECT(ADDRESS(MATCH(Plages!$D$19,'Planning annuel mixing coater'!$B:$B),4)):D1763,"N"),IF(D1763="N1",COUNTIF($D$9:D1763,"N1"),""))</f>
        <v/>
      </c>
      <c r="J1763" s="96" t="str">
        <f>IF(D1763="","",COUNTA(D1752:D1763)-(COUNTA(D1763:D1763)-1))</f>
        <v/>
      </c>
    </row>
    <row r="1764" spans="1:10" thickBot="1">
      <c r="A1764" s="117"/>
      <c r="B1764" s="70">
        <f t="shared" si="113"/>
        <v>45556</v>
      </c>
      <c r="C1764" s="82" t="str">
        <f t="shared" si="114"/>
        <v>samedi</v>
      </c>
      <c r="D1764" s="87"/>
      <c r="E1764" s="115" t="str">
        <f t="shared" si="115"/>
        <v/>
      </c>
      <c r="F1764" s="115" t="str">
        <f t="shared" si="116"/>
        <v/>
      </c>
      <c r="G1764" s="116" t="str">
        <f>IF(ISNONTEXT(D1764),"",E1764-MAX($F$2:F1763))</f>
        <v/>
      </c>
      <c r="H1764" s="97"/>
      <c r="I1764" s="74" t="str">
        <f ca="1">IF(D1764="N",COUNTIF(INDIRECT(ADDRESS(MATCH(Plages!$D$19,'Planning annuel mixing coater'!$B:$B),4)):D1764,"N"),IF(D1764="N1",COUNTIF($D$9:D1764,"N1"),""))</f>
        <v/>
      </c>
      <c r="J1764" s="96" t="str">
        <f>IF(D1764="","",COUNTA(D1752:D1764)-(COUNTA(D1764:D1764)-1))</f>
        <v/>
      </c>
    </row>
    <row r="1765" spans="1:10" s="77" customFormat="1" thickBot="1">
      <c r="A1765" s="117"/>
      <c r="B1765" s="75">
        <f t="shared" si="113"/>
        <v>45557</v>
      </c>
      <c r="C1765" s="83" t="str">
        <f t="shared" si="114"/>
        <v>dimanche</v>
      </c>
      <c r="D1765" s="88"/>
      <c r="E1765" s="115" t="str">
        <f t="shared" si="115"/>
        <v/>
      </c>
      <c r="F1765" s="115" t="str">
        <f t="shared" si="116"/>
        <v/>
      </c>
      <c r="G1765" s="116" t="str">
        <f>IF(ISNONTEXT(D1765),"",E1765-MAX($F$2:F1764))</f>
        <v/>
      </c>
      <c r="H1765" s="98"/>
      <c r="I1765" s="76" t="str">
        <f ca="1">IF(D1765="N",COUNTIF(INDIRECT(ADDRESS(MATCH(Plages!$D$19,'Planning annuel mixing coater'!$B:$B),4)):D1765,"N"),IF(D1765="N1",COUNTIF($D$9:D1765,"N1"),""))</f>
        <v/>
      </c>
      <c r="J1765" s="99" t="str">
        <f>IF(D1765="","",COUNTA(D1752:D1765)-(COUNTA(D1765:D1765)-1))</f>
        <v/>
      </c>
    </row>
    <row r="1766" spans="1:10" ht="16.5" thickTop="1" thickBot="1">
      <c r="A1766" s="117"/>
      <c r="B1766" s="78">
        <f t="shared" si="113"/>
        <v>45558</v>
      </c>
      <c r="C1766" s="81" t="str">
        <f t="shared" si="114"/>
        <v>lundi</v>
      </c>
      <c r="D1766" s="89"/>
      <c r="E1766" s="115" t="str">
        <f t="shared" si="115"/>
        <v/>
      </c>
      <c r="F1766" s="115" t="str">
        <f t="shared" si="116"/>
        <v/>
      </c>
      <c r="G1766" s="116" t="str">
        <f>IF(ISNONTEXT(D1766),"",E1766-MAX($F$2:F1765))</f>
        <v/>
      </c>
      <c r="H1766" s="100"/>
      <c r="I1766" s="79" t="str">
        <f ca="1">IF(D1766="N",COUNTIF(INDIRECT(ADDRESS(MATCH(Plages!$D$19,'Planning annuel mixing coater'!$B:$B),4)):D1766,"N"),IF(D1766="N1",COUNTIF($D$9:D1766,"N1"),""))</f>
        <v/>
      </c>
      <c r="J1766" s="101" t="str">
        <f>IF(D1766="","",COUNTA(D1766:D1766)-(COUNTA(D1766:D1766)-1))</f>
        <v/>
      </c>
    </row>
    <row r="1767" spans="1:10" thickBot="1">
      <c r="A1767" s="117"/>
      <c r="B1767" s="70">
        <f t="shared" si="113"/>
        <v>45559</v>
      </c>
      <c r="C1767" s="82" t="str">
        <f t="shared" si="114"/>
        <v>mardi</v>
      </c>
      <c r="D1767" s="87"/>
      <c r="E1767" s="115" t="str">
        <f t="shared" si="115"/>
        <v/>
      </c>
      <c r="F1767" s="115" t="str">
        <f t="shared" si="116"/>
        <v/>
      </c>
      <c r="G1767" s="116" t="str">
        <f>IF(ISNONTEXT(D1767),"",E1767-MAX($F$2:F1766))</f>
        <v/>
      </c>
      <c r="H1767" s="97"/>
      <c r="I1767" s="74" t="str">
        <f ca="1">IF(D1767="N",COUNTIF(INDIRECT(ADDRESS(MATCH(Plages!$D$19,'Planning annuel mixing coater'!$B:$B),4)):D1767,"N"),IF(D1767="N1",COUNTIF($D$9:D1767,"N1"),""))</f>
        <v/>
      </c>
      <c r="J1767" s="96" t="str">
        <f>IF(D1767="","",COUNTA(D1766:D1767)-(COUNTA(D1767:D1767)-1))</f>
        <v/>
      </c>
    </row>
    <row r="1768" spans="1:10" thickBot="1">
      <c r="A1768" s="117"/>
      <c r="B1768" s="70">
        <f t="shared" si="113"/>
        <v>45560</v>
      </c>
      <c r="C1768" s="82" t="str">
        <f t="shared" si="114"/>
        <v>mercredi</v>
      </c>
      <c r="D1768" s="87"/>
      <c r="E1768" s="115" t="str">
        <f t="shared" si="115"/>
        <v/>
      </c>
      <c r="F1768" s="115" t="str">
        <f t="shared" si="116"/>
        <v/>
      </c>
      <c r="G1768" s="116" t="str">
        <f>IF(ISNONTEXT(D1768),"",E1768-MAX($F$2:F1767))</f>
        <v/>
      </c>
      <c r="H1768" s="97"/>
      <c r="I1768" s="74" t="str">
        <f ca="1">IF(D1768="N",COUNTIF(INDIRECT(ADDRESS(MATCH(Plages!$D$19,'Planning annuel mixing coater'!$B:$B),4)):D1768,"N"),IF(D1768="N1",COUNTIF($D$9:D1768,"N1"),""))</f>
        <v/>
      </c>
      <c r="J1768" s="96" t="str">
        <f>IF(D1768="","",COUNTA(D1766:D1768)-(COUNTA(D1768:D1768)-1))</f>
        <v/>
      </c>
    </row>
    <row r="1769" spans="1:10" thickBot="1">
      <c r="A1769" s="117"/>
      <c r="B1769" s="70">
        <f t="shared" si="113"/>
        <v>45561</v>
      </c>
      <c r="C1769" s="82" t="str">
        <f t="shared" si="114"/>
        <v>jeudi</v>
      </c>
      <c r="D1769" s="87"/>
      <c r="E1769" s="115" t="str">
        <f t="shared" si="115"/>
        <v/>
      </c>
      <c r="F1769" s="115" t="str">
        <f t="shared" si="116"/>
        <v/>
      </c>
      <c r="G1769" s="116" t="str">
        <f>IF(ISNONTEXT(D1769),"",E1769-MAX($F$2:F1768))</f>
        <v/>
      </c>
      <c r="H1769" s="97"/>
      <c r="I1769" s="74" t="str">
        <f ca="1">IF(D1769="N",COUNTIF(INDIRECT(ADDRESS(MATCH(Plages!$D$19,'Planning annuel mixing coater'!$B:$B),4)):D1769,"N"),IF(D1769="N1",COUNTIF($D$9:D1769,"N1"),""))</f>
        <v/>
      </c>
      <c r="J1769" s="96" t="str">
        <f>IF(D1769="","",COUNTA(D1766:D1769)-(COUNTA(D1769:D1769)-1))</f>
        <v/>
      </c>
    </row>
    <row r="1770" spans="1:10" thickBot="1">
      <c r="A1770" s="117"/>
      <c r="B1770" s="70">
        <f t="shared" si="113"/>
        <v>45562</v>
      </c>
      <c r="C1770" s="82" t="str">
        <f t="shared" si="114"/>
        <v>vendredi</v>
      </c>
      <c r="D1770" s="87"/>
      <c r="E1770" s="115" t="str">
        <f t="shared" si="115"/>
        <v/>
      </c>
      <c r="F1770" s="115" t="str">
        <f t="shared" si="116"/>
        <v/>
      </c>
      <c r="G1770" s="116" t="str">
        <f>IF(ISNONTEXT(D1770),"",E1770-MAX($F$2:F1769))</f>
        <v/>
      </c>
      <c r="H1770" s="97"/>
      <c r="I1770" s="74" t="str">
        <f ca="1">IF(D1770="N",COUNTIF(INDIRECT(ADDRESS(MATCH(Plages!$D$19,'Planning annuel mixing coater'!$B:$B),4)):D1770,"N"),IF(D1770="N1",COUNTIF($D$9:D1770,"N1"),""))</f>
        <v/>
      </c>
      <c r="J1770" s="96" t="str">
        <f>IF(D1770="","",COUNTA(D1766:D1770)-(COUNTA(D1770:D1770)-1))</f>
        <v/>
      </c>
    </row>
    <row r="1771" spans="1:10" thickBot="1">
      <c r="A1771" s="117"/>
      <c r="B1771" s="70">
        <f t="shared" si="113"/>
        <v>45563</v>
      </c>
      <c r="C1771" s="82" t="str">
        <f t="shared" si="114"/>
        <v>samedi</v>
      </c>
      <c r="D1771" s="87"/>
      <c r="E1771" s="115" t="str">
        <f t="shared" si="115"/>
        <v/>
      </c>
      <c r="F1771" s="115" t="str">
        <f t="shared" si="116"/>
        <v/>
      </c>
      <c r="G1771" s="116" t="str">
        <f>IF(ISNONTEXT(D1771),"",E1771-MAX($F$2:F1770))</f>
        <v/>
      </c>
      <c r="H1771" s="97"/>
      <c r="I1771" s="74" t="str">
        <f ca="1">IF(D1771="N",COUNTIF(INDIRECT(ADDRESS(MATCH(Plages!$D$19,'Planning annuel mixing coater'!$B:$B),4)):D1771,"N"),IF(D1771="N1",COUNTIF($D$9:D1771,"N1"),""))</f>
        <v/>
      </c>
      <c r="J1771" s="96" t="str">
        <f>IF(D1771="","",COUNTA(D1766:D1771)-(COUNTA(D1771:D1771)-1))</f>
        <v/>
      </c>
    </row>
    <row r="1772" spans="1:10" thickBot="1">
      <c r="A1772" s="117"/>
      <c r="B1772" s="70">
        <f t="shared" si="113"/>
        <v>45564</v>
      </c>
      <c r="C1772" s="82" t="str">
        <f t="shared" si="114"/>
        <v>dimanche</v>
      </c>
      <c r="D1772" s="87"/>
      <c r="E1772" s="115" t="str">
        <f t="shared" si="115"/>
        <v/>
      </c>
      <c r="F1772" s="115" t="str">
        <f t="shared" si="116"/>
        <v/>
      </c>
      <c r="G1772" s="116" t="str">
        <f>IF(ISNONTEXT(D1772),"",E1772-MAX($F$2:F1771))</f>
        <v/>
      </c>
      <c r="H1772" s="98"/>
      <c r="I1772" s="74" t="str">
        <f ca="1">IF(D1772="N",COUNTIF(INDIRECT(ADDRESS(MATCH(Plages!$D$19,'Planning annuel mixing coater'!$B:$B),4)):D1772,"N"),IF(D1772="N1",COUNTIF($D$9:D1772,"N1"),""))</f>
        <v/>
      </c>
      <c r="J1772" s="96" t="str">
        <f>IF(D1772="","",COUNTA(D1766:D1772)-(COUNTA(D1772:D1772)-1))</f>
        <v/>
      </c>
    </row>
    <row r="1773" spans="1:10" thickBot="1">
      <c r="A1773" s="117"/>
      <c r="B1773" s="70">
        <f t="shared" si="113"/>
        <v>45565</v>
      </c>
      <c r="C1773" s="82" t="str">
        <f t="shared" si="114"/>
        <v>lundi</v>
      </c>
      <c r="D1773" s="87"/>
      <c r="E1773" s="115" t="str">
        <f t="shared" si="115"/>
        <v/>
      </c>
      <c r="F1773" s="115" t="str">
        <f t="shared" si="116"/>
        <v/>
      </c>
      <c r="G1773" s="116" t="str">
        <f>IF(ISNONTEXT(D1773),"",E1773-MAX($F$2:F1772))</f>
        <v/>
      </c>
      <c r="H1773" s="97"/>
      <c r="I1773" s="74" t="str">
        <f ca="1">IF(D1773="N",COUNTIF(INDIRECT(ADDRESS(MATCH(Plages!$D$19,'Planning annuel mixing coater'!$B:$B),4)):D1773,"N"),IF(D1773="N1",COUNTIF($D$9:D1773,"N1"),""))</f>
        <v/>
      </c>
      <c r="J1773" s="96" t="str">
        <f>IF(D1773="","",COUNTA(D1766:D1773)-(COUNTA(D1773:D1773)-1))</f>
        <v/>
      </c>
    </row>
    <row r="1774" spans="1:10" thickBot="1">
      <c r="A1774" s="117"/>
      <c r="B1774" s="70">
        <f t="shared" si="113"/>
        <v>45566</v>
      </c>
      <c r="C1774" s="82" t="str">
        <f t="shared" si="114"/>
        <v>mardi</v>
      </c>
      <c r="D1774" s="87"/>
      <c r="E1774" s="115" t="str">
        <f t="shared" si="115"/>
        <v/>
      </c>
      <c r="F1774" s="115" t="str">
        <f t="shared" si="116"/>
        <v/>
      </c>
      <c r="G1774" s="116" t="str">
        <f>IF(ISNONTEXT(D1774),"",E1774-MAX($F$2:F1773))</f>
        <v/>
      </c>
      <c r="H1774" s="97"/>
      <c r="I1774" s="74" t="str">
        <f ca="1">IF(D1774="N",COUNTIF(INDIRECT(ADDRESS(MATCH(Plages!$D$19,'Planning annuel mixing coater'!$B:$B),4)):D1774,"N"),IF(D1774="N1",COUNTIF($D$9:D1774,"N1"),""))</f>
        <v/>
      </c>
      <c r="J1774" s="96" t="str">
        <f>IF(D1774="","",COUNTA(D1766:D1774)-(COUNTA(D1774:D1774)-1))</f>
        <v/>
      </c>
    </row>
    <row r="1775" spans="1:10" thickBot="1">
      <c r="A1775" s="117"/>
      <c r="B1775" s="70">
        <f t="shared" si="113"/>
        <v>45567</v>
      </c>
      <c r="C1775" s="82" t="str">
        <f t="shared" si="114"/>
        <v>mercredi</v>
      </c>
      <c r="D1775" s="87"/>
      <c r="E1775" s="115" t="str">
        <f t="shared" si="115"/>
        <v/>
      </c>
      <c r="F1775" s="115" t="str">
        <f t="shared" si="116"/>
        <v/>
      </c>
      <c r="G1775" s="116" t="str">
        <f>IF(ISNONTEXT(D1775),"",E1775-MAX($F$2:F1774))</f>
        <v/>
      </c>
      <c r="H1775" s="97"/>
      <c r="I1775" s="74" t="str">
        <f ca="1">IF(D1775="N",COUNTIF(INDIRECT(ADDRESS(MATCH(Plages!$D$19,'Planning annuel mixing coater'!$B:$B),4)):D1775,"N"),IF(D1775="N1",COUNTIF($D$9:D1775,"N1"),""))</f>
        <v/>
      </c>
      <c r="J1775" s="96" t="str">
        <f>IF(D1775="","",COUNTA(D1766:D1775)-(COUNTA(D1775:D1775)-1))</f>
        <v/>
      </c>
    </row>
    <row r="1776" spans="1:10" thickBot="1">
      <c r="A1776" s="117"/>
      <c r="B1776" s="70">
        <f t="shared" si="113"/>
        <v>45568</v>
      </c>
      <c r="C1776" s="82" t="str">
        <f t="shared" si="114"/>
        <v>jeudi</v>
      </c>
      <c r="D1776" s="87"/>
      <c r="E1776" s="115" t="str">
        <f t="shared" si="115"/>
        <v/>
      </c>
      <c r="F1776" s="115" t="str">
        <f t="shared" si="116"/>
        <v/>
      </c>
      <c r="G1776" s="116" t="str">
        <f>IF(ISNONTEXT(D1776),"",E1776-MAX($F$2:F1775))</f>
        <v/>
      </c>
      <c r="H1776" s="97"/>
      <c r="I1776" s="74" t="str">
        <f ca="1">IF(D1776="N",COUNTIF(INDIRECT(ADDRESS(MATCH(Plages!$D$19,'Planning annuel mixing coater'!$B:$B),4)):D1776,"N"),IF(D1776="N1",COUNTIF($D$9:D1776,"N1"),""))</f>
        <v/>
      </c>
      <c r="J1776" s="96" t="str">
        <f>IF(D1776="","",COUNTA(D1766:D1776)-(COUNTA(D1776:D1776)-1))</f>
        <v/>
      </c>
    </row>
    <row r="1777" spans="1:10" thickBot="1">
      <c r="A1777" s="117"/>
      <c r="B1777" s="70">
        <f t="shared" si="113"/>
        <v>45569</v>
      </c>
      <c r="C1777" s="82" t="str">
        <f t="shared" si="114"/>
        <v>vendredi</v>
      </c>
      <c r="D1777" s="87"/>
      <c r="E1777" s="115" t="str">
        <f t="shared" si="115"/>
        <v/>
      </c>
      <c r="F1777" s="115" t="str">
        <f t="shared" si="116"/>
        <v/>
      </c>
      <c r="G1777" s="116" t="str">
        <f>IF(ISNONTEXT(D1777),"",E1777-MAX($F$2:F1776))</f>
        <v/>
      </c>
      <c r="H1777" s="97"/>
      <c r="I1777" s="74" t="str">
        <f ca="1">IF(D1777="N",COUNTIF(INDIRECT(ADDRESS(MATCH(Plages!$D$19,'Planning annuel mixing coater'!$B:$B),4)):D1777,"N"),IF(D1777="N1",COUNTIF($D$9:D1777,"N1"),""))</f>
        <v/>
      </c>
      <c r="J1777" s="96" t="str">
        <f>IF(D1777="","",COUNTA(D1766:D1777)-(COUNTA(D1777:D1777)-1))</f>
        <v/>
      </c>
    </row>
    <row r="1778" spans="1:10" thickBot="1">
      <c r="A1778" s="117"/>
      <c r="B1778" s="70">
        <f t="shared" si="113"/>
        <v>45570</v>
      </c>
      <c r="C1778" s="82" t="str">
        <f t="shared" si="114"/>
        <v>samedi</v>
      </c>
      <c r="D1778" s="87"/>
      <c r="E1778" s="115" t="str">
        <f t="shared" si="115"/>
        <v/>
      </c>
      <c r="F1778" s="115" t="str">
        <f t="shared" si="116"/>
        <v/>
      </c>
      <c r="G1778" s="116" t="str">
        <f>IF(ISNONTEXT(D1778),"",E1778-MAX($F$2:F1777))</f>
        <v/>
      </c>
      <c r="H1778" s="97"/>
      <c r="I1778" s="74" t="str">
        <f ca="1">IF(D1778="N",COUNTIF(INDIRECT(ADDRESS(MATCH(Plages!$D$19,'Planning annuel mixing coater'!$B:$B),4)):D1778,"N"),IF(D1778="N1",COUNTIF($D$9:D1778,"N1"),""))</f>
        <v/>
      </c>
      <c r="J1778" s="96" t="str">
        <f>IF(D1778="","",COUNTA(D1766:D1778)-(COUNTA(D1778:D1778)-1))</f>
        <v/>
      </c>
    </row>
    <row r="1779" spans="1:10" s="77" customFormat="1" thickBot="1">
      <c r="A1779" s="117"/>
      <c r="B1779" s="75">
        <f t="shared" si="113"/>
        <v>45571</v>
      </c>
      <c r="C1779" s="83" t="str">
        <f t="shared" si="114"/>
        <v>dimanche</v>
      </c>
      <c r="D1779" s="88"/>
      <c r="E1779" s="115" t="str">
        <f t="shared" si="115"/>
        <v/>
      </c>
      <c r="F1779" s="115" t="str">
        <f t="shared" si="116"/>
        <v/>
      </c>
      <c r="G1779" s="116" t="str">
        <f>IF(ISNONTEXT(D1779),"",E1779-MAX($F$2:F1778))</f>
        <v/>
      </c>
      <c r="H1779" s="98"/>
      <c r="I1779" s="76" t="str">
        <f ca="1">IF(D1779="N",COUNTIF(INDIRECT(ADDRESS(MATCH(Plages!$D$19,'Planning annuel mixing coater'!$B:$B),4)):D1779,"N"),IF(D1779="N1",COUNTIF($D$9:D1779,"N1"),""))</f>
        <v/>
      </c>
      <c r="J1779" s="99" t="str">
        <f>IF(D1779="","",COUNTA(D1766:D1779)-(COUNTA(D1779:D1779)-1))</f>
        <v/>
      </c>
    </row>
    <row r="1780" spans="1:10" ht="16.5" thickTop="1" thickBot="1">
      <c r="A1780" s="117"/>
      <c r="B1780" s="78">
        <f t="shared" si="113"/>
        <v>45572</v>
      </c>
      <c r="C1780" s="81" t="str">
        <f t="shared" si="114"/>
        <v>lundi</v>
      </c>
      <c r="D1780" s="89"/>
      <c r="E1780" s="115" t="str">
        <f t="shared" si="115"/>
        <v/>
      </c>
      <c r="F1780" s="115" t="str">
        <f t="shared" si="116"/>
        <v/>
      </c>
      <c r="G1780" s="116" t="str">
        <f>IF(ISNONTEXT(D1780),"",E1780-MAX($F$2:F1779))</f>
        <v/>
      </c>
      <c r="H1780" s="100"/>
      <c r="I1780" s="79" t="str">
        <f ca="1">IF(D1780="N",COUNTIF(INDIRECT(ADDRESS(MATCH(Plages!$D$19,'Planning annuel mixing coater'!$B:$B),4)):D1780,"N"),IF(D1780="N1",COUNTIF($D$9:D1780,"N1"),""))</f>
        <v/>
      </c>
      <c r="J1780" s="101" t="str">
        <f>IF(D1780="","",COUNTA(D1780:D1780)-(COUNTA(D1780:D1780)-1))</f>
        <v/>
      </c>
    </row>
    <row r="1781" spans="1:10" thickBot="1">
      <c r="A1781" s="117"/>
      <c r="B1781" s="70">
        <f t="shared" si="113"/>
        <v>45573</v>
      </c>
      <c r="C1781" s="82" t="str">
        <f t="shared" si="114"/>
        <v>mardi</v>
      </c>
      <c r="D1781" s="87"/>
      <c r="E1781" s="115" t="str">
        <f t="shared" si="115"/>
        <v/>
      </c>
      <c r="F1781" s="115" t="str">
        <f t="shared" si="116"/>
        <v/>
      </c>
      <c r="G1781" s="116" t="str">
        <f>IF(ISNONTEXT(D1781),"",E1781-MAX($F$2:F1780))</f>
        <v/>
      </c>
      <c r="H1781" s="97"/>
      <c r="I1781" s="74" t="str">
        <f ca="1">IF(D1781="N",COUNTIF(INDIRECT(ADDRESS(MATCH(Plages!$D$19,'Planning annuel mixing coater'!$B:$B),4)):D1781,"N"),IF(D1781="N1",COUNTIF($D$9:D1781,"N1"),""))</f>
        <v/>
      </c>
      <c r="J1781" s="96" t="str">
        <f>IF(D1781="","",COUNTA(D1780:D1781)-(COUNTA(D1781:D1781)-1))</f>
        <v/>
      </c>
    </row>
    <row r="1782" spans="1:10" thickBot="1">
      <c r="A1782" s="117"/>
      <c r="B1782" s="70">
        <f t="shared" si="113"/>
        <v>45574</v>
      </c>
      <c r="C1782" s="82" t="str">
        <f t="shared" si="114"/>
        <v>mercredi</v>
      </c>
      <c r="D1782" s="87"/>
      <c r="E1782" s="115" t="str">
        <f t="shared" si="115"/>
        <v/>
      </c>
      <c r="F1782" s="115" t="str">
        <f t="shared" si="116"/>
        <v/>
      </c>
      <c r="G1782" s="116" t="str">
        <f>IF(ISNONTEXT(D1782),"",E1782-MAX($F$2:F1781))</f>
        <v/>
      </c>
      <c r="H1782" s="97"/>
      <c r="I1782" s="74" t="str">
        <f ca="1">IF(D1782="N",COUNTIF(INDIRECT(ADDRESS(MATCH(Plages!$D$19,'Planning annuel mixing coater'!$B:$B),4)):D1782,"N"),IF(D1782="N1",COUNTIF($D$9:D1782,"N1"),""))</f>
        <v/>
      </c>
      <c r="J1782" s="96" t="str">
        <f>IF(D1782="","",COUNTA(D1780:D1782)-(COUNTA(D1782:D1782)-1))</f>
        <v/>
      </c>
    </row>
    <row r="1783" spans="1:10" thickBot="1">
      <c r="A1783" s="117"/>
      <c r="B1783" s="70">
        <f t="shared" si="113"/>
        <v>45575</v>
      </c>
      <c r="C1783" s="82" t="str">
        <f t="shared" si="114"/>
        <v>jeudi</v>
      </c>
      <c r="D1783" s="87"/>
      <c r="E1783" s="115" t="str">
        <f t="shared" si="115"/>
        <v/>
      </c>
      <c r="F1783" s="115" t="str">
        <f t="shared" si="116"/>
        <v/>
      </c>
      <c r="G1783" s="116" t="str">
        <f>IF(ISNONTEXT(D1783),"",E1783-MAX($F$2:F1782))</f>
        <v/>
      </c>
      <c r="H1783" s="97"/>
      <c r="I1783" s="74" t="str">
        <f ca="1">IF(D1783="N",COUNTIF(INDIRECT(ADDRESS(MATCH(Plages!$D$19,'Planning annuel mixing coater'!$B:$B),4)):D1783,"N"),IF(D1783="N1",COUNTIF($D$9:D1783,"N1"),""))</f>
        <v/>
      </c>
      <c r="J1783" s="96" t="str">
        <f>IF(D1783="","",COUNTA(D1780:D1783)-(COUNTA(D1783:D1783)-1))</f>
        <v/>
      </c>
    </row>
    <row r="1784" spans="1:10" thickBot="1">
      <c r="A1784" s="117"/>
      <c r="B1784" s="70">
        <f t="shared" si="113"/>
        <v>45576</v>
      </c>
      <c r="C1784" s="82" t="str">
        <f t="shared" si="114"/>
        <v>vendredi</v>
      </c>
      <c r="D1784" s="87"/>
      <c r="E1784" s="115" t="str">
        <f t="shared" si="115"/>
        <v/>
      </c>
      <c r="F1784" s="115" t="str">
        <f t="shared" si="116"/>
        <v/>
      </c>
      <c r="G1784" s="116" t="str">
        <f>IF(ISNONTEXT(D1784),"",E1784-MAX($F$2:F1783))</f>
        <v/>
      </c>
      <c r="H1784" s="97"/>
      <c r="I1784" s="74" t="str">
        <f ca="1">IF(D1784="N",COUNTIF(INDIRECT(ADDRESS(MATCH(Plages!$D$19,'Planning annuel mixing coater'!$B:$B),4)):D1784,"N"),IF(D1784="N1",COUNTIF($D$9:D1784,"N1"),""))</f>
        <v/>
      </c>
      <c r="J1784" s="96" t="str">
        <f>IF(D1784="","",COUNTA(D1780:D1784)-(COUNTA(D1784:D1784)-1))</f>
        <v/>
      </c>
    </row>
    <row r="1785" spans="1:10" thickBot="1">
      <c r="A1785" s="117"/>
      <c r="B1785" s="70">
        <f t="shared" si="113"/>
        <v>45577</v>
      </c>
      <c r="C1785" s="82" t="str">
        <f t="shared" si="114"/>
        <v>samedi</v>
      </c>
      <c r="D1785" s="87"/>
      <c r="E1785" s="115" t="str">
        <f t="shared" si="115"/>
        <v/>
      </c>
      <c r="F1785" s="115" t="str">
        <f t="shared" si="116"/>
        <v/>
      </c>
      <c r="G1785" s="116" t="str">
        <f>IF(ISNONTEXT(D1785),"",E1785-MAX($F$2:F1784))</f>
        <v/>
      </c>
      <c r="H1785" s="97"/>
      <c r="I1785" s="74" t="str">
        <f ca="1">IF(D1785="N",COUNTIF(INDIRECT(ADDRESS(MATCH(Plages!$D$19,'Planning annuel mixing coater'!$B:$B),4)):D1785,"N"),IF(D1785="N1",COUNTIF($D$9:D1785,"N1"),""))</f>
        <v/>
      </c>
      <c r="J1785" s="96" t="str">
        <f>IF(D1785="","",COUNTA(D1780:D1785)-(COUNTA(D1785:D1785)-1))</f>
        <v/>
      </c>
    </row>
    <row r="1786" spans="1:10" thickBot="1">
      <c r="A1786" s="117"/>
      <c r="B1786" s="70">
        <f t="shared" si="113"/>
        <v>45578</v>
      </c>
      <c r="C1786" s="82" t="str">
        <f t="shared" si="114"/>
        <v>dimanche</v>
      </c>
      <c r="D1786" s="87"/>
      <c r="E1786" s="115" t="str">
        <f t="shared" si="115"/>
        <v/>
      </c>
      <c r="F1786" s="115" t="str">
        <f t="shared" si="116"/>
        <v/>
      </c>
      <c r="G1786" s="116" t="str">
        <f>IF(ISNONTEXT(D1786),"",E1786-MAX($F$2:F1785))</f>
        <v/>
      </c>
      <c r="H1786" s="98"/>
      <c r="I1786" s="74" t="str">
        <f ca="1">IF(D1786="N",COUNTIF(INDIRECT(ADDRESS(MATCH(Plages!$D$19,'Planning annuel mixing coater'!$B:$B),4)):D1786,"N"),IF(D1786="N1",COUNTIF($D$9:D1786,"N1"),""))</f>
        <v/>
      </c>
      <c r="J1786" s="96" t="str">
        <f>IF(D1786="","",COUNTA(D1780:D1786)-(COUNTA(D1786:D1786)-1))</f>
        <v/>
      </c>
    </row>
    <row r="1787" spans="1:10" thickBot="1">
      <c r="A1787" s="117"/>
      <c r="B1787" s="70">
        <f t="shared" si="113"/>
        <v>45579</v>
      </c>
      <c r="C1787" s="82" t="str">
        <f t="shared" si="114"/>
        <v>lundi</v>
      </c>
      <c r="D1787" s="87"/>
      <c r="E1787" s="115" t="str">
        <f t="shared" si="115"/>
        <v/>
      </c>
      <c r="F1787" s="115" t="str">
        <f t="shared" si="116"/>
        <v/>
      </c>
      <c r="G1787" s="116" t="str">
        <f>IF(ISNONTEXT(D1787),"",E1787-MAX($F$2:F1786))</f>
        <v/>
      </c>
      <c r="H1787" s="97"/>
      <c r="I1787" s="74" t="str">
        <f ca="1">IF(D1787="N",COUNTIF(INDIRECT(ADDRESS(MATCH(Plages!$D$19,'Planning annuel mixing coater'!$B:$B),4)):D1787,"N"),IF(D1787="N1",COUNTIF($D$9:D1787,"N1"),""))</f>
        <v/>
      </c>
      <c r="J1787" s="96" t="str">
        <f>IF(D1787="","",COUNTA(D1780:D1787)-(COUNTA(D1787:D1787)-1))</f>
        <v/>
      </c>
    </row>
    <row r="1788" spans="1:10" thickBot="1">
      <c r="A1788" s="117"/>
      <c r="B1788" s="70">
        <f t="shared" si="113"/>
        <v>45580</v>
      </c>
      <c r="C1788" s="82" t="str">
        <f t="shared" si="114"/>
        <v>mardi</v>
      </c>
      <c r="D1788" s="87"/>
      <c r="E1788" s="115" t="str">
        <f t="shared" si="115"/>
        <v/>
      </c>
      <c r="F1788" s="115" t="str">
        <f t="shared" si="116"/>
        <v/>
      </c>
      <c r="G1788" s="116" t="str">
        <f>IF(ISNONTEXT(D1788),"",E1788-MAX($F$2:F1787))</f>
        <v/>
      </c>
      <c r="H1788" s="97"/>
      <c r="I1788" s="74" t="str">
        <f ca="1">IF(D1788="N",COUNTIF(INDIRECT(ADDRESS(MATCH(Plages!$D$19,'Planning annuel mixing coater'!$B:$B),4)):D1788,"N"),IF(D1788="N1",COUNTIF($D$9:D1788,"N1"),""))</f>
        <v/>
      </c>
      <c r="J1788" s="96" t="str">
        <f>IF(D1788="","",COUNTA(D1780:D1788)-(COUNTA(D1788:D1788)-1))</f>
        <v/>
      </c>
    </row>
    <row r="1789" spans="1:10" thickBot="1">
      <c r="A1789" s="117"/>
      <c r="B1789" s="70">
        <f t="shared" si="113"/>
        <v>45581</v>
      </c>
      <c r="C1789" s="82" t="str">
        <f t="shared" si="114"/>
        <v>mercredi</v>
      </c>
      <c r="D1789" s="87"/>
      <c r="E1789" s="115" t="str">
        <f t="shared" si="115"/>
        <v/>
      </c>
      <c r="F1789" s="115" t="str">
        <f t="shared" si="116"/>
        <v/>
      </c>
      <c r="G1789" s="116" t="str">
        <f>IF(ISNONTEXT(D1789),"",E1789-MAX($F$2:F1788))</f>
        <v/>
      </c>
      <c r="H1789" s="97"/>
      <c r="I1789" s="74" t="str">
        <f ca="1">IF(D1789="N",COUNTIF(INDIRECT(ADDRESS(MATCH(Plages!$D$19,'Planning annuel mixing coater'!$B:$B),4)):D1789,"N"),IF(D1789="N1",COUNTIF($D$9:D1789,"N1"),""))</f>
        <v/>
      </c>
      <c r="J1789" s="96" t="str">
        <f>IF(D1789="","",COUNTA(D1780:D1789)-(COUNTA(D1789:D1789)-1))</f>
        <v/>
      </c>
    </row>
    <row r="1790" spans="1:10" thickBot="1">
      <c r="A1790" s="117"/>
      <c r="B1790" s="70">
        <f t="shared" si="113"/>
        <v>45582</v>
      </c>
      <c r="C1790" s="82" t="str">
        <f t="shared" si="114"/>
        <v>jeudi</v>
      </c>
      <c r="D1790" s="87"/>
      <c r="E1790" s="115" t="str">
        <f t="shared" si="115"/>
        <v/>
      </c>
      <c r="F1790" s="115" t="str">
        <f t="shared" si="116"/>
        <v/>
      </c>
      <c r="G1790" s="116" t="str">
        <f>IF(ISNONTEXT(D1790),"",E1790-MAX($F$2:F1789))</f>
        <v/>
      </c>
      <c r="H1790" s="97"/>
      <c r="I1790" s="74" t="str">
        <f ca="1">IF(D1790="N",COUNTIF(INDIRECT(ADDRESS(MATCH(Plages!$D$19,'Planning annuel mixing coater'!$B:$B),4)):D1790,"N"),IF(D1790="N1",COUNTIF($D$9:D1790,"N1"),""))</f>
        <v/>
      </c>
      <c r="J1790" s="96" t="str">
        <f>IF(D1790="","",COUNTA(D1780:D1790)-(COUNTA(D1790:D1790)-1))</f>
        <v/>
      </c>
    </row>
    <row r="1791" spans="1:10" thickBot="1">
      <c r="A1791" s="117"/>
      <c r="B1791" s="70">
        <f t="shared" si="113"/>
        <v>45583</v>
      </c>
      <c r="C1791" s="82" t="str">
        <f t="shared" si="114"/>
        <v>vendredi</v>
      </c>
      <c r="D1791" s="87"/>
      <c r="E1791" s="115" t="str">
        <f t="shared" si="115"/>
        <v/>
      </c>
      <c r="F1791" s="115" t="str">
        <f t="shared" si="116"/>
        <v/>
      </c>
      <c r="G1791" s="116" t="str">
        <f>IF(ISNONTEXT(D1791),"",E1791-MAX($F$2:F1790))</f>
        <v/>
      </c>
      <c r="H1791" s="97"/>
      <c r="I1791" s="74" t="str">
        <f ca="1">IF(D1791="N",COUNTIF(INDIRECT(ADDRESS(MATCH(Plages!$D$19,'Planning annuel mixing coater'!$B:$B),4)):D1791,"N"),IF(D1791="N1",COUNTIF($D$9:D1791,"N1"),""))</f>
        <v/>
      </c>
      <c r="J1791" s="96" t="str">
        <f>IF(D1791="","",COUNTA(D1780:D1791)-(COUNTA(D1791:D1791)-1))</f>
        <v/>
      </c>
    </row>
    <row r="1792" spans="1:10" thickBot="1">
      <c r="A1792" s="117"/>
      <c r="B1792" s="70">
        <f t="shared" si="113"/>
        <v>45584</v>
      </c>
      <c r="C1792" s="82" t="str">
        <f t="shared" si="114"/>
        <v>samedi</v>
      </c>
      <c r="D1792" s="87"/>
      <c r="E1792" s="115" t="str">
        <f t="shared" si="115"/>
        <v/>
      </c>
      <c r="F1792" s="115" t="str">
        <f t="shared" si="116"/>
        <v/>
      </c>
      <c r="G1792" s="116" t="str">
        <f>IF(ISNONTEXT(D1792),"",E1792-MAX($F$2:F1791))</f>
        <v/>
      </c>
      <c r="H1792" s="97"/>
      <c r="I1792" s="74" t="str">
        <f ca="1">IF(D1792="N",COUNTIF(INDIRECT(ADDRESS(MATCH(Plages!$D$19,'Planning annuel mixing coater'!$B:$B),4)):D1792,"N"),IF(D1792="N1",COUNTIF($D$9:D1792,"N1"),""))</f>
        <v/>
      </c>
      <c r="J1792" s="96" t="str">
        <f>IF(D1792="","",COUNTA(D1780:D1792)-(COUNTA(D1792:D1792)-1))</f>
        <v/>
      </c>
    </row>
    <row r="1793" spans="1:10" s="77" customFormat="1" thickBot="1">
      <c r="A1793" s="117"/>
      <c r="B1793" s="75">
        <f t="shared" si="113"/>
        <v>45585</v>
      </c>
      <c r="C1793" s="83" t="str">
        <f t="shared" si="114"/>
        <v>dimanche</v>
      </c>
      <c r="D1793" s="88"/>
      <c r="E1793" s="115" t="str">
        <f t="shared" si="115"/>
        <v/>
      </c>
      <c r="F1793" s="115" t="str">
        <f t="shared" si="116"/>
        <v/>
      </c>
      <c r="G1793" s="116" t="str">
        <f>IF(ISNONTEXT(D1793),"",E1793-MAX($F$2:F1792))</f>
        <v/>
      </c>
      <c r="H1793" s="98"/>
      <c r="I1793" s="76" t="str">
        <f ca="1">IF(D1793="N",COUNTIF(INDIRECT(ADDRESS(MATCH(Plages!$D$19,'Planning annuel mixing coater'!$B:$B),4)):D1793,"N"),IF(D1793="N1",COUNTIF($D$9:D1793,"N1"),""))</f>
        <v/>
      </c>
      <c r="J1793" s="99" t="str">
        <f>IF(D1793="","",COUNTA(D1780:D1793)-(COUNTA(D1793:D1793)-1))</f>
        <v/>
      </c>
    </row>
    <row r="1794" spans="1:10" ht="16.5" thickTop="1" thickBot="1">
      <c r="A1794" s="117"/>
      <c r="B1794" s="78">
        <f t="shared" si="113"/>
        <v>45586</v>
      </c>
      <c r="C1794" s="81" t="str">
        <f t="shared" si="114"/>
        <v>lundi</v>
      </c>
      <c r="D1794" s="89"/>
      <c r="E1794" s="115" t="str">
        <f t="shared" si="115"/>
        <v/>
      </c>
      <c r="F1794" s="115" t="str">
        <f t="shared" si="116"/>
        <v/>
      </c>
      <c r="G1794" s="116" t="str">
        <f>IF(ISNONTEXT(D1794),"",E1794-MAX($F$2:F1793))</f>
        <v/>
      </c>
      <c r="H1794" s="100"/>
      <c r="I1794" s="79" t="str">
        <f ca="1">IF(D1794="N",COUNTIF(INDIRECT(ADDRESS(MATCH(Plages!$D$19,'Planning annuel mixing coater'!$B:$B),4)):D1794,"N"),IF(D1794="N1",COUNTIF($D$9:D1794,"N1"),""))</f>
        <v/>
      </c>
      <c r="J1794" s="101" t="str">
        <f>IF(D1794="","",COUNTA(D1794:D1794)-(COUNTA(D1794:D1794)-1))</f>
        <v/>
      </c>
    </row>
    <row r="1795" spans="1:10" thickBot="1">
      <c r="A1795" s="117"/>
      <c r="B1795" s="70">
        <f t="shared" si="113"/>
        <v>45587</v>
      </c>
      <c r="C1795" s="82" t="str">
        <f t="shared" si="114"/>
        <v>mardi</v>
      </c>
      <c r="D1795" s="87"/>
      <c r="E1795" s="115" t="str">
        <f t="shared" si="115"/>
        <v/>
      </c>
      <c r="F1795" s="115" t="str">
        <f t="shared" si="116"/>
        <v/>
      </c>
      <c r="G1795" s="116" t="str">
        <f>IF(ISNONTEXT(D1795),"",E1795-MAX($F$2:F1794))</f>
        <v/>
      </c>
      <c r="H1795" s="97"/>
      <c r="I1795" s="74" t="str">
        <f ca="1">IF(D1795="N",COUNTIF(INDIRECT(ADDRESS(MATCH(Plages!$D$19,'Planning annuel mixing coater'!$B:$B),4)):D1795,"N"),IF(D1795="N1",COUNTIF($D$9:D1795,"N1"),""))</f>
        <v/>
      </c>
      <c r="J1795" s="96" t="str">
        <f>IF(D1795="","",COUNTA(D1794:D1795)-(COUNTA(D1795:D1795)-1))</f>
        <v/>
      </c>
    </row>
    <row r="1796" spans="1:10" thickBot="1">
      <c r="A1796" s="117"/>
      <c r="B1796" s="70">
        <f t="shared" ref="B1796:B1859" si="117">IF(B1795="","",B1795+1)</f>
        <v>45588</v>
      </c>
      <c r="C1796" s="82" t="str">
        <f t="shared" si="114"/>
        <v>mercredi</v>
      </c>
      <c r="D1796" s="87"/>
      <c r="E1796" s="115" t="str">
        <f t="shared" si="115"/>
        <v/>
      </c>
      <c r="F1796" s="115" t="str">
        <f t="shared" si="116"/>
        <v/>
      </c>
      <c r="G1796" s="116" t="str">
        <f>IF(ISNONTEXT(D1796),"",E1796-MAX($F$2:F1795))</f>
        <v/>
      </c>
      <c r="H1796" s="97"/>
      <c r="I1796" s="74" t="str">
        <f ca="1">IF(D1796="N",COUNTIF(INDIRECT(ADDRESS(MATCH(Plages!$D$19,'Planning annuel mixing coater'!$B:$B),4)):D1796,"N"),IF(D1796="N1",COUNTIF($D$9:D1796,"N1"),""))</f>
        <v/>
      </c>
      <c r="J1796" s="96" t="str">
        <f>IF(D1796="","",COUNTA(D1794:D1796)-(COUNTA(D1796:D1796)-1))</f>
        <v/>
      </c>
    </row>
    <row r="1797" spans="1:10" thickBot="1">
      <c r="A1797" s="117"/>
      <c r="B1797" s="70">
        <f t="shared" si="117"/>
        <v>45589</v>
      </c>
      <c r="C1797" s="82" t="str">
        <f t="shared" si="114"/>
        <v>jeudi</v>
      </c>
      <c r="D1797" s="87"/>
      <c r="E1797" s="115" t="str">
        <f t="shared" si="115"/>
        <v/>
      </c>
      <c r="F1797" s="115" t="str">
        <f t="shared" si="116"/>
        <v/>
      </c>
      <c r="G1797" s="116" t="str">
        <f>IF(ISNONTEXT(D1797),"",E1797-MAX($F$2:F1796))</f>
        <v/>
      </c>
      <c r="H1797" s="97"/>
      <c r="I1797" s="74" t="str">
        <f ca="1">IF(D1797="N",COUNTIF(INDIRECT(ADDRESS(MATCH(Plages!$D$19,'Planning annuel mixing coater'!$B:$B),4)):D1797,"N"),IF(D1797="N1",COUNTIF($D$9:D1797,"N1"),""))</f>
        <v/>
      </c>
      <c r="J1797" s="96" t="str">
        <f>IF(D1797="","",COUNTA(D1794:D1797)-(COUNTA(D1797:D1797)-1))</f>
        <v/>
      </c>
    </row>
    <row r="1798" spans="1:10" thickBot="1">
      <c r="A1798" s="117"/>
      <c r="B1798" s="70">
        <f t="shared" si="117"/>
        <v>45590</v>
      </c>
      <c r="C1798" s="82" t="str">
        <f t="shared" si="114"/>
        <v>vendredi</v>
      </c>
      <c r="D1798" s="87"/>
      <c r="E1798" s="115" t="str">
        <f t="shared" si="115"/>
        <v/>
      </c>
      <c r="F1798" s="115" t="str">
        <f t="shared" si="116"/>
        <v/>
      </c>
      <c r="G1798" s="116" t="str">
        <f>IF(ISNONTEXT(D1798),"",E1798-MAX($F$2:F1797))</f>
        <v/>
      </c>
      <c r="H1798" s="97"/>
      <c r="I1798" s="74" t="str">
        <f ca="1">IF(D1798="N",COUNTIF(INDIRECT(ADDRESS(MATCH(Plages!$D$19,'Planning annuel mixing coater'!$B:$B),4)):D1798,"N"),IF(D1798="N1",COUNTIF($D$9:D1798,"N1"),""))</f>
        <v/>
      </c>
      <c r="J1798" s="96" t="str">
        <f>IF(D1798="","",COUNTA(D1794:D1798)-(COUNTA(D1798:D1798)-1))</f>
        <v/>
      </c>
    </row>
    <row r="1799" spans="1:10" thickBot="1">
      <c r="A1799" s="117"/>
      <c r="B1799" s="70">
        <f t="shared" si="117"/>
        <v>45591</v>
      </c>
      <c r="C1799" s="82" t="str">
        <f t="shared" si="114"/>
        <v>samedi</v>
      </c>
      <c r="D1799" s="87"/>
      <c r="E1799" s="115" t="str">
        <f t="shared" si="115"/>
        <v/>
      </c>
      <c r="F1799" s="115" t="str">
        <f t="shared" si="116"/>
        <v/>
      </c>
      <c r="G1799" s="116" t="str">
        <f>IF(ISNONTEXT(D1799),"",E1799-MAX($F$2:F1798))</f>
        <v/>
      </c>
      <c r="H1799" s="97"/>
      <c r="I1799" s="74" t="str">
        <f ca="1">IF(D1799="N",COUNTIF(INDIRECT(ADDRESS(MATCH(Plages!$D$19,'Planning annuel mixing coater'!$B:$B),4)):D1799,"N"),IF(D1799="N1",COUNTIF($D$9:D1799,"N1"),""))</f>
        <v/>
      </c>
      <c r="J1799" s="96" t="str">
        <f>IF(D1799="","",COUNTA(D1794:D1799)-(COUNTA(D1799:D1799)-1))</f>
        <v/>
      </c>
    </row>
    <row r="1800" spans="1:10" thickBot="1">
      <c r="A1800" s="117"/>
      <c r="B1800" s="70">
        <f t="shared" si="117"/>
        <v>45592</v>
      </c>
      <c r="C1800" s="82" t="str">
        <f t="shared" si="114"/>
        <v>dimanche</v>
      </c>
      <c r="D1800" s="87"/>
      <c r="E1800" s="115" t="str">
        <f t="shared" si="115"/>
        <v/>
      </c>
      <c r="F1800" s="115" t="str">
        <f t="shared" si="116"/>
        <v/>
      </c>
      <c r="G1800" s="116" t="str">
        <f>IF(ISNONTEXT(D1800),"",E1800-MAX($F$2:F1799))</f>
        <v/>
      </c>
      <c r="H1800" s="98"/>
      <c r="I1800" s="74" t="str">
        <f ca="1">IF(D1800="N",COUNTIF(INDIRECT(ADDRESS(MATCH(Plages!$D$19,'Planning annuel mixing coater'!$B:$B),4)):D1800,"N"),IF(D1800="N1",COUNTIF($D$9:D1800,"N1"),""))</f>
        <v/>
      </c>
      <c r="J1800" s="96" t="str">
        <f>IF(D1800="","",COUNTA(D1794:D1800)-(COUNTA(D1800:D1800)-1))</f>
        <v/>
      </c>
    </row>
    <row r="1801" spans="1:10" thickBot="1">
      <c r="A1801" s="117"/>
      <c r="B1801" s="70">
        <f t="shared" si="117"/>
        <v>45593</v>
      </c>
      <c r="C1801" s="82" t="str">
        <f t="shared" si="114"/>
        <v>lundi</v>
      </c>
      <c r="D1801" s="87"/>
      <c r="E1801" s="115" t="str">
        <f t="shared" si="115"/>
        <v/>
      </c>
      <c r="F1801" s="115" t="str">
        <f t="shared" si="116"/>
        <v/>
      </c>
      <c r="G1801" s="116" t="str">
        <f>IF(ISNONTEXT(D1801),"",E1801-MAX($F$2:F1800))</f>
        <v/>
      </c>
      <c r="H1801" s="97"/>
      <c r="I1801" s="74" t="str">
        <f ca="1">IF(D1801="N",COUNTIF(INDIRECT(ADDRESS(MATCH(Plages!$D$19,'Planning annuel mixing coater'!$B:$B),4)):D1801,"N"),IF(D1801="N1",COUNTIF($D$9:D1801,"N1"),""))</f>
        <v/>
      </c>
      <c r="J1801" s="96" t="str">
        <f>IF(D1801="","",COUNTA(D1794:D1801)-(COUNTA(D1801:D1801)-1))</f>
        <v/>
      </c>
    </row>
    <row r="1802" spans="1:10" thickBot="1">
      <c r="A1802" s="117"/>
      <c r="B1802" s="70">
        <f t="shared" si="117"/>
        <v>45594</v>
      </c>
      <c r="C1802" s="82" t="str">
        <f t="shared" si="114"/>
        <v>mardi</v>
      </c>
      <c r="D1802" s="87"/>
      <c r="E1802" s="115" t="str">
        <f t="shared" si="115"/>
        <v/>
      </c>
      <c r="F1802" s="115" t="str">
        <f t="shared" si="116"/>
        <v/>
      </c>
      <c r="G1802" s="116" t="str">
        <f>IF(ISNONTEXT(D1802),"",E1802-MAX($F$2:F1801))</f>
        <v/>
      </c>
      <c r="H1802" s="97"/>
      <c r="I1802" s="74" t="str">
        <f ca="1">IF(D1802="N",COUNTIF(INDIRECT(ADDRESS(MATCH(Plages!$D$19,'Planning annuel mixing coater'!$B:$B),4)):D1802,"N"),IF(D1802="N1",COUNTIF($D$9:D1802,"N1"),""))</f>
        <v/>
      </c>
      <c r="J1802" s="96" t="str">
        <f>IF(D1802="","",COUNTA(D1794:D1802)-(COUNTA(D1802:D1802)-1))</f>
        <v/>
      </c>
    </row>
    <row r="1803" spans="1:10" thickBot="1">
      <c r="A1803" s="117"/>
      <c r="B1803" s="70">
        <f t="shared" si="117"/>
        <v>45595</v>
      </c>
      <c r="C1803" s="82" t="str">
        <f t="shared" si="114"/>
        <v>mercredi</v>
      </c>
      <c r="D1803" s="87"/>
      <c r="E1803" s="115" t="str">
        <f t="shared" si="115"/>
        <v/>
      </c>
      <c r="F1803" s="115" t="str">
        <f t="shared" si="116"/>
        <v/>
      </c>
      <c r="G1803" s="116" t="str">
        <f>IF(ISNONTEXT(D1803),"",E1803-MAX($F$2:F1802))</f>
        <v/>
      </c>
      <c r="H1803" s="97"/>
      <c r="I1803" s="74" t="str">
        <f ca="1">IF(D1803="N",COUNTIF(INDIRECT(ADDRESS(MATCH(Plages!$D$19,'Planning annuel mixing coater'!$B:$B),4)):D1803,"N"),IF(D1803="N1",COUNTIF($D$9:D1803,"N1"),""))</f>
        <v/>
      </c>
      <c r="J1803" s="96" t="str">
        <f>IF(D1803="","",COUNTA(D1794:D1803)-(COUNTA(D1803:D1803)-1))</f>
        <v/>
      </c>
    </row>
    <row r="1804" spans="1:10" thickBot="1">
      <c r="A1804" s="117"/>
      <c r="B1804" s="70">
        <f t="shared" si="117"/>
        <v>45596</v>
      </c>
      <c r="C1804" s="82" t="str">
        <f t="shared" si="114"/>
        <v>jeudi</v>
      </c>
      <c r="D1804" s="87"/>
      <c r="E1804" s="115" t="str">
        <f t="shared" si="115"/>
        <v/>
      </c>
      <c r="F1804" s="115" t="str">
        <f t="shared" si="116"/>
        <v/>
      </c>
      <c r="G1804" s="116" t="str">
        <f>IF(ISNONTEXT(D1804),"",E1804-MAX($F$2:F1803))</f>
        <v/>
      </c>
      <c r="H1804" s="97"/>
      <c r="I1804" s="74" t="str">
        <f ca="1">IF(D1804="N",COUNTIF(INDIRECT(ADDRESS(MATCH(Plages!$D$19,'Planning annuel mixing coater'!$B:$B),4)):D1804,"N"),IF(D1804="N1",COUNTIF($D$9:D1804,"N1"),""))</f>
        <v/>
      </c>
      <c r="J1804" s="96" t="str">
        <f>IF(D1804="","",COUNTA(D1794:D1804)-(COUNTA(D1804:D1804)-1))</f>
        <v/>
      </c>
    </row>
    <row r="1805" spans="1:10" thickBot="1">
      <c r="A1805" s="117"/>
      <c r="B1805" s="70">
        <f t="shared" si="117"/>
        <v>45597</v>
      </c>
      <c r="C1805" s="82" t="str">
        <f t="shared" si="114"/>
        <v>vendredi</v>
      </c>
      <c r="D1805" s="87"/>
      <c r="E1805" s="115" t="str">
        <f t="shared" si="115"/>
        <v/>
      </c>
      <c r="F1805" s="115" t="str">
        <f t="shared" si="116"/>
        <v/>
      </c>
      <c r="G1805" s="116" t="str">
        <f>IF(ISNONTEXT(D1805),"",E1805-MAX($F$2:F1804))</f>
        <v/>
      </c>
      <c r="H1805" s="97"/>
      <c r="I1805" s="74" t="str">
        <f ca="1">IF(D1805="N",COUNTIF(INDIRECT(ADDRESS(MATCH(Plages!$D$19,'Planning annuel mixing coater'!$B:$B),4)):D1805,"N"),IF(D1805="N1",COUNTIF($D$9:D1805,"N1"),""))</f>
        <v/>
      </c>
      <c r="J1805" s="96" t="str">
        <f>IF(D1805="","",COUNTA(D1794:D1805)-(COUNTA(D1805:D1805)-1))</f>
        <v/>
      </c>
    </row>
    <row r="1806" spans="1:10" thickBot="1">
      <c r="A1806" s="117"/>
      <c r="B1806" s="70">
        <f t="shared" si="117"/>
        <v>45598</v>
      </c>
      <c r="C1806" s="82" t="str">
        <f t="shared" si="114"/>
        <v>samedi</v>
      </c>
      <c r="D1806" s="87"/>
      <c r="E1806" s="115" t="str">
        <f t="shared" si="115"/>
        <v/>
      </c>
      <c r="F1806" s="115" t="str">
        <f t="shared" si="116"/>
        <v/>
      </c>
      <c r="G1806" s="116" t="str">
        <f>IF(ISNONTEXT(D1806),"",E1806-MAX($F$2:F1805))</f>
        <v/>
      </c>
      <c r="H1806" s="97"/>
      <c r="I1806" s="74" t="str">
        <f ca="1">IF(D1806="N",COUNTIF(INDIRECT(ADDRESS(MATCH(Plages!$D$19,'Planning annuel mixing coater'!$B:$B),4)):D1806,"N"),IF(D1806="N1",COUNTIF($D$9:D1806,"N1"),""))</f>
        <v/>
      </c>
      <c r="J1806" s="96" t="str">
        <f>IF(D1806="","",COUNTA(D1794:D1806)-(COUNTA(D1806:D1806)-1))</f>
        <v/>
      </c>
    </row>
    <row r="1807" spans="1:10" s="77" customFormat="1" thickBot="1">
      <c r="A1807" s="117"/>
      <c r="B1807" s="75">
        <f t="shared" si="117"/>
        <v>45599</v>
      </c>
      <c r="C1807" s="83" t="str">
        <f t="shared" si="114"/>
        <v>dimanche</v>
      </c>
      <c r="D1807" s="88"/>
      <c r="E1807" s="115" t="str">
        <f t="shared" si="115"/>
        <v/>
      </c>
      <c r="F1807" s="115" t="str">
        <f t="shared" si="116"/>
        <v/>
      </c>
      <c r="G1807" s="116" t="str">
        <f>IF(ISNONTEXT(D1807),"",E1807-MAX($F$2:F1806))</f>
        <v/>
      </c>
      <c r="H1807" s="98"/>
      <c r="I1807" s="76" t="str">
        <f ca="1">IF(D1807="N",COUNTIF(INDIRECT(ADDRESS(MATCH(Plages!$D$19,'Planning annuel mixing coater'!$B:$B),4)):D1807,"N"),IF(D1807="N1",COUNTIF($D$9:D1807,"N1"),""))</f>
        <v/>
      </c>
      <c r="J1807" s="99" t="str">
        <f>IF(D1807="","",COUNTA(D1794:D1807)-(COUNTA(D1807:D1807)-1))</f>
        <v/>
      </c>
    </row>
    <row r="1808" spans="1:10" ht="16.5" thickTop="1" thickBot="1">
      <c r="A1808" s="117"/>
      <c r="B1808" s="78">
        <f t="shared" si="117"/>
        <v>45600</v>
      </c>
      <c r="C1808" s="81" t="str">
        <f t="shared" si="114"/>
        <v>lundi</v>
      </c>
      <c r="D1808" s="89"/>
      <c r="E1808" s="115" t="str">
        <f t="shared" si="115"/>
        <v/>
      </c>
      <c r="F1808" s="115" t="str">
        <f t="shared" si="116"/>
        <v/>
      </c>
      <c r="G1808" s="116" t="str">
        <f>IF(ISNONTEXT(D1808),"",E1808-MAX($F$2:F1807))</f>
        <v/>
      </c>
      <c r="H1808" s="100"/>
      <c r="I1808" s="79" t="str">
        <f ca="1">IF(D1808="N",COUNTIF(INDIRECT(ADDRESS(MATCH(Plages!$D$19,'Planning annuel mixing coater'!$B:$B),4)):D1808,"N"),IF(D1808="N1",COUNTIF($D$9:D1808,"N1"),""))</f>
        <v/>
      </c>
      <c r="J1808" s="101" t="str">
        <f>IF(D1808="","",COUNTA(D1808:D1808)-(COUNTA(D1808:D1808)-1))</f>
        <v/>
      </c>
    </row>
    <row r="1809" spans="1:10" thickBot="1">
      <c r="A1809" s="117"/>
      <c r="B1809" s="70">
        <f t="shared" si="117"/>
        <v>45601</v>
      </c>
      <c r="C1809" s="82" t="str">
        <f t="shared" si="114"/>
        <v>mardi</v>
      </c>
      <c r="D1809" s="87"/>
      <c r="E1809" s="115" t="str">
        <f t="shared" si="115"/>
        <v/>
      </c>
      <c r="F1809" s="115" t="str">
        <f t="shared" si="116"/>
        <v/>
      </c>
      <c r="G1809" s="116" t="str">
        <f>IF(ISNONTEXT(D1809),"",E1809-MAX($F$2:F1808))</f>
        <v/>
      </c>
      <c r="H1809" s="97"/>
      <c r="I1809" s="74" t="str">
        <f ca="1">IF(D1809="N",COUNTIF(INDIRECT(ADDRESS(MATCH(Plages!$D$19,'Planning annuel mixing coater'!$B:$B),4)):D1809,"N"),IF(D1809="N1",COUNTIF($D$9:D1809,"N1"),""))</f>
        <v/>
      </c>
      <c r="J1809" s="96" t="str">
        <f>IF(D1809="","",COUNTA(D1808:D1809)-(COUNTA(D1809:D1809)-1))</f>
        <v/>
      </c>
    </row>
    <row r="1810" spans="1:10" thickBot="1">
      <c r="A1810" s="117"/>
      <c r="B1810" s="70">
        <f t="shared" si="117"/>
        <v>45602</v>
      </c>
      <c r="C1810" s="82" t="str">
        <f t="shared" si="114"/>
        <v>mercredi</v>
      </c>
      <c r="D1810" s="87"/>
      <c r="E1810" s="115" t="str">
        <f t="shared" si="115"/>
        <v/>
      </c>
      <c r="F1810" s="115" t="str">
        <f t="shared" si="116"/>
        <v/>
      </c>
      <c r="G1810" s="116" t="str">
        <f>IF(ISNONTEXT(D1810),"",E1810-MAX($F$2:F1809))</f>
        <v/>
      </c>
      <c r="H1810" s="97"/>
      <c r="I1810" s="74" t="str">
        <f ca="1">IF(D1810="N",COUNTIF(INDIRECT(ADDRESS(MATCH(Plages!$D$19,'Planning annuel mixing coater'!$B:$B),4)):D1810,"N"),IF(D1810="N1",COUNTIF($D$9:D1810,"N1"),""))</f>
        <v/>
      </c>
      <c r="J1810" s="96" t="str">
        <f>IF(D1810="","",COUNTA(D1808:D1810)-(COUNTA(D1810:D1810)-1))</f>
        <v/>
      </c>
    </row>
    <row r="1811" spans="1:10" thickBot="1">
      <c r="A1811" s="117"/>
      <c r="B1811" s="70">
        <f t="shared" si="117"/>
        <v>45603</v>
      </c>
      <c r="C1811" s="82" t="str">
        <f t="shared" si="114"/>
        <v>jeudi</v>
      </c>
      <c r="D1811" s="87"/>
      <c r="E1811" s="115" t="str">
        <f t="shared" si="115"/>
        <v/>
      </c>
      <c r="F1811" s="115" t="str">
        <f t="shared" si="116"/>
        <v/>
      </c>
      <c r="G1811" s="116" t="str">
        <f>IF(ISNONTEXT(D1811),"",E1811-MAX($F$2:F1810))</f>
        <v/>
      </c>
      <c r="H1811" s="97"/>
      <c r="I1811" s="74" t="str">
        <f ca="1">IF(D1811="N",COUNTIF(INDIRECT(ADDRESS(MATCH(Plages!$D$19,'Planning annuel mixing coater'!$B:$B),4)):D1811,"N"),IF(D1811="N1",COUNTIF($D$9:D1811,"N1"),""))</f>
        <v/>
      </c>
      <c r="J1811" s="96" t="str">
        <f>IF(D1811="","",COUNTA(D1808:D1811)-(COUNTA(D1811:D1811)-1))</f>
        <v/>
      </c>
    </row>
    <row r="1812" spans="1:10" thickBot="1">
      <c r="A1812" s="117"/>
      <c r="B1812" s="70">
        <f t="shared" si="117"/>
        <v>45604</v>
      </c>
      <c r="C1812" s="82" t="str">
        <f t="shared" si="114"/>
        <v>vendredi</v>
      </c>
      <c r="D1812" s="87"/>
      <c r="E1812" s="115" t="str">
        <f t="shared" si="115"/>
        <v/>
      </c>
      <c r="F1812" s="115" t="str">
        <f t="shared" si="116"/>
        <v/>
      </c>
      <c r="G1812" s="116" t="str">
        <f>IF(ISNONTEXT(D1812),"",E1812-MAX($F$2:F1811))</f>
        <v/>
      </c>
      <c r="H1812" s="97"/>
      <c r="I1812" s="74" t="str">
        <f ca="1">IF(D1812="N",COUNTIF(INDIRECT(ADDRESS(MATCH(Plages!$D$19,'Planning annuel mixing coater'!$B:$B),4)):D1812,"N"),IF(D1812="N1",COUNTIF($D$9:D1812,"N1"),""))</f>
        <v/>
      </c>
      <c r="J1812" s="96" t="str">
        <f>IF(D1812="","",COUNTA(D1808:D1812)-(COUNTA(D1812:D1812)-1))</f>
        <v/>
      </c>
    </row>
    <row r="1813" spans="1:10" thickBot="1">
      <c r="A1813" s="117"/>
      <c r="B1813" s="70">
        <f t="shared" si="117"/>
        <v>45605</v>
      </c>
      <c r="C1813" s="82" t="str">
        <f t="shared" si="114"/>
        <v>samedi</v>
      </c>
      <c r="D1813" s="87"/>
      <c r="E1813" s="115" t="str">
        <f t="shared" si="115"/>
        <v/>
      </c>
      <c r="F1813" s="115" t="str">
        <f t="shared" si="116"/>
        <v/>
      </c>
      <c r="G1813" s="116" t="str">
        <f>IF(ISNONTEXT(D1813),"",E1813-MAX($F$2:F1812))</f>
        <v/>
      </c>
      <c r="H1813" s="97"/>
      <c r="I1813" s="74" t="str">
        <f ca="1">IF(D1813="N",COUNTIF(INDIRECT(ADDRESS(MATCH(Plages!$D$19,'Planning annuel mixing coater'!$B:$B),4)):D1813,"N"),IF(D1813="N1",COUNTIF($D$9:D1813,"N1"),""))</f>
        <v/>
      </c>
      <c r="J1813" s="96" t="str">
        <f>IF(D1813="","",COUNTA(D1808:D1813)-(COUNTA(D1813:D1813)-1))</f>
        <v/>
      </c>
    </row>
    <row r="1814" spans="1:10" thickBot="1">
      <c r="A1814" s="117"/>
      <c r="B1814" s="70">
        <f t="shared" si="117"/>
        <v>45606</v>
      </c>
      <c r="C1814" s="82" t="str">
        <f t="shared" si="114"/>
        <v>dimanche</v>
      </c>
      <c r="D1814" s="87"/>
      <c r="E1814" s="115" t="str">
        <f t="shared" si="115"/>
        <v/>
      </c>
      <c r="F1814" s="115" t="str">
        <f t="shared" si="116"/>
        <v/>
      </c>
      <c r="G1814" s="116" t="str">
        <f>IF(ISNONTEXT(D1814),"",E1814-MAX($F$2:F1813))</f>
        <v/>
      </c>
      <c r="H1814" s="98"/>
      <c r="I1814" s="74" t="str">
        <f ca="1">IF(D1814="N",COUNTIF(INDIRECT(ADDRESS(MATCH(Plages!$D$19,'Planning annuel mixing coater'!$B:$B),4)):D1814,"N"),IF(D1814="N1",COUNTIF($D$9:D1814,"N1"),""))</f>
        <v/>
      </c>
      <c r="J1814" s="96" t="str">
        <f>IF(D1814="","",COUNTA(D1808:D1814)-(COUNTA(D1814:D1814)-1))</f>
        <v/>
      </c>
    </row>
    <row r="1815" spans="1:10" thickBot="1">
      <c r="A1815" s="117"/>
      <c r="B1815" s="70">
        <f t="shared" si="117"/>
        <v>45607</v>
      </c>
      <c r="C1815" s="82" t="str">
        <f t="shared" si="114"/>
        <v>lundi</v>
      </c>
      <c r="D1815" s="87"/>
      <c r="E1815" s="115" t="str">
        <f t="shared" si="115"/>
        <v/>
      </c>
      <c r="F1815" s="115" t="str">
        <f t="shared" si="116"/>
        <v/>
      </c>
      <c r="G1815" s="116" t="str">
        <f>IF(ISNONTEXT(D1815),"",E1815-MAX($F$2:F1814))</f>
        <v/>
      </c>
      <c r="H1815" s="97"/>
      <c r="I1815" s="74" t="str">
        <f ca="1">IF(D1815="N",COUNTIF(INDIRECT(ADDRESS(MATCH(Plages!$D$19,'Planning annuel mixing coater'!$B:$B),4)):D1815,"N"),IF(D1815="N1",COUNTIF($D$9:D1815,"N1"),""))</f>
        <v/>
      </c>
      <c r="J1815" s="96" t="str">
        <f>IF(D1815="","",COUNTA(D1808:D1815)-(COUNTA(D1815:D1815)-1))</f>
        <v/>
      </c>
    </row>
    <row r="1816" spans="1:10" thickBot="1">
      <c r="A1816" s="117"/>
      <c r="B1816" s="70">
        <f t="shared" si="117"/>
        <v>45608</v>
      </c>
      <c r="C1816" s="82" t="str">
        <f t="shared" si="114"/>
        <v>mardi</v>
      </c>
      <c r="D1816" s="87"/>
      <c r="E1816" s="115" t="str">
        <f t="shared" si="115"/>
        <v/>
      </c>
      <c r="F1816" s="115" t="str">
        <f t="shared" si="116"/>
        <v/>
      </c>
      <c r="G1816" s="116" t="str">
        <f>IF(ISNONTEXT(D1816),"",E1816-MAX($F$2:F1815))</f>
        <v/>
      </c>
      <c r="H1816" s="97"/>
      <c r="I1816" s="74" t="str">
        <f ca="1">IF(D1816="N",COUNTIF(INDIRECT(ADDRESS(MATCH(Plages!$D$19,'Planning annuel mixing coater'!$B:$B),4)):D1816,"N"),IF(D1816="N1",COUNTIF($D$9:D1816,"N1"),""))</f>
        <v/>
      </c>
      <c r="J1816" s="96" t="str">
        <f>IF(D1816="","",COUNTA(D1808:D1816)-(COUNTA(D1816:D1816)-1))</f>
        <v/>
      </c>
    </row>
    <row r="1817" spans="1:10" thickBot="1">
      <c r="A1817" s="117"/>
      <c r="B1817" s="70">
        <f t="shared" si="117"/>
        <v>45609</v>
      </c>
      <c r="C1817" s="82" t="str">
        <f t="shared" si="114"/>
        <v>mercredi</v>
      </c>
      <c r="D1817" s="87"/>
      <c r="E1817" s="115" t="str">
        <f t="shared" si="115"/>
        <v/>
      </c>
      <c r="F1817" s="115" t="str">
        <f t="shared" si="116"/>
        <v/>
      </c>
      <c r="G1817" s="116" t="str">
        <f>IF(ISNONTEXT(D1817),"",E1817-MAX($F$2:F1816))</f>
        <v/>
      </c>
      <c r="H1817" s="97"/>
      <c r="I1817" s="74" t="str">
        <f ca="1">IF(D1817="N",COUNTIF(INDIRECT(ADDRESS(MATCH(Plages!$D$19,'Planning annuel mixing coater'!$B:$B),4)):D1817,"N"),IF(D1817="N1",COUNTIF($D$9:D1817,"N1"),""))</f>
        <v/>
      </c>
      <c r="J1817" s="96" t="str">
        <f>IF(D1817="","",COUNTA(D1808:D1817)-(COUNTA(D1817:D1817)-1))</f>
        <v/>
      </c>
    </row>
    <row r="1818" spans="1:10" thickBot="1">
      <c r="A1818" s="117"/>
      <c r="B1818" s="70">
        <f t="shared" si="117"/>
        <v>45610</v>
      </c>
      <c r="C1818" s="82" t="str">
        <f t="shared" si="114"/>
        <v>jeudi</v>
      </c>
      <c r="D1818" s="87"/>
      <c r="E1818" s="115" t="str">
        <f t="shared" si="115"/>
        <v/>
      </c>
      <c r="F1818" s="115" t="str">
        <f t="shared" si="116"/>
        <v/>
      </c>
      <c r="G1818" s="116" t="str">
        <f>IF(ISNONTEXT(D1818),"",E1818-MAX($F$2:F1817))</f>
        <v/>
      </c>
      <c r="H1818" s="97"/>
      <c r="I1818" s="74" t="str">
        <f ca="1">IF(D1818="N",COUNTIF(INDIRECT(ADDRESS(MATCH(Plages!$D$19,'Planning annuel mixing coater'!$B:$B),4)):D1818,"N"),IF(D1818="N1",COUNTIF($D$9:D1818,"N1"),""))</f>
        <v/>
      </c>
      <c r="J1818" s="96" t="str">
        <f>IF(D1818="","",COUNTA(D1808:D1818)-(COUNTA(D1818:D1818)-1))</f>
        <v/>
      </c>
    </row>
    <row r="1819" spans="1:10" thickBot="1">
      <c r="A1819" s="117"/>
      <c r="B1819" s="70">
        <f t="shared" si="117"/>
        <v>45611</v>
      </c>
      <c r="C1819" s="82" t="str">
        <f t="shared" si="114"/>
        <v>vendredi</v>
      </c>
      <c r="D1819" s="87"/>
      <c r="E1819" s="115" t="str">
        <f t="shared" si="115"/>
        <v/>
      </c>
      <c r="F1819" s="115" t="str">
        <f t="shared" si="116"/>
        <v/>
      </c>
      <c r="G1819" s="116" t="str">
        <f>IF(ISNONTEXT(D1819),"",E1819-MAX($F$2:F1818))</f>
        <v/>
      </c>
      <c r="H1819" s="97"/>
      <c r="I1819" s="74" t="str">
        <f ca="1">IF(D1819="N",COUNTIF(INDIRECT(ADDRESS(MATCH(Plages!$D$19,'Planning annuel mixing coater'!$B:$B),4)):D1819,"N"),IF(D1819="N1",COUNTIF($D$9:D1819,"N1"),""))</f>
        <v/>
      </c>
      <c r="J1819" s="96" t="str">
        <f>IF(D1819="","",COUNTA(D1808:D1819)-(COUNTA(D1819:D1819)-1))</f>
        <v/>
      </c>
    </row>
    <row r="1820" spans="1:10" thickBot="1">
      <c r="A1820" s="117"/>
      <c r="B1820" s="70">
        <f t="shared" si="117"/>
        <v>45612</v>
      </c>
      <c r="C1820" s="82" t="str">
        <f t="shared" si="114"/>
        <v>samedi</v>
      </c>
      <c r="D1820" s="87"/>
      <c r="E1820" s="115" t="str">
        <f t="shared" si="115"/>
        <v/>
      </c>
      <c r="F1820" s="115" t="str">
        <f t="shared" si="116"/>
        <v/>
      </c>
      <c r="G1820" s="116" t="str">
        <f>IF(ISNONTEXT(D1820),"",E1820-MAX($F$2:F1819))</f>
        <v/>
      </c>
      <c r="H1820" s="97"/>
      <c r="I1820" s="74" t="str">
        <f ca="1">IF(D1820="N",COUNTIF(INDIRECT(ADDRESS(MATCH(Plages!$D$19,'Planning annuel mixing coater'!$B:$B),4)):D1820,"N"),IF(D1820="N1",COUNTIF($D$9:D1820,"N1"),""))</f>
        <v/>
      </c>
      <c r="J1820" s="96" t="str">
        <f>IF(D1820="","",COUNTA(D1808:D1820)-(COUNTA(D1820:D1820)-1))</f>
        <v/>
      </c>
    </row>
    <row r="1821" spans="1:10" s="77" customFormat="1" thickBot="1">
      <c r="A1821" s="117"/>
      <c r="B1821" s="75">
        <f t="shared" si="117"/>
        <v>45613</v>
      </c>
      <c r="C1821" s="83" t="str">
        <f t="shared" si="114"/>
        <v>dimanche</v>
      </c>
      <c r="D1821" s="88"/>
      <c r="E1821" s="115" t="str">
        <f t="shared" si="115"/>
        <v/>
      </c>
      <c r="F1821" s="115" t="str">
        <f t="shared" si="116"/>
        <v/>
      </c>
      <c r="G1821" s="116" t="str">
        <f>IF(ISNONTEXT(D1821),"",E1821-MAX($F$2:F1820))</f>
        <v/>
      </c>
      <c r="H1821" s="98"/>
      <c r="I1821" s="76" t="str">
        <f ca="1">IF(D1821="N",COUNTIF(INDIRECT(ADDRESS(MATCH(Plages!$D$19,'Planning annuel mixing coater'!$B:$B),4)):D1821,"N"),IF(D1821="N1",COUNTIF($D$9:D1821,"N1"),""))</f>
        <v/>
      </c>
      <c r="J1821" s="99" t="str">
        <f>IF(D1821="","",COUNTA(D1808:D1821)-(COUNTA(D1821:D1821)-1))</f>
        <v/>
      </c>
    </row>
    <row r="1822" spans="1:10" ht="16.5" thickTop="1" thickBot="1">
      <c r="A1822" s="117"/>
      <c r="B1822" s="78">
        <f t="shared" si="117"/>
        <v>45614</v>
      </c>
      <c r="C1822" s="81" t="str">
        <f t="shared" ref="C1822:C1885" si="118">IF(B1822="","",TEXT(B1822,"jjjj"))</f>
        <v>lundi</v>
      </c>
      <c r="D1822" s="89"/>
      <c r="E1822" s="115" t="str">
        <f t="shared" ref="E1822:E1885" si="119">IF(D1822="","",B1822+VLOOKUP(D1822,Plageh,2,0))</f>
        <v/>
      </c>
      <c r="F1822" s="115" t="str">
        <f t="shared" ref="F1822:F1885" si="120">IF(D1822="","",B1822+VLOOKUP(D1822,Plageh,3,0))</f>
        <v/>
      </c>
      <c r="G1822" s="116" t="str">
        <f>IF(ISNONTEXT(D1822),"",E1822-MAX($F$2:F1821))</f>
        <v/>
      </c>
      <c r="H1822" s="100"/>
      <c r="I1822" s="79" t="str">
        <f ca="1">IF(D1822="N",COUNTIF(INDIRECT(ADDRESS(MATCH(Plages!$D$19,'Planning annuel mixing coater'!$B:$B),4)):D1822,"N"),IF(D1822="N1",COUNTIF($D$9:D1822,"N1"),""))</f>
        <v/>
      </c>
      <c r="J1822" s="101" t="str">
        <f>IF(D1822="","",COUNTA(D1822:D1822)-(COUNTA(D1822:D1822)-1))</f>
        <v/>
      </c>
    </row>
    <row r="1823" spans="1:10" thickBot="1">
      <c r="A1823" s="117"/>
      <c r="B1823" s="70">
        <f t="shared" si="117"/>
        <v>45615</v>
      </c>
      <c r="C1823" s="82" t="str">
        <f t="shared" si="118"/>
        <v>mardi</v>
      </c>
      <c r="D1823" s="87"/>
      <c r="E1823" s="115" t="str">
        <f t="shared" si="119"/>
        <v/>
      </c>
      <c r="F1823" s="115" t="str">
        <f t="shared" si="120"/>
        <v/>
      </c>
      <c r="G1823" s="116" t="str">
        <f>IF(ISNONTEXT(D1823),"",E1823-MAX($F$2:F1822))</f>
        <v/>
      </c>
      <c r="H1823" s="97"/>
      <c r="I1823" s="74" t="str">
        <f ca="1">IF(D1823="N",COUNTIF(INDIRECT(ADDRESS(MATCH(Plages!$D$19,'Planning annuel mixing coater'!$B:$B),4)):D1823,"N"),IF(D1823="N1",COUNTIF($D$9:D1823,"N1"),""))</f>
        <v/>
      </c>
      <c r="J1823" s="96" t="str">
        <f>IF(D1823="","",COUNTA(D1822:D1823)-(COUNTA(D1823:D1823)-1))</f>
        <v/>
      </c>
    </row>
    <row r="1824" spans="1:10" thickBot="1">
      <c r="A1824" s="117"/>
      <c r="B1824" s="70">
        <f t="shared" si="117"/>
        <v>45616</v>
      </c>
      <c r="C1824" s="82" t="str">
        <f t="shared" si="118"/>
        <v>mercredi</v>
      </c>
      <c r="D1824" s="87"/>
      <c r="E1824" s="115" t="str">
        <f t="shared" si="119"/>
        <v/>
      </c>
      <c r="F1824" s="115" t="str">
        <f t="shared" si="120"/>
        <v/>
      </c>
      <c r="G1824" s="116" t="str">
        <f>IF(ISNONTEXT(D1824),"",E1824-MAX($F$2:F1823))</f>
        <v/>
      </c>
      <c r="H1824" s="97"/>
      <c r="I1824" s="74" t="str">
        <f ca="1">IF(D1824="N",COUNTIF(INDIRECT(ADDRESS(MATCH(Plages!$D$19,'Planning annuel mixing coater'!$B:$B),4)):D1824,"N"),IF(D1824="N1",COUNTIF($D$9:D1824,"N1"),""))</f>
        <v/>
      </c>
      <c r="J1824" s="96" t="str">
        <f>IF(D1824="","",COUNTA(D1822:D1824)-(COUNTA(D1824:D1824)-1))</f>
        <v/>
      </c>
    </row>
    <row r="1825" spans="1:10" thickBot="1">
      <c r="A1825" s="117"/>
      <c r="B1825" s="70">
        <f t="shared" si="117"/>
        <v>45617</v>
      </c>
      <c r="C1825" s="82" t="str">
        <f t="shared" si="118"/>
        <v>jeudi</v>
      </c>
      <c r="D1825" s="87"/>
      <c r="E1825" s="115" t="str">
        <f t="shared" si="119"/>
        <v/>
      </c>
      <c r="F1825" s="115" t="str">
        <f t="shared" si="120"/>
        <v/>
      </c>
      <c r="G1825" s="116" t="str">
        <f>IF(ISNONTEXT(D1825),"",E1825-MAX($F$2:F1824))</f>
        <v/>
      </c>
      <c r="H1825" s="97"/>
      <c r="I1825" s="74" t="str">
        <f ca="1">IF(D1825="N",COUNTIF(INDIRECT(ADDRESS(MATCH(Plages!$D$19,'Planning annuel mixing coater'!$B:$B),4)):D1825,"N"),IF(D1825="N1",COUNTIF($D$9:D1825,"N1"),""))</f>
        <v/>
      </c>
      <c r="J1825" s="96" t="str">
        <f>IF(D1825="","",COUNTA(D1822:D1825)-(COUNTA(D1825:D1825)-1))</f>
        <v/>
      </c>
    </row>
    <row r="1826" spans="1:10" thickBot="1">
      <c r="A1826" s="117"/>
      <c r="B1826" s="70">
        <f t="shared" si="117"/>
        <v>45618</v>
      </c>
      <c r="C1826" s="82" t="str">
        <f t="shared" si="118"/>
        <v>vendredi</v>
      </c>
      <c r="D1826" s="87"/>
      <c r="E1826" s="115" t="str">
        <f t="shared" si="119"/>
        <v/>
      </c>
      <c r="F1826" s="115" t="str">
        <f t="shared" si="120"/>
        <v/>
      </c>
      <c r="G1826" s="116" t="str">
        <f>IF(ISNONTEXT(D1826),"",E1826-MAX($F$2:F1825))</f>
        <v/>
      </c>
      <c r="H1826" s="97"/>
      <c r="I1826" s="74" t="str">
        <f ca="1">IF(D1826="N",COUNTIF(INDIRECT(ADDRESS(MATCH(Plages!$D$19,'Planning annuel mixing coater'!$B:$B),4)):D1826,"N"),IF(D1826="N1",COUNTIF($D$9:D1826,"N1"),""))</f>
        <v/>
      </c>
      <c r="J1826" s="96" t="str">
        <f>IF(D1826="","",COUNTA(D1822:D1826)-(COUNTA(D1826:D1826)-1))</f>
        <v/>
      </c>
    </row>
    <row r="1827" spans="1:10" thickBot="1">
      <c r="A1827" s="117"/>
      <c r="B1827" s="70">
        <f t="shared" si="117"/>
        <v>45619</v>
      </c>
      <c r="C1827" s="82" t="str">
        <f t="shared" si="118"/>
        <v>samedi</v>
      </c>
      <c r="D1827" s="87"/>
      <c r="E1827" s="115" t="str">
        <f t="shared" si="119"/>
        <v/>
      </c>
      <c r="F1827" s="115" t="str">
        <f t="shared" si="120"/>
        <v/>
      </c>
      <c r="G1827" s="116" t="str">
        <f>IF(ISNONTEXT(D1827),"",E1827-MAX($F$2:F1826))</f>
        <v/>
      </c>
      <c r="H1827" s="97"/>
      <c r="I1827" s="74" t="str">
        <f ca="1">IF(D1827="N",COUNTIF(INDIRECT(ADDRESS(MATCH(Plages!$D$19,'Planning annuel mixing coater'!$B:$B),4)):D1827,"N"),IF(D1827="N1",COUNTIF($D$9:D1827,"N1"),""))</f>
        <v/>
      </c>
      <c r="J1827" s="96" t="str">
        <f>IF(D1827="","",COUNTA(D1822:D1827)-(COUNTA(D1827:D1827)-1))</f>
        <v/>
      </c>
    </row>
    <row r="1828" spans="1:10" thickBot="1">
      <c r="A1828" s="117"/>
      <c r="B1828" s="70">
        <f t="shared" si="117"/>
        <v>45620</v>
      </c>
      <c r="C1828" s="82" t="str">
        <f t="shared" si="118"/>
        <v>dimanche</v>
      </c>
      <c r="D1828" s="87"/>
      <c r="E1828" s="115" t="str">
        <f t="shared" si="119"/>
        <v/>
      </c>
      <c r="F1828" s="115" t="str">
        <f t="shared" si="120"/>
        <v/>
      </c>
      <c r="G1828" s="116" t="str">
        <f>IF(ISNONTEXT(D1828),"",E1828-MAX($F$2:F1827))</f>
        <v/>
      </c>
      <c r="H1828" s="98"/>
      <c r="I1828" s="74" t="str">
        <f ca="1">IF(D1828="N",COUNTIF(INDIRECT(ADDRESS(MATCH(Plages!$D$19,'Planning annuel mixing coater'!$B:$B),4)):D1828,"N"),IF(D1828="N1",COUNTIF($D$9:D1828,"N1"),""))</f>
        <v/>
      </c>
      <c r="J1828" s="96" t="str">
        <f>IF(D1828="","",COUNTA(D1822:D1828)-(COUNTA(D1828:D1828)-1))</f>
        <v/>
      </c>
    </row>
    <row r="1829" spans="1:10" thickBot="1">
      <c r="A1829" s="117"/>
      <c r="B1829" s="70">
        <f t="shared" si="117"/>
        <v>45621</v>
      </c>
      <c r="C1829" s="82" t="str">
        <f t="shared" si="118"/>
        <v>lundi</v>
      </c>
      <c r="D1829" s="87"/>
      <c r="E1829" s="115" t="str">
        <f t="shared" si="119"/>
        <v/>
      </c>
      <c r="F1829" s="115" t="str">
        <f t="shared" si="120"/>
        <v/>
      </c>
      <c r="G1829" s="116" t="str">
        <f>IF(ISNONTEXT(D1829),"",E1829-MAX($F$2:F1828))</f>
        <v/>
      </c>
      <c r="H1829" s="97"/>
      <c r="I1829" s="74" t="str">
        <f ca="1">IF(D1829="N",COUNTIF(INDIRECT(ADDRESS(MATCH(Plages!$D$19,'Planning annuel mixing coater'!$B:$B),4)):D1829,"N"),IF(D1829="N1",COUNTIF($D$9:D1829,"N1"),""))</f>
        <v/>
      </c>
      <c r="J1829" s="96" t="str">
        <f>IF(D1829="","",COUNTA(D1822:D1829)-(COUNTA(D1829:D1829)-1))</f>
        <v/>
      </c>
    </row>
    <row r="1830" spans="1:10" thickBot="1">
      <c r="A1830" s="117"/>
      <c r="B1830" s="70">
        <f t="shared" si="117"/>
        <v>45622</v>
      </c>
      <c r="C1830" s="82" t="str">
        <f t="shared" si="118"/>
        <v>mardi</v>
      </c>
      <c r="D1830" s="87"/>
      <c r="E1830" s="115" t="str">
        <f t="shared" si="119"/>
        <v/>
      </c>
      <c r="F1830" s="115" t="str">
        <f t="shared" si="120"/>
        <v/>
      </c>
      <c r="G1830" s="116" t="str">
        <f>IF(ISNONTEXT(D1830),"",E1830-MAX($F$2:F1829))</f>
        <v/>
      </c>
      <c r="H1830" s="97"/>
      <c r="I1830" s="74" t="str">
        <f ca="1">IF(D1830="N",COUNTIF(INDIRECT(ADDRESS(MATCH(Plages!$D$19,'Planning annuel mixing coater'!$B:$B),4)):D1830,"N"),IF(D1830="N1",COUNTIF($D$9:D1830,"N1"),""))</f>
        <v/>
      </c>
      <c r="J1830" s="96" t="str">
        <f>IF(D1830="","",COUNTA(D1822:D1830)-(COUNTA(D1830:D1830)-1))</f>
        <v/>
      </c>
    </row>
    <row r="1831" spans="1:10" thickBot="1">
      <c r="A1831" s="117"/>
      <c r="B1831" s="70">
        <f t="shared" si="117"/>
        <v>45623</v>
      </c>
      <c r="C1831" s="82" t="str">
        <f t="shared" si="118"/>
        <v>mercredi</v>
      </c>
      <c r="D1831" s="87"/>
      <c r="E1831" s="115" t="str">
        <f t="shared" si="119"/>
        <v/>
      </c>
      <c r="F1831" s="115" t="str">
        <f t="shared" si="120"/>
        <v/>
      </c>
      <c r="G1831" s="116" t="str">
        <f>IF(ISNONTEXT(D1831),"",E1831-MAX($F$2:F1830))</f>
        <v/>
      </c>
      <c r="H1831" s="97"/>
      <c r="I1831" s="74" t="str">
        <f ca="1">IF(D1831="N",COUNTIF(INDIRECT(ADDRESS(MATCH(Plages!$D$19,'Planning annuel mixing coater'!$B:$B),4)):D1831,"N"),IF(D1831="N1",COUNTIF($D$9:D1831,"N1"),""))</f>
        <v/>
      </c>
      <c r="J1831" s="96" t="str">
        <f>IF(D1831="","",COUNTA(D1822:D1831)-(COUNTA(D1831:D1831)-1))</f>
        <v/>
      </c>
    </row>
    <row r="1832" spans="1:10" thickBot="1">
      <c r="A1832" s="117"/>
      <c r="B1832" s="70">
        <f t="shared" si="117"/>
        <v>45624</v>
      </c>
      <c r="C1832" s="82" t="str">
        <f t="shared" si="118"/>
        <v>jeudi</v>
      </c>
      <c r="D1832" s="87"/>
      <c r="E1832" s="115" t="str">
        <f t="shared" si="119"/>
        <v/>
      </c>
      <c r="F1832" s="115" t="str">
        <f t="shared" si="120"/>
        <v/>
      </c>
      <c r="G1832" s="116" t="str">
        <f>IF(ISNONTEXT(D1832),"",E1832-MAX($F$2:F1831))</f>
        <v/>
      </c>
      <c r="H1832" s="97"/>
      <c r="I1832" s="74" t="str">
        <f ca="1">IF(D1832="N",COUNTIF(INDIRECT(ADDRESS(MATCH(Plages!$D$19,'Planning annuel mixing coater'!$B:$B),4)):D1832,"N"),IF(D1832="N1",COUNTIF($D$9:D1832,"N1"),""))</f>
        <v/>
      </c>
      <c r="J1832" s="96" t="str">
        <f>IF(D1832="","",COUNTA(D1822:D1832)-(COUNTA(D1832:D1832)-1))</f>
        <v/>
      </c>
    </row>
    <row r="1833" spans="1:10" thickBot="1">
      <c r="A1833" s="117"/>
      <c r="B1833" s="70">
        <f t="shared" si="117"/>
        <v>45625</v>
      </c>
      <c r="C1833" s="82" t="str">
        <f t="shared" si="118"/>
        <v>vendredi</v>
      </c>
      <c r="D1833" s="87"/>
      <c r="E1833" s="115" t="str">
        <f t="shared" si="119"/>
        <v/>
      </c>
      <c r="F1833" s="115" t="str">
        <f t="shared" si="120"/>
        <v/>
      </c>
      <c r="G1833" s="116" t="str">
        <f>IF(ISNONTEXT(D1833),"",E1833-MAX($F$2:F1832))</f>
        <v/>
      </c>
      <c r="H1833" s="97"/>
      <c r="I1833" s="74" t="str">
        <f ca="1">IF(D1833="N",COUNTIF(INDIRECT(ADDRESS(MATCH(Plages!$D$19,'Planning annuel mixing coater'!$B:$B),4)):D1833,"N"),IF(D1833="N1",COUNTIF($D$9:D1833,"N1"),""))</f>
        <v/>
      </c>
      <c r="J1833" s="96" t="str">
        <f>IF(D1833="","",COUNTA(D1822:D1833)-(COUNTA(D1833:D1833)-1))</f>
        <v/>
      </c>
    </row>
    <row r="1834" spans="1:10" thickBot="1">
      <c r="A1834" s="117"/>
      <c r="B1834" s="70">
        <f t="shared" si="117"/>
        <v>45626</v>
      </c>
      <c r="C1834" s="82" t="str">
        <f t="shared" si="118"/>
        <v>samedi</v>
      </c>
      <c r="D1834" s="87"/>
      <c r="E1834" s="115" t="str">
        <f t="shared" si="119"/>
        <v/>
      </c>
      <c r="F1834" s="115" t="str">
        <f t="shared" si="120"/>
        <v/>
      </c>
      <c r="G1834" s="116" t="str">
        <f>IF(ISNONTEXT(D1834),"",E1834-MAX($F$2:F1833))</f>
        <v/>
      </c>
      <c r="H1834" s="97"/>
      <c r="I1834" s="74" t="str">
        <f ca="1">IF(D1834="N",COUNTIF(INDIRECT(ADDRESS(MATCH(Plages!$D$19,'Planning annuel mixing coater'!$B:$B),4)):D1834,"N"),IF(D1834="N1",COUNTIF($D$9:D1834,"N1"),""))</f>
        <v/>
      </c>
      <c r="J1834" s="96" t="str">
        <f>IF(D1834="","",COUNTA(D1822:D1834)-(COUNTA(D1834:D1834)-1))</f>
        <v/>
      </c>
    </row>
    <row r="1835" spans="1:10" s="77" customFormat="1" thickBot="1">
      <c r="A1835" s="117"/>
      <c r="B1835" s="75">
        <f t="shared" si="117"/>
        <v>45627</v>
      </c>
      <c r="C1835" s="83" t="str">
        <f t="shared" si="118"/>
        <v>dimanche</v>
      </c>
      <c r="D1835" s="88"/>
      <c r="E1835" s="115" t="str">
        <f t="shared" si="119"/>
        <v/>
      </c>
      <c r="F1835" s="115" t="str">
        <f t="shared" si="120"/>
        <v/>
      </c>
      <c r="G1835" s="116" t="str">
        <f>IF(ISNONTEXT(D1835),"",E1835-MAX($F$2:F1834))</f>
        <v/>
      </c>
      <c r="H1835" s="98"/>
      <c r="I1835" s="76" t="str">
        <f ca="1">IF(D1835="N",COUNTIF(INDIRECT(ADDRESS(MATCH(Plages!$D$19,'Planning annuel mixing coater'!$B:$B),4)):D1835,"N"),IF(D1835="N1",COUNTIF($D$9:D1835,"N1"),""))</f>
        <v/>
      </c>
      <c r="J1835" s="99" t="str">
        <f>IF(D1835="","",COUNTA(D1822:D1835)-(COUNTA(D1835:D1835)-1))</f>
        <v/>
      </c>
    </row>
    <row r="1836" spans="1:10" ht="16.5" thickTop="1" thickBot="1">
      <c r="A1836" s="117"/>
      <c r="B1836" s="78">
        <f t="shared" si="117"/>
        <v>45628</v>
      </c>
      <c r="C1836" s="81" t="str">
        <f t="shared" si="118"/>
        <v>lundi</v>
      </c>
      <c r="D1836" s="89"/>
      <c r="E1836" s="115" t="str">
        <f t="shared" si="119"/>
        <v/>
      </c>
      <c r="F1836" s="115" t="str">
        <f t="shared" si="120"/>
        <v/>
      </c>
      <c r="G1836" s="116" t="str">
        <f>IF(ISNONTEXT(D1836),"",E1836-MAX($F$2:F1835))</f>
        <v/>
      </c>
      <c r="H1836" s="100"/>
      <c r="I1836" s="79" t="str">
        <f ca="1">IF(D1836="N",COUNTIF(INDIRECT(ADDRESS(MATCH(Plages!$D$19,'Planning annuel mixing coater'!$B:$B),4)):D1836,"N"),IF(D1836="N1",COUNTIF($D$9:D1836,"N1"),""))</f>
        <v/>
      </c>
      <c r="J1836" s="101" t="str">
        <f>IF(D1836="","",COUNTA(D1836:D1836)-(COUNTA(D1836:D1836)-1))</f>
        <v/>
      </c>
    </row>
    <row r="1837" spans="1:10" thickBot="1">
      <c r="A1837" s="117"/>
      <c r="B1837" s="70">
        <f t="shared" si="117"/>
        <v>45629</v>
      </c>
      <c r="C1837" s="82" t="str">
        <f t="shared" si="118"/>
        <v>mardi</v>
      </c>
      <c r="D1837" s="87"/>
      <c r="E1837" s="115" t="str">
        <f t="shared" si="119"/>
        <v/>
      </c>
      <c r="F1837" s="115" t="str">
        <f t="shared" si="120"/>
        <v/>
      </c>
      <c r="G1837" s="116" t="str">
        <f>IF(ISNONTEXT(D1837),"",E1837-MAX($F$2:F1836))</f>
        <v/>
      </c>
      <c r="H1837" s="97"/>
      <c r="I1837" s="74" t="str">
        <f ca="1">IF(D1837="N",COUNTIF(INDIRECT(ADDRESS(MATCH(Plages!$D$19,'Planning annuel mixing coater'!$B:$B),4)):D1837,"N"),IF(D1837="N1",COUNTIF($D$9:D1837,"N1"),""))</f>
        <v/>
      </c>
      <c r="J1837" s="96" t="str">
        <f>IF(D1837="","",COUNTA(D1836:D1837)-(COUNTA(D1837:D1837)-1))</f>
        <v/>
      </c>
    </row>
    <row r="1838" spans="1:10" thickBot="1">
      <c r="A1838" s="117"/>
      <c r="B1838" s="70">
        <f t="shared" si="117"/>
        <v>45630</v>
      </c>
      <c r="C1838" s="82" t="str">
        <f t="shared" si="118"/>
        <v>mercredi</v>
      </c>
      <c r="D1838" s="87"/>
      <c r="E1838" s="115" t="str">
        <f t="shared" si="119"/>
        <v/>
      </c>
      <c r="F1838" s="115" t="str">
        <f t="shared" si="120"/>
        <v/>
      </c>
      <c r="G1838" s="116" t="str">
        <f>IF(ISNONTEXT(D1838),"",E1838-MAX($F$2:F1837))</f>
        <v/>
      </c>
      <c r="H1838" s="97"/>
      <c r="I1838" s="74" t="str">
        <f ca="1">IF(D1838="N",COUNTIF(INDIRECT(ADDRESS(MATCH(Plages!$D$19,'Planning annuel mixing coater'!$B:$B),4)):D1838,"N"),IF(D1838="N1",COUNTIF($D$9:D1838,"N1"),""))</f>
        <v/>
      </c>
      <c r="J1838" s="96" t="str">
        <f>IF(D1838="","",COUNTA(D1836:D1838)-(COUNTA(D1838:D1838)-1))</f>
        <v/>
      </c>
    </row>
    <row r="1839" spans="1:10" thickBot="1">
      <c r="A1839" s="117"/>
      <c r="B1839" s="70">
        <f t="shared" si="117"/>
        <v>45631</v>
      </c>
      <c r="C1839" s="82" t="str">
        <f t="shared" si="118"/>
        <v>jeudi</v>
      </c>
      <c r="D1839" s="87"/>
      <c r="E1839" s="115" t="str">
        <f t="shared" si="119"/>
        <v/>
      </c>
      <c r="F1839" s="115" t="str">
        <f t="shared" si="120"/>
        <v/>
      </c>
      <c r="G1839" s="116" t="str">
        <f>IF(ISNONTEXT(D1839),"",E1839-MAX($F$2:F1838))</f>
        <v/>
      </c>
      <c r="H1839" s="97"/>
      <c r="I1839" s="74" t="str">
        <f ca="1">IF(D1839="N",COUNTIF(INDIRECT(ADDRESS(MATCH(Plages!$D$19,'Planning annuel mixing coater'!$B:$B),4)):D1839,"N"),IF(D1839="N1",COUNTIF($D$9:D1839,"N1"),""))</f>
        <v/>
      </c>
      <c r="J1839" s="96" t="str">
        <f>IF(D1839="","",COUNTA(D1836:D1839)-(COUNTA(D1839:D1839)-1))</f>
        <v/>
      </c>
    </row>
    <row r="1840" spans="1:10" thickBot="1">
      <c r="A1840" s="117"/>
      <c r="B1840" s="70">
        <f t="shared" si="117"/>
        <v>45632</v>
      </c>
      <c r="C1840" s="82" t="str">
        <f t="shared" si="118"/>
        <v>vendredi</v>
      </c>
      <c r="D1840" s="87"/>
      <c r="E1840" s="115" t="str">
        <f t="shared" si="119"/>
        <v/>
      </c>
      <c r="F1840" s="115" t="str">
        <f t="shared" si="120"/>
        <v/>
      </c>
      <c r="G1840" s="116" t="str">
        <f>IF(ISNONTEXT(D1840),"",E1840-MAX($F$2:F1839))</f>
        <v/>
      </c>
      <c r="H1840" s="97"/>
      <c r="I1840" s="74" t="str">
        <f ca="1">IF(D1840="N",COUNTIF(INDIRECT(ADDRESS(MATCH(Plages!$D$19,'Planning annuel mixing coater'!$B:$B),4)):D1840,"N"),IF(D1840="N1",COUNTIF($D$9:D1840,"N1"),""))</f>
        <v/>
      </c>
      <c r="J1840" s="96" t="str">
        <f>IF(D1840="","",COUNTA(D1836:D1840)-(COUNTA(D1840:D1840)-1))</f>
        <v/>
      </c>
    </row>
    <row r="1841" spans="1:10" thickBot="1">
      <c r="A1841" s="117"/>
      <c r="B1841" s="70">
        <f t="shared" si="117"/>
        <v>45633</v>
      </c>
      <c r="C1841" s="82" t="str">
        <f t="shared" si="118"/>
        <v>samedi</v>
      </c>
      <c r="D1841" s="87"/>
      <c r="E1841" s="115" t="str">
        <f t="shared" si="119"/>
        <v/>
      </c>
      <c r="F1841" s="115" t="str">
        <f t="shared" si="120"/>
        <v/>
      </c>
      <c r="G1841" s="116" t="str">
        <f>IF(ISNONTEXT(D1841),"",E1841-MAX($F$2:F1840))</f>
        <v/>
      </c>
      <c r="H1841" s="97"/>
      <c r="I1841" s="74" t="str">
        <f ca="1">IF(D1841="N",COUNTIF(INDIRECT(ADDRESS(MATCH(Plages!$D$19,'Planning annuel mixing coater'!$B:$B),4)):D1841,"N"),IF(D1841="N1",COUNTIF($D$9:D1841,"N1"),""))</f>
        <v/>
      </c>
      <c r="J1841" s="96" t="str">
        <f>IF(D1841="","",COUNTA(D1836:D1841)-(COUNTA(D1841:D1841)-1))</f>
        <v/>
      </c>
    </row>
    <row r="1842" spans="1:10" thickBot="1">
      <c r="A1842" s="117"/>
      <c r="B1842" s="70">
        <f t="shared" si="117"/>
        <v>45634</v>
      </c>
      <c r="C1842" s="82" t="str">
        <f t="shared" si="118"/>
        <v>dimanche</v>
      </c>
      <c r="D1842" s="87"/>
      <c r="E1842" s="115" t="str">
        <f t="shared" si="119"/>
        <v/>
      </c>
      <c r="F1842" s="115" t="str">
        <f t="shared" si="120"/>
        <v/>
      </c>
      <c r="G1842" s="116" t="str">
        <f>IF(ISNONTEXT(D1842),"",E1842-MAX($F$2:F1841))</f>
        <v/>
      </c>
      <c r="H1842" s="98"/>
      <c r="I1842" s="74" t="str">
        <f ca="1">IF(D1842="N",COUNTIF(INDIRECT(ADDRESS(MATCH(Plages!$D$19,'Planning annuel mixing coater'!$B:$B),4)):D1842,"N"),IF(D1842="N1",COUNTIF($D$9:D1842,"N1"),""))</f>
        <v/>
      </c>
      <c r="J1842" s="96" t="str">
        <f>IF(D1842="","",COUNTA(D1836:D1842)-(COUNTA(D1842:D1842)-1))</f>
        <v/>
      </c>
    </row>
    <row r="1843" spans="1:10" thickBot="1">
      <c r="A1843" s="117"/>
      <c r="B1843" s="70">
        <f t="shared" si="117"/>
        <v>45635</v>
      </c>
      <c r="C1843" s="82" t="str">
        <f t="shared" si="118"/>
        <v>lundi</v>
      </c>
      <c r="D1843" s="87"/>
      <c r="E1843" s="115" t="str">
        <f t="shared" si="119"/>
        <v/>
      </c>
      <c r="F1843" s="115" t="str">
        <f t="shared" si="120"/>
        <v/>
      </c>
      <c r="G1843" s="116" t="str">
        <f>IF(ISNONTEXT(D1843),"",E1843-MAX($F$2:F1842))</f>
        <v/>
      </c>
      <c r="H1843" s="97"/>
      <c r="I1843" s="74" t="str">
        <f ca="1">IF(D1843="N",COUNTIF(INDIRECT(ADDRESS(MATCH(Plages!$D$19,'Planning annuel mixing coater'!$B:$B),4)):D1843,"N"),IF(D1843="N1",COUNTIF($D$9:D1843,"N1"),""))</f>
        <v/>
      </c>
      <c r="J1843" s="96" t="str">
        <f>IF(D1843="","",COUNTA(D1836:D1843)-(COUNTA(D1843:D1843)-1))</f>
        <v/>
      </c>
    </row>
    <row r="1844" spans="1:10" thickBot="1">
      <c r="A1844" s="117"/>
      <c r="B1844" s="70">
        <f t="shared" si="117"/>
        <v>45636</v>
      </c>
      <c r="C1844" s="82" t="str">
        <f t="shared" si="118"/>
        <v>mardi</v>
      </c>
      <c r="D1844" s="87"/>
      <c r="E1844" s="115" t="str">
        <f t="shared" si="119"/>
        <v/>
      </c>
      <c r="F1844" s="115" t="str">
        <f t="shared" si="120"/>
        <v/>
      </c>
      <c r="G1844" s="116" t="str">
        <f>IF(ISNONTEXT(D1844),"",E1844-MAX($F$2:F1843))</f>
        <v/>
      </c>
      <c r="H1844" s="97"/>
      <c r="I1844" s="74" t="str">
        <f ca="1">IF(D1844="N",COUNTIF(INDIRECT(ADDRESS(MATCH(Plages!$D$19,'Planning annuel mixing coater'!$B:$B),4)):D1844,"N"),IF(D1844="N1",COUNTIF($D$9:D1844,"N1"),""))</f>
        <v/>
      </c>
      <c r="J1844" s="96" t="str">
        <f>IF(D1844="","",COUNTA(D1836:D1844)-(COUNTA(D1844:D1844)-1))</f>
        <v/>
      </c>
    </row>
    <row r="1845" spans="1:10" thickBot="1">
      <c r="A1845" s="117"/>
      <c r="B1845" s="70">
        <f t="shared" si="117"/>
        <v>45637</v>
      </c>
      <c r="C1845" s="82" t="str">
        <f t="shared" si="118"/>
        <v>mercredi</v>
      </c>
      <c r="D1845" s="87"/>
      <c r="E1845" s="115" t="str">
        <f t="shared" si="119"/>
        <v/>
      </c>
      <c r="F1845" s="115" t="str">
        <f t="shared" si="120"/>
        <v/>
      </c>
      <c r="G1845" s="116" t="str">
        <f>IF(ISNONTEXT(D1845),"",E1845-MAX($F$2:F1844))</f>
        <v/>
      </c>
      <c r="H1845" s="97"/>
      <c r="I1845" s="74" t="str">
        <f ca="1">IF(D1845="N",COUNTIF(INDIRECT(ADDRESS(MATCH(Plages!$D$19,'Planning annuel mixing coater'!$B:$B),4)):D1845,"N"),IF(D1845="N1",COUNTIF($D$9:D1845,"N1"),""))</f>
        <v/>
      </c>
      <c r="J1845" s="96" t="str">
        <f>IF(D1845="","",COUNTA(D1836:D1845)-(COUNTA(D1845:D1845)-1))</f>
        <v/>
      </c>
    </row>
    <row r="1846" spans="1:10" thickBot="1">
      <c r="A1846" s="117"/>
      <c r="B1846" s="70">
        <f t="shared" si="117"/>
        <v>45638</v>
      </c>
      <c r="C1846" s="82" t="str">
        <f t="shared" si="118"/>
        <v>jeudi</v>
      </c>
      <c r="D1846" s="87"/>
      <c r="E1846" s="115" t="str">
        <f t="shared" si="119"/>
        <v/>
      </c>
      <c r="F1846" s="115" t="str">
        <f t="shared" si="120"/>
        <v/>
      </c>
      <c r="G1846" s="116" t="str">
        <f>IF(ISNONTEXT(D1846),"",E1846-MAX($F$2:F1845))</f>
        <v/>
      </c>
      <c r="H1846" s="97"/>
      <c r="I1846" s="74" t="str">
        <f ca="1">IF(D1846="N",COUNTIF(INDIRECT(ADDRESS(MATCH(Plages!$D$19,'Planning annuel mixing coater'!$B:$B),4)):D1846,"N"),IF(D1846="N1",COUNTIF($D$9:D1846,"N1"),""))</f>
        <v/>
      </c>
      <c r="J1846" s="96" t="str">
        <f>IF(D1846="","",COUNTA(D1836:D1846)-(COUNTA(D1846:D1846)-1))</f>
        <v/>
      </c>
    </row>
    <row r="1847" spans="1:10" thickBot="1">
      <c r="A1847" s="117"/>
      <c r="B1847" s="70">
        <f t="shared" si="117"/>
        <v>45639</v>
      </c>
      <c r="C1847" s="82" t="str">
        <f t="shared" si="118"/>
        <v>vendredi</v>
      </c>
      <c r="D1847" s="87"/>
      <c r="E1847" s="115" t="str">
        <f t="shared" si="119"/>
        <v/>
      </c>
      <c r="F1847" s="115" t="str">
        <f t="shared" si="120"/>
        <v/>
      </c>
      <c r="G1847" s="116" t="str">
        <f>IF(ISNONTEXT(D1847),"",E1847-MAX($F$2:F1846))</f>
        <v/>
      </c>
      <c r="H1847" s="97"/>
      <c r="I1847" s="74" t="str">
        <f ca="1">IF(D1847="N",COUNTIF(INDIRECT(ADDRESS(MATCH(Plages!$D$19,'Planning annuel mixing coater'!$B:$B),4)):D1847,"N"),IF(D1847="N1",COUNTIF($D$9:D1847,"N1"),""))</f>
        <v/>
      </c>
      <c r="J1847" s="96" t="str">
        <f>IF(D1847="","",COUNTA(D1836:D1847)-(COUNTA(D1847:D1847)-1))</f>
        <v/>
      </c>
    </row>
    <row r="1848" spans="1:10" thickBot="1">
      <c r="A1848" s="117"/>
      <c r="B1848" s="70">
        <f t="shared" si="117"/>
        <v>45640</v>
      </c>
      <c r="C1848" s="82" t="str">
        <f t="shared" si="118"/>
        <v>samedi</v>
      </c>
      <c r="D1848" s="87"/>
      <c r="E1848" s="115" t="str">
        <f t="shared" si="119"/>
        <v/>
      </c>
      <c r="F1848" s="115" t="str">
        <f t="shared" si="120"/>
        <v/>
      </c>
      <c r="G1848" s="116" t="str">
        <f>IF(ISNONTEXT(D1848),"",E1848-MAX($F$2:F1847))</f>
        <v/>
      </c>
      <c r="H1848" s="97"/>
      <c r="I1848" s="74" t="str">
        <f ca="1">IF(D1848="N",COUNTIF(INDIRECT(ADDRESS(MATCH(Plages!$D$19,'Planning annuel mixing coater'!$B:$B),4)):D1848,"N"),IF(D1848="N1",COUNTIF($D$9:D1848,"N1"),""))</f>
        <v/>
      </c>
      <c r="J1848" s="96" t="str">
        <f>IF(D1848="","",COUNTA(D1836:D1848)-(COUNTA(D1848:D1848)-1))</f>
        <v/>
      </c>
    </row>
    <row r="1849" spans="1:10" s="77" customFormat="1" thickBot="1">
      <c r="A1849" s="117"/>
      <c r="B1849" s="75">
        <f t="shared" si="117"/>
        <v>45641</v>
      </c>
      <c r="C1849" s="83" t="str">
        <f t="shared" si="118"/>
        <v>dimanche</v>
      </c>
      <c r="D1849" s="88"/>
      <c r="E1849" s="115" t="str">
        <f t="shared" si="119"/>
        <v/>
      </c>
      <c r="F1849" s="115" t="str">
        <f t="shared" si="120"/>
        <v/>
      </c>
      <c r="G1849" s="116" t="str">
        <f>IF(ISNONTEXT(D1849),"",E1849-MAX($F$2:F1848))</f>
        <v/>
      </c>
      <c r="H1849" s="98"/>
      <c r="I1849" s="76" t="str">
        <f ca="1">IF(D1849="N",COUNTIF(INDIRECT(ADDRESS(MATCH(Plages!$D$19,'Planning annuel mixing coater'!$B:$B),4)):D1849,"N"),IF(D1849="N1",COUNTIF($D$9:D1849,"N1"),""))</f>
        <v/>
      </c>
      <c r="J1849" s="99" t="str">
        <f>IF(D1849="","",COUNTA(D1836:D1849)-(COUNTA(D1849:D1849)-1))</f>
        <v/>
      </c>
    </row>
    <row r="1850" spans="1:10" ht="16.5" thickTop="1" thickBot="1">
      <c r="A1850" s="117"/>
      <c r="B1850" s="78">
        <f t="shared" si="117"/>
        <v>45642</v>
      </c>
      <c r="C1850" s="81" t="str">
        <f t="shared" si="118"/>
        <v>lundi</v>
      </c>
      <c r="D1850" s="89"/>
      <c r="E1850" s="115" t="str">
        <f t="shared" si="119"/>
        <v/>
      </c>
      <c r="F1850" s="115" t="str">
        <f t="shared" si="120"/>
        <v/>
      </c>
      <c r="G1850" s="116" t="str">
        <f>IF(ISNONTEXT(D1850),"",E1850-MAX($F$2:F1849))</f>
        <v/>
      </c>
      <c r="H1850" s="100"/>
      <c r="I1850" s="79" t="str">
        <f ca="1">IF(D1850="N",COUNTIF(INDIRECT(ADDRESS(MATCH(Plages!$D$19,'Planning annuel mixing coater'!$B:$B),4)):D1850,"N"),IF(D1850="N1",COUNTIF($D$9:D1850,"N1"),""))</f>
        <v/>
      </c>
      <c r="J1850" s="101" t="str">
        <f>IF(D1850="","",COUNTA(D1850:D1850)-(COUNTA(D1850:D1850)-1))</f>
        <v/>
      </c>
    </row>
    <row r="1851" spans="1:10" thickBot="1">
      <c r="A1851" s="117"/>
      <c r="B1851" s="70">
        <f t="shared" si="117"/>
        <v>45643</v>
      </c>
      <c r="C1851" s="82" t="str">
        <f t="shared" si="118"/>
        <v>mardi</v>
      </c>
      <c r="D1851" s="87"/>
      <c r="E1851" s="115" t="str">
        <f t="shared" si="119"/>
        <v/>
      </c>
      <c r="F1851" s="115" t="str">
        <f t="shared" si="120"/>
        <v/>
      </c>
      <c r="G1851" s="116" t="str">
        <f>IF(ISNONTEXT(D1851),"",E1851-MAX($F$2:F1850))</f>
        <v/>
      </c>
      <c r="H1851" s="97"/>
      <c r="I1851" s="74" t="str">
        <f ca="1">IF(D1851="N",COUNTIF(INDIRECT(ADDRESS(MATCH(Plages!$D$19,'Planning annuel mixing coater'!$B:$B),4)):D1851,"N"),IF(D1851="N1",COUNTIF($D$9:D1851,"N1"),""))</f>
        <v/>
      </c>
      <c r="J1851" s="96" t="str">
        <f>IF(D1851="","",COUNTA(D1850:D1851)-(COUNTA(D1851:D1851)-1))</f>
        <v/>
      </c>
    </row>
    <row r="1852" spans="1:10" thickBot="1">
      <c r="A1852" s="117"/>
      <c r="B1852" s="70">
        <f t="shared" si="117"/>
        <v>45644</v>
      </c>
      <c r="C1852" s="82" t="str">
        <f t="shared" si="118"/>
        <v>mercredi</v>
      </c>
      <c r="D1852" s="87"/>
      <c r="E1852" s="115" t="str">
        <f t="shared" si="119"/>
        <v/>
      </c>
      <c r="F1852" s="115" t="str">
        <f t="shared" si="120"/>
        <v/>
      </c>
      <c r="G1852" s="116" t="str">
        <f>IF(ISNONTEXT(D1852),"",E1852-MAX($F$2:F1851))</f>
        <v/>
      </c>
      <c r="H1852" s="97"/>
      <c r="I1852" s="74" t="str">
        <f ca="1">IF(D1852="N",COUNTIF(INDIRECT(ADDRESS(MATCH(Plages!$D$19,'Planning annuel mixing coater'!$B:$B),4)):D1852,"N"),IF(D1852="N1",COUNTIF($D$9:D1852,"N1"),""))</f>
        <v/>
      </c>
      <c r="J1852" s="96" t="str">
        <f>IF(D1852="","",COUNTA(D1850:D1852)-(COUNTA(D1852:D1852)-1))</f>
        <v/>
      </c>
    </row>
    <row r="1853" spans="1:10" thickBot="1">
      <c r="A1853" s="117"/>
      <c r="B1853" s="70">
        <f t="shared" si="117"/>
        <v>45645</v>
      </c>
      <c r="C1853" s="82" t="str">
        <f t="shared" si="118"/>
        <v>jeudi</v>
      </c>
      <c r="D1853" s="87"/>
      <c r="E1853" s="115" t="str">
        <f t="shared" si="119"/>
        <v/>
      </c>
      <c r="F1853" s="115" t="str">
        <f t="shared" si="120"/>
        <v/>
      </c>
      <c r="G1853" s="116" t="str">
        <f>IF(ISNONTEXT(D1853),"",E1853-MAX($F$2:F1852))</f>
        <v/>
      </c>
      <c r="H1853" s="97"/>
      <c r="I1853" s="74" t="str">
        <f ca="1">IF(D1853="N",COUNTIF(INDIRECT(ADDRESS(MATCH(Plages!$D$19,'Planning annuel mixing coater'!$B:$B),4)):D1853,"N"),IF(D1853="N1",COUNTIF($D$9:D1853,"N1"),""))</f>
        <v/>
      </c>
      <c r="J1853" s="96" t="str">
        <f>IF(D1853="","",COUNTA(D1850:D1853)-(COUNTA(D1853:D1853)-1))</f>
        <v/>
      </c>
    </row>
    <row r="1854" spans="1:10" thickBot="1">
      <c r="A1854" s="117"/>
      <c r="B1854" s="70">
        <f t="shared" si="117"/>
        <v>45646</v>
      </c>
      <c r="C1854" s="82" t="str">
        <f t="shared" si="118"/>
        <v>vendredi</v>
      </c>
      <c r="D1854" s="87"/>
      <c r="E1854" s="115" t="str">
        <f t="shared" si="119"/>
        <v/>
      </c>
      <c r="F1854" s="115" t="str">
        <f t="shared" si="120"/>
        <v/>
      </c>
      <c r="G1854" s="116" t="str">
        <f>IF(ISNONTEXT(D1854),"",E1854-MAX($F$2:F1853))</f>
        <v/>
      </c>
      <c r="H1854" s="97"/>
      <c r="I1854" s="74" t="str">
        <f ca="1">IF(D1854="N",COUNTIF(INDIRECT(ADDRESS(MATCH(Plages!$D$19,'Planning annuel mixing coater'!$B:$B),4)):D1854,"N"),IF(D1854="N1",COUNTIF($D$9:D1854,"N1"),""))</f>
        <v/>
      </c>
      <c r="J1854" s="96" t="str">
        <f>IF(D1854="","",COUNTA(D1850:D1854)-(COUNTA(D1854:D1854)-1))</f>
        <v/>
      </c>
    </row>
    <row r="1855" spans="1:10" thickBot="1">
      <c r="A1855" s="117"/>
      <c r="B1855" s="70">
        <f t="shared" si="117"/>
        <v>45647</v>
      </c>
      <c r="C1855" s="82" t="str">
        <f t="shared" si="118"/>
        <v>samedi</v>
      </c>
      <c r="D1855" s="87"/>
      <c r="E1855" s="115" t="str">
        <f t="shared" si="119"/>
        <v/>
      </c>
      <c r="F1855" s="115" t="str">
        <f t="shared" si="120"/>
        <v/>
      </c>
      <c r="G1855" s="116" t="str">
        <f>IF(ISNONTEXT(D1855),"",E1855-MAX($F$2:F1854))</f>
        <v/>
      </c>
      <c r="H1855" s="97"/>
      <c r="I1855" s="74" t="str">
        <f ca="1">IF(D1855="N",COUNTIF(INDIRECT(ADDRESS(MATCH(Plages!$D$19,'Planning annuel mixing coater'!$B:$B),4)):D1855,"N"),IF(D1855="N1",COUNTIF($D$9:D1855,"N1"),""))</f>
        <v/>
      </c>
      <c r="J1855" s="96" t="str">
        <f>IF(D1855="","",COUNTA(D1850:D1855)-(COUNTA(D1855:D1855)-1))</f>
        <v/>
      </c>
    </row>
    <row r="1856" spans="1:10" thickBot="1">
      <c r="A1856" s="117"/>
      <c r="B1856" s="70">
        <f t="shared" si="117"/>
        <v>45648</v>
      </c>
      <c r="C1856" s="82" t="str">
        <f t="shared" si="118"/>
        <v>dimanche</v>
      </c>
      <c r="D1856" s="87"/>
      <c r="E1856" s="115" t="str">
        <f t="shared" si="119"/>
        <v/>
      </c>
      <c r="F1856" s="115" t="str">
        <f t="shared" si="120"/>
        <v/>
      </c>
      <c r="G1856" s="116" t="str">
        <f>IF(ISNONTEXT(D1856),"",E1856-MAX($F$2:F1855))</f>
        <v/>
      </c>
      <c r="H1856" s="98"/>
      <c r="I1856" s="74" t="str">
        <f ca="1">IF(D1856="N",COUNTIF(INDIRECT(ADDRESS(MATCH(Plages!$D$19,'Planning annuel mixing coater'!$B:$B),4)):D1856,"N"),IF(D1856="N1",COUNTIF($D$9:D1856,"N1"),""))</f>
        <v/>
      </c>
      <c r="J1856" s="96" t="str">
        <f>IF(D1856="","",COUNTA(D1850:D1856)-(COUNTA(D1856:D1856)-1))</f>
        <v/>
      </c>
    </row>
    <row r="1857" spans="1:10" thickBot="1">
      <c r="A1857" s="117"/>
      <c r="B1857" s="70">
        <f t="shared" si="117"/>
        <v>45649</v>
      </c>
      <c r="C1857" s="82" t="str">
        <f t="shared" si="118"/>
        <v>lundi</v>
      </c>
      <c r="D1857" s="87"/>
      <c r="E1857" s="115" t="str">
        <f t="shared" si="119"/>
        <v/>
      </c>
      <c r="F1857" s="115" t="str">
        <f t="shared" si="120"/>
        <v/>
      </c>
      <c r="G1857" s="116" t="str">
        <f>IF(ISNONTEXT(D1857),"",E1857-MAX($F$2:F1856))</f>
        <v/>
      </c>
      <c r="H1857" s="97"/>
      <c r="I1857" s="74" t="str">
        <f ca="1">IF(D1857="N",COUNTIF(INDIRECT(ADDRESS(MATCH(Plages!$D$19,'Planning annuel mixing coater'!$B:$B),4)):D1857,"N"),IF(D1857="N1",COUNTIF($D$9:D1857,"N1"),""))</f>
        <v/>
      </c>
      <c r="J1857" s="96" t="str">
        <f>IF(D1857="","",COUNTA(D1850:D1857)-(COUNTA(D1857:D1857)-1))</f>
        <v/>
      </c>
    </row>
    <row r="1858" spans="1:10" thickBot="1">
      <c r="A1858" s="117"/>
      <c r="B1858" s="70">
        <f t="shared" si="117"/>
        <v>45650</v>
      </c>
      <c r="C1858" s="82" t="str">
        <f t="shared" si="118"/>
        <v>mardi</v>
      </c>
      <c r="D1858" s="87"/>
      <c r="E1858" s="115" t="str">
        <f t="shared" si="119"/>
        <v/>
      </c>
      <c r="F1858" s="115" t="str">
        <f t="shared" si="120"/>
        <v/>
      </c>
      <c r="G1858" s="116" t="str">
        <f>IF(ISNONTEXT(D1858),"",E1858-MAX($F$2:F1857))</f>
        <v/>
      </c>
      <c r="H1858" s="97"/>
      <c r="I1858" s="74" t="str">
        <f ca="1">IF(D1858="N",COUNTIF(INDIRECT(ADDRESS(MATCH(Plages!$D$19,'Planning annuel mixing coater'!$B:$B),4)):D1858,"N"),IF(D1858="N1",COUNTIF($D$9:D1858,"N1"),""))</f>
        <v/>
      </c>
      <c r="J1858" s="96" t="str">
        <f>IF(D1858="","",COUNTA(D1850:D1858)-(COUNTA(D1858:D1858)-1))</f>
        <v/>
      </c>
    </row>
    <row r="1859" spans="1:10" thickBot="1">
      <c r="A1859" s="117"/>
      <c r="B1859" s="70">
        <f t="shared" si="117"/>
        <v>45651</v>
      </c>
      <c r="C1859" s="82" t="str">
        <f t="shared" si="118"/>
        <v>mercredi</v>
      </c>
      <c r="D1859" s="87"/>
      <c r="E1859" s="115" t="str">
        <f t="shared" si="119"/>
        <v/>
      </c>
      <c r="F1859" s="115" t="str">
        <f t="shared" si="120"/>
        <v/>
      </c>
      <c r="G1859" s="116" t="str">
        <f>IF(ISNONTEXT(D1859),"",E1859-MAX($F$2:F1858))</f>
        <v/>
      </c>
      <c r="H1859" s="97"/>
      <c r="I1859" s="74" t="str">
        <f ca="1">IF(D1859="N",COUNTIF(INDIRECT(ADDRESS(MATCH(Plages!$D$19,'Planning annuel mixing coater'!$B:$B),4)):D1859,"N"),IF(D1859="N1",COUNTIF($D$9:D1859,"N1"),""))</f>
        <v/>
      </c>
      <c r="J1859" s="96" t="str">
        <f>IF(D1859="","",COUNTA(D1850:D1859)-(COUNTA(D1859:D1859)-1))</f>
        <v/>
      </c>
    </row>
    <row r="1860" spans="1:10" thickBot="1">
      <c r="A1860" s="117"/>
      <c r="B1860" s="70">
        <f t="shared" ref="B1860:B1923" si="121">IF(B1859="","",B1859+1)</f>
        <v>45652</v>
      </c>
      <c r="C1860" s="82" t="str">
        <f t="shared" si="118"/>
        <v>jeudi</v>
      </c>
      <c r="D1860" s="87"/>
      <c r="E1860" s="115" t="str">
        <f t="shared" si="119"/>
        <v/>
      </c>
      <c r="F1860" s="115" t="str">
        <f t="shared" si="120"/>
        <v/>
      </c>
      <c r="G1860" s="116" t="str">
        <f>IF(ISNONTEXT(D1860),"",E1860-MAX($F$2:F1859))</f>
        <v/>
      </c>
      <c r="H1860" s="97"/>
      <c r="I1860" s="74" t="str">
        <f ca="1">IF(D1860="N",COUNTIF(INDIRECT(ADDRESS(MATCH(Plages!$D$19,'Planning annuel mixing coater'!$B:$B),4)):D1860,"N"),IF(D1860="N1",COUNTIF($D$9:D1860,"N1"),""))</f>
        <v/>
      </c>
      <c r="J1860" s="96" t="str">
        <f>IF(D1860="","",COUNTA(D1850:D1860)-(COUNTA(D1860:D1860)-1))</f>
        <v/>
      </c>
    </row>
    <row r="1861" spans="1:10" thickBot="1">
      <c r="A1861" s="117"/>
      <c r="B1861" s="70">
        <f t="shared" si="121"/>
        <v>45653</v>
      </c>
      <c r="C1861" s="82" t="str">
        <f t="shared" si="118"/>
        <v>vendredi</v>
      </c>
      <c r="D1861" s="87"/>
      <c r="E1861" s="115" t="str">
        <f t="shared" si="119"/>
        <v/>
      </c>
      <c r="F1861" s="115" t="str">
        <f t="shared" si="120"/>
        <v/>
      </c>
      <c r="G1861" s="116" t="str">
        <f>IF(ISNONTEXT(D1861),"",E1861-MAX($F$2:F1860))</f>
        <v/>
      </c>
      <c r="H1861" s="97"/>
      <c r="I1861" s="74" t="str">
        <f ca="1">IF(D1861="N",COUNTIF(INDIRECT(ADDRESS(MATCH(Plages!$D$19,'Planning annuel mixing coater'!$B:$B),4)):D1861,"N"),IF(D1861="N1",COUNTIF($D$9:D1861,"N1"),""))</f>
        <v/>
      </c>
      <c r="J1861" s="96" t="str">
        <f>IF(D1861="","",COUNTA(D1850:D1861)-(COUNTA(D1861:D1861)-1))</f>
        <v/>
      </c>
    </row>
    <row r="1862" spans="1:10" thickBot="1">
      <c r="A1862" s="117"/>
      <c r="B1862" s="70">
        <f t="shared" si="121"/>
        <v>45654</v>
      </c>
      <c r="C1862" s="82" t="str">
        <f t="shared" si="118"/>
        <v>samedi</v>
      </c>
      <c r="D1862" s="87"/>
      <c r="E1862" s="115" t="str">
        <f t="shared" si="119"/>
        <v/>
      </c>
      <c r="F1862" s="115" t="str">
        <f t="shared" si="120"/>
        <v/>
      </c>
      <c r="G1862" s="116" t="str">
        <f>IF(ISNONTEXT(D1862),"",E1862-MAX($F$2:F1861))</f>
        <v/>
      </c>
      <c r="H1862" s="97"/>
      <c r="I1862" s="74" t="str">
        <f ca="1">IF(D1862="N",COUNTIF(INDIRECT(ADDRESS(MATCH(Plages!$D$19,'Planning annuel mixing coater'!$B:$B),4)):D1862,"N"),IF(D1862="N1",COUNTIF($D$9:D1862,"N1"),""))</f>
        <v/>
      </c>
      <c r="J1862" s="96" t="str">
        <f>IF(D1862="","",COUNTA(D1850:D1862)-(COUNTA(D1862:D1862)-1))</f>
        <v/>
      </c>
    </row>
    <row r="1863" spans="1:10" s="77" customFormat="1" thickBot="1">
      <c r="A1863" s="117"/>
      <c r="B1863" s="75">
        <f t="shared" si="121"/>
        <v>45655</v>
      </c>
      <c r="C1863" s="83" t="str">
        <f t="shared" si="118"/>
        <v>dimanche</v>
      </c>
      <c r="D1863" s="88"/>
      <c r="E1863" s="115" t="str">
        <f t="shared" si="119"/>
        <v/>
      </c>
      <c r="F1863" s="115" t="str">
        <f t="shared" si="120"/>
        <v/>
      </c>
      <c r="G1863" s="116" t="str">
        <f>IF(ISNONTEXT(D1863),"",E1863-MAX($F$2:F1862))</f>
        <v/>
      </c>
      <c r="H1863" s="98"/>
      <c r="I1863" s="76" t="str">
        <f ca="1">IF(D1863="N",COUNTIF(INDIRECT(ADDRESS(MATCH(Plages!$D$19,'Planning annuel mixing coater'!$B:$B),4)):D1863,"N"),IF(D1863="N1",COUNTIF($D$9:D1863,"N1"),""))</f>
        <v/>
      </c>
      <c r="J1863" s="99" t="str">
        <f>IF(D1863="","",COUNTA(D1850:D1863)-(COUNTA(D1863:D1863)-1))</f>
        <v/>
      </c>
    </row>
    <row r="1864" spans="1:10" ht="16.5" thickTop="1" thickBot="1">
      <c r="A1864" s="117"/>
      <c r="B1864" s="78">
        <f t="shared" si="121"/>
        <v>45656</v>
      </c>
      <c r="C1864" s="81" t="str">
        <f t="shared" si="118"/>
        <v>lundi</v>
      </c>
      <c r="D1864" s="89"/>
      <c r="E1864" s="115" t="str">
        <f t="shared" si="119"/>
        <v/>
      </c>
      <c r="F1864" s="115" t="str">
        <f t="shared" si="120"/>
        <v/>
      </c>
      <c r="G1864" s="116" t="str">
        <f>IF(ISNONTEXT(D1864),"",E1864-MAX($F$2:F1863))</f>
        <v/>
      </c>
      <c r="H1864" s="100"/>
      <c r="I1864" s="79" t="str">
        <f ca="1">IF(D1864="N",COUNTIF(INDIRECT(ADDRESS(MATCH(Plages!$D$19,'Planning annuel mixing coater'!$B:$B),4)):D1864,"N"),IF(D1864="N1",COUNTIF($D$9:D1864,"N1"),""))</f>
        <v/>
      </c>
      <c r="J1864" s="101" t="str">
        <f>IF(D1864="","",COUNTA(D1864:D1864)-(COUNTA(D1864:D1864)-1))</f>
        <v/>
      </c>
    </row>
    <row r="1865" spans="1:10" thickBot="1">
      <c r="A1865" s="117"/>
      <c r="B1865" s="70">
        <f t="shared" si="121"/>
        <v>45657</v>
      </c>
      <c r="C1865" s="82" t="str">
        <f t="shared" si="118"/>
        <v>mardi</v>
      </c>
      <c r="D1865" s="87"/>
      <c r="E1865" s="115" t="str">
        <f t="shared" si="119"/>
        <v/>
      </c>
      <c r="F1865" s="115" t="str">
        <f t="shared" si="120"/>
        <v/>
      </c>
      <c r="G1865" s="116" t="str">
        <f>IF(ISNONTEXT(D1865),"",E1865-MAX($F$2:F1864))</f>
        <v/>
      </c>
      <c r="H1865" s="97"/>
      <c r="I1865" s="74" t="str">
        <f ca="1">IF(D1865="N",COUNTIF(INDIRECT(ADDRESS(MATCH(Plages!$D$19,'Planning annuel mixing coater'!$B:$B),4)):D1865,"N"),IF(D1865="N1",COUNTIF($D$9:D1865,"N1"),""))</f>
        <v/>
      </c>
      <c r="J1865" s="96" t="str">
        <f>IF(D1865="","",COUNTA(D1864:D1865)-(COUNTA(D1865:D1865)-1))</f>
        <v/>
      </c>
    </row>
    <row r="1866" spans="1:10" thickBot="1">
      <c r="A1866" s="117"/>
      <c r="B1866" s="70">
        <f t="shared" si="121"/>
        <v>45658</v>
      </c>
      <c r="C1866" s="82" t="str">
        <f t="shared" si="118"/>
        <v>mercredi</v>
      </c>
      <c r="D1866" s="87"/>
      <c r="E1866" s="115" t="str">
        <f t="shared" si="119"/>
        <v/>
      </c>
      <c r="F1866" s="115" t="str">
        <f t="shared" si="120"/>
        <v/>
      </c>
      <c r="G1866" s="116" t="str">
        <f>IF(ISNONTEXT(D1866),"",E1866-MAX($F$2:F1865))</f>
        <v/>
      </c>
      <c r="H1866" s="97"/>
      <c r="I1866" s="74" t="str">
        <f ca="1">IF(D1866="N",COUNTIF(INDIRECT(ADDRESS(MATCH(Plages!$D$19,'Planning annuel mixing coater'!$B:$B),4)):D1866,"N"),IF(D1866="N1",COUNTIF($D$9:D1866,"N1"),""))</f>
        <v/>
      </c>
      <c r="J1866" s="96" t="str">
        <f>IF(D1866="","",COUNTA(D1864:D1866)-(COUNTA(D1866:D1866)-1))</f>
        <v/>
      </c>
    </row>
    <row r="1867" spans="1:10" thickBot="1">
      <c r="A1867" s="117"/>
      <c r="B1867" s="70">
        <f t="shared" si="121"/>
        <v>45659</v>
      </c>
      <c r="C1867" s="82" t="str">
        <f t="shared" si="118"/>
        <v>jeudi</v>
      </c>
      <c r="D1867" s="87"/>
      <c r="E1867" s="115" t="str">
        <f t="shared" si="119"/>
        <v/>
      </c>
      <c r="F1867" s="115" t="str">
        <f t="shared" si="120"/>
        <v/>
      </c>
      <c r="G1867" s="116" t="str">
        <f>IF(ISNONTEXT(D1867),"",E1867-MAX($F$2:F1866))</f>
        <v/>
      </c>
      <c r="H1867" s="97"/>
      <c r="I1867" s="74" t="str">
        <f ca="1">IF(D1867="N",COUNTIF(INDIRECT(ADDRESS(MATCH(Plages!$D$19,'Planning annuel mixing coater'!$B:$B),4)):D1867,"N"),IF(D1867="N1",COUNTIF($D$9:D1867,"N1"),""))</f>
        <v/>
      </c>
      <c r="J1867" s="96" t="str">
        <f>IF(D1867="","",COUNTA(D1864:D1867)-(COUNTA(D1867:D1867)-1))</f>
        <v/>
      </c>
    </row>
    <row r="1868" spans="1:10" thickBot="1">
      <c r="A1868" s="117"/>
      <c r="B1868" s="70">
        <f t="shared" si="121"/>
        <v>45660</v>
      </c>
      <c r="C1868" s="82" t="str">
        <f t="shared" si="118"/>
        <v>vendredi</v>
      </c>
      <c r="D1868" s="87"/>
      <c r="E1868" s="115" t="str">
        <f t="shared" si="119"/>
        <v/>
      </c>
      <c r="F1868" s="115" t="str">
        <f t="shared" si="120"/>
        <v/>
      </c>
      <c r="G1868" s="116" t="str">
        <f>IF(ISNONTEXT(D1868),"",E1868-MAX($F$2:F1867))</f>
        <v/>
      </c>
      <c r="H1868" s="97"/>
      <c r="I1868" s="74" t="str">
        <f ca="1">IF(D1868="N",COUNTIF(INDIRECT(ADDRESS(MATCH(Plages!$D$19,'Planning annuel mixing coater'!$B:$B),4)):D1868,"N"),IF(D1868="N1",COUNTIF($D$9:D1868,"N1"),""))</f>
        <v/>
      </c>
      <c r="J1868" s="96" t="str">
        <f>IF(D1868="","",COUNTA(D1864:D1868)-(COUNTA(D1868:D1868)-1))</f>
        <v/>
      </c>
    </row>
    <row r="1869" spans="1:10" thickBot="1">
      <c r="A1869" s="117"/>
      <c r="B1869" s="70">
        <f t="shared" si="121"/>
        <v>45661</v>
      </c>
      <c r="C1869" s="82" t="str">
        <f t="shared" si="118"/>
        <v>samedi</v>
      </c>
      <c r="D1869" s="87"/>
      <c r="E1869" s="115" t="str">
        <f t="shared" si="119"/>
        <v/>
      </c>
      <c r="F1869" s="115" t="str">
        <f t="shared" si="120"/>
        <v/>
      </c>
      <c r="G1869" s="116" t="str">
        <f>IF(ISNONTEXT(D1869),"",E1869-MAX($F$2:F1868))</f>
        <v/>
      </c>
      <c r="H1869" s="97"/>
      <c r="I1869" s="74" t="str">
        <f ca="1">IF(D1869="N",COUNTIF(INDIRECT(ADDRESS(MATCH(Plages!$D$19,'Planning annuel mixing coater'!$B:$B),4)):D1869,"N"),IF(D1869="N1",COUNTIF($D$9:D1869,"N1"),""))</f>
        <v/>
      </c>
      <c r="J1869" s="96" t="str">
        <f>IF(D1869="","",COUNTA(D1864:D1869)-(COUNTA(D1869:D1869)-1))</f>
        <v/>
      </c>
    </row>
    <row r="1870" spans="1:10" thickBot="1">
      <c r="A1870" s="117"/>
      <c r="B1870" s="70">
        <f t="shared" si="121"/>
        <v>45662</v>
      </c>
      <c r="C1870" s="82" t="str">
        <f t="shared" si="118"/>
        <v>dimanche</v>
      </c>
      <c r="D1870" s="87"/>
      <c r="E1870" s="115" t="str">
        <f t="shared" si="119"/>
        <v/>
      </c>
      <c r="F1870" s="115" t="str">
        <f t="shared" si="120"/>
        <v/>
      </c>
      <c r="G1870" s="116" t="str">
        <f>IF(ISNONTEXT(D1870),"",E1870-MAX($F$2:F1869))</f>
        <v/>
      </c>
      <c r="H1870" s="98"/>
      <c r="I1870" s="74" t="str">
        <f ca="1">IF(D1870="N",COUNTIF(INDIRECT(ADDRESS(MATCH(Plages!$D$19,'Planning annuel mixing coater'!$B:$B),4)):D1870,"N"),IF(D1870="N1",COUNTIF($D$9:D1870,"N1"),""))</f>
        <v/>
      </c>
      <c r="J1870" s="96" t="str">
        <f>IF(D1870="","",COUNTA(D1864:D1870)-(COUNTA(D1870:D1870)-1))</f>
        <v/>
      </c>
    </row>
    <row r="1871" spans="1:10" thickBot="1">
      <c r="A1871" s="117"/>
      <c r="B1871" s="70">
        <f t="shared" si="121"/>
        <v>45663</v>
      </c>
      <c r="C1871" s="82" t="str">
        <f t="shared" si="118"/>
        <v>lundi</v>
      </c>
      <c r="D1871" s="87"/>
      <c r="E1871" s="115" t="str">
        <f t="shared" si="119"/>
        <v/>
      </c>
      <c r="F1871" s="115" t="str">
        <f t="shared" si="120"/>
        <v/>
      </c>
      <c r="G1871" s="116" t="str">
        <f>IF(ISNONTEXT(D1871),"",E1871-MAX($F$2:F1870))</f>
        <v/>
      </c>
      <c r="H1871" s="97"/>
      <c r="I1871" s="74" t="str">
        <f ca="1">IF(D1871="N",COUNTIF(INDIRECT(ADDRESS(MATCH(Plages!$D$19,'Planning annuel mixing coater'!$B:$B),4)):D1871,"N"),IF(D1871="N1",COUNTIF($D$9:D1871,"N1"),""))</f>
        <v/>
      </c>
      <c r="J1871" s="96" t="str">
        <f>IF(D1871="","",COUNTA(D1864:D1871)-(COUNTA(D1871:D1871)-1))</f>
        <v/>
      </c>
    </row>
    <row r="1872" spans="1:10" thickBot="1">
      <c r="A1872" s="117"/>
      <c r="B1872" s="70">
        <f t="shared" si="121"/>
        <v>45664</v>
      </c>
      <c r="C1872" s="82" t="str">
        <f t="shared" si="118"/>
        <v>mardi</v>
      </c>
      <c r="D1872" s="87"/>
      <c r="E1872" s="115" t="str">
        <f t="shared" si="119"/>
        <v/>
      </c>
      <c r="F1872" s="115" t="str">
        <f t="shared" si="120"/>
        <v/>
      </c>
      <c r="G1872" s="116" t="str">
        <f>IF(ISNONTEXT(D1872),"",E1872-MAX($F$2:F1871))</f>
        <v/>
      </c>
      <c r="H1872" s="97"/>
      <c r="I1872" s="74" t="str">
        <f ca="1">IF(D1872="N",COUNTIF(INDIRECT(ADDRESS(MATCH(Plages!$D$19,'Planning annuel mixing coater'!$B:$B),4)):D1872,"N"),IF(D1872="N1",COUNTIF($D$9:D1872,"N1"),""))</f>
        <v/>
      </c>
      <c r="J1872" s="96" t="str">
        <f>IF(D1872="","",COUNTA(D1864:D1872)-(COUNTA(D1872:D1872)-1))</f>
        <v/>
      </c>
    </row>
    <row r="1873" spans="1:10" thickBot="1">
      <c r="A1873" s="117"/>
      <c r="B1873" s="70">
        <f t="shared" si="121"/>
        <v>45665</v>
      </c>
      <c r="C1873" s="82" t="str">
        <f t="shared" si="118"/>
        <v>mercredi</v>
      </c>
      <c r="D1873" s="87"/>
      <c r="E1873" s="115" t="str">
        <f t="shared" si="119"/>
        <v/>
      </c>
      <c r="F1873" s="115" t="str">
        <f t="shared" si="120"/>
        <v/>
      </c>
      <c r="G1873" s="116" t="str">
        <f>IF(ISNONTEXT(D1873),"",E1873-MAX($F$2:F1872))</f>
        <v/>
      </c>
      <c r="H1873" s="97"/>
      <c r="I1873" s="74" t="str">
        <f ca="1">IF(D1873="N",COUNTIF(INDIRECT(ADDRESS(MATCH(Plages!$D$19,'Planning annuel mixing coater'!$B:$B),4)):D1873,"N"),IF(D1873="N1",COUNTIF($D$9:D1873,"N1"),""))</f>
        <v/>
      </c>
      <c r="J1873" s="96" t="str">
        <f>IF(D1873="","",COUNTA(D1864:D1873)-(COUNTA(D1873:D1873)-1))</f>
        <v/>
      </c>
    </row>
    <row r="1874" spans="1:10" thickBot="1">
      <c r="A1874" s="117"/>
      <c r="B1874" s="70">
        <f t="shared" si="121"/>
        <v>45666</v>
      </c>
      <c r="C1874" s="82" t="str">
        <f t="shared" si="118"/>
        <v>jeudi</v>
      </c>
      <c r="D1874" s="87"/>
      <c r="E1874" s="115" t="str">
        <f t="shared" si="119"/>
        <v/>
      </c>
      <c r="F1874" s="115" t="str">
        <f t="shared" si="120"/>
        <v/>
      </c>
      <c r="G1874" s="116" t="str">
        <f>IF(ISNONTEXT(D1874),"",E1874-MAX($F$2:F1873))</f>
        <v/>
      </c>
      <c r="H1874" s="97"/>
      <c r="I1874" s="74" t="str">
        <f ca="1">IF(D1874="N",COUNTIF(INDIRECT(ADDRESS(MATCH(Plages!$D$19,'Planning annuel mixing coater'!$B:$B),4)):D1874,"N"),IF(D1874="N1",COUNTIF($D$9:D1874,"N1"),""))</f>
        <v/>
      </c>
      <c r="J1874" s="96" t="str">
        <f>IF(D1874="","",COUNTA(D1864:D1874)-(COUNTA(D1874:D1874)-1))</f>
        <v/>
      </c>
    </row>
    <row r="1875" spans="1:10" thickBot="1">
      <c r="A1875" s="117"/>
      <c r="B1875" s="70">
        <f t="shared" si="121"/>
        <v>45667</v>
      </c>
      <c r="C1875" s="82" t="str">
        <f t="shared" si="118"/>
        <v>vendredi</v>
      </c>
      <c r="D1875" s="87"/>
      <c r="E1875" s="115" t="str">
        <f t="shared" si="119"/>
        <v/>
      </c>
      <c r="F1875" s="115" t="str">
        <f t="shared" si="120"/>
        <v/>
      </c>
      <c r="G1875" s="116" t="str">
        <f>IF(ISNONTEXT(D1875),"",E1875-MAX($F$2:F1874))</f>
        <v/>
      </c>
      <c r="H1875" s="97"/>
      <c r="I1875" s="74" t="str">
        <f ca="1">IF(D1875="N",COUNTIF(INDIRECT(ADDRESS(MATCH(Plages!$D$19,'Planning annuel mixing coater'!$B:$B),4)):D1875,"N"),IF(D1875="N1",COUNTIF($D$9:D1875,"N1"),""))</f>
        <v/>
      </c>
      <c r="J1875" s="96" t="str">
        <f>IF(D1875="","",COUNTA(D1864:D1875)-(COUNTA(D1875:D1875)-1))</f>
        <v/>
      </c>
    </row>
    <row r="1876" spans="1:10" thickBot="1">
      <c r="A1876" s="117"/>
      <c r="B1876" s="70">
        <f t="shared" si="121"/>
        <v>45668</v>
      </c>
      <c r="C1876" s="82" t="str">
        <f t="shared" si="118"/>
        <v>samedi</v>
      </c>
      <c r="D1876" s="87"/>
      <c r="E1876" s="115" t="str">
        <f t="shared" si="119"/>
        <v/>
      </c>
      <c r="F1876" s="115" t="str">
        <f t="shared" si="120"/>
        <v/>
      </c>
      <c r="G1876" s="116" t="str">
        <f>IF(ISNONTEXT(D1876),"",E1876-MAX($F$2:F1875))</f>
        <v/>
      </c>
      <c r="H1876" s="97"/>
      <c r="I1876" s="74" t="str">
        <f ca="1">IF(D1876="N",COUNTIF(INDIRECT(ADDRESS(MATCH(Plages!$D$19,'Planning annuel mixing coater'!$B:$B),4)):D1876,"N"),IF(D1876="N1",COUNTIF($D$9:D1876,"N1"),""))</f>
        <v/>
      </c>
      <c r="J1876" s="96" t="str">
        <f>IF(D1876="","",COUNTA(D1864:D1876)-(COUNTA(D1876:D1876)-1))</f>
        <v/>
      </c>
    </row>
    <row r="1877" spans="1:10" s="77" customFormat="1" thickBot="1">
      <c r="A1877" s="117"/>
      <c r="B1877" s="75">
        <f t="shared" si="121"/>
        <v>45669</v>
      </c>
      <c r="C1877" s="83" t="str">
        <f t="shared" si="118"/>
        <v>dimanche</v>
      </c>
      <c r="D1877" s="88"/>
      <c r="E1877" s="115" t="str">
        <f t="shared" si="119"/>
        <v/>
      </c>
      <c r="F1877" s="115" t="str">
        <f t="shared" si="120"/>
        <v/>
      </c>
      <c r="G1877" s="116" t="str">
        <f>IF(ISNONTEXT(D1877),"",E1877-MAX($F$2:F1876))</f>
        <v/>
      </c>
      <c r="H1877" s="98"/>
      <c r="I1877" s="76" t="str">
        <f ca="1">IF(D1877="N",COUNTIF(INDIRECT(ADDRESS(MATCH(Plages!$D$19,'Planning annuel mixing coater'!$B:$B),4)):D1877,"N"),IF(D1877="N1",COUNTIF($D$9:D1877,"N1"),""))</f>
        <v/>
      </c>
      <c r="J1877" s="99" t="str">
        <f>IF(D1877="","",COUNTA(D1864:D1877)-(COUNTA(D1877:D1877)-1))</f>
        <v/>
      </c>
    </row>
    <row r="1878" spans="1:10" ht="16.5" thickTop="1" thickBot="1">
      <c r="A1878" s="117"/>
      <c r="B1878" s="78">
        <f t="shared" si="121"/>
        <v>45670</v>
      </c>
      <c r="C1878" s="81" t="str">
        <f t="shared" si="118"/>
        <v>lundi</v>
      </c>
      <c r="D1878" s="89"/>
      <c r="E1878" s="115" t="str">
        <f t="shared" si="119"/>
        <v/>
      </c>
      <c r="F1878" s="115" t="str">
        <f t="shared" si="120"/>
        <v/>
      </c>
      <c r="G1878" s="116" t="str">
        <f>IF(ISNONTEXT(D1878),"",E1878-MAX($F$2:F1877))</f>
        <v/>
      </c>
      <c r="H1878" s="100"/>
      <c r="I1878" s="79" t="str">
        <f ca="1">IF(D1878="N",COUNTIF(INDIRECT(ADDRESS(MATCH(Plages!$D$19,'Planning annuel mixing coater'!$B:$B),4)):D1878,"N"),IF(D1878="N1",COUNTIF($D$9:D1878,"N1"),""))</f>
        <v/>
      </c>
      <c r="J1878" s="101" t="str">
        <f>IF(D1878="","",COUNTA(D1878:D1878)-(COUNTA(D1878:D1878)-1))</f>
        <v/>
      </c>
    </row>
    <row r="1879" spans="1:10" thickBot="1">
      <c r="A1879" s="117"/>
      <c r="B1879" s="70">
        <f t="shared" si="121"/>
        <v>45671</v>
      </c>
      <c r="C1879" s="82" t="str">
        <f t="shared" si="118"/>
        <v>mardi</v>
      </c>
      <c r="D1879" s="87"/>
      <c r="E1879" s="115" t="str">
        <f t="shared" si="119"/>
        <v/>
      </c>
      <c r="F1879" s="115" t="str">
        <f t="shared" si="120"/>
        <v/>
      </c>
      <c r="G1879" s="116" t="str">
        <f>IF(ISNONTEXT(D1879),"",E1879-MAX($F$2:F1878))</f>
        <v/>
      </c>
      <c r="H1879" s="97"/>
      <c r="I1879" s="74" t="str">
        <f ca="1">IF(D1879="N",COUNTIF(INDIRECT(ADDRESS(MATCH(Plages!$D$19,'Planning annuel mixing coater'!$B:$B),4)):D1879,"N"),IF(D1879="N1",COUNTIF($D$9:D1879,"N1"),""))</f>
        <v/>
      </c>
      <c r="J1879" s="96" t="str">
        <f>IF(D1879="","",COUNTA(D1878:D1879)-(COUNTA(D1879:D1879)-1))</f>
        <v/>
      </c>
    </row>
    <row r="1880" spans="1:10" thickBot="1">
      <c r="A1880" s="117"/>
      <c r="B1880" s="70">
        <f t="shared" si="121"/>
        <v>45672</v>
      </c>
      <c r="C1880" s="82" t="str">
        <f t="shared" si="118"/>
        <v>mercredi</v>
      </c>
      <c r="D1880" s="87"/>
      <c r="E1880" s="115" t="str">
        <f t="shared" si="119"/>
        <v/>
      </c>
      <c r="F1880" s="115" t="str">
        <f t="shared" si="120"/>
        <v/>
      </c>
      <c r="G1880" s="116" t="str">
        <f>IF(ISNONTEXT(D1880),"",E1880-MAX($F$2:F1879))</f>
        <v/>
      </c>
      <c r="H1880" s="97"/>
      <c r="I1880" s="74" t="str">
        <f ca="1">IF(D1880="N",COUNTIF(INDIRECT(ADDRESS(MATCH(Plages!$D$19,'Planning annuel mixing coater'!$B:$B),4)):D1880,"N"),IF(D1880="N1",COUNTIF($D$9:D1880,"N1"),""))</f>
        <v/>
      </c>
      <c r="J1880" s="96" t="str">
        <f>IF(D1880="","",COUNTA(D1878:D1880)-(COUNTA(D1880:D1880)-1))</f>
        <v/>
      </c>
    </row>
    <row r="1881" spans="1:10" thickBot="1">
      <c r="A1881" s="117"/>
      <c r="B1881" s="70">
        <f t="shared" si="121"/>
        <v>45673</v>
      </c>
      <c r="C1881" s="82" t="str">
        <f t="shared" si="118"/>
        <v>jeudi</v>
      </c>
      <c r="D1881" s="87"/>
      <c r="E1881" s="115" t="str">
        <f t="shared" si="119"/>
        <v/>
      </c>
      <c r="F1881" s="115" t="str">
        <f t="shared" si="120"/>
        <v/>
      </c>
      <c r="G1881" s="116" t="str">
        <f>IF(ISNONTEXT(D1881),"",E1881-MAX($F$2:F1880))</f>
        <v/>
      </c>
      <c r="H1881" s="97"/>
      <c r="I1881" s="74" t="str">
        <f ca="1">IF(D1881="N",COUNTIF(INDIRECT(ADDRESS(MATCH(Plages!$D$19,'Planning annuel mixing coater'!$B:$B),4)):D1881,"N"),IF(D1881="N1",COUNTIF($D$9:D1881,"N1"),""))</f>
        <v/>
      </c>
      <c r="J1881" s="96" t="str">
        <f>IF(D1881="","",COUNTA(D1878:D1881)-(COUNTA(D1881:D1881)-1))</f>
        <v/>
      </c>
    </row>
    <row r="1882" spans="1:10" thickBot="1">
      <c r="A1882" s="117"/>
      <c r="B1882" s="70">
        <f t="shared" si="121"/>
        <v>45674</v>
      </c>
      <c r="C1882" s="82" t="str">
        <f t="shared" si="118"/>
        <v>vendredi</v>
      </c>
      <c r="D1882" s="87"/>
      <c r="E1882" s="115" t="str">
        <f t="shared" si="119"/>
        <v/>
      </c>
      <c r="F1882" s="115" t="str">
        <f t="shared" si="120"/>
        <v/>
      </c>
      <c r="G1882" s="116" t="str">
        <f>IF(ISNONTEXT(D1882),"",E1882-MAX($F$2:F1881))</f>
        <v/>
      </c>
      <c r="H1882" s="97"/>
      <c r="I1882" s="74" t="str">
        <f ca="1">IF(D1882="N",COUNTIF(INDIRECT(ADDRESS(MATCH(Plages!$D$19,'Planning annuel mixing coater'!$B:$B),4)):D1882,"N"),IF(D1882="N1",COUNTIF($D$9:D1882,"N1"),""))</f>
        <v/>
      </c>
      <c r="J1882" s="96" t="str">
        <f>IF(D1882="","",COUNTA(D1878:D1882)-(COUNTA(D1882:D1882)-1))</f>
        <v/>
      </c>
    </row>
    <row r="1883" spans="1:10" thickBot="1">
      <c r="A1883" s="117"/>
      <c r="B1883" s="70">
        <f t="shared" si="121"/>
        <v>45675</v>
      </c>
      <c r="C1883" s="82" t="str">
        <f t="shared" si="118"/>
        <v>samedi</v>
      </c>
      <c r="D1883" s="87"/>
      <c r="E1883" s="115" t="str">
        <f t="shared" si="119"/>
        <v/>
      </c>
      <c r="F1883" s="115" t="str">
        <f t="shared" si="120"/>
        <v/>
      </c>
      <c r="G1883" s="116" t="str">
        <f>IF(ISNONTEXT(D1883),"",E1883-MAX($F$2:F1882))</f>
        <v/>
      </c>
      <c r="H1883" s="97"/>
      <c r="I1883" s="74" t="str">
        <f ca="1">IF(D1883="N",COUNTIF(INDIRECT(ADDRESS(MATCH(Plages!$D$19,'Planning annuel mixing coater'!$B:$B),4)):D1883,"N"),IF(D1883="N1",COUNTIF($D$9:D1883,"N1"),""))</f>
        <v/>
      </c>
      <c r="J1883" s="96" t="str">
        <f>IF(D1883="","",COUNTA(D1878:D1883)-(COUNTA(D1883:D1883)-1))</f>
        <v/>
      </c>
    </row>
    <row r="1884" spans="1:10" thickBot="1">
      <c r="A1884" s="117"/>
      <c r="B1884" s="70">
        <f t="shared" si="121"/>
        <v>45676</v>
      </c>
      <c r="C1884" s="82" t="str">
        <f t="shared" si="118"/>
        <v>dimanche</v>
      </c>
      <c r="D1884" s="87"/>
      <c r="E1884" s="115" t="str">
        <f t="shared" si="119"/>
        <v/>
      </c>
      <c r="F1884" s="115" t="str">
        <f t="shared" si="120"/>
        <v/>
      </c>
      <c r="G1884" s="116" t="str">
        <f>IF(ISNONTEXT(D1884),"",E1884-MAX($F$2:F1883))</f>
        <v/>
      </c>
      <c r="H1884" s="98"/>
      <c r="I1884" s="74" t="str">
        <f ca="1">IF(D1884="N",COUNTIF(INDIRECT(ADDRESS(MATCH(Plages!$D$19,'Planning annuel mixing coater'!$B:$B),4)):D1884,"N"),IF(D1884="N1",COUNTIF($D$9:D1884,"N1"),""))</f>
        <v/>
      </c>
      <c r="J1884" s="96" t="str">
        <f>IF(D1884="","",COUNTA(D1878:D1884)-(COUNTA(D1884:D1884)-1))</f>
        <v/>
      </c>
    </row>
    <row r="1885" spans="1:10" thickBot="1">
      <c r="A1885" s="117"/>
      <c r="B1885" s="70">
        <f t="shared" si="121"/>
        <v>45677</v>
      </c>
      <c r="C1885" s="82" t="str">
        <f t="shared" si="118"/>
        <v>lundi</v>
      </c>
      <c r="D1885" s="87"/>
      <c r="E1885" s="115" t="str">
        <f t="shared" si="119"/>
        <v/>
      </c>
      <c r="F1885" s="115" t="str">
        <f t="shared" si="120"/>
        <v/>
      </c>
      <c r="G1885" s="116" t="str">
        <f>IF(ISNONTEXT(D1885),"",E1885-MAX($F$2:F1884))</f>
        <v/>
      </c>
      <c r="H1885" s="97"/>
      <c r="I1885" s="74" t="str">
        <f ca="1">IF(D1885="N",COUNTIF(INDIRECT(ADDRESS(MATCH(Plages!$D$19,'Planning annuel mixing coater'!$B:$B),4)):D1885,"N"),IF(D1885="N1",COUNTIF($D$9:D1885,"N1"),""))</f>
        <v/>
      </c>
      <c r="J1885" s="96" t="str">
        <f>IF(D1885="","",COUNTA(D1878:D1885)-(COUNTA(D1885:D1885)-1))</f>
        <v/>
      </c>
    </row>
    <row r="1886" spans="1:10" thickBot="1">
      <c r="A1886" s="117"/>
      <c r="B1886" s="70">
        <f t="shared" si="121"/>
        <v>45678</v>
      </c>
      <c r="C1886" s="82" t="str">
        <f t="shared" ref="C1886:C1949" si="122">IF(B1886="","",TEXT(B1886,"jjjj"))</f>
        <v>mardi</v>
      </c>
      <c r="D1886" s="87"/>
      <c r="E1886" s="115" t="str">
        <f t="shared" ref="E1886:E1949" si="123">IF(D1886="","",B1886+VLOOKUP(D1886,Plageh,2,0))</f>
        <v/>
      </c>
      <c r="F1886" s="115" t="str">
        <f t="shared" ref="F1886:F1949" si="124">IF(D1886="","",B1886+VLOOKUP(D1886,Plageh,3,0))</f>
        <v/>
      </c>
      <c r="G1886" s="116" t="str">
        <f>IF(ISNONTEXT(D1886),"",E1886-MAX($F$2:F1885))</f>
        <v/>
      </c>
      <c r="H1886" s="97"/>
      <c r="I1886" s="74" t="str">
        <f ca="1">IF(D1886="N",COUNTIF(INDIRECT(ADDRESS(MATCH(Plages!$D$19,'Planning annuel mixing coater'!$B:$B),4)):D1886,"N"),IF(D1886="N1",COUNTIF($D$9:D1886,"N1"),""))</f>
        <v/>
      </c>
      <c r="J1886" s="96" t="str">
        <f>IF(D1886="","",COUNTA(D1878:D1886)-(COUNTA(D1886:D1886)-1))</f>
        <v/>
      </c>
    </row>
    <row r="1887" spans="1:10" thickBot="1">
      <c r="A1887" s="117"/>
      <c r="B1887" s="70">
        <f t="shared" si="121"/>
        <v>45679</v>
      </c>
      <c r="C1887" s="82" t="str">
        <f t="shared" si="122"/>
        <v>mercredi</v>
      </c>
      <c r="D1887" s="87"/>
      <c r="E1887" s="115" t="str">
        <f t="shared" si="123"/>
        <v/>
      </c>
      <c r="F1887" s="115" t="str">
        <f t="shared" si="124"/>
        <v/>
      </c>
      <c r="G1887" s="116" t="str">
        <f>IF(ISNONTEXT(D1887),"",E1887-MAX($F$2:F1886))</f>
        <v/>
      </c>
      <c r="H1887" s="97"/>
      <c r="I1887" s="74" t="str">
        <f ca="1">IF(D1887="N",COUNTIF(INDIRECT(ADDRESS(MATCH(Plages!$D$19,'Planning annuel mixing coater'!$B:$B),4)):D1887,"N"),IF(D1887="N1",COUNTIF($D$9:D1887,"N1"),""))</f>
        <v/>
      </c>
      <c r="J1887" s="96" t="str">
        <f>IF(D1887="","",COUNTA(D1878:D1887)-(COUNTA(D1887:D1887)-1))</f>
        <v/>
      </c>
    </row>
    <row r="1888" spans="1:10" thickBot="1">
      <c r="A1888" s="117"/>
      <c r="B1888" s="70">
        <f t="shared" si="121"/>
        <v>45680</v>
      </c>
      <c r="C1888" s="82" t="str">
        <f t="shared" si="122"/>
        <v>jeudi</v>
      </c>
      <c r="D1888" s="87"/>
      <c r="E1888" s="115" t="str">
        <f t="shared" si="123"/>
        <v/>
      </c>
      <c r="F1888" s="115" t="str">
        <f t="shared" si="124"/>
        <v/>
      </c>
      <c r="G1888" s="116" t="str">
        <f>IF(ISNONTEXT(D1888),"",E1888-MAX($F$2:F1887))</f>
        <v/>
      </c>
      <c r="H1888" s="97"/>
      <c r="I1888" s="74" t="str">
        <f ca="1">IF(D1888="N",COUNTIF(INDIRECT(ADDRESS(MATCH(Plages!$D$19,'Planning annuel mixing coater'!$B:$B),4)):D1888,"N"),IF(D1888="N1",COUNTIF($D$9:D1888,"N1"),""))</f>
        <v/>
      </c>
      <c r="J1888" s="96" t="str">
        <f>IF(D1888="","",COUNTA(D1878:D1888)-(COUNTA(D1888:D1888)-1))</f>
        <v/>
      </c>
    </row>
    <row r="1889" spans="1:10" thickBot="1">
      <c r="A1889" s="117"/>
      <c r="B1889" s="70">
        <f t="shared" si="121"/>
        <v>45681</v>
      </c>
      <c r="C1889" s="82" t="str">
        <f t="shared" si="122"/>
        <v>vendredi</v>
      </c>
      <c r="D1889" s="87"/>
      <c r="E1889" s="115" t="str">
        <f t="shared" si="123"/>
        <v/>
      </c>
      <c r="F1889" s="115" t="str">
        <f t="shared" si="124"/>
        <v/>
      </c>
      <c r="G1889" s="116" t="str">
        <f>IF(ISNONTEXT(D1889),"",E1889-MAX($F$2:F1888))</f>
        <v/>
      </c>
      <c r="H1889" s="97"/>
      <c r="I1889" s="74" t="str">
        <f ca="1">IF(D1889="N",COUNTIF(INDIRECT(ADDRESS(MATCH(Plages!$D$19,'Planning annuel mixing coater'!$B:$B),4)):D1889,"N"),IF(D1889="N1",COUNTIF($D$9:D1889,"N1"),""))</f>
        <v/>
      </c>
      <c r="J1889" s="96" t="str">
        <f>IF(D1889="","",COUNTA(D1878:D1889)-(COUNTA(D1889:D1889)-1))</f>
        <v/>
      </c>
    </row>
    <row r="1890" spans="1:10" thickBot="1">
      <c r="A1890" s="117"/>
      <c r="B1890" s="70">
        <f t="shared" si="121"/>
        <v>45682</v>
      </c>
      <c r="C1890" s="82" t="str">
        <f t="shared" si="122"/>
        <v>samedi</v>
      </c>
      <c r="D1890" s="87"/>
      <c r="E1890" s="115" t="str">
        <f t="shared" si="123"/>
        <v/>
      </c>
      <c r="F1890" s="115" t="str">
        <f t="shared" si="124"/>
        <v/>
      </c>
      <c r="G1890" s="116" t="str">
        <f>IF(ISNONTEXT(D1890),"",E1890-MAX($F$2:F1889))</f>
        <v/>
      </c>
      <c r="H1890" s="97"/>
      <c r="I1890" s="74" t="str">
        <f ca="1">IF(D1890="N",COUNTIF(INDIRECT(ADDRESS(MATCH(Plages!$D$19,'Planning annuel mixing coater'!$B:$B),4)):D1890,"N"),IF(D1890="N1",COUNTIF($D$9:D1890,"N1"),""))</f>
        <v/>
      </c>
      <c r="J1890" s="96" t="str">
        <f>IF(D1890="","",COUNTA(D1878:D1890)-(COUNTA(D1890:D1890)-1))</f>
        <v/>
      </c>
    </row>
    <row r="1891" spans="1:10" s="77" customFormat="1" thickBot="1">
      <c r="A1891" s="117"/>
      <c r="B1891" s="75">
        <f t="shared" si="121"/>
        <v>45683</v>
      </c>
      <c r="C1891" s="83" t="str">
        <f t="shared" si="122"/>
        <v>dimanche</v>
      </c>
      <c r="D1891" s="88"/>
      <c r="E1891" s="115" t="str">
        <f t="shared" si="123"/>
        <v/>
      </c>
      <c r="F1891" s="115" t="str">
        <f t="shared" si="124"/>
        <v/>
      </c>
      <c r="G1891" s="116" t="str">
        <f>IF(ISNONTEXT(D1891),"",E1891-MAX($F$2:F1890))</f>
        <v/>
      </c>
      <c r="H1891" s="98"/>
      <c r="I1891" s="76" t="str">
        <f ca="1">IF(D1891="N",COUNTIF(INDIRECT(ADDRESS(MATCH(Plages!$D$19,'Planning annuel mixing coater'!$B:$B),4)):D1891,"N"),IF(D1891="N1",COUNTIF($D$9:D1891,"N1"),""))</f>
        <v/>
      </c>
      <c r="J1891" s="99" t="str">
        <f>IF(D1891="","",COUNTA(D1878:D1891)-(COUNTA(D1891:D1891)-1))</f>
        <v/>
      </c>
    </row>
    <row r="1892" spans="1:10" ht="16.5" thickTop="1" thickBot="1">
      <c r="A1892" s="117"/>
      <c r="B1892" s="78">
        <f t="shared" si="121"/>
        <v>45684</v>
      </c>
      <c r="C1892" s="81" t="str">
        <f t="shared" si="122"/>
        <v>lundi</v>
      </c>
      <c r="D1892" s="89"/>
      <c r="E1892" s="115" t="str">
        <f t="shared" si="123"/>
        <v/>
      </c>
      <c r="F1892" s="115" t="str">
        <f t="shared" si="124"/>
        <v/>
      </c>
      <c r="G1892" s="116" t="str">
        <f>IF(ISNONTEXT(D1892),"",E1892-MAX($F$2:F1891))</f>
        <v/>
      </c>
      <c r="H1892" s="100"/>
      <c r="I1892" s="79" t="str">
        <f ca="1">IF(D1892="N",COUNTIF(INDIRECT(ADDRESS(MATCH(Plages!$D$19,'Planning annuel mixing coater'!$B:$B),4)):D1892,"N"),IF(D1892="N1",COUNTIF($D$9:D1892,"N1"),""))</f>
        <v/>
      </c>
      <c r="J1892" s="101" t="str">
        <f>IF(D1892="","",COUNTA(D1892:D1892)-(COUNTA(D1892:D1892)-1))</f>
        <v/>
      </c>
    </row>
    <row r="1893" spans="1:10" thickBot="1">
      <c r="A1893" s="117"/>
      <c r="B1893" s="70">
        <f t="shared" si="121"/>
        <v>45685</v>
      </c>
      <c r="C1893" s="82" t="str">
        <f t="shared" si="122"/>
        <v>mardi</v>
      </c>
      <c r="D1893" s="87"/>
      <c r="E1893" s="115" t="str">
        <f t="shared" si="123"/>
        <v/>
      </c>
      <c r="F1893" s="115" t="str">
        <f t="shared" si="124"/>
        <v/>
      </c>
      <c r="G1893" s="116" t="str">
        <f>IF(ISNONTEXT(D1893),"",E1893-MAX($F$2:F1892))</f>
        <v/>
      </c>
      <c r="H1893" s="97"/>
      <c r="I1893" s="74" t="str">
        <f ca="1">IF(D1893="N",COUNTIF(INDIRECT(ADDRESS(MATCH(Plages!$D$19,'Planning annuel mixing coater'!$B:$B),4)):D1893,"N"),IF(D1893="N1",COUNTIF($D$9:D1893,"N1"),""))</f>
        <v/>
      </c>
      <c r="J1893" s="96" t="str">
        <f>IF(D1893="","",COUNTA(D1892:D1893)-(COUNTA(D1893:D1893)-1))</f>
        <v/>
      </c>
    </row>
    <row r="1894" spans="1:10" thickBot="1">
      <c r="A1894" s="117"/>
      <c r="B1894" s="70">
        <f t="shared" si="121"/>
        <v>45686</v>
      </c>
      <c r="C1894" s="82" t="str">
        <f t="shared" si="122"/>
        <v>mercredi</v>
      </c>
      <c r="D1894" s="87"/>
      <c r="E1894" s="115" t="str">
        <f t="shared" si="123"/>
        <v/>
      </c>
      <c r="F1894" s="115" t="str">
        <f t="shared" si="124"/>
        <v/>
      </c>
      <c r="G1894" s="116" t="str">
        <f>IF(ISNONTEXT(D1894),"",E1894-MAX($F$2:F1893))</f>
        <v/>
      </c>
      <c r="H1894" s="97"/>
      <c r="I1894" s="74" t="str">
        <f ca="1">IF(D1894="N",COUNTIF(INDIRECT(ADDRESS(MATCH(Plages!$D$19,'Planning annuel mixing coater'!$B:$B),4)):D1894,"N"),IF(D1894="N1",COUNTIF($D$9:D1894,"N1"),""))</f>
        <v/>
      </c>
      <c r="J1894" s="96" t="str">
        <f>IF(D1894="","",COUNTA(D1892:D1894)-(COUNTA(D1894:D1894)-1))</f>
        <v/>
      </c>
    </row>
    <row r="1895" spans="1:10" thickBot="1">
      <c r="A1895" s="117"/>
      <c r="B1895" s="70">
        <f t="shared" si="121"/>
        <v>45687</v>
      </c>
      <c r="C1895" s="82" t="str">
        <f t="shared" si="122"/>
        <v>jeudi</v>
      </c>
      <c r="D1895" s="87"/>
      <c r="E1895" s="115" t="str">
        <f t="shared" si="123"/>
        <v/>
      </c>
      <c r="F1895" s="115" t="str">
        <f t="shared" si="124"/>
        <v/>
      </c>
      <c r="G1895" s="116" t="str">
        <f>IF(ISNONTEXT(D1895),"",E1895-MAX($F$2:F1894))</f>
        <v/>
      </c>
      <c r="H1895" s="97"/>
      <c r="I1895" s="74" t="str">
        <f ca="1">IF(D1895="N",COUNTIF(INDIRECT(ADDRESS(MATCH(Plages!$D$19,'Planning annuel mixing coater'!$B:$B),4)):D1895,"N"),IF(D1895="N1",COUNTIF($D$9:D1895,"N1"),""))</f>
        <v/>
      </c>
      <c r="J1895" s="96" t="str">
        <f>IF(D1895="","",COUNTA(D1892:D1895)-(COUNTA(D1895:D1895)-1))</f>
        <v/>
      </c>
    </row>
    <row r="1896" spans="1:10" thickBot="1">
      <c r="A1896" s="117"/>
      <c r="B1896" s="70">
        <f t="shared" si="121"/>
        <v>45688</v>
      </c>
      <c r="C1896" s="82" t="str">
        <f t="shared" si="122"/>
        <v>vendredi</v>
      </c>
      <c r="D1896" s="87"/>
      <c r="E1896" s="115" t="str">
        <f t="shared" si="123"/>
        <v/>
      </c>
      <c r="F1896" s="115" t="str">
        <f t="shared" si="124"/>
        <v/>
      </c>
      <c r="G1896" s="116" t="str">
        <f>IF(ISNONTEXT(D1896),"",E1896-MAX($F$2:F1895))</f>
        <v/>
      </c>
      <c r="H1896" s="97"/>
      <c r="I1896" s="74" t="str">
        <f ca="1">IF(D1896="N",COUNTIF(INDIRECT(ADDRESS(MATCH(Plages!$D$19,'Planning annuel mixing coater'!$B:$B),4)):D1896,"N"),IF(D1896="N1",COUNTIF($D$9:D1896,"N1"),""))</f>
        <v/>
      </c>
      <c r="J1896" s="96" t="str">
        <f>IF(D1896="","",COUNTA(D1892:D1896)-(COUNTA(D1896:D1896)-1))</f>
        <v/>
      </c>
    </row>
    <row r="1897" spans="1:10" thickBot="1">
      <c r="A1897" s="117"/>
      <c r="B1897" s="70">
        <f t="shared" si="121"/>
        <v>45689</v>
      </c>
      <c r="C1897" s="82" t="str">
        <f t="shared" si="122"/>
        <v>samedi</v>
      </c>
      <c r="D1897" s="87"/>
      <c r="E1897" s="115" t="str">
        <f t="shared" si="123"/>
        <v/>
      </c>
      <c r="F1897" s="115" t="str">
        <f t="shared" si="124"/>
        <v/>
      </c>
      <c r="G1897" s="116" t="str">
        <f>IF(ISNONTEXT(D1897),"",E1897-MAX($F$2:F1896))</f>
        <v/>
      </c>
      <c r="H1897" s="97"/>
      <c r="I1897" s="74" t="str">
        <f ca="1">IF(D1897="N",COUNTIF(INDIRECT(ADDRESS(MATCH(Plages!$D$19,'Planning annuel mixing coater'!$B:$B),4)):D1897,"N"),IF(D1897="N1",COUNTIF($D$9:D1897,"N1"),""))</f>
        <v/>
      </c>
      <c r="J1897" s="96" t="str">
        <f>IF(D1897="","",COUNTA(D1892:D1897)-(COUNTA(D1897:D1897)-1))</f>
        <v/>
      </c>
    </row>
    <row r="1898" spans="1:10" thickBot="1">
      <c r="A1898" s="117"/>
      <c r="B1898" s="70">
        <f t="shared" si="121"/>
        <v>45690</v>
      </c>
      <c r="C1898" s="82" t="str">
        <f t="shared" si="122"/>
        <v>dimanche</v>
      </c>
      <c r="D1898" s="87"/>
      <c r="E1898" s="115" t="str">
        <f t="shared" si="123"/>
        <v/>
      </c>
      <c r="F1898" s="115" t="str">
        <f t="shared" si="124"/>
        <v/>
      </c>
      <c r="G1898" s="116" t="str">
        <f>IF(ISNONTEXT(D1898),"",E1898-MAX($F$2:F1897))</f>
        <v/>
      </c>
      <c r="H1898" s="98"/>
      <c r="I1898" s="74" t="str">
        <f ca="1">IF(D1898="N",COUNTIF(INDIRECT(ADDRESS(MATCH(Plages!$D$19,'Planning annuel mixing coater'!$B:$B),4)):D1898,"N"),IF(D1898="N1",COUNTIF($D$9:D1898,"N1"),""))</f>
        <v/>
      </c>
      <c r="J1898" s="96" t="str">
        <f>IF(D1898="","",COUNTA(D1892:D1898)-(COUNTA(D1898:D1898)-1))</f>
        <v/>
      </c>
    </row>
    <row r="1899" spans="1:10" thickBot="1">
      <c r="A1899" s="117"/>
      <c r="B1899" s="70">
        <f t="shared" si="121"/>
        <v>45691</v>
      </c>
      <c r="C1899" s="82" t="str">
        <f t="shared" si="122"/>
        <v>lundi</v>
      </c>
      <c r="D1899" s="87"/>
      <c r="E1899" s="115" t="str">
        <f t="shared" si="123"/>
        <v/>
      </c>
      <c r="F1899" s="115" t="str">
        <f t="shared" si="124"/>
        <v/>
      </c>
      <c r="G1899" s="116" t="str">
        <f>IF(ISNONTEXT(D1899),"",E1899-MAX($F$2:F1898))</f>
        <v/>
      </c>
      <c r="H1899" s="97"/>
      <c r="I1899" s="74" t="str">
        <f ca="1">IF(D1899="N",COUNTIF(INDIRECT(ADDRESS(MATCH(Plages!$D$19,'Planning annuel mixing coater'!$B:$B),4)):D1899,"N"),IF(D1899="N1",COUNTIF($D$9:D1899,"N1"),""))</f>
        <v/>
      </c>
      <c r="J1899" s="96" t="str">
        <f>IF(D1899="","",COUNTA(D1892:D1899)-(COUNTA(D1899:D1899)-1))</f>
        <v/>
      </c>
    </row>
    <row r="1900" spans="1:10" thickBot="1">
      <c r="A1900" s="117"/>
      <c r="B1900" s="70">
        <f t="shared" si="121"/>
        <v>45692</v>
      </c>
      <c r="C1900" s="82" t="str">
        <f t="shared" si="122"/>
        <v>mardi</v>
      </c>
      <c r="D1900" s="87"/>
      <c r="E1900" s="115" t="str">
        <f t="shared" si="123"/>
        <v/>
      </c>
      <c r="F1900" s="115" t="str">
        <f t="shared" si="124"/>
        <v/>
      </c>
      <c r="G1900" s="116" t="str">
        <f>IF(ISNONTEXT(D1900),"",E1900-MAX($F$2:F1899))</f>
        <v/>
      </c>
      <c r="H1900" s="97"/>
      <c r="I1900" s="74" t="str">
        <f ca="1">IF(D1900="N",COUNTIF(INDIRECT(ADDRESS(MATCH(Plages!$D$19,'Planning annuel mixing coater'!$B:$B),4)):D1900,"N"),IF(D1900="N1",COUNTIF($D$9:D1900,"N1"),""))</f>
        <v/>
      </c>
      <c r="J1900" s="96" t="str">
        <f>IF(D1900="","",COUNTA(D1892:D1900)-(COUNTA(D1900:D1900)-1))</f>
        <v/>
      </c>
    </row>
    <row r="1901" spans="1:10" thickBot="1">
      <c r="A1901" s="117"/>
      <c r="B1901" s="70">
        <f t="shared" si="121"/>
        <v>45693</v>
      </c>
      <c r="C1901" s="82" t="str">
        <f t="shared" si="122"/>
        <v>mercredi</v>
      </c>
      <c r="D1901" s="87"/>
      <c r="E1901" s="115" t="str">
        <f t="shared" si="123"/>
        <v/>
      </c>
      <c r="F1901" s="115" t="str">
        <f t="shared" si="124"/>
        <v/>
      </c>
      <c r="G1901" s="116" t="str">
        <f>IF(ISNONTEXT(D1901),"",E1901-MAX($F$2:F1900))</f>
        <v/>
      </c>
      <c r="H1901" s="97"/>
      <c r="I1901" s="74" t="str">
        <f ca="1">IF(D1901="N",COUNTIF(INDIRECT(ADDRESS(MATCH(Plages!$D$19,'Planning annuel mixing coater'!$B:$B),4)):D1901,"N"),IF(D1901="N1",COUNTIF($D$9:D1901,"N1"),""))</f>
        <v/>
      </c>
      <c r="J1901" s="96" t="str">
        <f>IF(D1901="","",COUNTA(D1892:D1901)-(COUNTA(D1901:D1901)-1))</f>
        <v/>
      </c>
    </row>
    <row r="1902" spans="1:10" thickBot="1">
      <c r="A1902" s="117"/>
      <c r="B1902" s="70">
        <f t="shared" si="121"/>
        <v>45694</v>
      </c>
      <c r="C1902" s="82" t="str">
        <f t="shared" si="122"/>
        <v>jeudi</v>
      </c>
      <c r="D1902" s="87"/>
      <c r="E1902" s="115" t="str">
        <f t="shared" si="123"/>
        <v/>
      </c>
      <c r="F1902" s="115" t="str">
        <f t="shared" si="124"/>
        <v/>
      </c>
      <c r="G1902" s="116" t="str">
        <f>IF(ISNONTEXT(D1902),"",E1902-MAX($F$2:F1901))</f>
        <v/>
      </c>
      <c r="H1902" s="97"/>
      <c r="I1902" s="74" t="str">
        <f ca="1">IF(D1902="N",COUNTIF(INDIRECT(ADDRESS(MATCH(Plages!$D$19,'Planning annuel mixing coater'!$B:$B),4)):D1902,"N"),IF(D1902="N1",COUNTIF($D$9:D1902,"N1"),""))</f>
        <v/>
      </c>
      <c r="J1902" s="96" t="str">
        <f>IF(D1902="","",COUNTA(D1892:D1902)-(COUNTA(D1902:D1902)-1))</f>
        <v/>
      </c>
    </row>
    <row r="1903" spans="1:10" thickBot="1">
      <c r="A1903" s="117"/>
      <c r="B1903" s="70">
        <f t="shared" si="121"/>
        <v>45695</v>
      </c>
      <c r="C1903" s="82" t="str">
        <f t="shared" si="122"/>
        <v>vendredi</v>
      </c>
      <c r="D1903" s="87"/>
      <c r="E1903" s="115" t="str">
        <f t="shared" si="123"/>
        <v/>
      </c>
      <c r="F1903" s="115" t="str">
        <f t="shared" si="124"/>
        <v/>
      </c>
      <c r="G1903" s="116" t="str">
        <f>IF(ISNONTEXT(D1903),"",E1903-MAX($F$2:F1902))</f>
        <v/>
      </c>
      <c r="H1903" s="97"/>
      <c r="I1903" s="74" t="str">
        <f ca="1">IF(D1903="N",COUNTIF(INDIRECT(ADDRESS(MATCH(Plages!$D$19,'Planning annuel mixing coater'!$B:$B),4)):D1903,"N"),IF(D1903="N1",COUNTIF($D$9:D1903,"N1"),""))</f>
        <v/>
      </c>
      <c r="J1903" s="96" t="str">
        <f>IF(D1903="","",COUNTA(D1892:D1903)-(COUNTA(D1903:D1903)-1))</f>
        <v/>
      </c>
    </row>
    <row r="1904" spans="1:10" thickBot="1">
      <c r="A1904" s="117"/>
      <c r="B1904" s="70">
        <f t="shared" si="121"/>
        <v>45696</v>
      </c>
      <c r="C1904" s="82" t="str">
        <f t="shared" si="122"/>
        <v>samedi</v>
      </c>
      <c r="D1904" s="87"/>
      <c r="E1904" s="115" t="str">
        <f t="shared" si="123"/>
        <v/>
      </c>
      <c r="F1904" s="115" t="str">
        <f t="shared" si="124"/>
        <v/>
      </c>
      <c r="G1904" s="116" t="str">
        <f>IF(ISNONTEXT(D1904),"",E1904-MAX($F$2:F1903))</f>
        <v/>
      </c>
      <c r="H1904" s="97"/>
      <c r="I1904" s="74" t="str">
        <f ca="1">IF(D1904="N",COUNTIF(INDIRECT(ADDRESS(MATCH(Plages!$D$19,'Planning annuel mixing coater'!$B:$B),4)):D1904,"N"),IF(D1904="N1",COUNTIF($D$9:D1904,"N1"),""))</f>
        <v/>
      </c>
      <c r="J1904" s="96" t="str">
        <f>IF(D1904="","",COUNTA(D1892:D1904)-(COUNTA(D1904:D1904)-1))</f>
        <v/>
      </c>
    </row>
    <row r="1905" spans="1:10" s="77" customFormat="1" thickBot="1">
      <c r="A1905" s="117"/>
      <c r="B1905" s="75">
        <f t="shared" si="121"/>
        <v>45697</v>
      </c>
      <c r="C1905" s="83" t="str">
        <f t="shared" si="122"/>
        <v>dimanche</v>
      </c>
      <c r="D1905" s="88"/>
      <c r="E1905" s="115" t="str">
        <f t="shared" si="123"/>
        <v/>
      </c>
      <c r="F1905" s="115" t="str">
        <f t="shared" si="124"/>
        <v/>
      </c>
      <c r="G1905" s="116" t="str">
        <f>IF(ISNONTEXT(D1905),"",E1905-MAX($F$2:F1904))</f>
        <v/>
      </c>
      <c r="H1905" s="98"/>
      <c r="I1905" s="76" t="str">
        <f ca="1">IF(D1905="N",COUNTIF(INDIRECT(ADDRESS(MATCH(Plages!$D$19,'Planning annuel mixing coater'!$B:$B),4)):D1905,"N"),IF(D1905="N1",COUNTIF($D$9:D1905,"N1"),""))</f>
        <v/>
      </c>
      <c r="J1905" s="99" t="str">
        <f>IF(D1905="","",COUNTA(D1892:D1905)-(COUNTA(D1905:D1905)-1))</f>
        <v/>
      </c>
    </row>
    <row r="1906" spans="1:10" ht="16.5" thickTop="1" thickBot="1">
      <c r="A1906" s="117"/>
      <c r="B1906" s="78">
        <f t="shared" si="121"/>
        <v>45698</v>
      </c>
      <c r="C1906" s="81" t="str">
        <f t="shared" si="122"/>
        <v>lundi</v>
      </c>
      <c r="D1906" s="89"/>
      <c r="E1906" s="115" t="str">
        <f t="shared" si="123"/>
        <v/>
      </c>
      <c r="F1906" s="115" t="str">
        <f t="shared" si="124"/>
        <v/>
      </c>
      <c r="G1906" s="116" t="str">
        <f>IF(ISNONTEXT(D1906),"",E1906-MAX($F$2:F1905))</f>
        <v/>
      </c>
      <c r="H1906" s="100"/>
      <c r="I1906" s="79" t="str">
        <f ca="1">IF(D1906="N",COUNTIF(INDIRECT(ADDRESS(MATCH(Plages!$D$19,'Planning annuel mixing coater'!$B:$B),4)):D1906,"N"),IF(D1906="N1",COUNTIF($D$9:D1906,"N1"),""))</f>
        <v/>
      </c>
      <c r="J1906" s="101" t="str">
        <f>IF(D1906="","",COUNTA(D1906:D1906)-(COUNTA(D1906:D1906)-1))</f>
        <v/>
      </c>
    </row>
    <row r="1907" spans="1:10" thickBot="1">
      <c r="A1907" s="117"/>
      <c r="B1907" s="70">
        <f t="shared" si="121"/>
        <v>45699</v>
      </c>
      <c r="C1907" s="82" t="str">
        <f t="shared" si="122"/>
        <v>mardi</v>
      </c>
      <c r="D1907" s="87"/>
      <c r="E1907" s="115" t="str">
        <f t="shared" si="123"/>
        <v/>
      </c>
      <c r="F1907" s="115" t="str">
        <f t="shared" si="124"/>
        <v/>
      </c>
      <c r="G1907" s="116" t="str">
        <f>IF(ISNONTEXT(D1907),"",E1907-MAX($F$2:F1906))</f>
        <v/>
      </c>
      <c r="H1907" s="97"/>
      <c r="I1907" s="74" t="str">
        <f ca="1">IF(D1907="N",COUNTIF(INDIRECT(ADDRESS(MATCH(Plages!$D$19,'Planning annuel mixing coater'!$B:$B),4)):D1907,"N"),IF(D1907="N1",COUNTIF($D$9:D1907,"N1"),""))</f>
        <v/>
      </c>
      <c r="J1907" s="96" t="str">
        <f>IF(D1907="","",COUNTA(D1906:D1907)-(COUNTA(D1907:D1907)-1))</f>
        <v/>
      </c>
    </row>
    <row r="1908" spans="1:10" thickBot="1">
      <c r="A1908" s="117"/>
      <c r="B1908" s="70">
        <f t="shared" si="121"/>
        <v>45700</v>
      </c>
      <c r="C1908" s="82" t="str">
        <f t="shared" si="122"/>
        <v>mercredi</v>
      </c>
      <c r="D1908" s="87"/>
      <c r="E1908" s="115" t="str">
        <f t="shared" si="123"/>
        <v/>
      </c>
      <c r="F1908" s="115" t="str">
        <f t="shared" si="124"/>
        <v/>
      </c>
      <c r="G1908" s="116" t="str">
        <f>IF(ISNONTEXT(D1908),"",E1908-MAX($F$2:F1907))</f>
        <v/>
      </c>
      <c r="H1908" s="97"/>
      <c r="I1908" s="74" t="str">
        <f ca="1">IF(D1908="N",COUNTIF(INDIRECT(ADDRESS(MATCH(Plages!$D$19,'Planning annuel mixing coater'!$B:$B),4)):D1908,"N"),IF(D1908="N1",COUNTIF($D$9:D1908,"N1"),""))</f>
        <v/>
      </c>
      <c r="J1908" s="96" t="str">
        <f>IF(D1908="","",COUNTA(D1906:D1908)-(COUNTA(D1908:D1908)-1))</f>
        <v/>
      </c>
    </row>
    <row r="1909" spans="1:10" thickBot="1">
      <c r="A1909" s="117"/>
      <c r="B1909" s="70">
        <f t="shared" si="121"/>
        <v>45701</v>
      </c>
      <c r="C1909" s="82" t="str">
        <f t="shared" si="122"/>
        <v>jeudi</v>
      </c>
      <c r="D1909" s="87"/>
      <c r="E1909" s="115" t="str">
        <f t="shared" si="123"/>
        <v/>
      </c>
      <c r="F1909" s="115" t="str">
        <f t="shared" si="124"/>
        <v/>
      </c>
      <c r="G1909" s="116" t="str">
        <f>IF(ISNONTEXT(D1909),"",E1909-MAX($F$2:F1908))</f>
        <v/>
      </c>
      <c r="H1909" s="97"/>
      <c r="I1909" s="74" t="str">
        <f ca="1">IF(D1909="N",COUNTIF(INDIRECT(ADDRESS(MATCH(Plages!$D$19,'Planning annuel mixing coater'!$B:$B),4)):D1909,"N"),IF(D1909="N1",COUNTIF($D$9:D1909,"N1"),""))</f>
        <v/>
      </c>
      <c r="J1909" s="96" t="str">
        <f>IF(D1909="","",COUNTA(D1906:D1909)-(COUNTA(D1909:D1909)-1))</f>
        <v/>
      </c>
    </row>
    <row r="1910" spans="1:10" thickBot="1">
      <c r="A1910" s="117"/>
      <c r="B1910" s="70">
        <f t="shared" si="121"/>
        <v>45702</v>
      </c>
      <c r="C1910" s="82" t="str">
        <f t="shared" si="122"/>
        <v>vendredi</v>
      </c>
      <c r="D1910" s="87"/>
      <c r="E1910" s="115" t="str">
        <f t="shared" si="123"/>
        <v/>
      </c>
      <c r="F1910" s="115" t="str">
        <f t="shared" si="124"/>
        <v/>
      </c>
      <c r="G1910" s="116" t="str">
        <f>IF(ISNONTEXT(D1910),"",E1910-MAX($F$2:F1909))</f>
        <v/>
      </c>
      <c r="H1910" s="97"/>
      <c r="I1910" s="74" t="str">
        <f ca="1">IF(D1910="N",COUNTIF(INDIRECT(ADDRESS(MATCH(Plages!$D$19,'Planning annuel mixing coater'!$B:$B),4)):D1910,"N"),IF(D1910="N1",COUNTIF($D$9:D1910,"N1"),""))</f>
        <v/>
      </c>
      <c r="J1910" s="96" t="str">
        <f>IF(D1910="","",COUNTA(D1906:D1910)-(COUNTA(D1910:D1910)-1))</f>
        <v/>
      </c>
    </row>
    <row r="1911" spans="1:10" thickBot="1">
      <c r="A1911" s="117"/>
      <c r="B1911" s="70">
        <f t="shared" si="121"/>
        <v>45703</v>
      </c>
      <c r="C1911" s="82" t="str">
        <f t="shared" si="122"/>
        <v>samedi</v>
      </c>
      <c r="D1911" s="87"/>
      <c r="E1911" s="115" t="str">
        <f t="shared" si="123"/>
        <v/>
      </c>
      <c r="F1911" s="115" t="str">
        <f t="shared" si="124"/>
        <v/>
      </c>
      <c r="G1911" s="116" t="str">
        <f>IF(ISNONTEXT(D1911),"",E1911-MAX($F$2:F1910))</f>
        <v/>
      </c>
      <c r="H1911" s="97"/>
      <c r="I1911" s="74" t="str">
        <f ca="1">IF(D1911="N",COUNTIF(INDIRECT(ADDRESS(MATCH(Plages!$D$19,'Planning annuel mixing coater'!$B:$B),4)):D1911,"N"),IF(D1911="N1",COUNTIF($D$9:D1911,"N1"),""))</f>
        <v/>
      </c>
      <c r="J1911" s="96" t="str">
        <f>IF(D1911="","",COUNTA(D1906:D1911)-(COUNTA(D1911:D1911)-1))</f>
        <v/>
      </c>
    </row>
    <row r="1912" spans="1:10" thickBot="1">
      <c r="A1912" s="117"/>
      <c r="B1912" s="70">
        <f t="shared" si="121"/>
        <v>45704</v>
      </c>
      <c r="C1912" s="82" t="str">
        <f t="shared" si="122"/>
        <v>dimanche</v>
      </c>
      <c r="D1912" s="87"/>
      <c r="E1912" s="115" t="str">
        <f t="shared" si="123"/>
        <v/>
      </c>
      <c r="F1912" s="115" t="str">
        <f t="shared" si="124"/>
        <v/>
      </c>
      <c r="G1912" s="116" t="str">
        <f>IF(ISNONTEXT(D1912),"",E1912-MAX($F$2:F1911))</f>
        <v/>
      </c>
      <c r="H1912" s="98"/>
      <c r="I1912" s="74" t="str">
        <f ca="1">IF(D1912="N",COUNTIF(INDIRECT(ADDRESS(MATCH(Plages!$D$19,'Planning annuel mixing coater'!$B:$B),4)):D1912,"N"),IF(D1912="N1",COUNTIF($D$9:D1912,"N1"),""))</f>
        <v/>
      </c>
      <c r="J1912" s="96" t="str">
        <f>IF(D1912="","",COUNTA(D1906:D1912)-(COUNTA(D1912:D1912)-1))</f>
        <v/>
      </c>
    </row>
    <row r="1913" spans="1:10" thickBot="1">
      <c r="A1913" s="117"/>
      <c r="B1913" s="70">
        <f t="shared" si="121"/>
        <v>45705</v>
      </c>
      <c r="C1913" s="82" t="str">
        <f t="shared" si="122"/>
        <v>lundi</v>
      </c>
      <c r="D1913" s="87"/>
      <c r="E1913" s="115" t="str">
        <f t="shared" si="123"/>
        <v/>
      </c>
      <c r="F1913" s="115" t="str">
        <f t="shared" si="124"/>
        <v/>
      </c>
      <c r="G1913" s="116" t="str">
        <f>IF(ISNONTEXT(D1913),"",E1913-MAX($F$2:F1912))</f>
        <v/>
      </c>
      <c r="H1913" s="97"/>
      <c r="I1913" s="74" t="str">
        <f ca="1">IF(D1913="N",COUNTIF(INDIRECT(ADDRESS(MATCH(Plages!$D$19,'Planning annuel mixing coater'!$B:$B),4)):D1913,"N"),IF(D1913="N1",COUNTIF($D$9:D1913,"N1"),""))</f>
        <v/>
      </c>
      <c r="J1913" s="96" t="str">
        <f>IF(D1913="","",COUNTA(D1906:D1913)-(COUNTA(D1913:D1913)-1))</f>
        <v/>
      </c>
    </row>
    <row r="1914" spans="1:10" thickBot="1">
      <c r="A1914" s="117"/>
      <c r="B1914" s="70">
        <f t="shared" si="121"/>
        <v>45706</v>
      </c>
      <c r="C1914" s="82" t="str">
        <f t="shared" si="122"/>
        <v>mardi</v>
      </c>
      <c r="D1914" s="87"/>
      <c r="E1914" s="115" t="str">
        <f t="shared" si="123"/>
        <v/>
      </c>
      <c r="F1914" s="115" t="str">
        <f t="shared" si="124"/>
        <v/>
      </c>
      <c r="G1914" s="116" t="str">
        <f>IF(ISNONTEXT(D1914),"",E1914-MAX($F$2:F1913))</f>
        <v/>
      </c>
      <c r="H1914" s="97"/>
      <c r="I1914" s="74" t="str">
        <f ca="1">IF(D1914="N",COUNTIF(INDIRECT(ADDRESS(MATCH(Plages!$D$19,'Planning annuel mixing coater'!$B:$B),4)):D1914,"N"),IF(D1914="N1",COUNTIF($D$9:D1914,"N1"),""))</f>
        <v/>
      </c>
      <c r="J1914" s="96" t="str">
        <f>IF(D1914="","",COUNTA(D1906:D1914)-(COUNTA(D1914:D1914)-1))</f>
        <v/>
      </c>
    </row>
    <row r="1915" spans="1:10" thickBot="1">
      <c r="A1915" s="117"/>
      <c r="B1915" s="70">
        <f t="shared" si="121"/>
        <v>45707</v>
      </c>
      <c r="C1915" s="82" t="str">
        <f t="shared" si="122"/>
        <v>mercredi</v>
      </c>
      <c r="D1915" s="87"/>
      <c r="E1915" s="115" t="str">
        <f t="shared" si="123"/>
        <v/>
      </c>
      <c r="F1915" s="115" t="str">
        <f t="shared" si="124"/>
        <v/>
      </c>
      <c r="G1915" s="116" t="str">
        <f>IF(ISNONTEXT(D1915),"",E1915-MAX($F$2:F1914))</f>
        <v/>
      </c>
      <c r="H1915" s="97"/>
      <c r="I1915" s="74" t="str">
        <f ca="1">IF(D1915="N",COUNTIF(INDIRECT(ADDRESS(MATCH(Plages!$D$19,'Planning annuel mixing coater'!$B:$B),4)):D1915,"N"),IF(D1915="N1",COUNTIF($D$9:D1915,"N1"),""))</f>
        <v/>
      </c>
      <c r="J1915" s="96" t="str">
        <f>IF(D1915="","",COUNTA(D1906:D1915)-(COUNTA(D1915:D1915)-1))</f>
        <v/>
      </c>
    </row>
    <row r="1916" spans="1:10" thickBot="1">
      <c r="A1916" s="117"/>
      <c r="B1916" s="70">
        <f t="shared" si="121"/>
        <v>45708</v>
      </c>
      <c r="C1916" s="82" t="str">
        <f t="shared" si="122"/>
        <v>jeudi</v>
      </c>
      <c r="D1916" s="87"/>
      <c r="E1916" s="115" t="str">
        <f t="shared" si="123"/>
        <v/>
      </c>
      <c r="F1916" s="115" t="str">
        <f t="shared" si="124"/>
        <v/>
      </c>
      <c r="G1916" s="116" t="str">
        <f>IF(ISNONTEXT(D1916),"",E1916-MAX($F$2:F1915))</f>
        <v/>
      </c>
      <c r="H1916" s="97"/>
      <c r="I1916" s="74" t="str">
        <f ca="1">IF(D1916="N",COUNTIF(INDIRECT(ADDRESS(MATCH(Plages!$D$19,'Planning annuel mixing coater'!$B:$B),4)):D1916,"N"),IF(D1916="N1",COUNTIF($D$9:D1916,"N1"),""))</f>
        <v/>
      </c>
      <c r="J1916" s="96" t="str">
        <f>IF(D1916="","",COUNTA(D1906:D1916)-(COUNTA(D1916:D1916)-1))</f>
        <v/>
      </c>
    </row>
    <row r="1917" spans="1:10" thickBot="1">
      <c r="A1917" s="117"/>
      <c r="B1917" s="70">
        <f t="shared" si="121"/>
        <v>45709</v>
      </c>
      <c r="C1917" s="82" t="str">
        <f t="shared" si="122"/>
        <v>vendredi</v>
      </c>
      <c r="D1917" s="87"/>
      <c r="E1917" s="115" t="str">
        <f t="shared" si="123"/>
        <v/>
      </c>
      <c r="F1917" s="115" t="str">
        <f t="shared" si="124"/>
        <v/>
      </c>
      <c r="G1917" s="116" t="str">
        <f>IF(ISNONTEXT(D1917),"",E1917-MAX($F$2:F1916))</f>
        <v/>
      </c>
      <c r="H1917" s="97"/>
      <c r="I1917" s="74" t="str">
        <f ca="1">IF(D1917="N",COUNTIF(INDIRECT(ADDRESS(MATCH(Plages!$D$19,'Planning annuel mixing coater'!$B:$B),4)):D1917,"N"),IF(D1917="N1",COUNTIF($D$9:D1917,"N1"),""))</f>
        <v/>
      </c>
      <c r="J1917" s="96" t="str">
        <f>IF(D1917="","",COUNTA(D1906:D1917)-(COUNTA(D1917:D1917)-1))</f>
        <v/>
      </c>
    </row>
    <row r="1918" spans="1:10" thickBot="1">
      <c r="A1918" s="117"/>
      <c r="B1918" s="70">
        <f t="shared" si="121"/>
        <v>45710</v>
      </c>
      <c r="C1918" s="82" t="str">
        <f t="shared" si="122"/>
        <v>samedi</v>
      </c>
      <c r="D1918" s="87"/>
      <c r="E1918" s="115" t="str">
        <f t="shared" si="123"/>
        <v/>
      </c>
      <c r="F1918" s="115" t="str">
        <f t="shared" si="124"/>
        <v/>
      </c>
      <c r="G1918" s="116" t="str">
        <f>IF(ISNONTEXT(D1918),"",E1918-MAX($F$2:F1917))</f>
        <v/>
      </c>
      <c r="H1918" s="97"/>
      <c r="I1918" s="74" t="str">
        <f ca="1">IF(D1918="N",COUNTIF(INDIRECT(ADDRESS(MATCH(Plages!$D$19,'Planning annuel mixing coater'!$B:$B),4)):D1918,"N"),IF(D1918="N1",COUNTIF($D$9:D1918,"N1"),""))</f>
        <v/>
      </c>
      <c r="J1918" s="96" t="str">
        <f>IF(D1918="","",COUNTA(D1906:D1918)-(COUNTA(D1918:D1918)-1))</f>
        <v/>
      </c>
    </row>
    <row r="1919" spans="1:10" s="77" customFormat="1" thickBot="1">
      <c r="A1919" s="117"/>
      <c r="B1919" s="75">
        <f t="shared" si="121"/>
        <v>45711</v>
      </c>
      <c r="C1919" s="83" t="str">
        <f t="shared" si="122"/>
        <v>dimanche</v>
      </c>
      <c r="D1919" s="88"/>
      <c r="E1919" s="115" t="str">
        <f t="shared" si="123"/>
        <v/>
      </c>
      <c r="F1919" s="115" t="str">
        <f t="shared" si="124"/>
        <v/>
      </c>
      <c r="G1919" s="116" t="str">
        <f>IF(ISNONTEXT(D1919),"",E1919-MAX($F$2:F1918))</f>
        <v/>
      </c>
      <c r="H1919" s="98"/>
      <c r="I1919" s="76" t="str">
        <f ca="1">IF(D1919="N",COUNTIF(INDIRECT(ADDRESS(MATCH(Plages!$D$19,'Planning annuel mixing coater'!$B:$B),4)):D1919,"N"),IF(D1919="N1",COUNTIF($D$9:D1919,"N1"),""))</f>
        <v/>
      </c>
      <c r="J1919" s="99" t="str">
        <f>IF(D1919="","",COUNTA(D1906:D1919)-(COUNTA(D1919:D1919)-1))</f>
        <v/>
      </c>
    </row>
    <row r="1920" spans="1:10" ht="16.5" thickTop="1" thickBot="1">
      <c r="A1920" s="117"/>
      <c r="B1920" s="78">
        <f t="shared" si="121"/>
        <v>45712</v>
      </c>
      <c r="C1920" s="81" t="str">
        <f t="shared" si="122"/>
        <v>lundi</v>
      </c>
      <c r="D1920" s="89"/>
      <c r="E1920" s="115" t="str">
        <f t="shared" si="123"/>
        <v/>
      </c>
      <c r="F1920" s="115" t="str">
        <f t="shared" si="124"/>
        <v/>
      </c>
      <c r="G1920" s="116" t="str">
        <f>IF(ISNONTEXT(D1920),"",E1920-MAX($F$2:F1919))</f>
        <v/>
      </c>
      <c r="H1920" s="100"/>
      <c r="I1920" s="79" t="str">
        <f ca="1">IF(D1920="N",COUNTIF(INDIRECT(ADDRESS(MATCH(Plages!$D$19,'Planning annuel mixing coater'!$B:$B),4)):D1920,"N"),IF(D1920="N1",COUNTIF($D$9:D1920,"N1"),""))</f>
        <v/>
      </c>
      <c r="J1920" s="101" t="str">
        <f>IF(D1920="","",COUNTA(D1920:D1920)-(COUNTA(D1920:D1920)-1))</f>
        <v/>
      </c>
    </row>
    <row r="1921" spans="1:10" thickBot="1">
      <c r="A1921" s="117"/>
      <c r="B1921" s="70">
        <f t="shared" si="121"/>
        <v>45713</v>
      </c>
      <c r="C1921" s="82" t="str">
        <f t="shared" si="122"/>
        <v>mardi</v>
      </c>
      <c r="D1921" s="87"/>
      <c r="E1921" s="115" t="str">
        <f t="shared" si="123"/>
        <v/>
      </c>
      <c r="F1921" s="115" t="str">
        <f t="shared" si="124"/>
        <v/>
      </c>
      <c r="G1921" s="116" t="str">
        <f>IF(ISNONTEXT(D1921),"",E1921-MAX($F$2:F1920))</f>
        <v/>
      </c>
      <c r="H1921" s="97"/>
      <c r="I1921" s="74" t="str">
        <f ca="1">IF(D1921="N",COUNTIF(INDIRECT(ADDRESS(MATCH(Plages!$D$19,'Planning annuel mixing coater'!$B:$B),4)):D1921,"N"),IF(D1921="N1",COUNTIF($D$9:D1921,"N1"),""))</f>
        <v/>
      </c>
      <c r="J1921" s="96" t="str">
        <f>IF(D1921="","",COUNTA(D1920:D1921)-(COUNTA(D1921:D1921)-1))</f>
        <v/>
      </c>
    </row>
    <row r="1922" spans="1:10" thickBot="1">
      <c r="A1922" s="117"/>
      <c r="B1922" s="70">
        <f t="shared" si="121"/>
        <v>45714</v>
      </c>
      <c r="C1922" s="82" t="str">
        <f t="shared" si="122"/>
        <v>mercredi</v>
      </c>
      <c r="D1922" s="87"/>
      <c r="E1922" s="115" t="str">
        <f t="shared" si="123"/>
        <v/>
      </c>
      <c r="F1922" s="115" t="str">
        <f t="shared" si="124"/>
        <v/>
      </c>
      <c r="G1922" s="116" t="str">
        <f>IF(ISNONTEXT(D1922),"",E1922-MAX($F$2:F1921))</f>
        <v/>
      </c>
      <c r="H1922" s="97"/>
      <c r="I1922" s="74" t="str">
        <f ca="1">IF(D1922="N",COUNTIF(INDIRECT(ADDRESS(MATCH(Plages!$D$19,'Planning annuel mixing coater'!$B:$B),4)):D1922,"N"),IF(D1922="N1",COUNTIF($D$9:D1922,"N1"),""))</f>
        <v/>
      </c>
      <c r="J1922" s="96" t="str">
        <f>IF(D1922="","",COUNTA(D1920:D1922)-(COUNTA(D1922:D1922)-1))</f>
        <v/>
      </c>
    </row>
    <row r="1923" spans="1:10" thickBot="1">
      <c r="A1923" s="117"/>
      <c r="B1923" s="70">
        <f t="shared" si="121"/>
        <v>45715</v>
      </c>
      <c r="C1923" s="82" t="str">
        <f t="shared" si="122"/>
        <v>jeudi</v>
      </c>
      <c r="D1923" s="87"/>
      <c r="E1923" s="115" t="str">
        <f t="shared" si="123"/>
        <v/>
      </c>
      <c r="F1923" s="115" t="str">
        <f t="shared" si="124"/>
        <v/>
      </c>
      <c r="G1923" s="116" t="str">
        <f>IF(ISNONTEXT(D1923),"",E1923-MAX($F$2:F1922))</f>
        <v/>
      </c>
      <c r="H1923" s="97"/>
      <c r="I1923" s="74" t="str">
        <f ca="1">IF(D1923="N",COUNTIF(INDIRECT(ADDRESS(MATCH(Plages!$D$19,'Planning annuel mixing coater'!$B:$B),4)):D1923,"N"),IF(D1923="N1",COUNTIF($D$9:D1923,"N1"),""))</f>
        <v/>
      </c>
      <c r="J1923" s="96" t="str">
        <f>IF(D1923="","",COUNTA(D1920:D1923)-(COUNTA(D1923:D1923)-1))</f>
        <v/>
      </c>
    </row>
    <row r="1924" spans="1:10" thickBot="1">
      <c r="A1924" s="117"/>
      <c r="B1924" s="70">
        <f t="shared" ref="B1924:B1987" si="125">IF(B1923="","",B1923+1)</f>
        <v>45716</v>
      </c>
      <c r="C1924" s="82" t="str">
        <f t="shared" si="122"/>
        <v>vendredi</v>
      </c>
      <c r="D1924" s="87"/>
      <c r="E1924" s="115" t="str">
        <f t="shared" si="123"/>
        <v/>
      </c>
      <c r="F1924" s="115" t="str">
        <f t="shared" si="124"/>
        <v/>
      </c>
      <c r="G1924" s="116" t="str">
        <f>IF(ISNONTEXT(D1924),"",E1924-MAX($F$2:F1923))</f>
        <v/>
      </c>
      <c r="H1924" s="97"/>
      <c r="I1924" s="74" t="str">
        <f ca="1">IF(D1924="N",COUNTIF(INDIRECT(ADDRESS(MATCH(Plages!$D$19,'Planning annuel mixing coater'!$B:$B),4)):D1924,"N"),IF(D1924="N1",COUNTIF($D$9:D1924,"N1"),""))</f>
        <v/>
      </c>
      <c r="J1924" s="96" t="str">
        <f>IF(D1924="","",COUNTA(D1920:D1924)-(COUNTA(D1924:D1924)-1))</f>
        <v/>
      </c>
    </row>
    <row r="1925" spans="1:10" thickBot="1">
      <c r="A1925" s="117"/>
      <c r="B1925" s="70">
        <f t="shared" si="125"/>
        <v>45717</v>
      </c>
      <c r="C1925" s="82" t="str">
        <f t="shared" si="122"/>
        <v>samedi</v>
      </c>
      <c r="D1925" s="87"/>
      <c r="E1925" s="115" t="str">
        <f t="shared" si="123"/>
        <v/>
      </c>
      <c r="F1925" s="115" t="str">
        <f t="shared" si="124"/>
        <v/>
      </c>
      <c r="G1925" s="116" t="str">
        <f>IF(ISNONTEXT(D1925),"",E1925-MAX($F$2:F1924))</f>
        <v/>
      </c>
      <c r="H1925" s="97"/>
      <c r="I1925" s="74" t="str">
        <f ca="1">IF(D1925="N",COUNTIF(INDIRECT(ADDRESS(MATCH(Plages!$D$19,'Planning annuel mixing coater'!$B:$B),4)):D1925,"N"),IF(D1925="N1",COUNTIF($D$9:D1925,"N1"),""))</f>
        <v/>
      </c>
      <c r="J1925" s="96" t="str">
        <f>IF(D1925="","",COUNTA(D1920:D1925)-(COUNTA(D1925:D1925)-1))</f>
        <v/>
      </c>
    </row>
    <row r="1926" spans="1:10" thickBot="1">
      <c r="A1926" s="117"/>
      <c r="B1926" s="70">
        <f t="shared" si="125"/>
        <v>45718</v>
      </c>
      <c r="C1926" s="82" t="str">
        <f t="shared" si="122"/>
        <v>dimanche</v>
      </c>
      <c r="D1926" s="87"/>
      <c r="E1926" s="115" t="str">
        <f t="shared" si="123"/>
        <v/>
      </c>
      <c r="F1926" s="115" t="str">
        <f t="shared" si="124"/>
        <v/>
      </c>
      <c r="G1926" s="116" t="str">
        <f>IF(ISNONTEXT(D1926),"",E1926-MAX($F$2:F1925))</f>
        <v/>
      </c>
      <c r="H1926" s="98"/>
      <c r="I1926" s="74" t="str">
        <f ca="1">IF(D1926="N",COUNTIF(INDIRECT(ADDRESS(MATCH(Plages!$D$19,'Planning annuel mixing coater'!$B:$B),4)):D1926,"N"),IF(D1926="N1",COUNTIF($D$9:D1926,"N1"),""))</f>
        <v/>
      </c>
      <c r="J1926" s="96" t="str">
        <f>IF(D1926="","",COUNTA(D1920:D1926)-(COUNTA(D1926:D1926)-1))</f>
        <v/>
      </c>
    </row>
    <row r="1927" spans="1:10" thickBot="1">
      <c r="A1927" s="117"/>
      <c r="B1927" s="70">
        <f t="shared" si="125"/>
        <v>45719</v>
      </c>
      <c r="C1927" s="82" t="str">
        <f t="shared" si="122"/>
        <v>lundi</v>
      </c>
      <c r="D1927" s="87"/>
      <c r="E1927" s="115" t="str">
        <f t="shared" si="123"/>
        <v/>
      </c>
      <c r="F1927" s="115" t="str">
        <f t="shared" si="124"/>
        <v/>
      </c>
      <c r="G1927" s="116" t="str">
        <f>IF(ISNONTEXT(D1927),"",E1927-MAX($F$2:F1926))</f>
        <v/>
      </c>
      <c r="H1927" s="97"/>
      <c r="I1927" s="74" t="str">
        <f ca="1">IF(D1927="N",COUNTIF(INDIRECT(ADDRESS(MATCH(Plages!$D$19,'Planning annuel mixing coater'!$B:$B),4)):D1927,"N"),IF(D1927="N1",COUNTIF($D$9:D1927,"N1"),""))</f>
        <v/>
      </c>
      <c r="J1927" s="96" t="str">
        <f>IF(D1927="","",COUNTA(D1920:D1927)-(COUNTA(D1927:D1927)-1))</f>
        <v/>
      </c>
    </row>
    <row r="1928" spans="1:10" thickBot="1">
      <c r="A1928" s="117"/>
      <c r="B1928" s="70">
        <f t="shared" si="125"/>
        <v>45720</v>
      </c>
      <c r="C1928" s="82" t="str">
        <f t="shared" si="122"/>
        <v>mardi</v>
      </c>
      <c r="D1928" s="87"/>
      <c r="E1928" s="115" t="str">
        <f t="shared" si="123"/>
        <v/>
      </c>
      <c r="F1928" s="115" t="str">
        <f t="shared" si="124"/>
        <v/>
      </c>
      <c r="G1928" s="116" t="str">
        <f>IF(ISNONTEXT(D1928),"",E1928-MAX($F$2:F1927))</f>
        <v/>
      </c>
      <c r="H1928" s="97"/>
      <c r="I1928" s="74" t="str">
        <f ca="1">IF(D1928="N",COUNTIF(INDIRECT(ADDRESS(MATCH(Plages!$D$19,'Planning annuel mixing coater'!$B:$B),4)):D1928,"N"),IF(D1928="N1",COUNTIF($D$9:D1928,"N1"),""))</f>
        <v/>
      </c>
      <c r="J1928" s="96" t="str">
        <f>IF(D1928="","",COUNTA(D1920:D1928)-(COUNTA(D1928:D1928)-1))</f>
        <v/>
      </c>
    </row>
    <row r="1929" spans="1:10" thickBot="1">
      <c r="A1929" s="117"/>
      <c r="B1929" s="70">
        <f t="shared" si="125"/>
        <v>45721</v>
      </c>
      <c r="C1929" s="82" t="str">
        <f t="shared" si="122"/>
        <v>mercredi</v>
      </c>
      <c r="D1929" s="87"/>
      <c r="E1929" s="115" t="str">
        <f t="shared" si="123"/>
        <v/>
      </c>
      <c r="F1929" s="115" t="str">
        <f t="shared" si="124"/>
        <v/>
      </c>
      <c r="G1929" s="116" t="str">
        <f>IF(ISNONTEXT(D1929),"",E1929-MAX($F$2:F1928))</f>
        <v/>
      </c>
      <c r="H1929" s="97"/>
      <c r="I1929" s="74" t="str">
        <f ca="1">IF(D1929="N",COUNTIF(INDIRECT(ADDRESS(MATCH(Plages!$D$19,'Planning annuel mixing coater'!$B:$B),4)):D1929,"N"),IF(D1929="N1",COUNTIF($D$9:D1929,"N1"),""))</f>
        <v/>
      </c>
      <c r="J1929" s="96" t="str">
        <f>IF(D1929="","",COUNTA(D1920:D1929)-(COUNTA(D1929:D1929)-1))</f>
        <v/>
      </c>
    </row>
    <row r="1930" spans="1:10" thickBot="1">
      <c r="A1930" s="117"/>
      <c r="B1930" s="70">
        <f t="shared" si="125"/>
        <v>45722</v>
      </c>
      <c r="C1930" s="82" t="str">
        <f t="shared" si="122"/>
        <v>jeudi</v>
      </c>
      <c r="D1930" s="87"/>
      <c r="E1930" s="115" t="str">
        <f t="shared" si="123"/>
        <v/>
      </c>
      <c r="F1930" s="115" t="str">
        <f t="shared" si="124"/>
        <v/>
      </c>
      <c r="G1930" s="116" t="str">
        <f>IF(ISNONTEXT(D1930),"",E1930-MAX($F$2:F1929))</f>
        <v/>
      </c>
      <c r="H1930" s="97"/>
      <c r="I1930" s="74" t="str">
        <f ca="1">IF(D1930="N",COUNTIF(INDIRECT(ADDRESS(MATCH(Plages!$D$19,'Planning annuel mixing coater'!$B:$B),4)):D1930,"N"),IF(D1930="N1",COUNTIF($D$9:D1930,"N1"),""))</f>
        <v/>
      </c>
      <c r="J1930" s="96" t="str">
        <f>IF(D1930="","",COUNTA(D1920:D1930)-(COUNTA(D1930:D1930)-1))</f>
        <v/>
      </c>
    </row>
    <row r="1931" spans="1:10" thickBot="1">
      <c r="A1931" s="117"/>
      <c r="B1931" s="70">
        <f t="shared" si="125"/>
        <v>45723</v>
      </c>
      <c r="C1931" s="82" t="str">
        <f t="shared" si="122"/>
        <v>vendredi</v>
      </c>
      <c r="D1931" s="87"/>
      <c r="E1931" s="115" t="str">
        <f t="shared" si="123"/>
        <v/>
      </c>
      <c r="F1931" s="115" t="str">
        <f t="shared" si="124"/>
        <v/>
      </c>
      <c r="G1931" s="116" t="str">
        <f>IF(ISNONTEXT(D1931),"",E1931-MAX($F$2:F1930))</f>
        <v/>
      </c>
      <c r="H1931" s="97"/>
      <c r="I1931" s="74" t="str">
        <f ca="1">IF(D1931="N",COUNTIF(INDIRECT(ADDRESS(MATCH(Plages!$D$19,'Planning annuel mixing coater'!$B:$B),4)):D1931,"N"),IF(D1931="N1",COUNTIF($D$9:D1931,"N1"),""))</f>
        <v/>
      </c>
      <c r="J1931" s="96" t="str">
        <f>IF(D1931="","",COUNTA(D1920:D1931)-(COUNTA(D1931:D1931)-1))</f>
        <v/>
      </c>
    </row>
    <row r="1932" spans="1:10" thickBot="1">
      <c r="A1932" s="117"/>
      <c r="B1932" s="70">
        <f t="shared" si="125"/>
        <v>45724</v>
      </c>
      <c r="C1932" s="82" t="str">
        <f t="shared" si="122"/>
        <v>samedi</v>
      </c>
      <c r="D1932" s="87"/>
      <c r="E1932" s="115" t="str">
        <f t="shared" si="123"/>
        <v/>
      </c>
      <c r="F1932" s="115" t="str">
        <f t="shared" si="124"/>
        <v/>
      </c>
      <c r="G1932" s="116" t="str">
        <f>IF(ISNONTEXT(D1932),"",E1932-MAX($F$2:F1931))</f>
        <v/>
      </c>
      <c r="H1932" s="97"/>
      <c r="I1932" s="74" t="str">
        <f ca="1">IF(D1932="N",COUNTIF(INDIRECT(ADDRESS(MATCH(Plages!$D$19,'Planning annuel mixing coater'!$B:$B),4)):D1932,"N"),IF(D1932="N1",COUNTIF($D$9:D1932,"N1"),""))</f>
        <v/>
      </c>
      <c r="J1932" s="96" t="str">
        <f>IF(D1932="","",COUNTA(D1920:D1932)-(COUNTA(D1932:D1932)-1))</f>
        <v/>
      </c>
    </row>
    <row r="1933" spans="1:10" s="77" customFormat="1" thickBot="1">
      <c r="A1933" s="117"/>
      <c r="B1933" s="75">
        <f t="shared" si="125"/>
        <v>45725</v>
      </c>
      <c r="C1933" s="83" t="str">
        <f t="shared" si="122"/>
        <v>dimanche</v>
      </c>
      <c r="D1933" s="88"/>
      <c r="E1933" s="115" t="str">
        <f t="shared" si="123"/>
        <v/>
      </c>
      <c r="F1933" s="115" t="str">
        <f t="shared" si="124"/>
        <v/>
      </c>
      <c r="G1933" s="116" t="str">
        <f>IF(ISNONTEXT(D1933),"",E1933-MAX($F$2:F1932))</f>
        <v/>
      </c>
      <c r="H1933" s="98"/>
      <c r="I1933" s="76" t="str">
        <f ca="1">IF(D1933="N",COUNTIF(INDIRECT(ADDRESS(MATCH(Plages!$D$19,'Planning annuel mixing coater'!$B:$B),4)):D1933,"N"),IF(D1933="N1",COUNTIF($D$9:D1933,"N1"),""))</f>
        <v/>
      </c>
      <c r="J1933" s="99" t="str">
        <f>IF(D1933="","",COUNTA(D1920:D1933)-(COUNTA(D1933:D1933)-1))</f>
        <v/>
      </c>
    </row>
    <row r="1934" spans="1:10" ht="16.5" thickTop="1" thickBot="1">
      <c r="A1934" s="117"/>
      <c r="B1934" s="78">
        <f t="shared" si="125"/>
        <v>45726</v>
      </c>
      <c r="C1934" s="81" t="str">
        <f t="shared" si="122"/>
        <v>lundi</v>
      </c>
      <c r="D1934" s="89"/>
      <c r="E1934" s="115" t="str">
        <f t="shared" si="123"/>
        <v/>
      </c>
      <c r="F1934" s="115" t="str">
        <f t="shared" si="124"/>
        <v/>
      </c>
      <c r="G1934" s="116" t="str">
        <f>IF(ISNONTEXT(D1934),"",E1934-MAX($F$2:F1933))</f>
        <v/>
      </c>
      <c r="H1934" s="100"/>
      <c r="I1934" s="79" t="str">
        <f ca="1">IF(D1934="N",COUNTIF(INDIRECT(ADDRESS(MATCH(Plages!$D$19,'Planning annuel mixing coater'!$B:$B),4)):D1934,"N"),IF(D1934="N1",COUNTIF($D$9:D1934,"N1"),""))</f>
        <v/>
      </c>
      <c r="J1934" s="101" t="str">
        <f>IF(D1934="","",COUNTA(D1934:D1934)-(COUNTA(D1934:D1934)-1))</f>
        <v/>
      </c>
    </row>
    <row r="1935" spans="1:10" thickBot="1">
      <c r="A1935" s="117"/>
      <c r="B1935" s="70">
        <f t="shared" si="125"/>
        <v>45727</v>
      </c>
      <c r="C1935" s="82" t="str">
        <f t="shared" si="122"/>
        <v>mardi</v>
      </c>
      <c r="D1935" s="87"/>
      <c r="E1935" s="115" t="str">
        <f t="shared" si="123"/>
        <v/>
      </c>
      <c r="F1935" s="115" t="str">
        <f t="shared" si="124"/>
        <v/>
      </c>
      <c r="G1935" s="116" t="str">
        <f>IF(ISNONTEXT(D1935),"",E1935-MAX($F$2:F1934))</f>
        <v/>
      </c>
      <c r="H1935" s="97"/>
      <c r="I1935" s="74" t="str">
        <f ca="1">IF(D1935="N",COUNTIF(INDIRECT(ADDRESS(MATCH(Plages!$D$19,'Planning annuel mixing coater'!$B:$B),4)):D1935,"N"),IF(D1935="N1",COUNTIF($D$9:D1935,"N1"),""))</f>
        <v/>
      </c>
      <c r="J1935" s="96" t="str">
        <f>IF(D1935="","",COUNTA(D1934:D1935)-(COUNTA(D1935:D1935)-1))</f>
        <v/>
      </c>
    </row>
    <row r="1936" spans="1:10" thickBot="1">
      <c r="A1936" s="117"/>
      <c r="B1936" s="70">
        <f t="shared" si="125"/>
        <v>45728</v>
      </c>
      <c r="C1936" s="82" t="str">
        <f t="shared" si="122"/>
        <v>mercredi</v>
      </c>
      <c r="D1936" s="87"/>
      <c r="E1936" s="115" t="str">
        <f t="shared" si="123"/>
        <v/>
      </c>
      <c r="F1936" s="115" t="str">
        <f t="shared" si="124"/>
        <v/>
      </c>
      <c r="G1936" s="116" t="str">
        <f>IF(ISNONTEXT(D1936),"",E1936-MAX($F$2:F1935))</f>
        <v/>
      </c>
      <c r="H1936" s="97"/>
      <c r="I1936" s="74" t="str">
        <f ca="1">IF(D1936="N",COUNTIF(INDIRECT(ADDRESS(MATCH(Plages!$D$19,'Planning annuel mixing coater'!$B:$B),4)):D1936,"N"),IF(D1936="N1",COUNTIF($D$9:D1936,"N1"),""))</f>
        <v/>
      </c>
      <c r="J1936" s="96" t="str">
        <f>IF(D1936="","",COUNTA(D1934:D1936)-(COUNTA(D1936:D1936)-1))</f>
        <v/>
      </c>
    </row>
    <row r="1937" spans="1:10" thickBot="1">
      <c r="A1937" s="117"/>
      <c r="B1937" s="70">
        <f t="shared" si="125"/>
        <v>45729</v>
      </c>
      <c r="C1937" s="82" t="str">
        <f t="shared" si="122"/>
        <v>jeudi</v>
      </c>
      <c r="D1937" s="87"/>
      <c r="E1937" s="115" t="str">
        <f t="shared" si="123"/>
        <v/>
      </c>
      <c r="F1937" s="115" t="str">
        <f t="shared" si="124"/>
        <v/>
      </c>
      <c r="G1937" s="116" t="str">
        <f>IF(ISNONTEXT(D1937),"",E1937-MAX($F$2:F1936))</f>
        <v/>
      </c>
      <c r="H1937" s="97"/>
      <c r="I1937" s="74" t="str">
        <f ca="1">IF(D1937="N",COUNTIF(INDIRECT(ADDRESS(MATCH(Plages!$D$19,'Planning annuel mixing coater'!$B:$B),4)):D1937,"N"),IF(D1937="N1",COUNTIF($D$9:D1937,"N1"),""))</f>
        <v/>
      </c>
      <c r="J1937" s="96" t="str">
        <f>IF(D1937="","",COUNTA(D1934:D1937)-(COUNTA(D1937:D1937)-1))</f>
        <v/>
      </c>
    </row>
    <row r="1938" spans="1:10" thickBot="1">
      <c r="A1938" s="117"/>
      <c r="B1938" s="70">
        <f t="shared" si="125"/>
        <v>45730</v>
      </c>
      <c r="C1938" s="82" t="str">
        <f t="shared" si="122"/>
        <v>vendredi</v>
      </c>
      <c r="D1938" s="87"/>
      <c r="E1938" s="115" t="str">
        <f t="shared" si="123"/>
        <v/>
      </c>
      <c r="F1938" s="115" t="str">
        <f t="shared" si="124"/>
        <v/>
      </c>
      <c r="G1938" s="116" t="str">
        <f>IF(ISNONTEXT(D1938),"",E1938-MAX($F$2:F1937))</f>
        <v/>
      </c>
      <c r="H1938" s="97"/>
      <c r="I1938" s="74" t="str">
        <f ca="1">IF(D1938="N",COUNTIF(INDIRECT(ADDRESS(MATCH(Plages!$D$19,'Planning annuel mixing coater'!$B:$B),4)):D1938,"N"),IF(D1938="N1",COUNTIF($D$9:D1938,"N1"),""))</f>
        <v/>
      </c>
      <c r="J1938" s="96" t="str">
        <f>IF(D1938="","",COUNTA(D1934:D1938)-(COUNTA(D1938:D1938)-1))</f>
        <v/>
      </c>
    </row>
    <row r="1939" spans="1:10" thickBot="1">
      <c r="A1939" s="117"/>
      <c r="B1939" s="70">
        <f t="shared" si="125"/>
        <v>45731</v>
      </c>
      <c r="C1939" s="82" t="str">
        <f t="shared" si="122"/>
        <v>samedi</v>
      </c>
      <c r="D1939" s="87"/>
      <c r="E1939" s="115" t="str">
        <f t="shared" si="123"/>
        <v/>
      </c>
      <c r="F1939" s="115" t="str">
        <f t="shared" si="124"/>
        <v/>
      </c>
      <c r="G1939" s="116" t="str">
        <f>IF(ISNONTEXT(D1939),"",E1939-MAX($F$2:F1938))</f>
        <v/>
      </c>
      <c r="H1939" s="97"/>
      <c r="I1939" s="74" t="str">
        <f ca="1">IF(D1939="N",COUNTIF(INDIRECT(ADDRESS(MATCH(Plages!$D$19,'Planning annuel mixing coater'!$B:$B),4)):D1939,"N"),IF(D1939="N1",COUNTIF($D$9:D1939,"N1"),""))</f>
        <v/>
      </c>
      <c r="J1939" s="96" t="str">
        <f>IF(D1939="","",COUNTA(D1934:D1939)-(COUNTA(D1939:D1939)-1))</f>
        <v/>
      </c>
    </row>
    <row r="1940" spans="1:10" thickBot="1">
      <c r="A1940" s="117"/>
      <c r="B1940" s="70">
        <f t="shared" si="125"/>
        <v>45732</v>
      </c>
      <c r="C1940" s="82" t="str">
        <f t="shared" si="122"/>
        <v>dimanche</v>
      </c>
      <c r="D1940" s="87"/>
      <c r="E1940" s="115" t="str">
        <f t="shared" si="123"/>
        <v/>
      </c>
      <c r="F1940" s="115" t="str">
        <f t="shared" si="124"/>
        <v/>
      </c>
      <c r="G1940" s="116" t="str">
        <f>IF(ISNONTEXT(D1940),"",E1940-MAX($F$2:F1939))</f>
        <v/>
      </c>
      <c r="H1940" s="98"/>
      <c r="I1940" s="74" t="str">
        <f ca="1">IF(D1940="N",COUNTIF(INDIRECT(ADDRESS(MATCH(Plages!$D$19,'Planning annuel mixing coater'!$B:$B),4)):D1940,"N"),IF(D1940="N1",COUNTIF($D$9:D1940,"N1"),""))</f>
        <v/>
      </c>
      <c r="J1940" s="96" t="str">
        <f>IF(D1940="","",COUNTA(D1934:D1940)-(COUNTA(D1940:D1940)-1))</f>
        <v/>
      </c>
    </row>
    <row r="1941" spans="1:10" thickBot="1">
      <c r="A1941" s="117"/>
      <c r="B1941" s="70">
        <f t="shared" si="125"/>
        <v>45733</v>
      </c>
      <c r="C1941" s="82" t="str">
        <f t="shared" si="122"/>
        <v>lundi</v>
      </c>
      <c r="D1941" s="87"/>
      <c r="E1941" s="115" t="str">
        <f t="shared" si="123"/>
        <v/>
      </c>
      <c r="F1941" s="115" t="str">
        <f t="shared" si="124"/>
        <v/>
      </c>
      <c r="G1941" s="116" t="str">
        <f>IF(ISNONTEXT(D1941),"",E1941-MAX($F$2:F1940))</f>
        <v/>
      </c>
      <c r="H1941" s="97"/>
      <c r="I1941" s="74" t="str">
        <f ca="1">IF(D1941="N",COUNTIF(INDIRECT(ADDRESS(MATCH(Plages!$D$19,'Planning annuel mixing coater'!$B:$B),4)):D1941,"N"),IF(D1941="N1",COUNTIF($D$9:D1941,"N1"),""))</f>
        <v/>
      </c>
      <c r="J1941" s="96" t="str">
        <f>IF(D1941="","",COUNTA(D1934:D1941)-(COUNTA(D1941:D1941)-1))</f>
        <v/>
      </c>
    </row>
    <row r="1942" spans="1:10" thickBot="1">
      <c r="A1942" s="117"/>
      <c r="B1942" s="70">
        <f t="shared" si="125"/>
        <v>45734</v>
      </c>
      <c r="C1942" s="82" t="str">
        <f t="shared" si="122"/>
        <v>mardi</v>
      </c>
      <c r="D1942" s="87"/>
      <c r="E1942" s="115" t="str">
        <f t="shared" si="123"/>
        <v/>
      </c>
      <c r="F1942" s="115" t="str">
        <f t="shared" si="124"/>
        <v/>
      </c>
      <c r="G1942" s="116" t="str">
        <f>IF(ISNONTEXT(D1942),"",E1942-MAX($F$2:F1941))</f>
        <v/>
      </c>
      <c r="H1942" s="97"/>
      <c r="I1942" s="74" t="str">
        <f ca="1">IF(D1942="N",COUNTIF(INDIRECT(ADDRESS(MATCH(Plages!$D$19,'Planning annuel mixing coater'!$B:$B),4)):D1942,"N"),IF(D1942="N1",COUNTIF($D$9:D1942,"N1"),""))</f>
        <v/>
      </c>
      <c r="J1942" s="96" t="str">
        <f>IF(D1942="","",COUNTA(D1934:D1942)-(COUNTA(D1942:D1942)-1))</f>
        <v/>
      </c>
    </row>
    <row r="1943" spans="1:10" thickBot="1">
      <c r="A1943" s="117"/>
      <c r="B1943" s="70">
        <f t="shared" si="125"/>
        <v>45735</v>
      </c>
      <c r="C1943" s="82" t="str">
        <f t="shared" si="122"/>
        <v>mercredi</v>
      </c>
      <c r="D1943" s="87"/>
      <c r="E1943" s="115" t="str">
        <f t="shared" si="123"/>
        <v/>
      </c>
      <c r="F1943" s="115" t="str">
        <f t="shared" si="124"/>
        <v/>
      </c>
      <c r="G1943" s="116" t="str">
        <f>IF(ISNONTEXT(D1943),"",E1943-MAX($F$2:F1942))</f>
        <v/>
      </c>
      <c r="H1943" s="97"/>
      <c r="I1943" s="74" t="str">
        <f ca="1">IF(D1943="N",COUNTIF(INDIRECT(ADDRESS(MATCH(Plages!$D$19,'Planning annuel mixing coater'!$B:$B),4)):D1943,"N"),IF(D1943="N1",COUNTIF($D$9:D1943,"N1"),""))</f>
        <v/>
      </c>
      <c r="J1943" s="96" t="str">
        <f>IF(D1943="","",COUNTA(D1934:D1943)-(COUNTA(D1943:D1943)-1))</f>
        <v/>
      </c>
    </row>
    <row r="1944" spans="1:10" thickBot="1">
      <c r="A1944" s="117"/>
      <c r="B1944" s="70">
        <f t="shared" si="125"/>
        <v>45736</v>
      </c>
      <c r="C1944" s="82" t="str">
        <f t="shared" si="122"/>
        <v>jeudi</v>
      </c>
      <c r="D1944" s="87"/>
      <c r="E1944" s="115" t="str">
        <f t="shared" si="123"/>
        <v/>
      </c>
      <c r="F1944" s="115" t="str">
        <f t="shared" si="124"/>
        <v/>
      </c>
      <c r="G1944" s="116" t="str">
        <f>IF(ISNONTEXT(D1944),"",E1944-MAX($F$2:F1943))</f>
        <v/>
      </c>
      <c r="H1944" s="97"/>
      <c r="I1944" s="74" t="str">
        <f ca="1">IF(D1944="N",COUNTIF(INDIRECT(ADDRESS(MATCH(Plages!$D$19,'Planning annuel mixing coater'!$B:$B),4)):D1944,"N"),IF(D1944="N1",COUNTIF($D$9:D1944,"N1"),""))</f>
        <v/>
      </c>
      <c r="J1944" s="96" t="str">
        <f>IF(D1944="","",COUNTA(D1934:D1944)-(COUNTA(D1944:D1944)-1))</f>
        <v/>
      </c>
    </row>
    <row r="1945" spans="1:10" thickBot="1">
      <c r="A1945" s="117"/>
      <c r="B1945" s="70">
        <f t="shared" si="125"/>
        <v>45737</v>
      </c>
      <c r="C1945" s="82" t="str">
        <f t="shared" si="122"/>
        <v>vendredi</v>
      </c>
      <c r="D1945" s="87"/>
      <c r="E1945" s="115" t="str">
        <f t="shared" si="123"/>
        <v/>
      </c>
      <c r="F1945" s="115" t="str">
        <f t="shared" si="124"/>
        <v/>
      </c>
      <c r="G1945" s="116" t="str">
        <f>IF(ISNONTEXT(D1945),"",E1945-MAX($F$2:F1944))</f>
        <v/>
      </c>
      <c r="H1945" s="97"/>
      <c r="I1945" s="74" t="str">
        <f ca="1">IF(D1945="N",COUNTIF(INDIRECT(ADDRESS(MATCH(Plages!$D$19,'Planning annuel mixing coater'!$B:$B),4)):D1945,"N"),IF(D1945="N1",COUNTIF($D$9:D1945,"N1"),""))</f>
        <v/>
      </c>
      <c r="J1945" s="96" t="str">
        <f>IF(D1945="","",COUNTA(D1934:D1945)-(COUNTA(D1945:D1945)-1))</f>
        <v/>
      </c>
    </row>
    <row r="1946" spans="1:10" thickBot="1">
      <c r="A1946" s="117"/>
      <c r="B1946" s="70">
        <f t="shared" si="125"/>
        <v>45738</v>
      </c>
      <c r="C1946" s="82" t="str">
        <f t="shared" si="122"/>
        <v>samedi</v>
      </c>
      <c r="D1946" s="87"/>
      <c r="E1946" s="115" t="str">
        <f t="shared" si="123"/>
        <v/>
      </c>
      <c r="F1946" s="115" t="str">
        <f t="shared" si="124"/>
        <v/>
      </c>
      <c r="G1946" s="116" t="str">
        <f>IF(ISNONTEXT(D1946),"",E1946-MAX($F$2:F1945))</f>
        <v/>
      </c>
      <c r="H1946" s="97"/>
      <c r="I1946" s="74" t="str">
        <f ca="1">IF(D1946="N",COUNTIF(INDIRECT(ADDRESS(MATCH(Plages!$D$19,'Planning annuel mixing coater'!$B:$B),4)):D1946,"N"),IF(D1946="N1",COUNTIF($D$9:D1946,"N1"),""))</f>
        <v/>
      </c>
      <c r="J1946" s="96" t="str">
        <f>IF(D1946="","",COUNTA(D1934:D1946)-(COUNTA(D1946:D1946)-1))</f>
        <v/>
      </c>
    </row>
    <row r="1947" spans="1:10" s="77" customFormat="1" thickBot="1">
      <c r="A1947" s="117"/>
      <c r="B1947" s="75">
        <f t="shared" si="125"/>
        <v>45739</v>
      </c>
      <c r="C1947" s="83" t="str">
        <f t="shared" si="122"/>
        <v>dimanche</v>
      </c>
      <c r="D1947" s="88"/>
      <c r="E1947" s="115" t="str">
        <f t="shared" si="123"/>
        <v/>
      </c>
      <c r="F1947" s="115" t="str">
        <f t="shared" si="124"/>
        <v/>
      </c>
      <c r="G1947" s="116" t="str">
        <f>IF(ISNONTEXT(D1947),"",E1947-MAX($F$2:F1946))</f>
        <v/>
      </c>
      <c r="H1947" s="98"/>
      <c r="I1947" s="76" t="str">
        <f ca="1">IF(D1947="N",COUNTIF(INDIRECT(ADDRESS(MATCH(Plages!$D$19,'Planning annuel mixing coater'!$B:$B),4)):D1947,"N"),IF(D1947="N1",COUNTIF($D$9:D1947,"N1"),""))</f>
        <v/>
      </c>
      <c r="J1947" s="99" t="str">
        <f>IF(D1947="","",COUNTA(D1934:D1947)-(COUNTA(D1947:D1947)-1))</f>
        <v/>
      </c>
    </row>
    <row r="1948" spans="1:10" ht="16.5" thickTop="1" thickBot="1">
      <c r="A1948" s="117"/>
      <c r="B1948" s="78">
        <f t="shared" si="125"/>
        <v>45740</v>
      </c>
      <c r="C1948" s="81" t="str">
        <f t="shared" si="122"/>
        <v>lundi</v>
      </c>
      <c r="D1948" s="89"/>
      <c r="E1948" s="115" t="str">
        <f t="shared" si="123"/>
        <v/>
      </c>
      <c r="F1948" s="115" t="str">
        <f t="shared" si="124"/>
        <v/>
      </c>
      <c r="G1948" s="116" t="str">
        <f>IF(ISNONTEXT(D1948),"",E1948-MAX($F$2:F1947))</f>
        <v/>
      </c>
      <c r="H1948" s="100"/>
      <c r="I1948" s="79" t="str">
        <f ca="1">IF(D1948="N",COUNTIF(INDIRECT(ADDRESS(MATCH(Plages!$D$19,'Planning annuel mixing coater'!$B:$B),4)):D1948,"N"),IF(D1948="N1",COUNTIF($D$9:D1948,"N1"),""))</f>
        <v/>
      </c>
      <c r="J1948" s="101" t="str">
        <f>IF(D1948="","",COUNTA(D1948:D1948)-(COUNTA(D1948:D1948)-1))</f>
        <v/>
      </c>
    </row>
    <row r="1949" spans="1:10" thickBot="1">
      <c r="A1949" s="117"/>
      <c r="B1949" s="70">
        <f t="shared" si="125"/>
        <v>45741</v>
      </c>
      <c r="C1949" s="82" t="str">
        <f t="shared" si="122"/>
        <v>mardi</v>
      </c>
      <c r="D1949" s="87"/>
      <c r="E1949" s="115" t="str">
        <f t="shared" si="123"/>
        <v/>
      </c>
      <c r="F1949" s="115" t="str">
        <f t="shared" si="124"/>
        <v/>
      </c>
      <c r="G1949" s="116" t="str">
        <f>IF(ISNONTEXT(D1949),"",E1949-MAX($F$2:F1948))</f>
        <v/>
      </c>
      <c r="H1949" s="97"/>
      <c r="I1949" s="74" t="str">
        <f ca="1">IF(D1949="N",COUNTIF(INDIRECT(ADDRESS(MATCH(Plages!$D$19,'Planning annuel mixing coater'!$B:$B),4)):D1949,"N"),IF(D1949="N1",COUNTIF($D$9:D1949,"N1"),""))</f>
        <v/>
      </c>
      <c r="J1949" s="96" t="str">
        <f>IF(D1949="","",COUNTA(D1948:D1949)-(COUNTA(D1949:D1949)-1))</f>
        <v/>
      </c>
    </row>
    <row r="1950" spans="1:10" thickBot="1">
      <c r="A1950" s="117"/>
      <c r="B1950" s="70">
        <f t="shared" si="125"/>
        <v>45742</v>
      </c>
      <c r="C1950" s="82" t="str">
        <f t="shared" ref="C1950:C2013" si="126">IF(B1950="","",TEXT(B1950,"jjjj"))</f>
        <v>mercredi</v>
      </c>
      <c r="D1950" s="87"/>
      <c r="E1950" s="115" t="str">
        <f t="shared" ref="E1950:E2013" si="127">IF(D1950="","",B1950+VLOOKUP(D1950,Plageh,2,0))</f>
        <v/>
      </c>
      <c r="F1950" s="115" t="str">
        <f t="shared" ref="F1950:F2013" si="128">IF(D1950="","",B1950+VLOOKUP(D1950,Plageh,3,0))</f>
        <v/>
      </c>
      <c r="G1950" s="116" t="str">
        <f>IF(ISNONTEXT(D1950),"",E1950-MAX($F$2:F1949))</f>
        <v/>
      </c>
      <c r="H1950" s="97"/>
      <c r="I1950" s="74" t="str">
        <f ca="1">IF(D1950="N",COUNTIF(INDIRECT(ADDRESS(MATCH(Plages!$D$19,'Planning annuel mixing coater'!$B:$B),4)):D1950,"N"),IF(D1950="N1",COUNTIF($D$9:D1950,"N1"),""))</f>
        <v/>
      </c>
      <c r="J1950" s="96" t="str">
        <f>IF(D1950="","",COUNTA(D1948:D1950)-(COUNTA(D1950:D1950)-1))</f>
        <v/>
      </c>
    </row>
    <row r="1951" spans="1:10" thickBot="1">
      <c r="A1951" s="117"/>
      <c r="B1951" s="70">
        <f t="shared" si="125"/>
        <v>45743</v>
      </c>
      <c r="C1951" s="82" t="str">
        <f t="shared" si="126"/>
        <v>jeudi</v>
      </c>
      <c r="D1951" s="87"/>
      <c r="E1951" s="115" t="str">
        <f t="shared" si="127"/>
        <v/>
      </c>
      <c r="F1951" s="115" t="str">
        <f t="shared" si="128"/>
        <v/>
      </c>
      <c r="G1951" s="116" t="str">
        <f>IF(ISNONTEXT(D1951),"",E1951-MAX($F$2:F1950))</f>
        <v/>
      </c>
      <c r="H1951" s="97"/>
      <c r="I1951" s="74" t="str">
        <f ca="1">IF(D1951="N",COUNTIF(INDIRECT(ADDRESS(MATCH(Plages!$D$19,'Planning annuel mixing coater'!$B:$B),4)):D1951,"N"),IF(D1951="N1",COUNTIF($D$9:D1951,"N1"),""))</f>
        <v/>
      </c>
      <c r="J1951" s="96" t="str">
        <f>IF(D1951="","",COUNTA(D1948:D1951)-(COUNTA(D1951:D1951)-1))</f>
        <v/>
      </c>
    </row>
    <row r="1952" spans="1:10" thickBot="1">
      <c r="A1952" s="117"/>
      <c r="B1952" s="70">
        <f t="shared" si="125"/>
        <v>45744</v>
      </c>
      <c r="C1952" s="82" t="str">
        <f t="shared" si="126"/>
        <v>vendredi</v>
      </c>
      <c r="D1952" s="87"/>
      <c r="E1952" s="115" t="str">
        <f t="shared" si="127"/>
        <v/>
      </c>
      <c r="F1952" s="115" t="str">
        <f t="shared" si="128"/>
        <v/>
      </c>
      <c r="G1952" s="116" t="str">
        <f>IF(ISNONTEXT(D1952),"",E1952-MAX($F$2:F1951))</f>
        <v/>
      </c>
      <c r="H1952" s="97"/>
      <c r="I1952" s="74" t="str">
        <f ca="1">IF(D1952="N",COUNTIF(INDIRECT(ADDRESS(MATCH(Plages!$D$19,'Planning annuel mixing coater'!$B:$B),4)):D1952,"N"),IF(D1952="N1",COUNTIF($D$9:D1952,"N1"),""))</f>
        <v/>
      </c>
      <c r="J1952" s="96" t="str">
        <f>IF(D1952="","",COUNTA(D1948:D1952)-(COUNTA(D1952:D1952)-1))</f>
        <v/>
      </c>
    </row>
    <row r="1953" spans="1:10" thickBot="1">
      <c r="A1953" s="117"/>
      <c r="B1953" s="70">
        <f t="shared" si="125"/>
        <v>45745</v>
      </c>
      <c r="C1953" s="82" t="str">
        <f t="shared" si="126"/>
        <v>samedi</v>
      </c>
      <c r="D1953" s="87"/>
      <c r="E1953" s="115" t="str">
        <f t="shared" si="127"/>
        <v/>
      </c>
      <c r="F1953" s="115" t="str">
        <f t="shared" si="128"/>
        <v/>
      </c>
      <c r="G1953" s="116" t="str">
        <f>IF(ISNONTEXT(D1953),"",E1953-MAX($F$2:F1952))</f>
        <v/>
      </c>
      <c r="H1953" s="97"/>
      <c r="I1953" s="74" t="str">
        <f ca="1">IF(D1953="N",COUNTIF(INDIRECT(ADDRESS(MATCH(Plages!$D$19,'Planning annuel mixing coater'!$B:$B),4)):D1953,"N"),IF(D1953="N1",COUNTIF($D$9:D1953,"N1"),""))</f>
        <v/>
      </c>
      <c r="J1953" s="96" t="str">
        <f>IF(D1953="","",COUNTA(D1948:D1953)-(COUNTA(D1953:D1953)-1))</f>
        <v/>
      </c>
    </row>
    <row r="1954" spans="1:10" thickBot="1">
      <c r="A1954" s="117"/>
      <c r="B1954" s="70">
        <f t="shared" si="125"/>
        <v>45746</v>
      </c>
      <c r="C1954" s="82" t="str">
        <f t="shared" si="126"/>
        <v>dimanche</v>
      </c>
      <c r="D1954" s="87"/>
      <c r="E1954" s="115" t="str">
        <f t="shared" si="127"/>
        <v/>
      </c>
      <c r="F1954" s="115" t="str">
        <f t="shared" si="128"/>
        <v/>
      </c>
      <c r="G1954" s="116" t="str">
        <f>IF(ISNONTEXT(D1954),"",E1954-MAX($F$2:F1953))</f>
        <v/>
      </c>
      <c r="H1954" s="98"/>
      <c r="I1954" s="74" t="str">
        <f ca="1">IF(D1954="N",COUNTIF(INDIRECT(ADDRESS(MATCH(Plages!$D$19,'Planning annuel mixing coater'!$B:$B),4)):D1954,"N"),IF(D1954="N1",COUNTIF($D$9:D1954,"N1"),""))</f>
        <v/>
      </c>
      <c r="J1954" s="96" t="str">
        <f>IF(D1954="","",COUNTA(D1948:D1954)-(COUNTA(D1954:D1954)-1))</f>
        <v/>
      </c>
    </row>
    <row r="1955" spans="1:10" thickBot="1">
      <c r="A1955" s="117"/>
      <c r="B1955" s="70">
        <f t="shared" si="125"/>
        <v>45747</v>
      </c>
      <c r="C1955" s="82" t="str">
        <f t="shared" si="126"/>
        <v>lundi</v>
      </c>
      <c r="D1955" s="87"/>
      <c r="E1955" s="115" t="str">
        <f t="shared" si="127"/>
        <v/>
      </c>
      <c r="F1955" s="115" t="str">
        <f t="shared" si="128"/>
        <v/>
      </c>
      <c r="G1955" s="116" t="str">
        <f>IF(ISNONTEXT(D1955),"",E1955-MAX($F$2:F1954))</f>
        <v/>
      </c>
      <c r="H1955" s="97"/>
      <c r="I1955" s="74" t="str">
        <f ca="1">IF(D1955="N",COUNTIF(INDIRECT(ADDRESS(MATCH(Plages!$D$19,'Planning annuel mixing coater'!$B:$B),4)):D1955,"N"),IF(D1955="N1",COUNTIF($D$9:D1955,"N1"),""))</f>
        <v/>
      </c>
      <c r="J1955" s="96" t="str">
        <f>IF(D1955="","",COUNTA(D1948:D1955)-(COUNTA(D1955:D1955)-1))</f>
        <v/>
      </c>
    </row>
    <row r="1956" spans="1:10" thickBot="1">
      <c r="A1956" s="117"/>
      <c r="B1956" s="70">
        <f t="shared" si="125"/>
        <v>45748</v>
      </c>
      <c r="C1956" s="82" t="str">
        <f t="shared" si="126"/>
        <v>mardi</v>
      </c>
      <c r="D1956" s="87"/>
      <c r="E1956" s="115" t="str">
        <f t="shared" si="127"/>
        <v/>
      </c>
      <c r="F1956" s="115" t="str">
        <f t="shared" si="128"/>
        <v/>
      </c>
      <c r="G1956" s="116" t="str">
        <f>IF(ISNONTEXT(D1956),"",E1956-MAX($F$2:F1955))</f>
        <v/>
      </c>
      <c r="H1956" s="97"/>
      <c r="I1956" s="74" t="str">
        <f ca="1">IF(D1956="N",COUNTIF(INDIRECT(ADDRESS(MATCH(Plages!$D$19,'Planning annuel mixing coater'!$B:$B),4)):D1956,"N"),IF(D1956="N1",COUNTIF($D$9:D1956,"N1"),""))</f>
        <v/>
      </c>
      <c r="J1956" s="96" t="str">
        <f>IF(D1956="","",COUNTA(D1948:D1956)-(COUNTA(D1956:D1956)-1))</f>
        <v/>
      </c>
    </row>
    <row r="1957" spans="1:10" thickBot="1">
      <c r="A1957" s="117"/>
      <c r="B1957" s="70">
        <f t="shared" si="125"/>
        <v>45749</v>
      </c>
      <c r="C1957" s="82" t="str">
        <f t="shared" si="126"/>
        <v>mercredi</v>
      </c>
      <c r="D1957" s="87"/>
      <c r="E1957" s="115" t="str">
        <f t="shared" si="127"/>
        <v/>
      </c>
      <c r="F1957" s="115" t="str">
        <f t="shared" si="128"/>
        <v/>
      </c>
      <c r="G1957" s="116" t="str">
        <f>IF(ISNONTEXT(D1957),"",E1957-MAX($F$2:F1956))</f>
        <v/>
      </c>
      <c r="H1957" s="97"/>
      <c r="I1957" s="74" t="str">
        <f ca="1">IF(D1957="N",COUNTIF(INDIRECT(ADDRESS(MATCH(Plages!$D$19,'Planning annuel mixing coater'!$B:$B),4)):D1957,"N"),IF(D1957="N1",COUNTIF($D$9:D1957,"N1"),""))</f>
        <v/>
      </c>
      <c r="J1957" s="96" t="str">
        <f>IF(D1957="","",COUNTA(D1948:D1957)-(COUNTA(D1957:D1957)-1))</f>
        <v/>
      </c>
    </row>
    <row r="1958" spans="1:10" thickBot="1">
      <c r="A1958" s="117"/>
      <c r="B1958" s="70">
        <f t="shared" si="125"/>
        <v>45750</v>
      </c>
      <c r="C1958" s="82" t="str">
        <f t="shared" si="126"/>
        <v>jeudi</v>
      </c>
      <c r="D1958" s="87"/>
      <c r="E1958" s="115" t="str">
        <f t="shared" si="127"/>
        <v/>
      </c>
      <c r="F1958" s="115" t="str">
        <f t="shared" si="128"/>
        <v/>
      </c>
      <c r="G1958" s="116" t="str">
        <f>IF(ISNONTEXT(D1958),"",E1958-MAX($F$2:F1957))</f>
        <v/>
      </c>
      <c r="H1958" s="97"/>
      <c r="I1958" s="74" t="str">
        <f ca="1">IF(D1958="N",COUNTIF(INDIRECT(ADDRESS(MATCH(Plages!$D$19,'Planning annuel mixing coater'!$B:$B),4)):D1958,"N"),IF(D1958="N1",COUNTIF($D$9:D1958,"N1"),""))</f>
        <v/>
      </c>
      <c r="J1958" s="96" t="str">
        <f>IF(D1958="","",COUNTA(D1948:D1958)-(COUNTA(D1958:D1958)-1))</f>
        <v/>
      </c>
    </row>
    <row r="1959" spans="1:10" thickBot="1">
      <c r="A1959" s="117"/>
      <c r="B1959" s="70">
        <f t="shared" si="125"/>
        <v>45751</v>
      </c>
      <c r="C1959" s="82" t="str">
        <f t="shared" si="126"/>
        <v>vendredi</v>
      </c>
      <c r="D1959" s="87"/>
      <c r="E1959" s="115" t="str">
        <f t="shared" si="127"/>
        <v/>
      </c>
      <c r="F1959" s="115" t="str">
        <f t="shared" si="128"/>
        <v/>
      </c>
      <c r="G1959" s="116" t="str">
        <f>IF(ISNONTEXT(D1959),"",E1959-MAX($F$2:F1958))</f>
        <v/>
      </c>
      <c r="H1959" s="97"/>
      <c r="I1959" s="74" t="str">
        <f ca="1">IF(D1959="N",COUNTIF(INDIRECT(ADDRESS(MATCH(Plages!$D$19,'Planning annuel mixing coater'!$B:$B),4)):D1959,"N"),IF(D1959="N1",COUNTIF($D$9:D1959,"N1"),""))</f>
        <v/>
      </c>
      <c r="J1959" s="96" t="str">
        <f>IF(D1959="","",COUNTA(D1948:D1959)-(COUNTA(D1959:D1959)-1))</f>
        <v/>
      </c>
    </row>
    <row r="1960" spans="1:10" thickBot="1">
      <c r="A1960" s="117"/>
      <c r="B1960" s="70">
        <f t="shared" si="125"/>
        <v>45752</v>
      </c>
      <c r="C1960" s="82" t="str">
        <f t="shared" si="126"/>
        <v>samedi</v>
      </c>
      <c r="D1960" s="87"/>
      <c r="E1960" s="115" t="str">
        <f t="shared" si="127"/>
        <v/>
      </c>
      <c r="F1960" s="115" t="str">
        <f t="shared" si="128"/>
        <v/>
      </c>
      <c r="G1960" s="116" t="str">
        <f>IF(ISNONTEXT(D1960),"",E1960-MAX($F$2:F1959))</f>
        <v/>
      </c>
      <c r="H1960" s="97"/>
      <c r="I1960" s="74" t="str">
        <f ca="1">IF(D1960="N",COUNTIF(INDIRECT(ADDRESS(MATCH(Plages!$D$19,'Planning annuel mixing coater'!$B:$B),4)):D1960,"N"),IF(D1960="N1",COUNTIF($D$9:D1960,"N1"),""))</f>
        <v/>
      </c>
      <c r="J1960" s="96" t="str">
        <f>IF(D1960="","",COUNTA(D1948:D1960)-(COUNTA(D1960:D1960)-1))</f>
        <v/>
      </c>
    </row>
    <row r="1961" spans="1:10" s="77" customFormat="1" thickBot="1">
      <c r="A1961" s="117"/>
      <c r="B1961" s="75">
        <f t="shared" si="125"/>
        <v>45753</v>
      </c>
      <c r="C1961" s="83" t="str">
        <f t="shared" si="126"/>
        <v>dimanche</v>
      </c>
      <c r="D1961" s="88"/>
      <c r="E1961" s="115" t="str">
        <f t="shared" si="127"/>
        <v/>
      </c>
      <c r="F1961" s="115" t="str">
        <f t="shared" si="128"/>
        <v/>
      </c>
      <c r="G1961" s="116" t="str">
        <f>IF(ISNONTEXT(D1961),"",E1961-MAX($F$2:F1960))</f>
        <v/>
      </c>
      <c r="H1961" s="98"/>
      <c r="I1961" s="76" t="str">
        <f ca="1">IF(D1961="N",COUNTIF(INDIRECT(ADDRESS(MATCH(Plages!$D$19,'Planning annuel mixing coater'!$B:$B),4)):D1961,"N"),IF(D1961="N1",COUNTIF($D$9:D1961,"N1"),""))</f>
        <v/>
      </c>
      <c r="J1961" s="99" t="str">
        <f>IF(D1961="","",COUNTA(D1948:D1961)-(COUNTA(D1961:D1961)-1))</f>
        <v/>
      </c>
    </row>
    <row r="1962" spans="1:10" ht="16.5" thickTop="1" thickBot="1">
      <c r="A1962" s="117"/>
      <c r="B1962" s="78">
        <f t="shared" si="125"/>
        <v>45754</v>
      </c>
      <c r="C1962" s="81" t="str">
        <f t="shared" si="126"/>
        <v>lundi</v>
      </c>
      <c r="D1962" s="89"/>
      <c r="E1962" s="115" t="str">
        <f t="shared" si="127"/>
        <v/>
      </c>
      <c r="F1962" s="115" t="str">
        <f t="shared" si="128"/>
        <v/>
      </c>
      <c r="G1962" s="116" t="str">
        <f>IF(ISNONTEXT(D1962),"",E1962-MAX($F$2:F1961))</f>
        <v/>
      </c>
      <c r="H1962" s="100"/>
      <c r="I1962" s="79" t="str">
        <f ca="1">IF(D1962="N",COUNTIF(INDIRECT(ADDRESS(MATCH(Plages!$D$19,'Planning annuel mixing coater'!$B:$B),4)):D1962,"N"),IF(D1962="N1",COUNTIF($D$9:D1962,"N1"),""))</f>
        <v/>
      </c>
      <c r="J1962" s="101" t="str">
        <f>IF(D1962="","",COUNTA(D1962:D1962)-(COUNTA(D1962:D1962)-1))</f>
        <v/>
      </c>
    </row>
    <row r="1963" spans="1:10" thickBot="1">
      <c r="A1963" s="117"/>
      <c r="B1963" s="70">
        <f t="shared" si="125"/>
        <v>45755</v>
      </c>
      <c r="C1963" s="82" t="str">
        <f t="shared" si="126"/>
        <v>mardi</v>
      </c>
      <c r="D1963" s="87"/>
      <c r="E1963" s="115" t="str">
        <f t="shared" si="127"/>
        <v/>
      </c>
      <c r="F1963" s="115" t="str">
        <f t="shared" si="128"/>
        <v/>
      </c>
      <c r="G1963" s="116" t="str">
        <f>IF(ISNONTEXT(D1963),"",E1963-MAX($F$2:F1962))</f>
        <v/>
      </c>
      <c r="H1963" s="97"/>
      <c r="I1963" s="74" t="str">
        <f ca="1">IF(D1963="N",COUNTIF(INDIRECT(ADDRESS(MATCH(Plages!$D$19,'Planning annuel mixing coater'!$B:$B),4)):D1963,"N"),IF(D1963="N1",COUNTIF($D$9:D1963,"N1"),""))</f>
        <v/>
      </c>
      <c r="J1963" s="96" t="str">
        <f>IF(D1963="","",COUNTA(D1962:D1963)-(COUNTA(D1963:D1963)-1))</f>
        <v/>
      </c>
    </row>
    <row r="1964" spans="1:10" thickBot="1">
      <c r="A1964" s="117"/>
      <c r="B1964" s="70">
        <f t="shared" si="125"/>
        <v>45756</v>
      </c>
      <c r="C1964" s="82" t="str">
        <f t="shared" si="126"/>
        <v>mercredi</v>
      </c>
      <c r="D1964" s="87"/>
      <c r="E1964" s="115" t="str">
        <f t="shared" si="127"/>
        <v/>
      </c>
      <c r="F1964" s="115" t="str">
        <f t="shared" si="128"/>
        <v/>
      </c>
      <c r="G1964" s="116" t="str">
        <f>IF(ISNONTEXT(D1964),"",E1964-MAX($F$2:F1963))</f>
        <v/>
      </c>
      <c r="H1964" s="97"/>
      <c r="I1964" s="74" t="str">
        <f ca="1">IF(D1964="N",COUNTIF(INDIRECT(ADDRESS(MATCH(Plages!$D$19,'Planning annuel mixing coater'!$B:$B),4)):D1964,"N"),IF(D1964="N1",COUNTIF($D$9:D1964,"N1"),""))</f>
        <v/>
      </c>
      <c r="J1964" s="96" t="str">
        <f>IF(D1964="","",COUNTA(D1962:D1964)-(COUNTA(D1964:D1964)-1))</f>
        <v/>
      </c>
    </row>
    <row r="1965" spans="1:10" thickBot="1">
      <c r="A1965" s="117"/>
      <c r="B1965" s="70">
        <f t="shared" si="125"/>
        <v>45757</v>
      </c>
      <c r="C1965" s="82" t="str">
        <f t="shared" si="126"/>
        <v>jeudi</v>
      </c>
      <c r="D1965" s="87"/>
      <c r="E1965" s="115" t="str">
        <f t="shared" si="127"/>
        <v/>
      </c>
      <c r="F1965" s="115" t="str">
        <f t="shared" si="128"/>
        <v/>
      </c>
      <c r="G1965" s="116" t="str">
        <f>IF(ISNONTEXT(D1965),"",E1965-MAX($F$2:F1964))</f>
        <v/>
      </c>
      <c r="H1965" s="97"/>
      <c r="I1965" s="74" t="str">
        <f ca="1">IF(D1965="N",COUNTIF(INDIRECT(ADDRESS(MATCH(Plages!$D$19,'Planning annuel mixing coater'!$B:$B),4)):D1965,"N"),IF(D1965="N1",COUNTIF($D$9:D1965,"N1"),""))</f>
        <v/>
      </c>
      <c r="J1965" s="96" t="str">
        <f>IF(D1965="","",COUNTA(D1962:D1965)-(COUNTA(D1965:D1965)-1))</f>
        <v/>
      </c>
    </row>
    <row r="1966" spans="1:10" thickBot="1">
      <c r="A1966" s="117"/>
      <c r="B1966" s="70">
        <f t="shared" si="125"/>
        <v>45758</v>
      </c>
      <c r="C1966" s="82" t="str">
        <f t="shared" si="126"/>
        <v>vendredi</v>
      </c>
      <c r="D1966" s="87"/>
      <c r="E1966" s="115" t="str">
        <f t="shared" si="127"/>
        <v/>
      </c>
      <c r="F1966" s="115" t="str">
        <f t="shared" si="128"/>
        <v/>
      </c>
      <c r="G1966" s="116" t="str">
        <f>IF(ISNONTEXT(D1966),"",E1966-MAX($F$2:F1965))</f>
        <v/>
      </c>
      <c r="H1966" s="97"/>
      <c r="I1966" s="74" t="str">
        <f ca="1">IF(D1966="N",COUNTIF(INDIRECT(ADDRESS(MATCH(Plages!$D$19,'Planning annuel mixing coater'!$B:$B),4)):D1966,"N"),IF(D1966="N1",COUNTIF($D$9:D1966,"N1"),""))</f>
        <v/>
      </c>
      <c r="J1966" s="96" t="str">
        <f>IF(D1966="","",COUNTA(D1962:D1966)-(COUNTA(D1966:D1966)-1))</f>
        <v/>
      </c>
    </row>
    <row r="1967" spans="1:10" thickBot="1">
      <c r="A1967" s="117"/>
      <c r="B1967" s="70">
        <f t="shared" si="125"/>
        <v>45759</v>
      </c>
      <c r="C1967" s="82" t="str">
        <f t="shared" si="126"/>
        <v>samedi</v>
      </c>
      <c r="D1967" s="87"/>
      <c r="E1967" s="115" t="str">
        <f t="shared" si="127"/>
        <v/>
      </c>
      <c r="F1967" s="115" t="str">
        <f t="shared" si="128"/>
        <v/>
      </c>
      <c r="G1967" s="116" t="str">
        <f>IF(ISNONTEXT(D1967),"",E1967-MAX($F$2:F1966))</f>
        <v/>
      </c>
      <c r="H1967" s="97"/>
      <c r="I1967" s="74" t="str">
        <f ca="1">IF(D1967="N",COUNTIF(INDIRECT(ADDRESS(MATCH(Plages!$D$19,'Planning annuel mixing coater'!$B:$B),4)):D1967,"N"),IF(D1967="N1",COUNTIF($D$9:D1967,"N1"),""))</f>
        <v/>
      </c>
      <c r="J1967" s="96" t="str">
        <f>IF(D1967="","",COUNTA(D1962:D1967)-(COUNTA(D1967:D1967)-1))</f>
        <v/>
      </c>
    </row>
    <row r="1968" spans="1:10" thickBot="1">
      <c r="A1968" s="117"/>
      <c r="B1968" s="70">
        <f t="shared" si="125"/>
        <v>45760</v>
      </c>
      <c r="C1968" s="82" t="str">
        <f t="shared" si="126"/>
        <v>dimanche</v>
      </c>
      <c r="D1968" s="87"/>
      <c r="E1968" s="115" t="str">
        <f t="shared" si="127"/>
        <v/>
      </c>
      <c r="F1968" s="115" t="str">
        <f t="shared" si="128"/>
        <v/>
      </c>
      <c r="G1968" s="116" t="str">
        <f>IF(ISNONTEXT(D1968),"",E1968-MAX($F$2:F1967))</f>
        <v/>
      </c>
      <c r="H1968" s="98"/>
      <c r="I1968" s="74" t="str">
        <f ca="1">IF(D1968="N",COUNTIF(INDIRECT(ADDRESS(MATCH(Plages!$D$19,'Planning annuel mixing coater'!$B:$B),4)):D1968,"N"),IF(D1968="N1",COUNTIF($D$9:D1968,"N1"),""))</f>
        <v/>
      </c>
      <c r="J1968" s="96" t="str">
        <f>IF(D1968="","",COUNTA(D1962:D1968)-(COUNTA(D1968:D1968)-1))</f>
        <v/>
      </c>
    </row>
    <row r="1969" spans="1:10" thickBot="1">
      <c r="A1969" s="117"/>
      <c r="B1969" s="70">
        <f t="shared" si="125"/>
        <v>45761</v>
      </c>
      <c r="C1969" s="82" t="str">
        <f t="shared" si="126"/>
        <v>lundi</v>
      </c>
      <c r="D1969" s="87"/>
      <c r="E1969" s="115" t="str">
        <f t="shared" si="127"/>
        <v/>
      </c>
      <c r="F1969" s="115" t="str">
        <f t="shared" si="128"/>
        <v/>
      </c>
      <c r="G1969" s="116" t="str">
        <f>IF(ISNONTEXT(D1969),"",E1969-MAX($F$2:F1968))</f>
        <v/>
      </c>
      <c r="H1969" s="97"/>
      <c r="I1969" s="74" t="str">
        <f ca="1">IF(D1969="N",COUNTIF(INDIRECT(ADDRESS(MATCH(Plages!$D$19,'Planning annuel mixing coater'!$B:$B),4)):D1969,"N"),IF(D1969="N1",COUNTIF($D$9:D1969,"N1"),""))</f>
        <v/>
      </c>
      <c r="J1969" s="96" t="str">
        <f>IF(D1969="","",COUNTA(D1962:D1969)-(COUNTA(D1969:D1969)-1))</f>
        <v/>
      </c>
    </row>
    <row r="1970" spans="1:10" thickBot="1">
      <c r="A1970" s="117"/>
      <c r="B1970" s="70">
        <f t="shared" si="125"/>
        <v>45762</v>
      </c>
      <c r="C1970" s="82" t="str">
        <f t="shared" si="126"/>
        <v>mardi</v>
      </c>
      <c r="D1970" s="87"/>
      <c r="E1970" s="115" t="str">
        <f t="shared" si="127"/>
        <v/>
      </c>
      <c r="F1970" s="115" t="str">
        <f t="shared" si="128"/>
        <v/>
      </c>
      <c r="G1970" s="116" t="str">
        <f>IF(ISNONTEXT(D1970),"",E1970-MAX($F$2:F1969))</f>
        <v/>
      </c>
      <c r="H1970" s="97"/>
      <c r="I1970" s="74" t="str">
        <f ca="1">IF(D1970="N",COUNTIF(INDIRECT(ADDRESS(MATCH(Plages!$D$19,'Planning annuel mixing coater'!$B:$B),4)):D1970,"N"),IF(D1970="N1",COUNTIF($D$9:D1970,"N1"),""))</f>
        <v/>
      </c>
      <c r="J1970" s="96" t="str">
        <f>IF(D1970="","",COUNTA(D1962:D1970)-(COUNTA(D1970:D1970)-1))</f>
        <v/>
      </c>
    </row>
    <row r="1971" spans="1:10" thickBot="1">
      <c r="A1971" s="117"/>
      <c r="B1971" s="70">
        <f t="shared" si="125"/>
        <v>45763</v>
      </c>
      <c r="C1971" s="82" t="str">
        <f t="shared" si="126"/>
        <v>mercredi</v>
      </c>
      <c r="D1971" s="87"/>
      <c r="E1971" s="115" t="str">
        <f t="shared" si="127"/>
        <v/>
      </c>
      <c r="F1971" s="115" t="str">
        <f t="shared" si="128"/>
        <v/>
      </c>
      <c r="G1971" s="116" t="str">
        <f>IF(ISNONTEXT(D1971),"",E1971-MAX($F$2:F1970))</f>
        <v/>
      </c>
      <c r="H1971" s="97"/>
      <c r="I1971" s="74" t="str">
        <f ca="1">IF(D1971="N",COUNTIF(INDIRECT(ADDRESS(MATCH(Plages!$D$19,'Planning annuel mixing coater'!$B:$B),4)):D1971,"N"),IF(D1971="N1",COUNTIF($D$9:D1971,"N1"),""))</f>
        <v/>
      </c>
      <c r="J1971" s="96" t="str">
        <f>IF(D1971="","",COUNTA(D1962:D1971)-(COUNTA(D1971:D1971)-1))</f>
        <v/>
      </c>
    </row>
    <row r="1972" spans="1:10" thickBot="1">
      <c r="A1972" s="117"/>
      <c r="B1972" s="70">
        <f t="shared" si="125"/>
        <v>45764</v>
      </c>
      <c r="C1972" s="82" t="str">
        <f t="shared" si="126"/>
        <v>jeudi</v>
      </c>
      <c r="D1972" s="87"/>
      <c r="E1972" s="115" t="str">
        <f t="shared" si="127"/>
        <v/>
      </c>
      <c r="F1972" s="115" t="str">
        <f t="shared" si="128"/>
        <v/>
      </c>
      <c r="G1972" s="116" t="str">
        <f>IF(ISNONTEXT(D1972),"",E1972-MAX($F$2:F1971))</f>
        <v/>
      </c>
      <c r="H1972" s="97"/>
      <c r="I1972" s="74" t="str">
        <f ca="1">IF(D1972="N",COUNTIF(INDIRECT(ADDRESS(MATCH(Plages!$D$19,'Planning annuel mixing coater'!$B:$B),4)):D1972,"N"),IF(D1972="N1",COUNTIF($D$9:D1972,"N1"),""))</f>
        <v/>
      </c>
      <c r="J1972" s="96" t="str">
        <f>IF(D1972="","",COUNTA(D1962:D1972)-(COUNTA(D1972:D1972)-1))</f>
        <v/>
      </c>
    </row>
    <row r="1973" spans="1:10" thickBot="1">
      <c r="A1973" s="117"/>
      <c r="B1973" s="70">
        <f t="shared" si="125"/>
        <v>45765</v>
      </c>
      <c r="C1973" s="82" t="str">
        <f t="shared" si="126"/>
        <v>vendredi</v>
      </c>
      <c r="D1973" s="87"/>
      <c r="E1973" s="115" t="str">
        <f t="shared" si="127"/>
        <v/>
      </c>
      <c r="F1973" s="115" t="str">
        <f t="shared" si="128"/>
        <v/>
      </c>
      <c r="G1973" s="116" t="str">
        <f>IF(ISNONTEXT(D1973),"",E1973-MAX($F$2:F1972))</f>
        <v/>
      </c>
      <c r="H1973" s="97"/>
      <c r="I1973" s="74" t="str">
        <f ca="1">IF(D1973="N",COUNTIF(INDIRECT(ADDRESS(MATCH(Plages!$D$19,'Planning annuel mixing coater'!$B:$B),4)):D1973,"N"),IF(D1973="N1",COUNTIF($D$9:D1973,"N1"),""))</f>
        <v/>
      </c>
      <c r="J1973" s="96" t="str">
        <f>IF(D1973="","",COUNTA(D1962:D1973)-(COUNTA(D1973:D1973)-1))</f>
        <v/>
      </c>
    </row>
    <row r="1974" spans="1:10" thickBot="1">
      <c r="A1974" s="117"/>
      <c r="B1974" s="70">
        <f t="shared" si="125"/>
        <v>45766</v>
      </c>
      <c r="C1974" s="82" t="str">
        <f t="shared" si="126"/>
        <v>samedi</v>
      </c>
      <c r="D1974" s="87"/>
      <c r="E1974" s="115" t="str">
        <f t="shared" si="127"/>
        <v/>
      </c>
      <c r="F1974" s="115" t="str">
        <f t="shared" si="128"/>
        <v/>
      </c>
      <c r="G1974" s="116" t="str">
        <f>IF(ISNONTEXT(D1974),"",E1974-MAX($F$2:F1973))</f>
        <v/>
      </c>
      <c r="H1974" s="97"/>
      <c r="I1974" s="74" t="str">
        <f ca="1">IF(D1974="N",COUNTIF(INDIRECT(ADDRESS(MATCH(Plages!$D$19,'Planning annuel mixing coater'!$B:$B),4)):D1974,"N"),IF(D1974="N1",COUNTIF($D$9:D1974,"N1"),""))</f>
        <v/>
      </c>
      <c r="J1974" s="96" t="str">
        <f>IF(D1974="","",COUNTA(D1962:D1974)-(COUNTA(D1974:D1974)-1))</f>
        <v/>
      </c>
    </row>
    <row r="1975" spans="1:10" s="77" customFormat="1" thickBot="1">
      <c r="A1975" s="117"/>
      <c r="B1975" s="75">
        <f t="shared" si="125"/>
        <v>45767</v>
      </c>
      <c r="C1975" s="83" t="str">
        <f t="shared" si="126"/>
        <v>dimanche</v>
      </c>
      <c r="D1975" s="88"/>
      <c r="E1975" s="115" t="str">
        <f t="shared" si="127"/>
        <v/>
      </c>
      <c r="F1975" s="115" t="str">
        <f t="shared" si="128"/>
        <v/>
      </c>
      <c r="G1975" s="116" t="str">
        <f>IF(ISNONTEXT(D1975),"",E1975-MAX($F$2:F1974))</f>
        <v/>
      </c>
      <c r="H1975" s="98"/>
      <c r="I1975" s="76" t="str">
        <f ca="1">IF(D1975="N",COUNTIF(INDIRECT(ADDRESS(MATCH(Plages!$D$19,'Planning annuel mixing coater'!$B:$B),4)):D1975,"N"),IF(D1975="N1",COUNTIF($D$9:D1975,"N1"),""))</f>
        <v/>
      </c>
      <c r="J1975" s="99" t="str">
        <f>IF(D1975="","",COUNTA(D1962:D1975)-(COUNTA(D1975:D1975)-1))</f>
        <v/>
      </c>
    </row>
    <row r="1976" spans="1:10" ht="16.5" thickTop="1" thickBot="1">
      <c r="A1976" s="117"/>
      <c r="B1976" s="78">
        <f t="shared" si="125"/>
        <v>45768</v>
      </c>
      <c r="C1976" s="81" t="str">
        <f t="shared" si="126"/>
        <v>lundi</v>
      </c>
      <c r="D1976" s="89"/>
      <c r="E1976" s="115" t="str">
        <f t="shared" si="127"/>
        <v/>
      </c>
      <c r="F1976" s="115" t="str">
        <f t="shared" si="128"/>
        <v/>
      </c>
      <c r="G1976" s="116" t="str">
        <f>IF(ISNONTEXT(D1976),"",E1976-MAX($F$2:F1975))</f>
        <v/>
      </c>
      <c r="H1976" s="100"/>
      <c r="I1976" s="79" t="str">
        <f ca="1">IF(D1976="N",COUNTIF(INDIRECT(ADDRESS(MATCH(Plages!$D$19,'Planning annuel mixing coater'!$B:$B),4)):D1976,"N"),IF(D1976="N1",COUNTIF($D$9:D1976,"N1"),""))</f>
        <v/>
      </c>
      <c r="J1976" s="101" t="str">
        <f>IF(D1976="","",COUNTA(D1976:D1976)-(COUNTA(D1976:D1976)-1))</f>
        <v/>
      </c>
    </row>
    <row r="1977" spans="1:10" thickBot="1">
      <c r="A1977" s="117"/>
      <c r="B1977" s="70">
        <f t="shared" si="125"/>
        <v>45769</v>
      </c>
      <c r="C1977" s="82" t="str">
        <f t="shared" si="126"/>
        <v>mardi</v>
      </c>
      <c r="D1977" s="87"/>
      <c r="E1977" s="115" t="str">
        <f t="shared" si="127"/>
        <v/>
      </c>
      <c r="F1977" s="115" t="str">
        <f t="shared" si="128"/>
        <v/>
      </c>
      <c r="G1977" s="116" t="str">
        <f>IF(ISNONTEXT(D1977),"",E1977-MAX($F$2:F1976))</f>
        <v/>
      </c>
      <c r="H1977" s="97"/>
      <c r="I1977" s="74" t="str">
        <f ca="1">IF(D1977="N",COUNTIF(INDIRECT(ADDRESS(MATCH(Plages!$D$19,'Planning annuel mixing coater'!$B:$B),4)):D1977,"N"),IF(D1977="N1",COUNTIF($D$9:D1977,"N1"),""))</f>
        <v/>
      </c>
      <c r="J1977" s="96" t="str">
        <f>IF(D1977="","",COUNTA(D1976:D1977)-(COUNTA(D1977:D1977)-1))</f>
        <v/>
      </c>
    </row>
    <row r="1978" spans="1:10" thickBot="1">
      <c r="A1978" s="117"/>
      <c r="B1978" s="70">
        <f t="shared" si="125"/>
        <v>45770</v>
      </c>
      <c r="C1978" s="82" t="str">
        <f t="shared" si="126"/>
        <v>mercredi</v>
      </c>
      <c r="D1978" s="87"/>
      <c r="E1978" s="115" t="str">
        <f t="shared" si="127"/>
        <v/>
      </c>
      <c r="F1978" s="115" t="str">
        <f t="shared" si="128"/>
        <v/>
      </c>
      <c r="G1978" s="116" t="str">
        <f>IF(ISNONTEXT(D1978),"",E1978-MAX($F$2:F1977))</f>
        <v/>
      </c>
      <c r="H1978" s="97"/>
      <c r="I1978" s="74" t="str">
        <f ca="1">IF(D1978="N",COUNTIF(INDIRECT(ADDRESS(MATCH(Plages!$D$19,'Planning annuel mixing coater'!$B:$B),4)):D1978,"N"),IF(D1978="N1",COUNTIF($D$9:D1978,"N1"),""))</f>
        <v/>
      </c>
      <c r="J1978" s="96" t="str">
        <f>IF(D1978="","",COUNTA(D1976:D1978)-(COUNTA(D1978:D1978)-1))</f>
        <v/>
      </c>
    </row>
    <row r="1979" spans="1:10" thickBot="1">
      <c r="A1979" s="117"/>
      <c r="B1979" s="70">
        <f t="shared" si="125"/>
        <v>45771</v>
      </c>
      <c r="C1979" s="82" t="str">
        <f t="shared" si="126"/>
        <v>jeudi</v>
      </c>
      <c r="D1979" s="87"/>
      <c r="E1979" s="115" t="str">
        <f t="shared" si="127"/>
        <v/>
      </c>
      <c r="F1979" s="115" t="str">
        <f t="shared" si="128"/>
        <v/>
      </c>
      <c r="G1979" s="116" t="str">
        <f>IF(ISNONTEXT(D1979),"",E1979-MAX($F$2:F1978))</f>
        <v/>
      </c>
      <c r="H1979" s="97"/>
      <c r="I1979" s="74" t="str">
        <f ca="1">IF(D1979="N",COUNTIF(INDIRECT(ADDRESS(MATCH(Plages!$D$19,'Planning annuel mixing coater'!$B:$B),4)):D1979,"N"),IF(D1979="N1",COUNTIF($D$9:D1979,"N1"),""))</f>
        <v/>
      </c>
      <c r="J1979" s="96" t="str">
        <f>IF(D1979="","",COUNTA(D1976:D1979)-(COUNTA(D1979:D1979)-1))</f>
        <v/>
      </c>
    </row>
    <row r="1980" spans="1:10" thickBot="1">
      <c r="A1980" s="117"/>
      <c r="B1980" s="70">
        <f t="shared" si="125"/>
        <v>45772</v>
      </c>
      <c r="C1980" s="82" t="str">
        <f t="shared" si="126"/>
        <v>vendredi</v>
      </c>
      <c r="D1980" s="87"/>
      <c r="E1980" s="115" t="str">
        <f t="shared" si="127"/>
        <v/>
      </c>
      <c r="F1980" s="115" t="str">
        <f t="shared" si="128"/>
        <v/>
      </c>
      <c r="G1980" s="116" t="str">
        <f>IF(ISNONTEXT(D1980),"",E1980-MAX($F$2:F1979))</f>
        <v/>
      </c>
      <c r="H1980" s="97"/>
      <c r="I1980" s="74" t="str">
        <f ca="1">IF(D1980="N",COUNTIF(INDIRECT(ADDRESS(MATCH(Plages!$D$19,'Planning annuel mixing coater'!$B:$B),4)):D1980,"N"),IF(D1980="N1",COUNTIF($D$9:D1980,"N1"),""))</f>
        <v/>
      </c>
      <c r="J1980" s="96" t="str">
        <f>IF(D1980="","",COUNTA(D1976:D1980)-(COUNTA(D1980:D1980)-1))</f>
        <v/>
      </c>
    </row>
    <row r="1981" spans="1:10" thickBot="1">
      <c r="A1981" s="117"/>
      <c r="B1981" s="70">
        <f t="shared" si="125"/>
        <v>45773</v>
      </c>
      <c r="C1981" s="82" t="str">
        <f t="shared" si="126"/>
        <v>samedi</v>
      </c>
      <c r="D1981" s="87"/>
      <c r="E1981" s="115" t="str">
        <f t="shared" si="127"/>
        <v/>
      </c>
      <c r="F1981" s="115" t="str">
        <f t="shared" si="128"/>
        <v/>
      </c>
      <c r="G1981" s="116" t="str">
        <f>IF(ISNONTEXT(D1981),"",E1981-MAX($F$2:F1980))</f>
        <v/>
      </c>
      <c r="H1981" s="97"/>
      <c r="I1981" s="74" t="str">
        <f ca="1">IF(D1981="N",COUNTIF(INDIRECT(ADDRESS(MATCH(Plages!$D$19,'Planning annuel mixing coater'!$B:$B),4)):D1981,"N"),IF(D1981="N1",COUNTIF($D$9:D1981,"N1"),""))</f>
        <v/>
      </c>
      <c r="J1981" s="96" t="str">
        <f>IF(D1981="","",COUNTA(D1976:D1981)-(COUNTA(D1981:D1981)-1))</f>
        <v/>
      </c>
    </row>
    <row r="1982" spans="1:10" thickBot="1">
      <c r="A1982" s="117"/>
      <c r="B1982" s="70">
        <f t="shared" si="125"/>
        <v>45774</v>
      </c>
      <c r="C1982" s="82" t="str">
        <f t="shared" si="126"/>
        <v>dimanche</v>
      </c>
      <c r="D1982" s="87"/>
      <c r="E1982" s="115" t="str">
        <f t="shared" si="127"/>
        <v/>
      </c>
      <c r="F1982" s="115" t="str">
        <f t="shared" si="128"/>
        <v/>
      </c>
      <c r="G1982" s="116" t="str">
        <f>IF(ISNONTEXT(D1982),"",E1982-MAX($F$2:F1981))</f>
        <v/>
      </c>
      <c r="H1982" s="98"/>
      <c r="I1982" s="74" t="str">
        <f ca="1">IF(D1982="N",COUNTIF(INDIRECT(ADDRESS(MATCH(Plages!$D$19,'Planning annuel mixing coater'!$B:$B),4)):D1982,"N"),IF(D1982="N1",COUNTIF($D$9:D1982,"N1"),""))</f>
        <v/>
      </c>
      <c r="J1982" s="96" t="str">
        <f>IF(D1982="","",COUNTA(D1976:D1982)-(COUNTA(D1982:D1982)-1))</f>
        <v/>
      </c>
    </row>
    <row r="1983" spans="1:10" thickBot="1">
      <c r="A1983" s="117"/>
      <c r="B1983" s="70">
        <f t="shared" si="125"/>
        <v>45775</v>
      </c>
      <c r="C1983" s="82" t="str">
        <f t="shared" si="126"/>
        <v>lundi</v>
      </c>
      <c r="D1983" s="87"/>
      <c r="E1983" s="115" t="str">
        <f t="shared" si="127"/>
        <v/>
      </c>
      <c r="F1983" s="115" t="str">
        <f t="shared" si="128"/>
        <v/>
      </c>
      <c r="G1983" s="116" t="str">
        <f>IF(ISNONTEXT(D1983),"",E1983-MAX($F$2:F1982))</f>
        <v/>
      </c>
      <c r="H1983" s="97"/>
      <c r="I1983" s="74" t="str">
        <f ca="1">IF(D1983="N",COUNTIF(INDIRECT(ADDRESS(MATCH(Plages!$D$19,'Planning annuel mixing coater'!$B:$B),4)):D1983,"N"),IF(D1983="N1",COUNTIF($D$9:D1983,"N1"),""))</f>
        <v/>
      </c>
      <c r="J1983" s="96" t="str">
        <f>IF(D1983="","",COUNTA(D1976:D1983)-(COUNTA(D1983:D1983)-1))</f>
        <v/>
      </c>
    </row>
    <row r="1984" spans="1:10" thickBot="1">
      <c r="A1984" s="117"/>
      <c r="B1984" s="70">
        <f t="shared" si="125"/>
        <v>45776</v>
      </c>
      <c r="C1984" s="82" t="str">
        <f t="shared" si="126"/>
        <v>mardi</v>
      </c>
      <c r="D1984" s="87"/>
      <c r="E1984" s="115" t="str">
        <f t="shared" si="127"/>
        <v/>
      </c>
      <c r="F1984" s="115" t="str">
        <f t="shared" si="128"/>
        <v/>
      </c>
      <c r="G1984" s="116" t="str">
        <f>IF(ISNONTEXT(D1984),"",E1984-MAX($F$2:F1983))</f>
        <v/>
      </c>
      <c r="H1984" s="97"/>
      <c r="I1984" s="74" t="str">
        <f ca="1">IF(D1984="N",COUNTIF(INDIRECT(ADDRESS(MATCH(Plages!$D$19,'Planning annuel mixing coater'!$B:$B),4)):D1984,"N"),IF(D1984="N1",COUNTIF($D$9:D1984,"N1"),""))</f>
        <v/>
      </c>
      <c r="J1984" s="96" t="str">
        <f>IF(D1984="","",COUNTA(D1976:D1984)-(COUNTA(D1984:D1984)-1))</f>
        <v/>
      </c>
    </row>
    <row r="1985" spans="1:10" thickBot="1">
      <c r="A1985" s="117"/>
      <c r="B1985" s="70">
        <f t="shared" si="125"/>
        <v>45777</v>
      </c>
      <c r="C1985" s="82" t="str">
        <f t="shared" si="126"/>
        <v>mercredi</v>
      </c>
      <c r="D1985" s="87"/>
      <c r="E1985" s="115" t="str">
        <f t="shared" si="127"/>
        <v/>
      </c>
      <c r="F1985" s="115" t="str">
        <f t="shared" si="128"/>
        <v/>
      </c>
      <c r="G1985" s="116" t="str">
        <f>IF(ISNONTEXT(D1985),"",E1985-MAX($F$2:F1984))</f>
        <v/>
      </c>
      <c r="H1985" s="97"/>
      <c r="I1985" s="74" t="str">
        <f ca="1">IF(D1985="N",COUNTIF(INDIRECT(ADDRESS(MATCH(Plages!$D$19,'Planning annuel mixing coater'!$B:$B),4)):D1985,"N"),IF(D1985="N1",COUNTIF($D$9:D1985,"N1"),""))</f>
        <v/>
      </c>
      <c r="J1985" s="96" t="str">
        <f>IF(D1985="","",COUNTA(D1976:D1985)-(COUNTA(D1985:D1985)-1))</f>
        <v/>
      </c>
    </row>
    <row r="1986" spans="1:10" thickBot="1">
      <c r="A1986" s="117"/>
      <c r="B1986" s="70">
        <f t="shared" si="125"/>
        <v>45778</v>
      </c>
      <c r="C1986" s="82" t="str">
        <f t="shared" si="126"/>
        <v>jeudi</v>
      </c>
      <c r="D1986" s="87"/>
      <c r="E1986" s="115" t="str">
        <f t="shared" si="127"/>
        <v/>
      </c>
      <c r="F1986" s="115" t="str">
        <f t="shared" si="128"/>
        <v/>
      </c>
      <c r="G1986" s="116" t="str">
        <f>IF(ISNONTEXT(D1986),"",E1986-MAX($F$2:F1985))</f>
        <v/>
      </c>
      <c r="H1986" s="97"/>
      <c r="I1986" s="74" t="str">
        <f ca="1">IF(D1986="N",COUNTIF(INDIRECT(ADDRESS(MATCH(Plages!$D$19,'Planning annuel mixing coater'!$B:$B),4)):D1986,"N"),IF(D1986="N1",COUNTIF($D$9:D1986,"N1"),""))</f>
        <v/>
      </c>
      <c r="J1986" s="96" t="str">
        <f>IF(D1986="","",COUNTA(D1976:D1986)-(COUNTA(D1986:D1986)-1))</f>
        <v/>
      </c>
    </row>
    <row r="1987" spans="1:10" thickBot="1">
      <c r="A1987" s="117"/>
      <c r="B1987" s="70">
        <f t="shared" si="125"/>
        <v>45779</v>
      </c>
      <c r="C1987" s="82" t="str">
        <f t="shared" si="126"/>
        <v>vendredi</v>
      </c>
      <c r="D1987" s="87"/>
      <c r="E1987" s="115" t="str">
        <f t="shared" si="127"/>
        <v/>
      </c>
      <c r="F1987" s="115" t="str">
        <f t="shared" si="128"/>
        <v/>
      </c>
      <c r="G1987" s="116" t="str">
        <f>IF(ISNONTEXT(D1987),"",E1987-MAX($F$2:F1986))</f>
        <v/>
      </c>
      <c r="H1987" s="97"/>
      <c r="I1987" s="74" t="str">
        <f ca="1">IF(D1987="N",COUNTIF(INDIRECT(ADDRESS(MATCH(Plages!$D$19,'Planning annuel mixing coater'!$B:$B),4)):D1987,"N"),IF(D1987="N1",COUNTIF($D$9:D1987,"N1"),""))</f>
        <v/>
      </c>
      <c r="J1987" s="96" t="str">
        <f>IF(D1987="","",COUNTA(D1976:D1987)-(COUNTA(D1987:D1987)-1))</f>
        <v/>
      </c>
    </row>
    <row r="1988" spans="1:10" thickBot="1">
      <c r="A1988" s="117"/>
      <c r="B1988" s="70">
        <f t="shared" ref="B1988:B2051" si="129">IF(B1987="","",B1987+1)</f>
        <v>45780</v>
      </c>
      <c r="C1988" s="82" t="str">
        <f t="shared" si="126"/>
        <v>samedi</v>
      </c>
      <c r="D1988" s="87"/>
      <c r="E1988" s="115" t="str">
        <f t="shared" si="127"/>
        <v/>
      </c>
      <c r="F1988" s="115" t="str">
        <f t="shared" si="128"/>
        <v/>
      </c>
      <c r="G1988" s="116" t="str">
        <f>IF(ISNONTEXT(D1988),"",E1988-MAX($F$2:F1987))</f>
        <v/>
      </c>
      <c r="H1988" s="97"/>
      <c r="I1988" s="74" t="str">
        <f ca="1">IF(D1988="N",COUNTIF(INDIRECT(ADDRESS(MATCH(Plages!$D$19,'Planning annuel mixing coater'!$B:$B),4)):D1988,"N"),IF(D1988="N1",COUNTIF($D$9:D1988,"N1"),""))</f>
        <v/>
      </c>
      <c r="J1988" s="96" t="str">
        <f>IF(D1988="","",COUNTA(D1976:D1988)-(COUNTA(D1988:D1988)-1))</f>
        <v/>
      </c>
    </row>
    <row r="1989" spans="1:10" s="77" customFormat="1" thickBot="1">
      <c r="A1989" s="117"/>
      <c r="B1989" s="75">
        <f t="shared" si="129"/>
        <v>45781</v>
      </c>
      <c r="C1989" s="83" t="str">
        <f t="shared" si="126"/>
        <v>dimanche</v>
      </c>
      <c r="D1989" s="88"/>
      <c r="E1989" s="115" t="str">
        <f t="shared" si="127"/>
        <v/>
      </c>
      <c r="F1989" s="115" t="str">
        <f t="shared" si="128"/>
        <v/>
      </c>
      <c r="G1989" s="116" t="str">
        <f>IF(ISNONTEXT(D1989),"",E1989-MAX($F$2:F1988))</f>
        <v/>
      </c>
      <c r="H1989" s="98"/>
      <c r="I1989" s="76" t="str">
        <f ca="1">IF(D1989="N",COUNTIF(INDIRECT(ADDRESS(MATCH(Plages!$D$19,'Planning annuel mixing coater'!$B:$B),4)):D1989,"N"),IF(D1989="N1",COUNTIF($D$9:D1989,"N1"),""))</f>
        <v/>
      </c>
      <c r="J1989" s="99" t="str">
        <f>IF(D1989="","",COUNTA(D1976:D1989)-(COUNTA(D1989:D1989)-1))</f>
        <v/>
      </c>
    </row>
    <row r="1990" spans="1:10" ht="16.5" thickTop="1" thickBot="1">
      <c r="A1990" s="117"/>
      <c r="B1990" s="78">
        <f t="shared" si="129"/>
        <v>45782</v>
      </c>
      <c r="C1990" s="81" t="str">
        <f t="shared" si="126"/>
        <v>lundi</v>
      </c>
      <c r="D1990" s="89"/>
      <c r="E1990" s="115" t="str">
        <f t="shared" si="127"/>
        <v/>
      </c>
      <c r="F1990" s="115" t="str">
        <f t="shared" si="128"/>
        <v/>
      </c>
      <c r="G1990" s="116" t="str">
        <f>IF(ISNONTEXT(D1990),"",E1990-MAX($F$2:F1989))</f>
        <v/>
      </c>
      <c r="H1990" s="100"/>
      <c r="I1990" s="79" t="str">
        <f ca="1">IF(D1990="N",COUNTIF(INDIRECT(ADDRESS(MATCH(Plages!$D$19,'Planning annuel mixing coater'!$B:$B),4)):D1990,"N"),IF(D1990="N1",COUNTIF($D$9:D1990,"N1"),""))</f>
        <v/>
      </c>
      <c r="J1990" s="101" t="str">
        <f>IF(D1990="","",COUNTA(D1990:D1990)-(COUNTA(D1990:D1990)-1))</f>
        <v/>
      </c>
    </row>
    <row r="1991" spans="1:10" thickBot="1">
      <c r="A1991" s="117"/>
      <c r="B1991" s="70">
        <f t="shared" si="129"/>
        <v>45783</v>
      </c>
      <c r="C1991" s="82" t="str">
        <f t="shared" si="126"/>
        <v>mardi</v>
      </c>
      <c r="D1991" s="87"/>
      <c r="E1991" s="115" t="str">
        <f t="shared" si="127"/>
        <v/>
      </c>
      <c r="F1991" s="115" t="str">
        <f t="shared" si="128"/>
        <v/>
      </c>
      <c r="G1991" s="116" t="str">
        <f>IF(ISNONTEXT(D1991),"",E1991-MAX($F$2:F1990))</f>
        <v/>
      </c>
      <c r="H1991" s="97"/>
      <c r="I1991" s="74" t="str">
        <f ca="1">IF(D1991="N",COUNTIF(INDIRECT(ADDRESS(MATCH(Plages!$D$19,'Planning annuel mixing coater'!$B:$B),4)):D1991,"N"),IF(D1991="N1",COUNTIF($D$9:D1991,"N1"),""))</f>
        <v/>
      </c>
      <c r="J1991" s="96" t="str">
        <f>IF(D1991="","",COUNTA(D1990:D1991)-(COUNTA(D1991:D1991)-1))</f>
        <v/>
      </c>
    </row>
    <row r="1992" spans="1:10" thickBot="1">
      <c r="A1992" s="117"/>
      <c r="B1992" s="70">
        <f t="shared" si="129"/>
        <v>45784</v>
      </c>
      <c r="C1992" s="82" t="str">
        <f t="shared" si="126"/>
        <v>mercredi</v>
      </c>
      <c r="D1992" s="87"/>
      <c r="E1992" s="115" t="str">
        <f t="shared" si="127"/>
        <v/>
      </c>
      <c r="F1992" s="115" t="str">
        <f t="shared" si="128"/>
        <v/>
      </c>
      <c r="G1992" s="116" t="str">
        <f>IF(ISNONTEXT(D1992),"",E1992-MAX($F$2:F1991))</f>
        <v/>
      </c>
      <c r="H1992" s="97"/>
      <c r="I1992" s="74" t="str">
        <f ca="1">IF(D1992="N",COUNTIF(INDIRECT(ADDRESS(MATCH(Plages!$D$19,'Planning annuel mixing coater'!$B:$B),4)):D1992,"N"),IF(D1992="N1",COUNTIF($D$9:D1992,"N1"),""))</f>
        <v/>
      </c>
      <c r="J1992" s="96" t="str">
        <f>IF(D1992="","",COUNTA(D1990:D1992)-(COUNTA(D1992:D1992)-1))</f>
        <v/>
      </c>
    </row>
    <row r="1993" spans="1:10" thickBot="1">
      <c r="A1993" s="117"/>
      <c r="B1993" s="70">
        <f t="shared" si="129"/>
        <v>45785</v>
      </c>
      <c r="C1993" s="82" t="str">
        <f t="shared" si="126"/>
        <v>jeudi</v>
      </c>
      <c r="D1993" s="87"/>
      <c r="E1993" s="115" t="str">
        <f t="shared" si="127"/>
        <v/>
      </c>
      <c r="F1993" s="115" t="str">
        <f t="shared" si="128"/>
        <v/>
      </c>
      <c r="G1993" s="116" t="str">
        <f>IF(ISNONTEXT(D1993),"",E1993-MAX($F$2:F1992))</f>
        <v/>
      </c>
      <c r="H1993" s="97"/>
      <c r="I1993" s="74" t="str">
        <f ca="1">IF(D1993="N",COUNTIF(INDIRECT(ADDRESS(MATCH(Plages!$D$19,'Planning annuel mixing coater'!$B:$B),4)):D1993,"N"),IF(D1993="N1",COUNTIF($D$9:D1993,"N1"),""))</f>
        <v/>
      </c>
      <c r="J1993" s="96" t="str">
        <f>IF(D1993="","",COUNTA(D1990:D1993)-(COUNTA(D1993:D1993)-1))</f>
        <v/>
      </c>
    </row>
    <row r="1994" spans="1:10" thickBot="1">
      <c r="A1994" s="117"/>
      <c r="B1994" s="70">
        <f t="shared" si="129"/>
        <v>45786</v>
      </c>
      <c r="C1994" s="82" t="str">
        <f t="shared" si="126"/>
        <v>vendredi</v>
      </c>
      <c r="D1994" s="87"/>
      <c r="E1994" s="115" t="str">
        <f t="shared" si="127"/>
        <v/>
      </c>
      <c r="F1994" s="115" t="str">
        <f t="shared" si="128"/>
        <v/>
      </c>
      <c r="G1994" s="116" t="str">
        <f>IF(ISNONTEXT(D1994),"",E1994-MAX($F$2:F1993))</f>
        <v/>
      </c>
      <c r="H1994" s="97"/>
      <c r="I1994" s="74" t="str">
        <f ca="1">IF(D1994="N",COUNTIF(INDIRECT(ADDRESS(MATCH(Plages!$D$19,'Planning annuel mixing coater'!$B:$B),4)):D1994,"N"),IF(D1994="N1",COUNTIF($D$9:D1994,"N1"),""))</f>
        <v/>
      </c>
      <c r="J1994" s="96" t="str">
        <f>IF(D1994="","",COUNTA(D1990:D1994)-(COUNTA(D1994:D1994)-1))</f>
        <v/>
      </c>
    </row>
    <row r="1995" spans="1:10" thickBot="1">
      <c r="A1995" s="117"/>
      <c r="B1995" s="70">
        <f t="shared" si="129"/>
        <v>45787</v>
      </c>
      <c r="C1995" s="82" t="str">
        <f t="shared" si="126"/>
        <v>samedi</v>
      </c>
      <c r="D1995" s="87"/>
      <c r="E1995" s="115" t="str">
        <f t="shared" si="127"/>
        <v/>
      </c>
      <c r="F1995" s="115" t="str">
        <f t="shared" si="128"/>
        <v/>
      </c>
      <c r="G1995" s="116" t="str">
        <f>IF(ISNONTEXT(D1995),"",E1995-MAX($F$2:F1994))</f>
        <v/>
      </c>
      <c r="H1995" s="97"/>
      <c r="I1995" s="74" t="str">
        <f ca="1">IF(D1995="N",COUNTIF(INDIRECT(ADDRESS(MATCH(Plages!$D$19,'Planning annuel mixing coater'!$B:$B),4)):D1995,"N"),IF(D1995="N1",COUNTIF($D$9:D1995,"N1"),""))</f>
        <v/>
      </c>
      <c r="J1995" s="96" t="str">
        <f>IF(D1995="","",COUNTA(D1990:D1995)-(COUNTA(D1995:D1995)-1))</f>
        <v/>
      </c>
    </row>
    <row r="1996" spans="1:10" thickBot="1">
      <c r="A1996" s="117"/>
      <c r="B1996" s="70">
        <f t="shared" si="129"/>
        <v>45788</v>
      </c>
      <c r="C1996" s="82" t="str">
        <f t="shared" si="126"/>
        <v>dimanche</v>
      </c>
      <c r="D1996" s="87"/>
      <c r="E1996" s="115" t="str">
        <f t="shared" si="127"/>
        <v/>
      </c>
      <c r="F1996" s="115" t="str">
        <f t="shared" si="128"/>
        <v/>
      </c>
      <c r="G1996" s="116" t="str">
        <f>IF(ISNONTEXT(D1996),"",E1996-MAX($F$2:F1995))</f>
        <v/>
      </c>
      <c r="H1996" s="98"/>
      <c r="I1996" s="74" t="str">
        <f ca="1">IF(D1996="N",COUNTIF(INDIRECT(ADDRESS(MATCH(Plages!$D$19,'Planning annuel mixing coater'!$B:$B),4)):D1996,"N"),IF(D1996="N1",COUNTIF($D$9:D1996,"N1"),""))</f>
        <v/>
      </c>
      <c r="J1996" s="96" t="str">
        <f>IF(D1996="","",COUNTA(D1990:D1996)-(COUNTA(D1996:D1996)-1))</f>
        <v/>
      </c>
    </row>
    <row r="1997" spans="1:10" thickBot="1">
      <c r="A1997" s="117"/>
      <c r="B1997" s="70">
        <f t="shared" si="129"/>
        <v>45789</v>
      </c>
      <c r="C1997" s="82" t="str">
        <f t="shared" si="126"/>
        <v>lundi</v>
      </c>
      <c r="D1997" s="87"/>
      <c r="E1997" s="115" t="str">
        <f t="shared" si="127"/>
        <v/>
      </c>
      <c r="F1997" s="115" t="str">
        <f t="shared" si="128"/>
        <v/>
      </c>
      <c r="G1997" s="116" t="str">
        <f>IF(ISNONTEXT(D1997),"",E1997-MAX($F$2:F1996))</f>
        <v/>
      </c>
      <c r="H1997" s="97"/>
      <c r="I1997" s="74" t="str">
        <f ca="1">IF(D1997="N",COUNTIF(INDIRECT(ADDRESS(MATCH(Plages!$D$19,'Planning annuel mixing coater'!$B:$B),4)):D1997,"N"),IF(D1997="N1",COUNTIF($D$9:D1997,"N1"),""))</f>
        <v/>
      </c>
      <c r="J1997" s="96" t="str">
        <f>IF(D1997="","",COUNTA(D1990:D1997)-(COUNTA(D1997:D1997)-1))</f>
        <v/>
      </c>
    </row>
    <row r="1998" spans="1:10" thickBot="1">
      <c r="A1998" s="117"/>
      <c r="B1998" s="70">
        <f t="shared" si="129"/>
        <v>45790</v>
      </c>
      <c r="C1998" s="82" t="str">
        <f t="shared" si="126"/>
        <v>mardi</v>
      </c>
      <c r="D1998" s="87"/>
      <c r="E1998" s="115" t="str">
        <f t="shared" si="127"/>
        <v/>
      </c>
      <c r="F1998" s="115" t="str">
        <f t="shared" si="128"/>
        <v/>
      </c>
      <c r="G1998" s="116" t="str">
        <f>IF(ISNONTEXT(D1998),"",E1998-MAX($F$2:F1997))</f>
        <v/>
      </c>
      <c r="H1998" s="97"/>
      <c r="I1998" s="74" t="str">
        <f ca="1">IF(D1998="N",COUNTIF(INDIRECT(ADDRESS(MATCH(Plages!$D$19,'Planning annuel mixing coater'!$B:$B),4)):D1998,"N"),IF(D1998="N1",COUNTIF($D$9:D1998,"N1"),""))</f>
        <v/>
      </c>
      <c r="J1998" s="96" t="str">
        <f>IF(D1998="","",COUNTA(D1990:D1998)-(COUNTA(D1998:D1998)-1))</f>
        <v/>
      </c>
    </row>
    <row r="1999" spans="1:10" thickBot="1">
      <c r="A1999" s="117"/>
      <c r="B1999" s="70">
        <f t="shared" si="129"/>
        <v>45791</v>
      </c>
      <c r="C1999" s="82" t="str">
        <f t="shared" si="126"/>
        <v>mercredi</v>
      </c>
      <c r="D1999" s="87"/>
      <c r="E1999" s="115" t="str">
        <f t="shared" si="127"/>
        <v/>
      </c>
      <c r="F1999" s="115" t="str">
        <f t="shared" si="128"/>
        <v/>
      </c>
      <c r="G1999" s="116" t="str">
        <f>IF(ISNONTEXT(D1999),"",E1999-MAX($F$2:F1998))</f>
        <v/>
      </c>
      <c r="H1999" s="97"/>
      <c r="I1999" s="74" t="str">
        <f ca="1">IF(D1999="N",COUNTIF(INDIRECT(ADDRESS(MATCH(Plages!$D$19,'Planning annuel mixing coater'!$B:$B),4)):D1999,"N"),IF(D1999="N1",COUNTIF($D$9:D1999,"N1"),""))</f>
        <v/>
      </c>
      <c r="J1999" s="96" t="str">
        <f>IF(D1999="","",COUNTA(D1990:D1999)-(COUNTA(D1999:D1999)-1))</f>
        <v/>
      </c>
    </row>
    <row r="2000" spans="1:10" thickBot="1">
      <c r="A2000" s="117"/>
      <c r="B2000" s="70">
        <f t="shared" si="129"/>
        <v>45792</v>
      </c>
      <c r="C2000" s="82" t="str">
        <f t="shared" si="126"/>
        <v>jeudi</v>
      </c>
      <c r="D2000" s="87"/>
      <c r="E2000" s="115" t="str">
        <f t="shared" si="127"/>
        <v/>
      </c>
      <c r="F2000" s="115" t="str">
        <f t="shared" si="128"/>
        <v/>
      </c>
      <c r="G2000" s="116" t="str">
        <f>IF(ISNONTEXT(D2000),"",E2000-MAX($F$2:F1999))</f>
        <v/>
      </c>
      <c r="H2000" s="97"/>
      <c r="I2000" s="74" t="str">
        <f ca="1">IF(D2000="N",COUNTIF(INDIRECT(ADDRESS(MATCH(Plages!$D$19,'Planning annuel mixing coater'!$B:$B),4)):D2000,"N"),IF(D2000="N1",COUNTIF($D$9:D2000,"N1"),""))</f>
        <v/>
      </c>
      <c r="J2000" s="96" t="str">
        <f>IF(D2000="","",COUNTA(D1990:D2000)-(COUNTA(D2000:D2000)-1))</f>
        <v/>
      </c>
    </row>
    <row r="2001" spans="1:10" thickBot="1">
      <c r="A2001" s="117"/>
      <c r="B2001" s="70">
        <f t="shared" si="129"/>
        <v>45793</v>
      </c>
      <c r="C2001" s="82" t="str">
        <f t="shared" si="126"/>
        <v>vendredi</v>
      </c>
      <c r="D2001" s="87"/>
      <c r="E2001" s="115" t="str">
        <f t="shared" si="127"/>
        <v/>
      </c>
      <c r="F2001" s="115" t="str">
        <f t="shared" si="128"/>
        <v/>
      </c>
      <c r="G2001" s="116" t="str">
        <f>IF(ISNONTEXT(D2001),"",E2001-MAX($F$2:F2000))</f>
        <v/>
      </c>
      <c r="H2001" s="97"/>
      <c r="I2001" s="74" t="str">
        <f ca="1">IF(D2001="N",COUNTIF(INDIRECT(ADDRESS(MATCH(Plages!$D$19,'Planning annuel mixing coater'!$B:$B),4)):D2001,"N"),IF(D2001="N1",COUNTIF($D$9:D2001,"N1"),""))</f>
        <v/>
      </c>
      <c r="J2001" s="96" t="str">
        <f>IF(D2001="","",COUNTA(D1990:D2001)-(COUNTA(D2001:D2001)-1))</f>
        <v/>
      </c>
    </row>
    <row r="2002" spans="1:10" thickBot="1">
      <c r="A2002" s="117"/>
      <c r="B2002" s="70">
        <f t="shared" si="129"/>
        <v>45794</v>
      </c>
      <c r="C2002" s="82" t="str">
        <f t="shared" si="126"/>
        <v>samedi</v>
      </c>
      <c r="D2002" s="87"/>
      <c r="E2002" s="115" t="str">
        <f t="shared" si="127"/>
        <v/>
      </c>
      <c r="F2002" s="115" t="str">
        <f t="shared" si="128"/>
        <v/>
      </c>
      <c r="G2002" s="116" t="str">
        <f>IF(ISNONTEXT(D2002),"",E2002-MAX($F$2:F2001))</f>
        <v/>
      </c>
      <c r="H2002" s="97"/>
      <c r="I2002" s="74" t="str">
        <f ca="1">IF(D2002="N",COUNTIF(INDIRECT(ADDRESS(MATCH(Plages!$D$19,'Planning annuel mixing coater'!$B:$B),4)):D2002,"N"),IF(D2002="N1",COUNTIF($D$9:D2002,"N1"),""))</f>
        <v/>
      </c>
      <c r="J2002" s="96" t="str">
        <f>IF(D2002="","",COUNTA(D1990:D2002)-(COUNTA(D2002:D2002)-1))</f>
        <v/>
      </c>
    </row>
    <row r="2003" spans="1:10" s="77" customFormat="1" thickBot="1">
      <c r="A2003" s="117"/>
      <c r="B2003" s="75">
        <f t="shared" si="129"/>
        <v>45795</v>
      </c>
      <c r="C2003" s="83" t="str">
        <f t="shared" si="126"/>
        <v>dimanche</v>
      </c>
      <c r="D2003" s="88"/>
      <c r="E2003" s="115" t="str">
        <f t="shared" si="127"/>
        <v/>
      </c>
      <c r="F2003" s="115" t="str">
        <f t="shared" si="128"/>
        <v/>
      </c>
      <c r="G2003" s="116" t="str">
        <f>IF(ISNONTEXT(D2003),"",E2003-MAX($F$2:F2002))</f>
        <v/>
      </c>
      <c r="H2003" s="98"/>
      <c r="I2003" s="76" t="str">
        <f ca="1">IF(D2003="N",COUNTIF(INDIRECT(ADDRESS(MATCH(Plages!$D$19,'Planning annuel mixing coater'!$B:$B),4)):D2003,"N"),IF(D2003="N1",COUNTIF($D$9:D2003,"N1"),""))</f>
        <v/>
      </c>
      <c r="J2003" s="99" t="str">
        <f>IF(D2003="","",COUNTA(D1990:D2003)-(COUNTA(D2003:D2003)-1))</f>
        <v/>
      </c>
    </row>
    <row r="2004" spans="1:10" ht="16.5" thickTop="1" thickBot="1">
      <c r="A2004" s="117"/>
      <c r="B2004" s="78">
        <f t="shared" si="129"/>
        <v>45796</v>
      </c>
      <c r="C2004" s="81" t="str">
        <f t="shared" si="126"/>
        <v>lundi</v>
      </c>
      <c r="D2004" s="89"/>
      <c r="E2004" s="115" t="str">
        <f t="shared" si="127"/>
        <v/>
      </c>
      <c r="F2004" s="115" t="str">
        <f t="shared" si="128"/>
        <v/>
      </c>
      <c r="G2004" s="116" t="str">
        <f>IF(ISNONTEXT(D2004),"",E2004-MAX($F$2:F2003))</f>
        <v/>
      </c>
      <c r="H2004" s="100"/>
      <c r="I2004" s="79" t="str">
        <f ca="1">IF(D2004="N",COUNTIF(INDIRECT(ADDRESS(MATCH(Plages!$D$19,'Planning annuel mixing coater'!$B:$B),4)):D2004,"N"),IF(D2004="N1",COUNTIF($D$9:D2004,"N1"),""))</f>
        <v/>
      </c>
      <c r="J2004" s="101" t="str">
        <f>IF(D2004="","",COUNTA(D2004:D2004)-(COUNTA(D2004:D2004)-1))</f>
        <v/>
      </c>
    </row>
    <row r="2005" spans="1:10" thickBot="1">
      <c r="A2005" s="117"/>
      <c r="B2005" s="70">
        <f t="shared" si="129"/>
        <v>45797</v>
      </c>
      <c r="C2005" s="82" t="str">
        <f t="shared" si="126"/>
        <v>mardi</v>
      </c>
      <c r="D2005" s="87"/>
      <c r="E2005" s="115" t="str">
        <f t="shared" si="127"/>
        <v/>
      </c>
      <c r="F2005" s="115" t="str">
        <f t="shared" si="128"/>
        <v/>
      </c>
      <c r="G2005" s="116" t="str">
        <f>IF(ISNONTEXT(D2005),"",E2005-MAX($F$2:F2004))</f>
        <v/>
      </c>
      <c r="H2005" s="97"/>
      <c r="I2005" s="74" t="str">
        <f ca="1">IF(D2005="N",COUNTIF(INDIRECT(ADDRESS(MATCH(Plages!$D$19,'Planning annuel mixing coater'!$B:$B),4)):D2005,"N"),IF(D2005="N1",COUNTIF($D$9:D2005,"N1"),""))</f>
        <v/>
      </c>
      <c r="J2005" s="96" t="str">
        <f>IF(D2005="","",COUNTA(D2004:D2005)-(COUNTA(D2005:D2005)-1))</f>
        <v/>
      </c>
    </row>
    <row r="2006" spans="1:10" thickBot="1">
      <c r="A2006" s="117"/>
      <c r="B2006" s="70">
        <f t="shared" si="129"/>
        <v>45798</v>
      </c>
      <c r="C2006" s="82" t="str">
        <f t="shared" si="126"/>
        <v>mercredi</v>
      </c>
      <c r="D2006" s="87"/>
      <c r="E2006" s="115" t="str">
        <f t="shared" si="127"/>
        <v/>
      </c>
      <c r="F2006" s="115" t="str">
        <f t="shared" si="128"/>
        <v/>
      </c>
      <c r="G2006" s="116" t="str">
        <f>IF(ISNONTEXT(D2006),"",E2006-MAX($F$2:F2005))</f>
        <v/>
      </c>
      <c r="H2006" s="97"/>
      <c r="I2006" s="74" t="str">
        <f ca="1">IF(D2006="N",COUNTIF(INDIRECT(ADDRESS(MATCH(Plages!$D$19,'Planning annuel mixing coater'!$B:$B),4)):D2006,"N"),IF(D2006="N1",COUNTIF($D$9:D2006,"N1"),""))</f>
        <v/>
      </c>
      <c r="J2006" s="96" t="str">
        <f>IF(D2006="","",COUNTA(D2004:D2006)-(COUNTA(D2006:D2006)-1))</f>
        <v/>
      </c>
    </row>
    <row r="2007" spans="1:10" thickBot="1">
      <c r="A2007" s="117"/>
      <c r="B2007" s="70">
        <f t="shared" si="129"/>
        <v>45799</v>
      </c>
      <c r="C2007" s="82" t="str">
        <f t="shared" si="126"/>
        <v>jeudi</v>
      </c>
      <c r="D2007" s="87"/>
      <c r="E2007" s="115" t="str">
        <f t="shared" si="127"/>
        <v/>
      </c>
      <c r="F2007" s="115" t="str">
        <f t="shared" si="128"/>
        <v/>
      </c>
      <c r="G2007" s="116" t="str">
        <f>IF(ISNONTEXT(D2007),"",E2007-MAX($F$2:F2006))</f>
        <v/>
      </c>
      <c r="H2007" s="97"/>
      <c r="I2007" s="74" t="str">
        <f ca="1">IF(D2007="N",COUNTIF(INDIRECT(ADDRESS(MATCH(Plages!$D$19,'Planning annuel mixing coater'!$B:$B),4)):D2007,"N"),IF(D2007="N1",COUNTIF($D$9:D2007,"N1"),""))</f>
        <v/>
      </c>
      <c r="J2007" s="96" t="str">
        <f>IF(D2007="","",COUNTA(D2004:D2007)-(COUNTA(D2007:D2007)-1))</f>
        <v/>
      </c>
    </row>
    <row r="2008" spans="1:10" thickBot="1">
      <c r="A2008" s="117"/>
      <c r="B2008" s="70">
        <f t="shared" si="129"/>
        <v>45800</v>
      </c>
      <c r="C2008" s="82" t="str">
        <f t="shared" si="126"/>
        <v>vendredi</v>
      </c>
      <c r="D2008" s="87"/>
      <c r="E2008" s="115" t="str">
        <f t="shared" si="127"/>
        <v/>
      </c>
      <c r="F2008" s="115" t="str">
        <f t="shared" si="128"/>
        <v/>
      </c>
      <c r="G2008" s="116" t="str">
        <f>IF(ISNONTEXT(D2008),"",E2008-MAX($F$2:F2007))</f>
        <v/>
      </c>
      <c r="H2008" s="97"/>
      <c r="I2008" s="74" t="str">
        <f ca="1">IF(D2008="N",COUNTIF(INDIRECT(ADDRESS(MATCH(Plages!$D$19,'Planning annuel mixing coater'!$B:$B),4)):D2008,"N"),IF(D2008="N1",COUNTIF($D$9:D2008,"N1"),""))</f>
        <v/>
      </c>
      <c r="J2008" s="96" t="str">
        <f>IF(D2008="","",COUNTA(D2004:D2008)-(COUNTA(D2008:D2008)-1))</f>
        <v/>
      </c>
    </row>
    <row r="2009" spans="1:10" thickBot="1">
      <c r="A2009" s="117"/>
      <c r="B2009" s="70">
        <f t="shared" si="129"/>
        <v>45801</v>
      </c>
      <c r="C2009" s="82" t="str">
        <f t="shared" si="126"/>
        <v>samedi</v>
      </c>
      <c r="D2009" s="87"/>
      <c r="E2009" s="115" t="str">
        <f t="shared" si="127"/>
        <v/>
      </c>
      <c r="F2009" s="115" t="str">
        <f t="shared" si="128"/>
        <v/>
      </c>
      <c r="G2009" s="116" t="str">
        <f>IF(ISNONTEXT(D2009),"",E2009-MAX($F$2:F2008))</f>
        <v/>
      </c>
      <c r="H2009" s="97"/>
      <c r="I2009" s="74" t="str">
        <f ca="1">IF(D2009="N",COUNTIF(INDIRECT(ADDRESS(MATCH(Plages!$D$19,'Planning annuel mixing coater'!$B:$B),4)):D2009,"N"),IF(D2009="N1",COUNTIF($D$9:D2009,"N1"),""))</f>
        <v/>
      </c>
      <c r="J2009" s="96" t="str">
        <f>IF(D2009="","",COUNTA(D2004:D2009)-(COUNTA(D2009:D2009)-1))</f>
        <v/>
      </c>
    </row>
    <row r="2010" spans="1:10" thickBot="1">
      <c r="A2010" s="117"/>
      <c r="B2010" s="70">
        <f t="shared" si="129"/>
        <v>45802</v>
      </c>
      <c r="C2010" s="82" t="str">
        <f t="shared" si="126"/>
        <v>dimanche</v>
      </c>
      <c r="D2010" s="87"/>
      <c r="E2010" s="115" t="str">
        <f t="shared" si="127"/>
        <v/>
      </c>
      <c r="F2010" s="115" t="str">
        <f t="shared" si="128"/>
        <v/>
      </c>
      <c r="G2010" s="116" t="str">
        <f>IF(ISNONTEXT(D2010),"",E2010-MAX($F$2:F2009))</f>
        <v/>
      </c>
      <c r="H2010" s="98"/>
      <c r="I2010" s="74" t="str">
        <f ca="1">IF(D2010="N",COUNTIF(INDIRECT(ADDRESS(MATCH(Plages!$D$19,'Planning annuel mixing coater'!$B:$B),4)):D2010,"N"),IF(D2010="N1",COUNTIF($D$9:D2010,"N1"),""))</f>
        <v/>
      </c>
      <c r="J2010" s="96" t="str">
        <f>IF(D2010="","",COUNTA(D2004:D2010)-(COUNTA(D2010:D2010)-1))</f>
        <v/>
      </c>
    </row>
    <row r="2011" spans="1:10" thickBot="1">
      <c r="A2011" s="117"/>
      <c r="B2011" s="70">
        <f t="shared" si="129"/>
        <v>45803</v>
      </c>
      <c r="C2011" s="82" t="str">
        <f t="shared" si="126"/>
        <v>lundi</v>
      </c>
      <c r="D2011" s="87"/>
      <c r="E2011" s="115" t="str">
        <f t="shared" si="127"/>
        <v/>
      </c>
      <c r="F2011" s="115" t="str">
        <f t="shared" si="128"/>
        <v/>
      </c>
      <c r="G2011" s="116" t="str">
        <f>IF(ISNONTEXT(D2011),"",E2011-MAX($F$2:F2010))</f>
        <v/>
      </c>
      <c r="H2011" s="97"/>
      <c r="I2011" s="74" t="str">
        <f ca="1">IF(D2011="N",COUNTIF(INDIRECT(ADDRESS(MATCH(Plages!$D$19,'Planning annuel mixing coater'!$B:$B),4)):D2011,"N"),IF(D2011="N1",COUNTIF($D$9:D2011,"N1"),""))</f>
        <v/>
      </c>
      <c r="J2011" s="96" t="str">
        <f>IF(D2011="","",COUNTA(D2004:D2011)-(COUNTA(D2011:D2011)-1))</f>
        <v/>
      </c>
    </row>
    <row r="2012" spans="1:10" thickBot="1">
      <c r="A2012" s="117"/>
      <c r="B2012" s="70">
        <f t="shared" si="129"/>
        <v>45804</v>
      </c>
      <c r="C2012" s="82" t="str">
        <f t="shared" si="126"/>
        <v>mardi</v>
      </c>
      <c r="D2012" s="87"/>
      <c r="E2012" s="115" t="str">
        <f t="shared" si="127"/>
        <v/>
      </c>
      <c r="F2012" s="115" t="str">
        <f t="shared" si="128"/>
        <v/>
      </c>
      <c r="G2012" s="116" t="str">
        <f>IF(ISNONTEXT(D2012),"",E2012-MAX($F$2:F2011))</f>
        <v/>
      </c>
      <c r="H2012" s="97"/>
      <c r="I2012" s="74" t="str">
        <f ca="1">IF(D2012="N",COUNTIF(INDIRECT(ADDRESS(MATCH(Plages!$D$19,'Planning annuel mixing coater'!$B:$B),4)):D2012,"N"),IF(D2012="N1",COUNTIF($D$9:D2012,"N1"),""))</f>
        <v/>
      </c>
      <c r="J2012" s="96" t="str">
        <f>IF(D2012="","",COUNTA(D2004:D2012)-(COUNTA(D2012:D2012)-1))</f>
        <v/>
      </c>
    </row>
    <row r="2013" spans="1:10" thickBot="1">
      <c r="A2013" s="117"/>
      <c r="B2013" s="70">
        <f t="shared" si="129"/>
        <v>45805</v>
      </c>
      <c r="C2013" s="82" t="str">
        <f t="shared" si="126"/>
        <v>mercredi</v>
      </c>
      <c r="D2013" s="87"/>
      <c r="E2013" s="115" t="str">
        <f t="shared" si="127"/>
        <v/>
      </c>
      <c r="F2013" s="115" t="str">
        <f t="shared" si="128"/>
        <v/>
      </c>
      <c r="G2013" s="116" t="str">
        <f>IF(ISNONTEXT(D2013),"",E2013-MAX($F$2:F2012))</f>
        <v/>
      </c>
      <c r="H2013" s="97"/>
      <c r="I2013" s="74" t="str">
        <f ca="1">IF(D2013="N",COUNTIF(INDIRECT(ADDRESS(MATCH(Plages!$D$19,'Planning annuel mixing coater'!$B:$B),4)):D2013,"N"),IF(D2013="N1",COUNTIF($D$9:D2013,"N1"),""))</f>
        <v/>
      </c>
      <c r="J2013" s="96" t="str">
        <f>IF(D2013="","",COUNTA(D2004:D2013)-(COUNTA(D2013:D2013)-1))</f>
        <v/>
      </c>
    </row>
    <row r="2014" spans="1:10" thickBot="1">
      <c r="A2014" s="117"/>
      <c r="B2014" s="70">
        <f t="shared" si="129"/>
        <v>45806</v>
      </c>
      <c r="C2014" s="82" t="str">
        <f t="shared" ref="C2014:C2077" si="130">IF(B2014="","",TEXT(B2014,"jjjj"))</f>
        <v>jeudi</v>
      </c>
      <c r="D2014" s="87"/>
      <c r="E2014" s="115" t="str">
        <f t="shared" ref="E2014:E2077" si="131">IF(D2014="","",B2014+VLOOKUP(D2014,Plageh,2,0))</f>
        <v/>
      </c>
      <c r="F2014" s="115" t="str">
        <f t="shared" ref="F2014:F2077" si="132">IF(D2014="","",B2014+VLOOKUP(D2014,Plageh,3,0))</f>
        <v/>
      </c>
      <c r="G2014" s="116" t="str">
        <f>IF(ISNONTEXT(D2014),"",E2014-MAX($F$2:F2013))</f>
        <v/>
      </c>
      <c r="H2014" s="97"/>
      <c r="I2014" s="74" t="str">
        <f ca="1">IF(D2014="N",COUNTIF(INDIRECT(ADDRESS(MATCH(Plages!$D$19,'Planning annuel mixing coater'!$B:$B),4)):D2014,"N"),IF(D2014="N1",COUNTIF($D$9:D2014,"N1"),""))</f>
        <v/>
      </c>
      <c r="J2014" s="96" t="str">
        <f>IF(D2014="","",COUNTA(D2004:D2014)-(COUNTA(D2014:D2014)-1))</f>
        <v/>
      </c>
    </row>
    <row r="2015" spans="1:10" thickBot="1">
      <c r="A2015" s="117"/>
      <c r="B2015" s="70">
        <f t="shared" si="129"/>
        <v>45807</v>
      </c>
      <c r="C2015" s="82" t="str">
        <f t="shared" si="130"/>
        <v>vendredi</v>
      </c>
      <c r="D2015" s="87"/>
      <c r="E2015" s="115" t="str">
        <f t="shared" si="131"/>
        <v/>
      </c>
      <c r="F2015" s="115" t="str">
        <f t="shared" si="132"/>
        <v/>
      </c>
      <c r="G2015" s="116" t="str">
        <f>IF(ISNONTEXT(D2015),"",E2015-MAX($F$2:F2014))</f>
        <v/>
      </c>
      <c r="H2015" s="97"/>
      <c r="I2015" s="74" t="str">
        <f ca="1">IF(D2015="N",COUNTIF(INDIRECT(ADDRESS(MATCH(Plages!$D$19,'Planning annuel mixing coater'!$B:$B),4)):D2015,"N"),IF(D2015="N1",COUNTIF($D$9:D2015,"N1"),""))</f>
        <v/>
      </c>
      <c r="J2015" s="96" t="str">
        <f>IF(D2015="","",COUNTA(D2004:D2015)-(COUNTA(D2015:D2015)-1))</f>
        <v/>
      </c>
    </row>
    <row r="2016" spans="1:10" thickBot="1">
      <c r="A2016" s="117"/>
      <c r="B2016" s="70">
        <f t="shared" si="129"/>
        <v>45808</v>
      </c>
      <c r="C2016" s="82" t="str">
        <f t="shared" si="130"/>
        <v>samedi</v>
      </c>
      <c r="D2016" s="87"/>
      <c r="E2016" s="115" t="str">
        <f t="shared" si="131"/>
        <v/>
      </c>
      <c r="F2016" s="115" t="str">
        <f t="shared" si="132"/>
        <v/>
      </c>
      <c r="G2016" s="116" t="str">
        <f>IF(ISNONTEXT(D2016),"",E2016-MAX($F$2:F2015))</f>
        <v/>
      </c>
      <c r="H2016" s="97"/>
      <c r="I2016" s="74" t="str">
        <f ca="1">IF(D2016="N",COUNTIF(INDIRECT(ADDRESS(MATCH(Plages!$D$19,'Planning annuel mixing coater'!$B:$B),4)):D2016,"N"),IF(D2016="N1",COUNTIF($D$9:D2016,"N1"),""))</f>
        <v/>
      </c>
      <c r="J2016" s="96" t="str">
        <f>IF(D2016="","",COUNTA(D2004:D2016)-(COUNTA(D2016:D2016)-1))</f>
        <v/>
      </c>
    </row>
    <row r="2017" spans="1:10" s="77" customFormat="1" thickBot="1">
      <c r="A2017" s="117"/>
      <c r="B2017" s="75">
        <f t="shared" si="129"/>
        <v>45809</v>
      </c>
      <c r="C2017" s="83" t="str">
        <f t="shared" si="130"/>
        <v>dimanche</v>
      </c>
      <c r="D2017" s="88"/>
      <c r="E2017" s="115" t="str">
        <f t="shared" si="131"/>
        <v/>
      </c>
      <c r="F2017" s="115" t="str">
        <f t="shared" si="132"/>
        <v/>
      </c>
      <c r="G2017" s="116" t="str">
        <f>IF(ISNONTEXT(D2017),"",E2017-MAX($F$2:F2016))</f>
        <v/>
      </c>
      <c r="H2017" s="98"/>
      <c r="I2017" s="76" t="str">
        <f ca="1">IF(D2017="N",COUNTIF(INDIRECT(ADDRESS(MATCH(Plages!$D$19,'Planning annuel mixing coater'!$B:$B),4)):D2017,"N"),IF(D2017="N1",COUNTIF($D$9:D2017,"N1"),""))</f>
        <v/>
      </c>
      <c r="J2017" s="99" t="str">
        <f>IF(D2017="","",COUNTA(D2004:D2017)-(COUNTA(D2017:D2017)-1))</f>
        <v/>
      </c>
    </row>
    <row r="2018" spans="1:10" ht="16.5" thickTop="1" thickBot="1">
      <c r="A2018" s="117"/>
      <c r="B2018" s="78">
        <f t="shared" si="129"/>
        <v>45810</v>
      </c>
      <c r="C2018" s="81" t="str">
        <f t="shared" si="130"/>
        <v>lundi</v>
      </c>
      <c r="D2018" s="89"/>
      <c r="E2018" s="115" t="str">
        <f t="shared" si="131"/>
        <v/>
      </c>
      <c r="F2018" s="115" t="str">
        <f t="shared" si="132"/>
        <v/>
      </c>
      <c r="G2018" s="116" t="str">
        <f>IF(ISNONTEXT(D2018),"",E2018-MAX($F$2:F2017))</f>
        <v/>
      </c>
      <c r="H2018" s="100"/>
      <c r="I2018" s="79" t="str">
        <f ca="1">IF(D2018="N",COUNTIF(INDIRECT(ADDRESS(MATCH(Plages!$D$19,'Planning annuel mixing coater'!$B:$B),4)):D2018,"N"),IF(D2018="N1",COUNTIF($D$9:D2018,"N1"),""))</f>
        <v/>
      </c>
      <c r="J2018" s="101" t="str">
        <f>IF(D2018="","",COUNTA(D2018:D2018)-(COUNTA(D2018:D2018)-1))</f>
        <v/>
      </c>
    </row>
    <row r="2019" spans="1:10" thickBot="1">
      <c r="A2019" s="117"/>
      <c r="B2019" s="70">
        <f t="shared" si="129"/>
        <v>45811</v>
      </c>
      <c r="C2019" s="82" t="str">
        <f t="shared" si="130"/>
        <v>mardi</v>
      </c>
      <c r="D2019" s="87"/>
      <c r="E2019" s="115" t="str">
        <f t="shared" si="131"/>
        <v/>
      </c>
      <c r="F2019" s="115" t="str">
        <f t="shared" si="132"/>
        <v/>
      </c>
      <c r="G2019" s="116" t="str">
        <f>IF(ISNONTEXT(D2019),"",E2019-MAX($F$2:F2018))</f>
        <v/>
      </c>
      <c r="H2019" s="97"/>
      <c r="I2019" s="74" t="str">
        <f ca="1">IF(D2019="N",COUNTIF(INDIRECT(ADDRESS(MATCH(Plages!$D$19,'Planning annuel mixing coater'!$B:$B),4)):D2019,"N"),IF(D2019="N1",COUNTIF($D$9:D2019,"N1"),""))</f>
        <v/>
      </c>
      <c r="J2019" s="96" t="str">
        <f>IF(D2019="","",COUNTA(D2018:D2019)-(COUNTA(D2019:D2019)-1))</f>
        <v/>
      </c>
    </row>
    <row r="2020" spans="1:10" thickBot="1">
      <c r="A2020" s="117"/>
      <c r="B2020" s="70">
        <f t="shared" si="129"/>
        <v>45812</v>
      </c>
      <c r="C2020" s="82" t="str">
        <f t="shared" si="130"/>
        <v>mercredi</v>
      </c>
      <c r="D2020" s="87"/>
      <c r="E2020" s="115" t="str">
        <f t="shared" si="131"/>
        <v/>
      </c>
      <c r="F2020" s="115" t="str">
        <f t="shared" si="132"/>
        <v/>
      </c>
      <c r="G2020" s="116" t="str">
        <f>IF(ISNONTEXT(D2020),"",E2020-MAX($F$2:F2019))</f>
        <v/>
      </c>
      <c r="H2020" s="97"/>
      <c r="I2020" s="74" t="str">
        <f ca="1">IF(D2020="N",COUNTIF(INDIRECT(ADDRESS(MATCH(Plages!$D$19,'Planning annuel mixing coater'!$B:$B),4)):D2020,"N"),IF(D2020="N1",COUNTIF($D$9:D2020,"N1"),""))</f>
        <v/>
      </c>
      <c r="J2020" s="96" t="str">
        <f>IF(D2020="","",COUNTA(D2018:D2020)-(COUNTA(D2020:D2020)-1))</f>
        <v/>
      </c>
    </row>
    <row r="2021" spans="1:10" thickBot="1">
      <c r="A2021" s="117"/>
      <c r="B2021" s="70">
        <f t="shared" si="129"/>
        <v>45813</v>
      </c>
      <c r="C2021" s="82" t="str">
        <f t="shared" si="130"/>
        <v>jeudi</v>
      </c>
      <c r="D2021" s="87"/>
      <c r="E2021" s="115" t="str">
        <f t="shared" si="131"/>
        <v/>
      </c>
      <c r="F2021" s="115" t="str">
        <f t="shared" si="132"/>
        <v/>
      </c>
      <c r="G2021" s="116" t="str">
        <f>IF(ISNONTEXT(D2021),"",E2021-MAX($F$2:F2020))</f>
        <v/>
      </c>
      <c r="H2021" s="97"/>
      <c r="I2021" s="74" t="str">
        <f ca="1">IF(D2021="N",COUNTIF(INDIRECT(ADDRESS(MATCH(Plages!$D$19,'Planning annuel mixing coater'!$B:$B),4)):D2021,"N"),IF(D2021="N1",COUNTIF($D$9:D2021,"N1"),""))</f>
        <v/>
      </c>
      <c r="J2021" s="96" t="str">
        <f>IF(D2021="","",COUNTA(D2018:D2021)-(COUNTA(D2021:D2021)-1))</f>
        <v/>
      </c>
    </row>
    <row r="2022" spans="1:10" thickBot="1">
      <c r="A2022" s="117"/>
      <c r="B2022" s="70">
        <f t="shared" si="129"/>
        <v>45814</v>
      </c>
      <c r="C2022" s="82" t="str">
        <f t="shared" si="130"/>
        <v>vendredi</v>
      </c>
      <c r="D2022" s="87"/>
      <c r="E2022" s="115" t="str">
        <f t="shared" si="131"/>
        <v/>
      </c>
      <c r="F2022" s="115" t="str">
        <f t="shared" si="132"/>
        <v/>
      </c>
      <c r="G2022" s="116" t="str">
        <f>IF(ISNONTEXT(D2022),"",E2022-MAX($F$2:F2021))</f>
        <v/>
      </c>
      <c r="H2022" s="97"/>
      <c r="I2022" s="74" t="str">
        <f ca="1">IF(D2022="N",COUNTIF(INDIRECT(ADDRESS(MATCH(Plages!$D$19,'Planning annuel mixing coater'!$B:$B),4)):D2022,"N"),IF(D2022="N1",COUNTIF($D$9:D2022,"N1"),""))</f>
        <v/>
      </c>
      <c r="J2022" s="96" t="str">
        <f>IF(D2022="","",COUNTA(D2018:D2022)-(COUNTA(D2022:D2022)-1))</f>
        <v/>
      </c>
    </row>
    <row r="2023" spans="1:10" thickBot="1">
      <c r="A2023" s="117"/>
      <c r="B2023" s="70">
        <f t="shared" si="129"/>
        <v>45815</v>
      </c>
      <c r="C2023" s="82" t="str">
        <f t="shared" si="130"/>
        <v>samedi</v>
      </c>
      <c r="D2023" s="87"/>
      <c r="E2023" s="115" t="str">
        <f t="shared" si="131"/>
        <v/>
      </c>
      <c r="F2023" s="115" t="str">
        <f t="shared" si="132"/>
        <v/>
      </c>
      <c r="G2023" s="116" t="str">
        <f>IF(ISNONTEXT(D2023),"",E2023-MAX($F$2:F2022))</f>
        <v/>
      </c>
      <c r="H2023" s="97"/>
      <c r="I2023" s="74" t="str">
        <f ca="1">IF(D2023="N",COUNTIF(INDIRECT(ADDRESS(MATCH(Plages!$D$19,'Planning annuel mixing coater'!$B:$B),4)):D2023,"N"),IF(D2023="N1",COUNTIF($D$9:D2023,"N1"),""))</f>
        <v/>
      </c>
      <c r="J2023" s="96" t="str">
        <f>IF(D2023="","",COUNTA(D2018:D2023)-(COUNTA(D2023:D2023)-1))</f>
        <v/>
      </c>
    </row>
    <row r="2024" spans="1:10" thickBot="1">
      <c r="A2024" s="117"/>
      <c r="B2024" s="70">
        <f t="shared" si="129"/>
        <v>45816</v>
      </c>
      <c r="C2024" s="82" t="str">
        <f t="shared" si="130"/>
        <v>dimanche</v>
      </c>
      <c r="D2024" s="87"/>
      <c r="E2024" s="115" t="str">
        <f t="shared" si="131"/>
        <v/>
      </c>
      <c r="F2024" s="115" t="str">
        <f t="shared" si="132"/>
        <v/>
      </c>
      <c r="G2024" s="116" t="str">
        <f>IF(ISNONTEXT(D2024),"",E2024-MAX($F$2:F2023))</f>
        <v/>
      </c>
      <c r="H2024" s="98"/>
      <c r="I2024" s="74" t="str">
        <f ca="1">IF(D2024="N",COUNTIF(INDIRECT(ADDRESS(MATCH(Plages!$D$19,'Planning annuel mixing coater'!$B:$B),4)):D2024,"N"),IF(D2024="N1",COUNTIF($D$9:D2024,"N1"),""))</f>
        <v/>
      </c>
      <c r="J2024" s="96" t="str">
        <f>IF(D2024="","",COUNTA(D2018:D2024)-(COUNTA(D2024:D2024)-1))</f>
        <v/>
      </c>
    </row>
    <row r="2025" spans="1:10" thickBot="1">
      <c r="A2025" s="117"/>
      <c r="B2025" s="70">
        <f t="shared" si="129"/>
        <v>45817</v>
      </c>
      <c r="C2025" s="82" t="str">
        <f t="shared" si="130"/>
        <v>lundi</v>
      </c>
      <c r="D2025" s="87"/>
      <c r="E2025" s="115" t="str">
        <f t="shared" si="131"/>
        <v/>
      </c>
      <c r="F2025" s="115" t="str">
        <f t="shared" si="132"/>
        <v/>
      </c>
      <c r="G2025" s="116" t="str">
        <f>IF(ISNONTEXT(D2025),"",E2025-MAX($F$2:F2024))</f>
        <v/>
      </c>
      <c r="H2025" s="97"/>
      <c r="I2025" s="74" t="str">
        <f ca="1">IF(D2025="N",COUNTIF(INDIRECT(ADDRESS(MATCH(Plages!$D$19,'Planning annuel mixing coater'!$B:$B),4)):D2025,"N"),IF(D2025="N1",COUNTIF($D$9:D2025,"N1"),""))</f>
        <v/>
      </c>
      <c r="J2025" s="96" t="str">
        <f>IF(D2025="","",COUNTA(D2018:D2025)-(COUNTA(D2025:D2025)-1))</f>
        <v/>
      </c>
    </row>
    <row r="2026" spans="1:10" thickBot="1">
      <c r="A2026" s="117"/>
      <c r="B2026" s="70">
        <f t="shared" si="129"/>
        <v>45818</v>
      </c>
      <c r="C2026" s="82" t="str">
        <f t="shared" si="130"/>
        <v>mardi</v>
      </c>
      <c r="D2026" s="87"/>
      <c r="E2026" s="115" t="str">
        <f t="shared" si="131"/>
        <v/>
      </c>
      <c r="F2026" s="115" t="str">
        <f t="shared" si="132"/>
        <v/>
      </c>
      <c r="G2026" s="116" t="str">
        <f>IF(ISNONTEXT(D2026),"",E2026-MAX($F$2:F2025))</f>
        <v/>
      </c>
      <c r="H2026" s="97"/>
      <c r="I2026" s="74" t="str">
        <f ca="1">IF(D2026="N",COUNTIF(INDIRECT(ADDRESS(MATCH(Plages!$D$19,'Planning annuel mixing coater'!$B:$B),4)):D2026,"N"),IF(D2026="N1",COUNTIF($D$9:D2026,"N1"),""))</f>
        <v/>
      </c>
      <c r="J2026" s="96" t="str">
        <f>IF(D2026="","",COUNTA(D2018:D2026)-(COUNTA(D2026:D2026)-1))</f>
        <v/>
      </c>
    </row>
    <row r="2027" spans="1:10" thickBot="1">
      <c r="A2027" s="117"/>
      <c r="B2027" s="70">
        <f t="shared" si="129"/>
        <v>45819</v>
      </c>
      <c r="C2027" s="82" t="str">
        <f t="shared" si="130"/>
        <v>mercredi</v>
      </c>
      <c r="D2027" s="87"/>
      <c r="E2027" s="115" t="str">
        <f t="shared" si="131"/>
        <v/>
      </c>
      <c r="F2027" s="115" t="str">
        <f t="shared" si="132"/>
        <v/>
      </c>
      <c r="G2027" s="116" t="str">
        <f>IF(ISNONTEXT(D2027),"",E2027-MAX($F$2:F2026))</f>
        <v/>
      </c>
      <c r="H2027" s="97"/>
      <c r="I2027" s="74" t="str">
        <f ca="1">IF(D2027="N",COUNTIF(INDIRECT(ADDRESS(MATCH(Plages!$D$19,'Planning annuel mixing coater'!$B:$B),4)):D2027,"N"),IF(D2027="N1",COUNTIF($D$9:D2027,"N1"),""))</f>
        <v/>
      </c>
      <c r="J2027" s="96" t="str">
        <f>IF(D2027="","",COUNTA(D2018:D2027)-(COUNTA(D2027:D2027)-1))</f>
        <v/>
      </c>
    </row>
    <row r="2028" spans="1:10" thickBot="1">
      <c r="A2028" s="117"/>
      <c r="B2028" s="70">
        <f t="shared" si="129"/>
        <v>45820</v>
      </c>
      <c r="C2028" s="82" t="str">
        <f t="shared" si="130"/>
        <v>jeudi</v>
      </c>
      <c r="D2028" s="87"/>
      <c r="E2028" s="115" t="str">
        <f t="shared" si="131"/>
        <v/>
      </c>
      <c r="F2028" s="115" t="str">
        <f t="shared" si="132"/>
        <v/>
      </c>
      <c r="G2028" s="116" t="str">
        <f>IF(ISNONTEXT(D2028),"",E2028-MAX($F$2:F2027))</f>
        <v/>
      </c>
      <c r="H2028" s="97"/>
      <c r="I2028" s="74" t="str">
        <f ca="1">IF(D2028="N",COUNTIF(INDIRECT(ADDRESS(MATCH(Plages!$D$19,'Planning annuel mixing coater'!$B:$B),4)):D2028,"N"),IF(D2028="N1",COUNTIF($D$9:D2028,"N1"),""))</f>
        <v/>
      </c>
      <c r="J2028" s="96" t="str">
        <f>IF(D2028="","",COUNTA(D2018:D2028)-(COUNTA(D2028:D2028)-1))</f>
        <v/>
      </c>
    </row>
    <row r="2029" spans="1:10" thickBot="1">
      <c r="A2029" s="117"/>
      <c r="B2029" s="70">
        <f t="shared" si="129"/>
        <v>45821</v>
      </c>
      <c r="C2029" s="82" t="str">
        <f t="shared" si="130"/>
        <v>vendredi</v>
      </c>
      <c r="D2029" s="87"/>
      <c r="E2029" s="115" t="str">
        <f t="shared" si="131"/>
        <v/>
      </c>
      <c r="F2029" s="115" t="str">
        <f t="shared" si="132"/>
        <v/>
      </c>
      <c r="G2029" s="116" t="str">
        <f>IF(ISNONTEXT(D2029),"",E2029-MAX($F$2:F2028))</f>
        <v/>
      </c>
      <c r="H2029" s="97"/>
      <c r="I2029" s="74" t="str">
        <f ca="1">IF(D2029="N",COUNTIF(INDIRECT(ADDRESS(MATCH(Plages!$D$19,'Planning annuel mixing coater'!$B:$B),4)):D2029,"N"),IF(D2029="N1",COUNTIF($D$9:D2029,"N1"),""))</f>
        <v/>
      </c>
      <c r="J2029" s="96" t="str">
        <f>IF(D2029="","",COUNTA(D2018:D2029)-(COUNTA(D2029:D2029)-1))</f>
        <v/>
      </c>
    </row>
    <row r="2030" spans="1:10" thickBot="1">
      <c r="A2030" s="117"/>
      <c r="B2030" s="70">
        <f t="shared" si="129"/>
        <v>45822</v>
      </c>
      <c r="C2030" s="82" t="str">
        <f t="shared" si="130"/>
        <v>samedi</v>
      </c>
      <c r="D2030" s="87"/>
      <c r="E2030" s="115" t="str">
        <f t="shared" si="131"/>
        <v/>
      </c>
      <c r="F2030" s="115" t="str">
        <f t="shared" si="132"/>
        <v/>
      </c>
      <c r="G2030" s="116" t="str">
        <f>IF(ISNONTEXT(D2030),"",E2030-MAX($F$2:F2029))</f>
        <v/>
      </c>
      <c r="H2030" s="97"/>
      <c r="I2030" s="74" t="str">
        <f ca="1">IF(D2030="N",COUNTIF(INDIRECT(ADDRESS(MATCH(Plages!$D$19,'Planning annuel mixing coater'!$B:$B),4)):D2030,"N"),IF(D2030="N1",COUNTIF($D$9:D2030,"N1"),""))</f>
        <v/>
      </c>
      <c r="J2030" s="96" t="str">
        <f>IF(D2030="","",COUNTA(D2018:D2030)-(COUNTA(D2030:D2030)-1))</f>
        <v/>
      </c>
    </row>
    <row r="2031" spans="1:10" s="77" customFormat="1" thickBot="1">
      <c r="A2031" s="117"/>
      <c r="B2031" s="75">
        <f t="shared" si="129"/>
        <v>45823</v>
      </c>
      <c r="C2031" s="83" t="str">
        <f t="shared" si="130"/>
        <v>dimanche</v>
      </c>
      <c r="D2031" s="88"/>
      <c r="E2031" s="115" t="str">
        <f t="shared" si="131"/>
        <v/>
      </c>
      <c r="F2031" s="115" t="str">
        <f t="shared" si="132"/>
        <v/>
      </c>
      <c r="G2031" s="116" t="str">
        <f>IF(ISNONTEXT(D2031),"",E2031-MAX($F$2:F2030))</f>
        <v/>
      </c>
      <c r="H2031" s="98"/>
      <c r="I2031" s="76" t="str">
        <f ca="1">IF(D2031="N",COUNTIF(INDIRECT(ADDRESS(MATCH(Plages!$D$19,'Planning annuel mixing coater'!$B:$B),4)):D2031,"N"),IF(D2031="N1",COUNTIF($D$9:D2031,"N1"),""))</f>
        <v/>
      </c>
      <c r="J2031" s="99" t="str">
        <f>IF(D2031="","",COUNTA(D2018:D2031)-(COUNTA(D2031:D2031)-1))</f>
        <v/>
      </c>
    </row>
    <row r="2032" spans="1:10" ht="16.5" thickTop="1" thickBot="1">
      <c r="A2032" s="117"/>
      <c r="B2032" s="78">
        <f t="shared" si="129"/>
        <v>45824</v>
      </c>
      <c r="C2032" s="81" t="str">
        <f t="shared" si="130"/>
        <v>lundi</v>
      </c>
      <c r="D2032" s="89"/>
      <c r="E2032" s="115" t="str">
        <f t="shared" si="131"/>
        <v/>
      </c>
      <c r="F2032" s="115" t="str">
        <f t="shared" si="132"/>
        <v/>
      </c>
      <c r="G2032" s="116" t="str">
        <f>IF(ISNONTEXT(D2032),"",E2032-MAX($F$2:F2031))</f>
        <v/>
      </c>
      <c r="H2032" s="100"/>
      <c r="I2032" s="79" t="str">
        <f ca="1">IF(D2032="N",COUNTIF(INDIRECT(ADDRESS(MATCH(Plages!$D$19,'Planning annuel mixing coater'!$B:$B),4)):D2032,"N"),IF(D2032="N1",COUNTIF($D$9:D2032,"N1"),""))</f>
        <v/>
      </c>
      <c r="J2032" s="101" t="str">
        <f>IF(D2032="","",COUNTA(D2032:D2032)-(COUNTA(D2032:D2032)-1))</f>
        <v/>
      </c>
    </row>
    <row r="2033" spans="1:10" thickBot="1">
      <c r="A2033" s="117"/>
      <c r="B2033" s="70">
        <f t="shared" si="129"/>
        <v>45825</v>
      </c>
      <c r="C2033" s="82" t="str">
        <f t="shared" si="130"/>
        <v>mardi</v>
      </c>
      <c r="D2033" s="87"/>
      <c r="E2033" s="115" t="str">
        <f t="shared" si="131"/>
        <v/>
      </c>
      <c r="F2033" s="115" t="str">
        <f t="shared" si="132"/>
        <v/>
      </c>
      <c r="G2033" s="116" t="str">
        <f>IF(ISNONTEXT(D2033),"",E2033-MAX($F$2:F2032))</f>
        <v/>
      </c>
      <c r="H2033" s="97"/>
      <c r="I2033" s="74" t="str">
        <f ca="1">IF(D2033="N",COUNTIF(INDIRECT(ADDRESS(MATCH(Plages!$D$19,'Planning annuel mixing coater'!$B:$B),4)):D2033,"N"),IF(D2033="N1",COUNTIF($D$9:D2033,"N1"),""))</f>
        <v/>
      </c>
      <c r="J2033" s="96" t="str">
        <f>IF(D2033="","",COUNTA(D2032:D2033)-(COUNTA(D2033:D2033)-1))</f>
        <v/>
      </c>
    </row>
    <row r="2034" spans="1:10" thickBot="1">
      <c r="A2034" s="117"/>
      <c r="B2034" s="70">
        <f t="shared" si="129"/>
        <v>45826</v>
      </c>
      <c r="C2034" s="82" t="str">
        <f t="shared" si="130"/>
        <v>mercredi</v>
      </c>
      <c r="D2034" s="87"/>
      <c r="E2034" s="115" t="str">
        <f t="shared" si="131"/>
        <v/>
      </c>
      <c r="F2034" s="115" t="str">
        <f t="shared" si="132"/>
        <v/>
      </c>
      <c r="G2034" s="116" t="str">
        <f>IF(ISNONTEXT(D2034),"",E2034-MAX($F$2:F2033))</f>
        <v/>
      </c>
      <c r="H2034" s="97"/>
      <c r="I2034" s="74" t="str">
        <f ca="1">IF(D2034="N",COUNTIF(INDIRECT(ADDRESS(MATCH(Plages!$D$19,'Planning annuel mixing coater'!$B:$B),4)):D2034,"N"),IF(D2034="N1",COUNTIF($D$9:D2034,"N1"),""))</f>
        <v/>
      </c>
      <c r="J2034" s="96" t="str">
        <f>IF(D2034="","",COUNTA(D2032:D2034)-(COUNTA(D2034:D2034)-1))</f>
        <v/>
      </c>
    </row>
    <row r="2035" spans="1:10" thickBot="1">
      <c r="A2035" s="117"/>
      <c r="B2035" s="70">
        <f t="shared" si="129"/>
        <v>45827</v>
      </c>
      <c r="C2035" s="82" t="str">
        <f t="shared" si="130"/>
        <v>jeudi</v>
      </c>
      <c r="D2035" s="87"/>
      <c r="E2035" s="115" t="str">
        <f t="shared" si="131"/>
        <v/>
      </c>
      <c r="F2035" s="115" t="str">
        <f t="shared" si="132"/>
        <v/>
      </c>
      <c r="G2035" s="116" t="str">
        <f>IF(ISNONTEXT(D2035),"",E2035-MAX($F$2:F2034))</f>
        <v/>
      </c>
      <c r="H2035" s="97"/>
      <c r="I2035" s="74" t="str">
        <f ca="1">IF(D2035="N",COUNTIF(INDIRECT(ADDRESS(MATCH(Plages!$D$19,'Planning annuel mixing coater'!$B:$B),4)):D2035,"N"),IF(D2035="N1",COUNTIF($D$9:D2035,"N1"),""))</f>
        <v/>
      </c>
      <c r="J2035" s="96" t="str">
        <f>IF(D2035="","",COUNTA(D2032:D2035)-(COUNTA(D2035:D2035)-1))</f>
        <v/>
      </c>
    </row>
    <row r="2036" spans="1:10" thickBot="1">
      <c r="A2036" s="117"/>
      <c r="B2036" s="70">
        <f t="shared" si="129"/>
        <v>45828</v>
      </c>
      <c r="C2036" s="82" t="str">
        <f t="shared" si="130"/>
        <v>vendredi</v>
      </c>
      <c r="D2036" s="87"/>
      <c r="E2036" s="115" t="str">
        <f t="shared" si="131"/>
        <v/>
      </c>
      <c r="F2036" s="115" t="str">
        <f t="shared" si="132"/>
        <v/>
      </c>
      <c r="G2036" s="116" t="str">
        <f>IF(ISNONTEXT(D2036),"",E2036-MAX($F$2:F2035))</f>
        <v/>
      </c>
      <c r="H2036" s="97"/>
      <c r="I2036" s="74" t="str">
        <f ca="1">IF(D2036="N",COUNTIF(INDIRECT(ADDRESS(MATCH(Plages!$D$19,'Planning annuel mixing coater'!$B:$B),4)):D2036,"N"),IF(D2036="N1",COUNTIF($D$9:D2036,"N1"),""))</f>
        <v/>
      </c>
      <c r="J2036" s="96" t="str">
        <f>IF(D2036="","",COUNTA(D2032:D2036)-(COUNTA(D2036:D2036)-1))</f>
        <v/>
      </c>
    </row>
    <row r="2037" spans="1:10" thickBot="1">
      <c r="A2037" s="117"/>
      <c r="B2037" s="70">
        <f t="shared" si="129"/>
        <v>45829</v>
      </c>
      <c r="C2037" s="82" t="str">
        <f t="shared" si="130"/>
        <v>samedi</v>
      </c>
      <c r="D2037" s="87"/>
      <c r="E2037" s="115" t="str">
        <f t="shared" si="131"/>
        <v/>
      </c>
      <c r="F2037" s="115" t="str">
        <f t="shared" si="132"/>
        <v/>
      </c>
      <c r="G2037" s="116" t="str">
        <f>IF(ISNONTEXT(D2037),"",E2037-MAX($F$2:F2036))</f>
        <v/>
      </c>
      <c r="H2037" s="97"/>
      <c r="I2037" s="74" t="str">
        <f ca="1">IF(D2037="N",COUNTIF(INDIRECT(ADDRESS(MATCH(Plages!$D$19,'Planning annuel mixing coater'!$B:$B),4)):D2037,"N"),IF(D2037="N1",COUNTIF($D$9:D2037,"N1"),""))</f>
        <v/>
      </c>
      <c r="J2037" s="96" t="str">
        <f>IF(D2037="","",COUNTA(D2032:D2037)-(COUNTA(D2037:D2037)-1))</f>
        <v/>
      </c>
    </row>
    <row r="2038" spans="1:10" thickBot="1">
      <c r="A2038" s="117"/>
      <c r="B2038" s="70">
        <f t="shared" si="129"/>
        <v>45830</v>
      </c>
      <c r="C2038" s="82" t="str">
        <f t="shared" si="130"/>
        <v>dimanche</v>
      </c>
      <c r="D2038" s="87"/>
      <c r="E2038" s="115" t="str">
        <f t="shared" si="131"/>
        <v/>
      </c>
      <c r="F2038" s="115" t="str">
        <f t="shared" si="132"/>
        <v/>
      </c>
      <c r="G2038" s="116" t="str">
        <f>IF(ISNONTEXT(D2038),"",E2038-MAX($F$2:F2037))</f>
        <v/>
      </c>
      <c r="H2038" s="98"/>
      <c r="I2038" s="74" t="str">
        <f ca="1">IF(D2038="N",COUNTIF(INDIRECT(ADDRESS(MATCH(Plages!$D$19,'Planning annuel mixing coater'!$B:$B),4)):D2038,"N"),IF(D2038="N1",COUNTIF($D$9:D2038,"N1"),""))</f>
        <v/>
      </c>
      <c r="J2038" s="96" t="str">
        <f>IF(D2038="","",COUNTA(D2032:D2038)-(COUNTA(D2038:D2038)-1))</f>
        <v/>
      </c>
    </row>
    <row r="2039" spans="1:10" thickBot="1">
      <c r="A2039" s="117"/>
      <c r="B2039" s="70">
        <f t="shared" si="129"/>
        <v>45831</v>
      </c>
      <c r="C2039" s="82" t="str">
        <f t="shared" si="130"/>
        <v>lundi</v>
      </c>
      <c r="D2039" s="87"/>
      <c r="E2039" s="115" t="str">
        <f t="shared" si="131"/>
        <v/>
      </c>
      <c r="F2039" s="115" t="str">
        <f t="shared" si="132"/>
        <v/>
      </c>
      <c r="G2039" s="116" t="str">
        <f>IF(ISNONTEXT(D2039),"",E2039-MAX($F$2:F2038))</f>
        <v/>
      </c>
      <c r="H2039" s="97"/>
      <c r="I2039" s="74" t="str">
        <f ca="1">IF(D2039="N",COUNTIF(INDIRECT(ADDRESS(MATCH(Plages!$D$19,'Planning annuel mixing coater'!$B:$B),4)):D2039,"N"),IF(D2039="N1",COUNTIF($D$9:D2039,"N1"),""))</f>
        <v/>
      </c>
      <c r="J2039" s="96" t="str">
        <f>IF(D2039="","",COUNTA(D2032:D2039)-(COUNTA(D2039:D2039)-1))</f>
        <v/>
      </c>
    </row>
    <row r="2040" spans="1:10" thickBot="1">
      <c r="A2040" s="117"/>
      <c r="B2040" s="70">
        <f t="shared" si="129"/>
        <v>45832</v>
      </c>
      <c r="C2040" s="82" t="str">
        <f t="shared" si="130"/>
        <v>mardi</v>
      </c>
      <c r="D2040" s="87"/>
      <c r="E2040" s="115" t="str">
        <f t="shared" si="131"/>
        <v/>
      </c>
      <c r="F2040" s="115" t="str">
        <f t="shared" si="132"/>
        <v/>
      </c>
      <c r="G2040" s="116" t="str">
        <f>IF(ISNONTEXT(D2040),"",E2040-MAX($F$2:F2039))</f>
        <v/>
      </c>
      <c r="H2040" s="97"/>
      <c r="I2040" s="74" t="str">
        <f ca="1">IF(D2040="N",COUNTIF(INDIRECT(ADDRESS(MATCH(Plages!$D$19,'Planning annuel mixing coater'!$B:$B),4)):D2040,"N"),IF(D2040="N1",COUNTIF($D$9:D2040,"N1"),""))</f>
        <v/>
      </c>
      <c r="J2040" s="96" t="str">
        <f>IF(D2040="","",COUNTA(D2032:D2040)-(COUNTA(D2040:D2040)-1))</f>
        <v/>
      </c>
    </row>
    <row r="2041" spans="1:10" thickBot="1">
      <c r="A2041" s="117"/>
      <c r="B2041" s="70">
        <f t="shared" si="129"/>
        <v>45833</v>
      </c>
      <c r="C2041" s="82" t="str">
        <f t="shared" si="130"/>
        <v>mercredi</v>
      </c>
      <c r="D2041" s="87"/>
      <c r="E2041" s="115" t="str">
        <f t="shared" si="131"/>
        <v/>
      </c>
      <c r="F2041" s="115" t="str">
        <f t="shared" si="132"/>
        <v/>
      </c>
      <c r="G2041" s="116" t="str">
        <f>IF(ISNONTEXT(D2041),"",E2041-MAX($F$2:F2040))</f>
        <v/>
      </c>
      <c r="H2041" s="97"/>
      <c r="I2041" s="74" t="str">
        <f ca="1">IF(D2041="N",COUNTIF(INDIRECT(ADDRESS(MATCH(Plages!$D$19,'Planning annuel mixing coater'!$B:$B),4)):D2041,"N"),IF(D2041="N1",COUNTIF($D$9:D2041,"N1"),""))</f>
        <v/>
      </c>
      <c r="J2041" s="96" t="str">
        <f>IF(D2041="","",COUNTA(D2032:D2041)-(COUNTA(D2041:D2041)-1))</f>
        <v/>
      </c>
    </row>
    <row r="2042" spans="1:10" thickBot="1">
      <c r="A2042" s="117"/>
      <c r="B2042" s="70">
        <f t="shared" si="129"/>
        <v>45834</v>
      </c>
      <c r="C2042" s="82" t="str">
        <f t="shared" si="130"/>
        <v>jeudi</v>
      </c>
      <c r="D2042" s="87"/>
      <c r="E2042" s="115" t="str">
        <f t="shared" si="131"/>
        <v/>
      </c>
      <c r="F2042" s="115" t="str">
        <f t="shared" si="132"/>
        <v/>
      </c>
      <c r="G2042" s="116" t="str">
        <f>IF(ISNONTEXT(D2042),"",E2042-MAX($F$2:F2041))</f>
        <v/>
      </c>
      <c r="H2042" s="97"/>
      <c r="I2042" s="74" t="str">
        <f ca="1">IF(D2042="N",COUNTIF(INDIRECT(ADDRESS(MATCH(Plages!$D$19,'Planning annuel mixing coater'!$B:$B),4)):D2042,"N"),IF(D2042="N1",COUNTIF($D$9:D2042,"N1"),""))</f>
        <v/>
      </c>
      <c r="J2042" s="96" t="str">
        <f>IF(D2042="","",COUNTA(D2032:D2042)-(COUNTA(D2042:D2042)-1))</f>
        <v/>
      </c>
    </row>
    <row r="2043" spans="1:10" thickBot="1">
      <c r="A2043" s="117"/>
      <c r="B2043" s="70">
        <f t="shared" si="129"/>
        <v>45835</v>
      </c>
      <c r="C2043" s="82" t="str">
        <f t="shared" si="130"/>
        <v>vendredi</v>
      </c>
      <c r="D2043" s="87"/>
      <c r="E2043" s="115" t="str">
        <f t="shared" si="131"/>
        <v/>
      </c>
      <c r="F2043" s="115" t="str">
        <f t="shared" si="132"/>
        <v/>
      </c>
      <c r="G2043" s="116" t="str">
        <f>IF(ISNONTEXT(D2043),"",E2043-MAX($F$2:F2042))</f>
        <v/>
      </c>
      <c r="H2043" s="97"/>
      <c r="I2043" s="74" t="str">
        <f ca="1">IF(D2043="N",COUNTIF(INDIRECT(ADDRESS(MATCH(Plages!$D$19,'Planning annuel mixing coater'!$B:$B),4)):D2043,"N"),IF(D2043="N1",COUNTIF($D$9:D2043,"N1"),""))</f>
        <v/>
      </c>
      <c r="J2043" s="96" t="str">
        <f>IF(D2043="","",COUNTA(D2032:D2043)-(COUNTA(D2043:D2043)-1))</f>
        <v/>
      </c>
    </row>
    <row r="2044" spans="1:10" thickBot="1">
      <c r="A2044" s="117"/>
      <c r="B2044" s="70">
        <f t="shared" si="129"/>
        <v>45836</v>
      </c>
      <c r="C2044" s="82" t="str">
        <f t="shared" si="130"/>
        <v>samedi</v>
      </c>
      <c r="D2044" s="87"/>
      <c r="E2044" s="115" t="str">
        <f t="shared" si="131"/>
        <v/>
      </c>
      <c r="F2044" s="115" t="str">
        <f t="shared" si="132"/>
        <v/>
      </c>
      <c r="G2044" s="116" t="str">
        <f>IF(ISNONTEXT(D2044),"",E2044-MAX($F$2:F2043))</f>
        <v/>
      </c>
      <c r="H2044" s="97"/>
      <c r="I2044" s="74" t="str">
        <f ca="1">IF(D2044="N",COUNTIF(INDIRECT(ADDRESS(MATCH(Plages!$D$19,'Planning annuel mixing coater'!$B:$B),4)):D2044,"N"),IF(D2044="N1",COUNTIF($D$9:D2044,"N1"),""))</f>
        <v/>
      </c>
      <c r="J2044" s="96" t="str">
        <f>IF(D2044="","",COUNTA(D2032:D2044)-(COUNTA(D2044:D2044)-1))</f>
        <v/>
      </c>
    </row>
    <row r="2045" spans="1:10" s="77" customFormat="1" thickBot="1">
      <c r="A2045" s="117"/>
      <c r="B2045" s="75">
        <f t="shared" si="129"/>
        <v>45837</v>
      </c>
      <c r="C2045" s="83" t="str">
        <f t="shared" si="130"/>
        <v>dimanche</v>
      </c>
      <c r="D2045" s="88"/>
      <c r="E2045" s="115" t="str">
        <f t="shared" si="131"/>
        <v/>
      </c>
      <c r="F2045" s="115" t="str">
        <f t="shared" si="132"/>
        <v/>
      </c>
      <c r="G2045" s="116" t="str">
        <f>IF(ISNONTEXT(D2045),"",E2045-MAX($F$2:F2044))</f>
        <v/>
      </c>
      <c r="H2045" s="98"/>
      <c r="I2045" s="76" t="str">
        <f ca="1">IF(D2045="N",COUNTIF(INDIRECT(ADDRESS(MATCH(Plages!$D$19,'Planning annuel mixing coater'!$B:$B),4)):D2045,"N"),IF(D2045="N1",COUNTIF($D$9:D2045,"N1"),""))</f>
        <v/>
      </c>
      <c r="J2045" s="99" t="str">
        <f>IF(D2045="","",COUNTA(D2032:D2045)-(COUNTA(D2045:D2045)-1))</f>
        <v/>
      </c>
    </row>
    <row r="2046" spans="1:10" ht="16.5" thickTop="1" thickBot="1">
      <c r="A2046" s="117"/>
      <c r="B2046" s="78">
        <f t="shared" si="129"/>
        <v>45838</v>
      </c>
      <c r="C2046" s="81" t="str">
        <f t="shared" si="130"/>
        <v>lundi</v>
      </c>
      <c r="D2046" s="89"/>
      <c r="E2046" s="115" t="str">
        <f t="shared" si="131"/>
        <v/>
      </c>
      <c r="F2046" s="115" t="str">
        <f t="shared" si="132"/>
        <v/>
      </c>
      <c r="G2046" s="116" t="str">
        <f>IF(ISNONTEXT(D2046),"",E2046-MAX($F$2:F2045))</f>
        <v/>
      </c>
      <c r="H2046" s="100"/>
      <c r="I2046" s="79" t="str">
        <f ca="1">IF(D2046="N",COUNTIF(INDIRECT(ADDRESS(MATCH(Plages!$D$19,'Planning annuel mixing coater'!$B:$B),4)):D2046,"N"),IF(D2046="N1",COUNTIF($D$9:D2046,"N1"),""))</f>
        <v/>
      </c>
      <c r="J2046" s="101" t="str">
        <f>IF(D2046="","",COUNTA(D2046:D2046)-(COUNTA(D2046:D2046)-1))</f>
        <v/>
      </c>
    </row>
    <row r="2047" spans="1:10" thickBot="1">
      <c r="A2047" s="117"/>
      <c r="B2047" s="70">
        <f t="shared" si="129"/>
        <v>45839</v>
      </c>
      <c r="C2047" s="82" t="str">
        <f t="shared" si="130"/>
        <v>mardi</v>
      </c>
      <c r="D2047" s="87"/>
      <c r="E2047" s="115" t="str">
        <f t="shared" si="131"/>
        <v/>
      </c>
      <c r="F2047" s="115" t="str">
        <f t="shared" si="132"/>
        <v/>
      </c>
      <c r="G2047" s="116" t="str">
        <f>IF(ISNONTEXT(D2047),"",E2047-MAX($F$2:F2046))</f>
        <v/>
      </c>
      <c r="H2047" s="97"/>
      <c r="I2047" s="74" t="str">
        <f ca="1">IF(D2047="N",COUNTIF(INDIRECT(ADDRESS(MATCH(Plages!$D$19,'Planning annuel mixing coater'!$B:$B),4)):D2047,"N"),IF(D2047="N1",COUNTIF($D$9:D2047,"N1"),""))</f>
        <v/>
      </c>
      <c r="J2047" s="96" t="str">
        <f>IF(D2047="","",COUNTA(D2046:D2047)-(COUNTA(D2047:D2047)-1))</f>
        <v/>
      </c>
    </row>
    <row r="2048" spans="1:10" thickBot="1">
      <c r="A2048" s="117"/>
      <c r="B2048" s="70">
        <f t="shared" si="129"/>
        <v>45840</v>
      </c>
      <c r="C2048" s="82" t="str">
        <f t="shared" si="130"/>
        <v>mercredi</v>
      </c>
      <c r="D2048" s="87"/>
      <c r="E2048" s="115" t="str">
        <f t="shared" si="131"/>
        <v/>
      </c>
      <c r="F2048" s="115" t="str">
        <f t="shared" si="132"/>
        <v/>
      </c>
      <c r="G2048" s="116" t="str">
        <f>IF(ISNONTEXT(D2048),"",E2048-MAX($F$2:F2047))</f>
        <v/>
      </c>
      <c r="H2048" s="97"/>
      <c r="I2048" s="74" t="str">
        <f ca="1">IF(D2048="N",COUNTIF(INDIRECT(ADDRESS(MATCH(Plages!$D$19,'Planning annuel mixing coater'!$B:$B),4)):D2048,"N"),IF(D2048="N1",COUNTIF($D$9:D2048,"N1"),""))</f>
        <v/>
      </c>
      <c r="J2048" s="96" t="str">
        <f>IF(D2048="","",COUNTA(D2046:D2048)-(COUNTA(D2048:D2048)-1))</f>
        <v/>
      </c>
    </row>
    <row r="2049" spans="1:10" thickBot="1">
      <c r="A2049" s="117"/>
      <c r="B2049" s="70">
        <f t="shared" si="129"/>
        <v>45841</v>
      </c>
      <c r="C2049" s="82" t="str">
        <f t="shared" si="130"/>
        <v>jeudi</v>
      </c>
      <c r="D2049" s="87"/>
      <c r="E2049" s="115" t="str">
        <f t="shared" si="131"/>
        <v/>
      </c>
      <c r="F2049" s="115" t="str">
        <f t="shared" si="132"/>
        <v/>
      </c>
      <c r="G2049" s="116" t="str">
        <f>IF(ISNONTEXT(D2049),"",E2049-MAX($F$2:F2048))</f>
        <v/>
      </c>
      <c r="H2049" s="97"/>
      <c r="I2049" s="74" t="str">
        <f ca="1">IF(D2049="N",COUNTIF(INDIRECT(ADDRESS(MATCH(Plages!$D$19,'Planning annuel mixing coater'!$B:$B),4)):D2049,"N"),IF(D2049="N1",COUNTIF($D$9:D2049,"N1"),""))</f>
        <v/>
      </c>
      <c r="J2049" s="96" t="str">
        <f>IF(D2049="","",COUNTA(D2046:D2049)-(COUNTA(D2049:D2049)-1))</f>
        <v/>
      </c>
    </row>
    <row r="2050" spans="1:10" thickBot="1">
      <c r="A2050" s="117"/>
      <c r="B2050" s="70">
        <f t="shared" si="129"/>
        <v>45842</v>
      </c>
      <c r="C2050" s="82" t="str">
        <f t="shared" si="130"/>
        <v>vendredi</v>
      </c>
      <c r="D2050" s="87"/>
      <c r="E2050" s="115" t="str">
        <f t="shared" si="131"/>
        <v/>
      </c>
      <c r="F2050" s="115" t="str">
        <f t="shared" si="132"/>
        <v/>
      </c>
      <c r="G2050" s="116" t="str">
        <f>IF(ISNONTEXT(D2050),"",E2050-MAX($F$2:F2049))</f>
        <v/>
      </c>
      <c r="H2050" s="97"/>
      <c r="I2050" s="74" t="str">
        <f ca="1">IF(D2050="N",COUNTIF(INDIRECT(ADDRESS(MATCH(Plages!$D$19,'Planning annuel mixing coater'!$B:$B),4)):D2050,"N"),IF(D2050="N1",COUNTIF($D$9:D2050,"N1"),""))</f>
        <v/>
      </c>
      <c r="J2050" s="96" t="str">
        <f>IF(D2050="","",COUNTA(D2046:D2050)-(COUNTA(D2050:D2050)-1))</f>
        <v/>
      </c>
    </row>
    <row r="2051" spans="1:10" thickBot="1">
      <c r="A2051" s="117"/>
      <c r="B2051" s="70">
        <f t="shared" si="129"/>
        <v>45843</v>
      </c>
      <c r="C2051" s="82" t="str">
        <f t="shared" si="130"/>
        <v>samedi</v>
      </c>
      <c r="D2051" s="87"/>
      <c r="E2051" s="115" t="str">
        <f t="shared" si="131"/>
        <v/>
      </c>
      <c r="F2051" s="115" t="str">
        <f t="shared" si="132"/>
        <v/>
      </c>
      <c r="G2051" s="116" t="str">
        <f>IF(ISNONTEXT(D2051),"",E2051-MAX($F$2:F2050))</f>
        <v/>
      </c>
      <c r="H2051" s="97"/>
      <c r="I2051" s="74" t="str">
        <f ca="1">IF(D2051="N",COUNTIF(INDIRECT(ADDRESS(MATCH(Plages!$D$19,'Planning annuel mixing coater'!$B:$B),4)):D2051,"N"),IF(D2051="N1",COUNTIF($D$9:D2051,"N1"),""))</f>
        <v/>
      </c>
      <c r="J2051" s="96" t="str">
        <f>IF(D2051="","",COUNTA(D2046:D2051)-(COUNTA(D2051:D2051)-1))</f>
        <v/>
      </c>
    </row>
    <row r="2052" spans="1:10" thickBot="1">
      <c r="A2052" s="117"/>
      <c r="B2052" s="70">
        <f t="shared" ref="B2052:B2115" si="133">IF(B2051="","",B2051+1)</f>
        <v>45844</v>
      </c>
      <c r="C2052" s="82" t="str">
        <f t="shared" si="130"/>
        <v>dimanche</v>
      </c>
      <c r="D2052" s="87"/>
      <c r="E2052" s="115" t="str">
        <f t="shared" si="131"/>
        <v/>
      </c>
      <c r="F2052" s="115" t="str">
        <f t="shared" si="132"/>
        <v/>
      </c>
      <c r="G2052" s="116" t="str">
        <f>IF(ISNONTEXT(D2052),"",E2052-MAX($F$2:F2051))</f>
        <v/>
      </c>
      <c r="H2052" s="98"/>
      <c r="I2052" s="74" t="str">
        <f ca="1">IF(D2052="N",COUNTIF(INDIRECT(ADDRESS(MATCH(Plages!$D$19,'Planning annuel mixing coater'!$B:$B),4)):D2052,"N"),IF(D2052="N1",COUNTIF($D$9:D2052,"N1"),""))</f>
        <v/>
      </c>
      <c r="J2052" s="96" t="str">
        <f>IF(D2052="","",COUNTA(D2046:D2052)-(COUNTA(D2052:D2052)-1))</f>
        <v/>
      </c>
    </row>
    <row r="2053" spans="1:10" thickBot="1">
      <c r="A2053" s="117"/>
      <c r="B2053" s="70">
        <f t="shared" si="133"/>
        <v>45845</v>
      </c>
      <c r="C2053" s="82" t="str">
        <f t="shared" si="130"/>
        <v>lundi</v>
      </c>
      <c r="D2053" s="87"/>
      <c r="E2053" s="115" t="str">
        <f t="shared" si="131"/>
        <v/>
      </c>
      <c r="F2053" s="115" t="str">
        <f t="shared" si="132"/>
        <v/>
      </c>
      <c r="G2053" s="116" t="str">
        <f>IF(ISNONTEXT(D2053),"",E2053-MAX($F$2:F2052))</f>
        <v/>
      </c>
      <c r="H2053" s="97"/>
      <c r="I2053" s="74" t="str">
        <f ca="1">IF(D2053="N",COUNTIF(INDIRECT(ADDRESS(MATCH(Plages!$D$19,'Planning annuel mixing coater'!$B:$B),4)):D2053,"N"),IF(D2053="N1",COUNTIF($D$9:D2053,"N1"),""))</f>
        <v/>
      </c>
      <c r="J2053" s="96" t="str">
        <f>IF(D2053="","",COUNTA(D2046:D2053)-(COUNTA(D2053:D2053)-1))</f>
        <v/>
      </c>
    </row>
    <row r="2054" spans="1:10" thickBot="1">
      <c r="A2054" s="117"/>
      <c r="B2054" s="70">
        <f t="shared" si="133"/>
        <v>45846</v>
      </c>
      <c r="C2054" s="82" t="str">
        <f t="shared" si="130"/>
        <v>mardi</v>
      </c>
      <c r="D2054" s="87"/>
      <c r="E2054" s="115" t="str">
        <f t="shared" si="131"/>
        <v/>
      </c>
      <c r="F2054" s="115" t="str">
        <f t="shared" si="132"/>
        <v/>
      </c>
      <c r="G2054" s="116" t="str">
        <f>IF(ISNONTEXT(D2054),"",E2054-MAX($F$2:F2053))</f>
        <v/>
      </c>
      <c r="H2054" s="97"/>
      <c r="I2054" s="74" t="str">
        <f ca="1">IF(D2054="N",COUNTIF(INDIRECT(ADDRESS(MATCH(Plages!$D$19,'Planning annuel mixing coater'!$B:$B),4)):D2054,"N"),IF(D2054="N1",COUNTIF($D$9:D2054,"N1"),""))</f>
        <v/>
      </c>
      <c r="J2054" s="96" t="str">
        <f>IF(D2054="","",COUNTA(D2046:D2054)-(COUNTA(D2054:D2054)-1))</f>
        <v/>
      </c>
    </row>
    <row r="2055" spans="1:10" thickBot="1">
      <c r="A2055" s="117"/>
      <c r="B2055" s="70">
        <f t="shared" si="133"/>
        <v>45847</v>
      </c>
      <c r="C2055" s="82" t="str">
        <f t="shared" si="130"/>
        <v>mercredi</v>
      </c>
      <c r="D2055" s="87"/>
      <c r="E2055" s="115" t="str">
        <f t="shared" si="131"/>
        <v/>
      </c>
      <c r="F2055" s="115" t="str">
        <f t="shared" si="132"/>
        <v/>
      </c>
      <c r="G2055" s="116" t="str">
        <f>IF(ISNONTEXT(D2055),"",E2055-MAX($F$2:F2054))</f>
        <v/>
      </c>
      <c r="H2055" s="97"/>
      <c r="I2055" s="74" t="str">
        <f ca="1">IF(D2055="N",COUNTIF(INDIRECT(ADDRESS(MATCH(Plages!$D$19,'Planning annuel mixing coater'!$B:$B),4)):D2055,"N"),IF(D2055="N1",COUNTIF($D$9:D2055,"N1"),""))</f>
        <v/>
      </c>
      <c r="J2055" s="96" t="str">
        <f>IF(D2055="","",COUNTA(D2046:D2055)-(COUNTA(D2055:D2055)-1))</f>
        <v/>
      </c>
    </row>
    <row r="2056" spans="1:10" thickBot="1">
      <c r="A2056" s="117"/>
      <c r="B2056" s="70">
        <f t="shared" si="133"/>
        <v>45848</v>
      </c>
      <c r="C2056" s="82" t="str">
        <f t="shared" si="130"/>
        <v>jeudi</v>
      </c>
      <c r="D2056" s="87"/>
      <c r="E2056" s="115" t="str">
        <f t="shared" si="131"/>
        <v/>
      </c>
      <c r="F2056" s="115" t="str">
        <f t="shared" si="132"/>
        <v/>
      </c>
      <c r="G2056" s="116" t="str">
        <f>IF(ISNONTEXT(D2056),"",E2056-MAX($F$2:F2055))</f>
        <v/>
      </c>
      <c r="H2056" s="97"/>
      <c r="I2056" s="74" t="str">
        <f ca="1">IF(D2056="N",COUNTIF(INDIRECT(ADDRESS(MATCH(Plages!$D$19,'Planning annuel mixing coater'!$B:$B),4)):D2056,"N"),IF(D2056="N1",COUNTIF($D$9:D2056,"N1"),""))</f>
        <v/>
      </c>
      <c r="J2056" s="96" t="str">
        <f>IF(D2056="","",COUNTA(D2046:D2056)-(COUNTA(D2056:D2056)-1))</f>
        <v/>
      </c>
    </row>
    <row r="2057" spans="1:10" thickBot="1">
      <c r="A2057" s="117"/>
      <c r="B2057" s="70">
        <f t="shared" si="133"/>
        <v>45849</v>
      </c>
      <c r="C2057" s="82" t="str">
        <f t="shared" si="130"/>
        <v>vendredi</v>
      </c>
      <c r="D2057" s="87"/>
      <c r="E2057" s="115" t="str">
        <f t="shared" si="131"/>
        <v/>
      </c>
      <c r="F2057" s="115" t="str">
        <f t="shared" si="132"/>
        <v/>
      </c>
      <c r="G2057" s="116" t="str">
        <f>IF(ISNONTEXT(D2057),"",E2057-MAX($F$2:F2056))</f>
        <v/>
      </c>
      <c r="H2057" s="97"/>
      <c r="I2057" s="74" t="str">
        <f ca="1">IF(D2057="N",COUNTIF(INDIRECT(ADDRESS(MATCH(Plages!$D$19,'Planning annuel mixing coater'!$B:$B),4)):D2057,"N"),IF(D2057="N1",COUNTIF($D$9:D2057,"N1"),""))</f>
        <v/>
      </c>
      <c r="J2057" s="96" t="str">
        <f>IF(D2057="","",COUNTA(D2046:D2057)-(COUNTA(D2057:D2057)-1))</f>
        <v/>
      </c>
    </row>
    <row r="2058" spans="1:10" thickBot="1">
      <c r="A2058" s="117"/>
      <c r="B2058" s="70">
        <f t="shared" si="133"/>
        <v>45850</v>
      </c>
      <c r="C2058" s="82" t="str">
        <f t="shared" si="130"/>
        <v>samedi</v>
      </c>
      <c r="D2058" s="87"/>
      <c r="E2058" s="115" t="str">
        <f t="shared" si="131"/>
        <v/>
      </c>
      <c r="F2058" s="115" t="str">
        <f t="shared" si="132"/>
        <v/>
      </c>
      <c r="G2058" s="116" t="str">
        <f>IF(ISNONTEXT(D2058),"",E2058-MAX($F$2:F2057))</f>
        <v/>
      </c>
      <c r="H2058" s="97"/>
      <c r="I2058" s="74" t="str">
        <f ca="1">IF(D2058="N",COUNTIF(INDIRECT(ADDRESS(MATCH(Plages!$D$19,'Planning annuel mixing coater'!$B:$B),4)):D2058,"N"),IF(D2058="N1",COUNTIF($D$9:D2058,"N1"),""))</f>
        <v/>
      </c>
      <c r="J2058" s="96" t="str">
        <f>IF(D2058="","",COUNTA(D2046:D2058)-(COUNTA(D2058:D2058)-1))</f>
        <v/>
      </c>
    </row>
    <row r="2059" spans="1:10" s="77" customFormat="1" thickBot="1">
      <c r="A2059" s="117"/>
      <c r="B2059" s="75">
        <f t="shared" si="133"/>
        <v>45851</v>
      </c>
      <c r="C2059" s="83" t="str">
        <f t="shared" si="130"/>
        <v>dimanche</v>
      </c>
      <c r="D2059" s="88"/>
      <c r="E2059" s="115" t="str">
        <f t="shared" si="131"/>
        <v/>
      </c>
      <c r="F2059" s="115" t="str">
        <f t="shared" si="132"/>
        <v/>
      </c>
      <c r="G2059" s="116" t="str">
        <f>IF(ISNONTEXT(D2059),"",E2059-MAX($F$2:F2058))</f>
        <v/>
      </c>
      <c r="H2059" s="98"/>
      <c r="I2059" s="76" t="str">
        <f ca="1">IF(D2059="N",COUNTIF(INDIRECT(ADDRESS(MATCH(Plages!$D$19,'Planning annuel mixing coater'!$B:$B),4)):D2059,"N"),IF(D2059="N1",COUNTIF($D$9:D2059,"N1"),""))</f>
        <v/>
      </c>
      <c r="J2059" s="99" t="str">
        <f>IF(D2059="","",COUNTA(D2046:D2059)-(COUNTA(D2059:D2059)-1))</f>
        <v/>
      </c>
    </row>
    <row r="2060" spans="1:10" ht="16.5" thickTop="1" thickBot="1">
      <c r="A2060" s="117"/>
      <c r="B2060" s="78">
        <f t="shared" si="133"/>
        <v>45852</v>
      </c>
      <c r="C2060" s="81" t="str">
        <f t="shared" si="130"/>
        <v>lundi</v>
      </c>
      <c r="D2060" s="89"/>
      <c r="E2060" s="115" t="str">
        <f t="shared" si="131"/>
        <v/>
      </c>
      <c r="F2060" s="115" t="str">
        <f t="shared" si="132"/>
        <v/>
      </c>
      <c r="G2060" s="116" t="str">
        <f>IF(ISNONTEXT(D2060),"",E2060-MAX($F$2:F2059))</f>
        <v/>
      </c>
      <c r="H2060" s="100"/>
      <c r="I2060" s="79" t="str">
        <f ca="1">IF(D2060="N",COUNTIF(INDIRECT(ADDRESS(MATCH(Plages!$D$19,'Planning annuel mixing coater'!$B:$B),4)):D2060,"N"),IF(D2060="N1",COUNTIF($D$9:D2060,"N1"),""))</f>
        <v/>
      </c>
      <c r="J2060" s="101" t="str">
        <f>IF(D2060="","",COUNTA(D2060:D2060)-(COUNTA(D2060:D2060)-1))</f>
        <v/>
      </c>
    </row>
    <row r="2061" spans="1:10" thickBot="1">
      <c r="A2061" s="117"/>
      <c r="B2061" s="70">
        <f t="shared" si="133"/>
        <v>45853</v>
      </c>
      <c r="C2061" s="82" t="str">
        <f t="shared" si="130"/>
        <v>mardi</v>
      </c>
      <c r="D2061" s="87"/>
      <c r="E2061" s="115" t="str">
        <f t="shared" si="131"/>
        <v/>
      </c>
      <c r="F2061" s="115" t="str">
        <f t="shared" si="132"/>
        <v/>
      </c>
      <c r="G2061" s="116" t="str">
        <f>IF(ISNONTEXT(D2061),"",E2061-MAX($F$2:F2060))</f>
        <v/>
      </c>
      <c r="H2061" s="97"/>
      <c r="I2061" s="74" t="str">
        <f ca="1">IF(D2061="N",COUNTIF(INDIRECT(ADDRESS(MATCH(Plages!$D$19,'Planning annuel mixing coater'!$B:$B),4)):D2061,"N"),IF(D2061="N1",COUNTIF($D$9:D2061,"N1"),""))</f>
        <v/>
      </c>
      <c r="J2061" s="96" t="str">
        <f>IF(D2061="","",COUNTA(D2060:D2061)-(COUNTA(D2061:D2061)-1))</f>
        <v/>
      </c>
    </row>
    <row r="2062" spans="1:10" thickBot="1">
      <c r="A2062" s="117"/>
      <c r="B2062" s="70">
        <f t="shared" si="133"/>
        <v>45854</v>
      </c>
      <c r="C2062" s="82" t="str">
        <f t="shared" si="130"/>
        <v>mercredi</v>
      </c>
      <c r="D2062" s="87"/>
      <c r="E2062" s="115" t="str">
        <f t="shared" si="131"/>
        <v/>
      </c>
      <c r="F2062" s="115" t="str">
        <f t="shared" si="132"/>
        <v/>
      </c>
      <c r="G2062" s="116" t="str">
        <f>IF(ISNONTEXT(D2062),"",E2062-MAX($F$2:F2061))</f>
        <v/>
      </c>
      <c r="H2062" s="97"/>
      <c r="I2062" s="74" t="str">
        <f ca="1">IF(D2062="N",COUNTIF(INDIRECT(ADDRESS(MATCH(Plages!$D$19,'Planning annuel mixing coater'!$B:$B),4)):D2062,"N"),IF(D2062="N1",COUNTIF($D$9:D2062,"N1"),""))</f>
        <v/>
      </c>
      <c r="J2062" s="96" t="str">
        <f>IF(D2062="","",COUNTA(D2060:D2062)-(COUNTA(D2062:D2062)-1))</f>
        <v/>
      </c>
    </row>
    <row r="2063" spans="1:10" thickBot="1">
      <c r="A2063" s="117"/>
      <c r="B2063" s="70">
        <f t="shared" si="133"/>
        <v>45855</v>
      </c>
      <c r="C2063" s="82" t="str">
        <f t="shared" si="130"/>
        <v>jeudi</v>
      </c>
      <c r="D2063" s="87"/>
      <c r="E2063" s="115" t="str">
        <f t="shared" si="131"/>
        <v/>
      </c>
      <c r="F2063" s="115" t="str">
        <f t="shared" si="132"/>
        <v/>
      </c>
      <c r="G2063" s="116" t="str">
        <f>IF(ISNONTEXT(D2063),"",E2063-MAX($F$2:F2062))</f>
        <v/>
      </c>
      <c r="H2063" s="97"/>
      <c r="I2063" s="74" t="str">
        <f ca="1">IF(D2063="N",COUNTIF(INDIRECT(ADDRESS(MATCH(Plages!$D$19,'Planning annuel mixing coater'!$B:$B),4)):D2063,"N"),IF(D2063="N1",COUNTIF($D$9:D2063,"N1"),""))</f>
        <v/>
      </c>
      <c r="J2063" s="96" t="str">
        <f>IF(D2063="","",COUNTA(D2060:D2063)-(COUNTA(D2063:D2063)-1))</f>
        <v/>
      </c>
    </row>
    <row r="2064" spans="1:10" thickBot="1">
      <c r="A2064" s="117"/>
      <c r="B2064" s="70">
        <f t="shared" si="133"/>
        <v>45856</v>
      </c>
      <c r="C2064" s="82" t="str">
        <f t="shared" si="130"/>
        <v>vendredi</v>
      </c>
      <c r="D2064" s="87"/>
      <c r="E2064" s="115" t="str">
        <f t="shared" si="131"/>
        <v/>
      </c>
      <c r="F2064" s="115" t="str">
        <f t="shared" si="132"/>
        <v/>
      </c>
      <c r="G2064" s="116" t="str">
        <f>IF(ISNONTEXT(D2064),"",E2064-MAX($F$2:F2063))</f>
        <v/>
      </c>
      <c r="H2064" s="97"/>
      <c r="I2064" s="74" t="str">
        <f ca="1">IF(D2064="N",COUNTIF(INDIRECT(ADDRESS(MATCH(Plages!$D$19,'Planning annuel mixing coater'!$B:$B),4)):D2064,"N"),IF(D2064="N1",COUNTIF($D$9:D2064,"N1"),""))</f>
        <v/>
      </c>
      <c r="J2064" s="96" t="str">
        <f>IF(D2064="","",COUNTA(D2060:D2064)-(COUNTA(D2064:D2064)-1))</f>
        <v/>
      </c>
    </row>
    <row r="2065" spans="1:10" thickBot="1">
      <c r="A2065" s="117"/>
      <c r="B2065" s="70">
        <f t="shared" si="133"/>
        <v>45857</v>
      </c>
      <c r="C2065" s="82" t="str">
        <f t="shared" si="130"/>
        <v>samedi</v>
      </c>
      <c r="D2065" s="87"/>
      <c r="E2065" s="115" t="str">
        <f t="shared" si="131"/>
        <v/>
      </c>
      <c r="F2065" s="115" t="str">
        <f t="shared" si="132"/>
        <v/>
      </c>
      <c r="G2065" s="116" t="str">
        <f>IF(ISNONTEXT(D2065),"",E2065-MAX($F$2:F2064))</f>
        <v/>
      </c>
      <c r="H2065" s="97"/>
      <c r="I2065" s="74" t="str">
        <f ca="1">IF(D2065="N",COUNTIF(INDIRECT(ADDRESS(MATCH(Plages!$D$19,'Planning annuel mixing coater'!$B:$B),4)):D2065,"N"),IF(D2065="N1",COUNTIF($D$9:D2065,"N1"),""))</f>
        <v/>
      </c>
      <c r="J2065" s="96" t="str">
        <f>IF(D2065="","",COUNTA(D2060:D2065)-(COUNTA(D2065:D2065)-1))</f>
        <v/>
      </c>
    </row>
    <row r="2066" spans="1:10" thickBot="1">
      <c r="A2066" s="117"/>
      <c r="B2066" s="70">
        <f t="shared" si="133"/>
        <v>45858</v>
      </c>
      <c r="C2066" s="82" t="str">
        <f t="shared" si="130"/>
        <v>dimanche</v>
      </c>
      <c r="D2066" s="87"/>
      <c r="E2066" s="115" t="str">
        <f t="shared" si="131"/>
        <v/>
      </c>
      <c r="F2066" s="115" t="str">
        <f t="shared" si="132"/>
        <v/>
      </c>
      <c r="G2066" s="116" t="str">
        <f>IF(ISNONTEXT(D2066),"",E2066-MAX($F$2:F2065))</f>
        <v/>
      </c>
      <c r="H2066" s="98"/>
      <c r="I2066" s="74" t="str">
        <f ca="1">IF(D2066="N",COUNTIF(INDIRECT(ADDRESS(MATCH(Plages!$D$19,'Planning annuel mixing coater'!$B:$B),4)):D2066,"N"),IF(D2066="N1",COUNTIF($D$9:D2066,"N1"),""))</f>
        <v/>
      </c>
      <c r="J2066" s="96" t="str">
        <f>IF(D2066="","",COUNTA(D2060:D2066)-(COUNTA(D2066:D2066)-1))</f>
        <v/>
      </c>
    </row>
    <row r="2067" spans="1:10" thickBot="1">
      <c r="A2067" s="117"/>
      <c r="B2067" s="70">
        <f t="shared" si="133"/>
        <v>45859</v>
      </c>
      <c r="C2067" s="82" t="str">
        <f t="shared" si="130"/>
        <v>lundi</v>
      </c>
      <c r="D2067" s="87"/>
      <c r="E2067" s="115" t="str">
        <f t="shared" si="131"/>
        <v/>
      </c>
      <c r="F2067" s="115" t="str">
        <f t="shared" si="132"/>
        <v/>
      </c>
      <c r="G2067" s="116" t="str">
        <f>IF(ISNONTEXT(D2067),"",E2067-MAX($F$2:F2066))</f>
        <v/>
      </c>
      <c r="H2067" s="97"/>
      <c r="I2067" s="74" t="str">
        <f ca="1">IF(D2067="N",COUNTIF(INDIRECT(ADDRESS(MATCH(Plages!$D$19,'Planning annuel mixing coater'!$B:$B),4)):D2067,"N"),IF(D2067="N1",COUNTIF($D$9:D2067,"N1"),""))</f>
        <v/>
      </c>
      <c r="J2067" s="96" t="str">
        <f>IF(D2067="","",COUNTA(D2060:D2067)-(COUNTA(D2067:D2067)-1))</f>
        <v/>
      </c>
    </row>
    <row r="2068" spans="1:10" thickBot="1">
      <c r="A2068" s="117"/>
      <c r="B2068" s="70">
        <f t="shared" si="133"/>
        <v>45860</v>
      </c>
      <c r="C2068" s="82" t="str">
        <f t="shared" si="130"/>
        <v>mardi</v>
      </c>
      <c r="D2068" s="87"/>
      <c r="E2068" s="115" t="str">
        <f t="shared" si="131"/>
        <v/>
      </c>
      <c r="F2068" s="115" t="str">
        <f t="shared" si="132"/>
        <v/>
      </c>
      <c r="G2068" s="116" t="str">
        <f>IF(ISNONTEXT(D2068),"",E2068-MAX($F$2:F2067))</f>
        <v/>
      </c>
      <c r="H2068" s="97"/>
      <c r="I2068" s="74" t="str">
        <f ca="1">IF(D2068="N",COUNTIF(INDIRECT(ADDRESS(MATCH(Plages!$D$19,'Planning annuel mixing coater'!$B:$B),4)):D2068,"N"),IF(D2068="N1",COUNTIF($D$9:D2068,"N1"),""))</f>
        <v/>
      </c>
      <c r="J2068" s="96" t="str">
        <f>IF(D2068="","",COUNTA(D2060:D2068)-(COUNTA(D2068:D2068)-1))</f>
        <v/>
      </c>
    </row>
    <row r="2069" spans="1:10" thickBot="1">
      <c r="A2069" s="117"/>
      <c r="B2069" s="70">
        <f t="shared" si="133"/>
        <v>45861</v>
      </c>
      <c r="C2069" s="82" t="str">
        <f t="shared" si="130"/>
        <v>mercredi</v>
      </c>
      <c r="D2069" s="87"/>
      <c r="E2069" s="115" t="str">
        <f t="shared" si="131"/>
        <v/>
      </c>
      <c r="F2069" s="115" t="str">
        <f t="shared" si="132"/>
        <v/>
      </c>
      <c r="G2069" s="116" t="str">
        <f>IF(ISNONTEXT(D2069),"",E2069-MAX($F$2:F2068))</f>
        <v/>
      </c>
      <c r="H2069" s="97"/>
      <c r="I2069" s="74" t="str">
        <f ca="1">IF(D2069="N",COUNTIF(INDIRECT(ADDRESS(MATCH(Plages!$D$19,'Planning annuel mixing coater'!$B:$B),4)):D2069,"N"),IF(D2069="N1",COUNTIF($D$9:D2069,"N1"),""))</f>
        <v/>
      </c>
      <c r="J2069" s="96" t="str">
        <f>IF(D2069="","",COUNTA(D2060:D2069)-(COUNTA(D2069:D2069)-1))</f>
        <v/>
      </c>
    </row>
    <row r="2070" spans="1:10" thickBot="1">
      <c r="A2070" s="117"/>
      <c r="B2070" s="70">
        <f t="shared" si="133"/>
        <v>45862</v>
      </c>
      <c r="C2070" s="82" t="str">
        <f t="shared" si="130"/>
        <v>jeudi</v>
      </c>
      <c r="D2070" s="87"/>
      <c r="E2070" s="115" t="str">
        <f t="shared" si="131"/>
        <v/>
      </c>
      <c r="F2070" s="115" t="str">
        <f t="shared" si="132"/>
        <v/>
      </c>
      <c r="G2070" s="116" t="str">
        <f>IF(ISNONTEXT(D2070),"",E2070-MAX($F$2:F2069))</f>
        <v/>
      </c>
      <c r="H2070" s="97"/>
      <c r="I2070" s="74" t="str">
        <f ca="1">IF(D2070="N",COUNTIF(INDIRECT(ADDRESS(MATCH(Plages!$D$19,'Planning annuel mixing coater'!$B:$B),4)):D2070,"N"),IF(D2070="N1",COUNTIF($D$9:D2070,"N1"),""))</f>
        <v/>
      </c>
      <c r="J2070" s="96" t="str">
        <f>IF(D2070="","",COUNTA(D2060:D2070)-(COUNTA(D2070:D2070)-1))</f>
        <v/>
      </c>
    </row>
    <row r="2071" spans="1:10" thickBot="1">
      <c r="A2071" s="117"/>
      <c r="B2071" s="70">
        <f t="shared" si="133"/>
        <v>45863</v>
      </c>
      <c r="C2071" s="82" t="str">
        <f t="shared" si="130"/>
        <v>vendredi</v>
      </c>
      <c r="D2071" s="87"/>
      <c r="E2071" s="115" t="str">
        <f t="shared" si="131"/>
        <v/>
      </c>
      <c r="F2071" s="115" t="str">
        <f t="shared" si="132"/>
        <v/>
      </c>
      <c r="G2071" s="116" t="str">
        <f>IF(ISNONTEXT(D2071),"",E2071-MAX($F$2:F2070))</f>
        <v/>
      </c>
      <c r="H2071" s="97"/>
      <c r="I2071" s="74" t="str">
        <f ca="1">IF(D2071="N",COUNTIF(INDIRECT(ADDRESS(MATCH(Plages!$D$19,'Planning annuel mixing coater'!$B:$B),4)):D2071,"N"),IF(D2071="N1",COUNTIF($D$9:D2071,"N1"),""))</f>
        <v/>
      </c>
      <c r="J2071" s="96" t="str">
        <f>IF(D2071="","",COUNTA(D2060:D2071)-(COUNTA(D2071:D2071)-1))</f>
        <v/>
      </c>
    </row>
    <row r="2072" spans="1:10" thickBot="1">
      <c r="A2072" s="117"/>
      <c r="B2072" s="70">
        <f t="shared" si="133"/>
        <v>45864</v>
      </c>
      <c r="C2072" s="82" t="str">
        <f t="shared" si="130"/>
        <v>samedi</v>
      </c>
      <c r="D2072" s="87"/>
      <c r="E2072" s="115" t="str">
        <f t="shared" si="131"/>
        <v/>
      </c>
      <c r="F2072" s="115" t="str">
        <f t="shared" si="132"/>
        <v/>
      </c>
      <c r="G2072" s="116" t="str">
        <f>IF(ISNONTEXT(D2072),"",E2072-MAX($F$2:F2071))</f>
        <v/>
      </c>
      <c r="H2072" s="97"/>
      <c r="I2072" s="74" t="str">
        <f ca="1">IF(D2072="N",COUNTIF(INDIRECT(ADDRESS(MATCH(Plages!$D$19,'Planning annuel mixing coater'!$B:$B),4)):D2072,"N"),IF(D2072="N1",COUNTIF($D$9:D2072,"N1"),""))</f>
        <v/>
      </c>
      <c r="J2072" s="96" t="str">
        <f>IF(D2072="","",COUNTA(D2060:D2072)-(COUNTA(D2072:D2072)-1))</f>
        <v/>
      </c>
    </row>
    <row r="2073" spans="1:10" s="77" customFormat="1" thickBot="1">
      <c r="A2073" s="117"/>
      <c r="B2073" s="75">
        <f t="shared" si="133"/>
        <v>45865</v>
      </c>
      <c r="C2073" s="83" t="str">
        <f t="shared" si="130"/>
        <v>dimanche</v>
      </c>
      <c r="D2073" s="88"/>
      <c r="E2073" s="115" t="str">
        <f t="shared" si="131"/>
        <v/>
      </c>
      <c r="F2073" s="115" t="str">
        <f t="shared" si="132"/>
        <v/>
      </c>
      <c r="G2073" s="116" t="str">
        <f>IF(ISNONTEXT(D2073),"",E2073-MAX($F$2:F2072))</f>
        <v/>
      </c>
      <c r="H2073" s="98"/>
      <c r="I2073" s="76" t="str">
        <f ca="1">IF(D2073="N",COUNTIF(INDIRECT(ADDRESS(MATCH(Plages!$D$19,'Planning annuel mixing coater'!$B:$B),4)):D2073,"N"),IF(D2073="N1",COUNTIF($D$9:D2073,"N1"),""))</f>
        <v/>
      </c>
      <c r="J2073" s="99" t="str">
        <f>IF(D2073="","",COUNTA(D2060:D2073)-(COUNTA(D2073:D2073)-1))</f>
        <v/>
      </c>
    </row>
    <row r="2074" spans="1:10" ht="16.5" thickTop="1" thickBot="1">
      <c r="A2074" s="117"/>
      <c r="B2074" s="78">
        <f t="shared" si="133"/>
        <v>45866</v>
      </c>
      <c r="C2074" s="81" t="str">
        <f t="shared" si="130"/>
        <v>lundi</v>
      </c>
      <c r="D2074" s="89"/>
      <c r="E2074" s="115" t="str">
        <f t="shared" si="131"/>
        <v/>
      </c>
      <c r="F2074" s="115" t="str">
        <f t="shared" si="132"/>
        <v/>
      </c>
      <c r="G2074" s="116" t="str">
        <f>IF(ISNONTEXT(D2074),"",E2074-MAX($F$2:F2073))</f>
        <v/>
      </c>
      <c r="H2074" s="100"/>
      <c r="I2074" s="79" t="str">
        <f ca="1">IF(D2074="N",COUNTIF(INDIRECT(ADDRESS(MATCH(Plages!$D$19,'Planning annuel mixing coater'!$B:$B),4)):D2074,"N"),IF(D2074="N1",COUNTIF($D$9:D2074,"N1"),""))</f>
        <v/>
      </c>
      <c r="J2074" s="101" t="str">
        <f>IF(D2074="","",COUNTA(D2074:D2074)-(COUNTA(D2074:D2074)-1))</f>
        <v/>
      </c>
    </row>
    <row r="2075" spans="1:10" thickBot="1">
      <c r="A2075" s="117"/>
      <c r="B2075" s="70">
        <f t="shared" si="133"/>
        <v>45867</v>
      </c>
      <c r="C2075" s="82" t="str">
        <f t="shared" si="130"/>
        <v>mardi</v>
      </c>
      <c r="D2075" s="87"/>
      <c r="E2075" s="115" t="str">
        <f t="shared" si="131"/>
        <v/>
      </c>
      <c r="F2075" s="115" t="str">
        <f t="shared" si="132"/>
        <v/>
      </c>
      <c r="G2075" s="116" t="str">
        <f>IF(ISNONTEXT(D2075),"",E2075-MAX($F$2:F2074))</f>
        <v/>
      </c>
      <c r="H2075" s="97"/>
      <c r="I2075" s="74" t="str">
        <f ca="1">IF(D2075="N",COUNTIF(INDIRECT(ADDRESS(MATCH(Plages!$D$19,'Planning annuel mixing coater'!$B:$B),4)):D2075,"N"),IF(D2075="N1",COUNTIF($D$9:D2075,"N1"),""))</f>
        <v/>
      </c>
      <c r="J2075" s="96" t="str">
        <f>IF(D2075="","",COUNTA(D2074:D2075)-(COUNTA(D2075:D2075)-1))</f>
        <v/>
      </c>
    </row>
    <row r="2076" spans="1:10" thickBot="1">
      <c r="A2076" s="117"/>
      <c r="B2076" s="70">
        <f t="shared" si="133"/>
        <v>45868</v>
      </c>
      <c r="C2076" s="82" t="str">
        <f t="shared" si="130"/>
        <v>mercredi</v>
      </c>
      <c r="D2076" s="87"/>
      <c r="E2076" s="115" t="str">
        <f t="shared" si="131"/>
        <v/>
      </c>
      <c r="F2076" s="115" t="str">
        <f t="shared" si="132"/>
        <v/>
      </c>
      <c r="G2076" s="116" t="str">
        <f>IF(ISNONTEXT(D2076),"",E2076-MAX($F$2:F2075))</f>
        <v/>
      </c>
      <c r="H2076" s="97"/>
      <c r="I2076" s="74" t="str">
        <f ca="1">IF(D2076="N",COUNTIF(INDIRECT(ADDRESS(MATCH(Plages!$D$19,'Planning annuel mixing coater'!$B:$B),4)):D2076,"N"),IF(D2076="N1",COUNTIF($D$9:D2076,"N1"),""))</f>
        <v/>
      </c>
      <c r="J2076" s="96" t="str">
        <f>IF(D2076="","",COUNTA(D2074:D2076)-(COUNTA(D2076:D2076)-1))</f>
        <v/>
      </c>
    </row>
    <row r="2077" spans="1:10" thickBot="1">
      <c r="A2077" s="117"/>
      <c r="B2077" s="70">
        <f t="shared" si="133"/>
        <v>45869</v>
      </c>
      <c r="C2077" s="82" t="str">
        <f t="shared" si="130"/>
        <v>jeudi</v>
      </c>
      <c r="D2077" s="87"/>
      <c r="E2077" s="115" t="str">
        <f t="shared" si="131"/>
        <v/>
      </c>
      <c r="F2077" s="115" t="str">
        <f t="shared" si="132"/>
        <v/>
      </c>
      <c r="G2077" s="116" t="str">
        <f>IF(ISNONTEXT(D2077),"",E2077-MAX($F$2:F2076))</f>
        <v/>
      </c>
      <c r="H2077" s="97"/>
      <c r="I2077" s="74" t="str">
        <f ca="1">IF(D2077="N",COUNTIF(INDIRECT(ADDRESS(MATCH(Plages!$D$19,'Planning annuel mixing coater'!$B:$B),4)):D2077,"N"),IF(D2077="N1",COUNTIF($D$9:D2077,"N1"),""))</f>
        <v/>
      </c>
      <c r="J2077" s="96" t="str">
        <f>IF(D2077="","",COUNTA(D2074:D2077)-(COUNTA(D2077:D2077)-1))</f>
        <v/>
      </c>
    </row>
    <row r="2078" spans="1:10" thickBot="1">
      <c r="A2078" s="117"/>
      <c r="B2078" s="70">
        <f t="shared" si="133"/>
        <v>45870</v>
      </c>
      <c r="C2078" s="82" t="str">
        <f t="shared" ref="C2078:C2141" si="134">IF(B2078="","",TEXT(B2078,"jjjj"))</f>
        <v>vendredi</v>
      </c>
      <c r="D2078" s="87"/>
      <c r="E2078" s="115" t="str">
        <f t="shared" ref="E2078:E2141" si="135">IF(D2078="","",B2078+VLOOKUP(D2078,Plageh,2,0))</f>
        <v/>
      </c>
      <c r="F2078" s="115" t="str">
        <f t="shared" ref="F2078:F2141" si="136">IF(D2078="","",B2078+VLOOKUP(D2078,Plageh,3,0))</f>
        <v/>
      </c>
      <c r="G2078" s="116" t="str">
        <f>IF(ISNONTEXT(D2078),"",E2078-MAX($F$2:F2077))</f>
        <v/>
      </c>
      <c r="H2078" s="97"/>
      <c r="I2078" s="74" t="str">
        <f ca="1">IF(D2078="N",COUNTIF(INDIRECT(ADDRESS(MATCH(Plages!$D$19,'Planning annuel mixing coater'!$B:$B),4)):D2078,"N"),IF(D2078="N1",COUNTIF($D$9:D2078,"N1"),""))</f>
        <v/>
      </c>
      <c r="J2078" s="96" t="str">
        <f>IF(D2078="","",COUNTA(D2074:D2078)-(COUNTA(D2078:D2078)-1))</f>
        <v/>
      </c>
    </row>
    <row r="2079" spans="1:10" thickBot="1">
      <c r="A2079" s="117"/>
      <c r="B2079" s="70">
        <f t="shared" si="133"/>
        <v>45871</v>
      </c>
      <c r="C2079" s="82" t="str">
        <f t="shared" si="134"/>
        <v>samedi</v>
      </c>
      <c r="D2079" s="87"/>
      <c r="E2079" s="115" t="str">
        <f t="shared" si="135"/>
        <v/>
      </c>
      <c r="F2079" s="115" t="str">
        <f t="shared" si="136"/>
        <v/>
      </c>
      <c r="G2079" s="116" t="str">
        <f>IF(ISNONTEXT(D2079),"",E2079-MAX($F$2:F2078))</f>
        <v/>
      </c>
      <c r="H2079" s="97"/>
      <c r="I2079" s="74" t="str">
        <f ca="1">IF(D2079="N",COUNTIF(INDIRECT(ADDRESS(MATCH(Plages!$D$19,'Planning annuel mixing coater'!$B:$B),4)):D2079,"N"),IF(D2079="N1",COUNTIF($D$9:D2079,"N1"),""))</f>
        <v/>
      </c>
      <c r="J2079" s="96" t="str">
        <f>IF(D2079="","",COUNTA(D2074:D2079)-(COUNTA(D2079:D2079)-1))</f>
        <v/>
      </c>
    </row>
    <row r="2080" spans="1:10" thickBot="1">
      <c r="A2080" s="117"/>
      <c r="B2080" s="70">
        <f t="shared" si="133"/>
        <v>45872</v>
      </c>
      <c r="C2080" s="82" t="str">
        <f t="shared" si="134"/>
        <v>dimanche</v>
      </c>
      <c r="D2080" s="87"/>
      <c r="E2080" s="115" t="str">
        <f t="shared" si="135"/>
        <v/>
      </c>
      <c r="F2080" s="115" t="str">
        <f t="shared" si="136"/>
        <v/>
      </c>
      <c r="G2080" s="116" t="str">
        <f>IF(ISNONTEXT(D2080),"",E2080-MAX($F$2:F2079))</f>
        <v/>
      </c>
      <c r="H2080" s="98"/>
      <c r="I2080" s="74" t="str">
        <f ca="1">IF(D2080="N",COUNTIF(INDIRECT(ADDRESS(MATCH(Plages!$D$19,'Planning annuel mixing coater'!$B:$B),4)):D2080,"N"),IF(D2080="N1",COUNTIF($D$9:D2080,"N1"),""))</f>
        <v/>
      </c>
      <c r="J2080" s="96" t="str">
        <f>IF(D2080="","",COUNTA(D2074:D2080)-(COUNTA(D2080:D2080)-1))</f>
        <v/>
      </c>
    </row>
    <row r="2081" spans="1:10" thickBot="1">
      <c r="A2081" s="117"/>
      <c r="B2081" s="70">
        <f t="shared" si="133"/>
        <v>45873</v>
      </c>
      <c r="C2081" s="82" t="str">
        <f t="shared" si="134"/>
        <v>lundi</v>
      </c>
      <c r="D2081" s="87"/>
      <c r="E2081" s="115" t="str">
        <f t="shared" si="135"/>
        <v/>
      </c>
      <c r="F2081" s="115" t="str">
        <f t="shared" si="136"/>
        <v/>
      </c>
      <c r="G2081" s="116" t="str">
        <f>IF(ISNONTEXT(D2081),"",E2081-MAX($F$2:F2080))</f>
        <v/>
      </c>
      <c r="H2081" s="97"/>
      <c r="I2081" s="74" t="str">
        <f ca="1">IF(D2081="N",COUNTIF(INDIRECT(ADDRESS(MATCH(Plages!$D$19,'Planning annuel mixing coater'!$B:$B),4)):D2081,"N"),IF(D2081="N1",COUNTIF($D$9:D2081,"N1"),""))</f>
        <v/>
      </c>
      <c r="J2081" s="96" t="str">
        <f>IF(D2081="","",COUNTA(D2074:D2081)-(COUNTA(D2081:D2081)-1))</f>
        <v/>
      </c>
    </row>
    <row r="2082" spans="1:10" thickBot="1">
      <c r="A2082" s="117"/>
      <c r="B2082" s="70">
        <f t="shared" si="133"/>
        <v>45874</v>
      </c>
      <c r="C2082" s="82" t="str">
        <f t="shared" si="134"/>
        <v>mardi</v>
      </c>
      <c r="D2082" s="87"/>
      <c r="E2082" s="115" t="str">
        <f t="shared" si="135"/>
        <v/>
      </c>
      <c r="F2082" s="115" t="str">
        <f t="shared" si="136"/>
        <v/>
      </c>
      <c r="G2082" s="116" t="str">
        <f>IF(ISNONTEXT(D2082),"",E2082-MAX($F$2:F2081))</f>
        <v/>
      </c>
      <c r="H2082" s="97"/>
      <c r="I2082" s="74" t="str">
        <f ca="1">IF(D2082="N",COUNTIF(INDIRECT(ADDRESS(MATCH(Plages!$D$19,'Planning annuel mixing coater'!$B:$B),4)):D2082,"N"),IF(D2082="N1",COUNTIF($D$9:D2082,"N1"),""))</f>
        <v/>
      </c>
      <c r="J2082" s="96" t="str">
        <f>IF(D2082="","",COUNTA(D2074:D2082)-(COUNTA(D2082:D2082)-1))</f>
        <v/>
      </c>
    </row>
    <row r="2083" spans="1:10" thickBot="1">
      <c r="A2083" s="117"/>
      <c r="B2083" s="70">
        <f t="shared" si="133"/>
        <v>45875</v>
      </c>
      <c r="C2083" s="82" t="str">
        <f t="shared" si="134"/>
        <v>mercredi</v>
      </c>
      <c r="D2083" s="87"/>
      <c r="E2083" s="115" t="str">
        <f t="shared" si="135"/>
        <v/>
      </c>
      <c r="F2083" s="115" t="str">
        <f t="shared" si="136"/>
        <v/>
      </c>
      <c r="G2083" s="116" t="str">
        <f>IF(ISNONTEXT(D2083),"",E2083-MAX($F$2:F2082))</f>
        <v/>
      </c>
      <c r="H2083" s="97"/>
      <c r="I2083" s="74" t="str">
        <f ca="1">IF(D2083="N",COUNTIF(INDIRECT(ADDRESS(MATCH(Plages!$D$19,'Planning annuel mixing coater'!$B:$B),4)):D2083,"N"),IF(D2083="N1",COUNTIF($D$9:D2083,"N1"),""))</f>
        <v/>
      </c>
      <c r="J2083" s="96" t="str">
        <f>IF(D2083="","",COUNTA(D2074:D2083)-(COUNTA(D2083:D2083)-1))</f>
        <v/>
      </c>
    </row>
    <row r="2084" spans="1:10" thickBot="1">
      <c r="A2084" s="117"/>
      <c r="B2084" s="70">
        <f t="shared" si="133"/>
        <v>45876</v>
      </c>
      <c r="C2084" s="82" t="str">
        <f t="shared" si="134"/>
        <v>jeudi</v>
      </c>
      <c r="D2084" s="87"/>
      <c r="E2084" s="115" t="str">
        <f t="shared" si="135"/>
        <v/>
      </c>
      <c r="F2084" s="115" t="str">
        <f t="shared" si="136"/>
        <v/>
      </c>
      <c r="G2084" s="116" t="str">
        <f>IF(ISNONTEXT(D2084),"",E2084-MAX($F$2:F2083))</f>
        <v/>
      </c>
      <c r="H2084" s="97"/>
      <c r="I2084" s="74" t="str">
        <f ca="1">IF(D2084="N",COUNTIF(INDIRECT(ADDRESS(MATCH(Plages!$D$19,'Planning annuel mixing coater'!$B:$B),4)):D2084,"N"),IF(D2084="N1",COUNTIF($D$9:D2084,"N1"),""))</f>
        <v/>
      </c>
      <c r="J2084" s="96" t="str">
        <f>IF(D2084="","",COUNTA(D2074:D2084)-(COUNTA(D2084:D2084)-1))</f>
        <v/>
      </c>
    </row>
    <row r="2085" spans="1:10" thickBot="1">
      <c r="A2085" s="117"/>
      <c r="B2085" s="70">
        <f t="shared" si="133"/>
        <v>45877</v>
      </c>
      <c r="C2085" s="82" t="str">
        <f t="shared" si="134"/>
        <v>vendredi</v>
      </c>
      <c r="D2085" s="87"/>
      <c r="E2085" s="115" t="str">
        <f t="shared" si="135"/>
        <v/>
      </c>
      <c r="F2085" s="115" t="str">
        <f t="shared" si="136"/>
        <v/>
      </c>
      <c r="G2085" s="116" t="str">
        <f>IF(ISNONTEXT(D2085),"",E2085-MAX($F$2:F2084))</f>
        <v/>
      </c>
      <c r="H2085" s="97"/>
      <c r="I2085" s="74" t="str">
        <f ca="1">IF(D2085="N",COUNTIF(INDIRECT(ADDRESS(MATCH(Plages!$D$19,'Planning annuel mixing coater'!$B:$B),4)):D2085,"N"),IF(D2085="N1",COUNTIF($D$9:D2085,"N1"),""))</f>
        <v/>
      </c>
      <c r="J2085" s="96" t="str">
        <f>IF(D2085="","",COUNTA(D2074:D2085)-(COUNTA(D2085:D2085)-1))</f>
        <v/>
      </c>
    </row>
    <row r="2086" spans="1:10" thickBot="1">
      <c r="A2086" s="117"/>
      <c r="B2086" s="70">
        <f t="shared" si="133"/>
        <v>45878</v>
      </c>
      <c r="C2086" s="82" t="str">
        <f t="shared" si="134"/>
        <v>samedi</v>
      </c>
      <c r="D2086" s="87"/>
      <c r="E2086" s="115" t="str">
        <f t="shared" si="135"/>
        <v/>
      </c>
      <c r="F2086" s="115" t="str">
        <f t="shared" si="136"/>
        <v/>
      </c>
      <c r="G2086" s="116" t="str">
        <f>IF(ISNONTEXT(D2086),"",E2086-MAX($F$2:F2085))</f>
        <v/>
      </c>
      <c r="H2086" s="97"/>
      <c r="I2086" s="74" t="str">
        <f ca="1">IF(D2086="N",COUNTIF(INDIRECT(ADDRESS(MATCH(Plages!$D$19,'Planning annuel mixing coater'!$B:$B),4)):D2086,"N"),IF(D2086="N1",COUNTIF($D$9:D2086,"N1"),""))</f>
        <v/>
      </c>
      <c r="J2086" s="96" t="str">
        <f>IF(D2086="","",COUNTA(D2074:D2086)-(COUNTA(D2086:D2086)-1))</f>
        <v/>
      </c>
    </row>
    <row r="2087" spans="1:10" s="77" customFormat="1" thickBot="1">
      <c r="A2087" s="117"/>
      <c r="B2087" s="75">
        <f t="shared" si="133"/>
        <v>45879</v>
      </c>
      <c r="C2087" s="83" t="str">
        <f t="shared" si="134"/>
        <v>dimanche</v>
      </c>
      <c r="D2087" s="88"/>
      <c r="E2087" s="115" t="str">
        <f t="shared" si="135"/>
        <v/>
      </c>
      <c r="F2087" s="115" t="str">
        <f t="shared" si="136"/>
        <v/>
      </c>
      <c r="G2087" s="116" t="str">
        <f>IF(ISNONTEXT(D2087),"",E2087-MAX($F$2:F2086))</f>
        <v/>
      </c>
      <c r="H2087" s="98"/>
      <c r="I2087" s="76" t="str">
        <f ca="1">IF(D2087="N",COUNTIF(INDIRECT(ADDRESS(MATCH(Plages!$D$19,'Planning annuel mixing coater'!$B:$B),4)):D2087,"N"),IF(D2087="N1",COUNTIF($D$9:D2087,"N1"),""))</f>
        <v/>
      </c>
      <c r="J2087" s="99" t="str">
        <f>IF(D2087="","",COUNTA(D2074:D2087)-(COUNTA(D2087:D2087)-1))</f>
        <v/>
      </c>
    </row>
    <row r="2088" spans="1:10" ht="16.5" thickTop="1" thickBot="1">
      <c r="A2088" s="117"/>
      <c r="B2088" s="78">
        <f t="shared" si="133"/>
        <v>45880</v>
      </c>
      <c r="C2088" s="81" t="str">
        <f t="shared" si="134"/>
        <v>lundi</v>
      </c>
      <c r="D2088" s="89"/>
      <c r="E2088" s="115" t="str">
        <f t="shared" si="135"/>
        <v/>
      </c>
      <c r="F2088" s="115" t="str">
        <f t="shared" si="136"/>
        <v/>
      </c>
      <c r="G2088" s="116" t="str">
        <f>IF(ISNONTEXT(D2088),"",E2088-MAX($F$2:F2087))</f>
        <v/>
      </c>
      <c r="H2088" s="100"/>
      <c r="I2088" s="79" t="str">
        <f ca="1">IF(D2088="N",COUNTIF(INDIRECT(ADDRESS(MATCH(Plages!$D$19,'Planning annuel mixing coater'!$B:$B),4)):D2088,"N"),IF(D2088="N1",COUNTIF($D$9:D2088,"N1"),""))</f>
        <v/>
      </c>
      <c r="J2088" s="101" t="str">
        <f>IF(D2088="","",COUNTA(D2088:D2088)-(COUNTA(D2088:D2088)-1))</f>
        <v/>
      </c>
    </row>
    <row r="2089" spans="1:10" thickBot="1">
      <c r="A2089" s="117"/>
      <c r="B2089" s="70">
        <f t="shared" si="133"/>
        <v>45881</v>
      </c>
      <c r="C2089" s="82" t="str">
        <f t="shared" si="134"/>
        <v>mardi</v>
      </c>
      <c r="D2089" s="87"/>
      <c r="E2089" s="115" t="str">
        <f t="shared" si="135"/>
        <v/>
      </c>
      <c r="F2089" s="115" t="str">
        <f t="shared" si="136"/>
        <v/>
      </c>
      <c r="G2089" s="116" t="str">
        <f>IF(ISNONTEXT(D2089),"",E2089-MAX($F$2:F2088))</f>
        <v/>
      </c>
      <c r="H2089" s="97"/>
      <c r="I2089" s="74" t="str">
        <f ca="1">IF(D2089="N",COUNTIF(INDIRECT(ADDRESS(MATCH(Plages!$D$19,'Planning annuel mixing coater'!$B:$B),4)):D2089,"N"),IF(D2089="N1",COUNTIF($D$9:D2089,"N1"),""))</f>
        <v/>
      </c>
      <c r="J2089" s="96" t="str">
        <f>IF(D2089="","",COUNTA(D2088:D2089)-(COUNTA(D2089:D2089)-1))</f>
        <v/>
      </c>
    </row>
    <row r="2090" spans="1:10" thickBot="1">
      <c r="A2090" s="117"/>
      <c r="B2090" s="70">
        <f t="shared" si="133"/>
        <v>45882</v>
      </c>
      <c r="C2090" s="82" t="str">
        <f t="shared" si="134"/>
        <v>mercredi</v>
      </c>
      <c r="D2090" s="87"/>
      <c r="E2090" s="115" t="str">
        <f t="shared" si="135"/>
        <v/>
      </c>
      <c r="F2090" s="115" t="str">
        <f t="shared" si="136"/>
        <v/>
      </c>
      <c r="G2090" s="116" t="str">
        <f>IF(ISNONTEXT(D2090),"",E2090-MAX($F$2:F2089))</f>
        <v/>
      </c>
      <c r="H2090" s="97"/>
      <c r="I2090" s="74" t="str">
        <f ca="1">IF(D2090="N",COUNTIF(INDIRECT(ADDRESS(MATCH(Plages!$D$19,'Planning annuel mixing coater'!$B:$B),4)):D2090,"N"),IF(D2090="N1",COUNTIF($D$9:D2090,"N1"),""))</f>
        <v/>
      </c>
      <c r="J2090" s="96" t="str">
        <f>IF(D2090="","",COUNTA(D2088:D2090)-(COUNTA(D2090:D2090)-1))</f>
        <v/>
      </c>
    </row>
    <row r="2091" spans="1:10" thickBot="1">
      <c r="A2091" s="117"/>
      <c r="B2091" s="70">
        <f t="shared" si="133"/>
        <v>45883</v>
      </c>
      <c r="C2091" s="82" t="str">
        <f t="shared" si="134"/>
        <v>jeudi</v>
      </c>
      <c r="D2091" s="87"/>
      <c r="E2091" s="115" t="str">
        <f t="shared" si="135"/>
        <v/>
      </c>
      <c r="F2091" s="115" t="str">
        <f t="shared" si="136"/>
        <v/>
      </c>
      <c r="G2091" s="116" t="str">
        <f>IF(ISNONTEXT(D2091),"",E2091-MAX($F$2:F2090))</f>
        <v/>
      </c>
      <c r="H2091" s="97"/>
      <c r="I2091" s="74" t="str">
        <f ca="1">IF(D2091="N",COUNTIF(INDIRECT(ADDRESS(MATCH(Plages!$D$19,'Planning annuel mixing coater'!$B:$B),4)):D2091,"N"),IF(D2091="N1",COUNTIF($D$9:D2091,"N1"),""))</f>
        <v/>
      </c>
      <c r="J2091" s="96" t="str">
        <f>IF(D2091="","",COUNTA(D2088:D2091)-(COUNTA(D2091:D2091)-1))</f>
        <v/>
      </c>
    </row>
    <row r="2092" spans="1:10" thickBot="1">
      <c r="A2092" s="117"/>
      <c r="B2092" s="70">
        <f t="shared" si="133"/>
        <v>45884</v>
      </c>
      <c r="C2092" s="82" t="str">
        <f t="shared" si="134"/>
        <v>vendredi</v>
      </c>
      <c r="D2092" s="87"/>
      <c r="E2092" s="115" t="str">
        <f t="shared" si="135"/>
        <v/>
      </c>
      <c r="F2092" s="115" t="str">
        <f t="shared" si="136"/>
        <v/>
      </c>
      <c r="G2092" s="116" t="str">
        <f>IF(ISNONTEXT(D2092),"",E2092-MAX($F$2:F2091))</f>
        <v/>
      </c>
      <c r="H2092" s="97"/>
      <c r="I2092" s="74" t="str">
        <f ca="1">IF(D2092="N",COUNTIF(INDIRECT(ADDRESS(MATCH(Plages!$D$19,'Planning annuel mixing coater'!$B:$B),4)):D2092,"N"),IF(D2092="N1",COUNTIF($D$9:D2092,"N1"),""))</f>
        <v/>
      </c>
      <c r="J2092" s="96" t="str">
        <f>IF(D2092="","",COUNTA(D2088:D2092)-(COUNTA(D2092:D2092)-1))</f>
        <v/>
      </c>
    </row>
    <row r="2093" spans="1:10" thickBot="1">
      <c r="A2093" s="117"/>
      <c r="B2093" s="70">
        <f t="shared" si="133"/>
        <v>45885</v>
      </c>
      <c r="C2093" s="82" t="str">
        <f t="shared" si="134"/>
        <v>samedi</v>
      </c>
      <c r="D2093" s="87"/>
      <c r="E2093" s="115" t="str">
        <f t="shared" si="135"/>
        <v/>
      </c>
      <c r="F2093" s="115" t="str">
        <f t="shared" si="136"/>
        <v/>
      </c>
      <c r="G2093" s="116" t="str">
        <f>IF(ISNONTEXT(D2093),"",E2093-MAX($F$2:F2092))</f>
        <v/>
      </c>
      <c r="H2093" s="97"/>
      <c r="I2093" s="74" t="str">
        <f ca="1">IF(D2093="N",COUNTIF(INDIRECT(ADDRESS(MATCH(Plages!$D$19,'Planning annuel mixing coater'!$B:$B),4)):D2093,"N"),IF(D2093="N1",COUNTIF($D$9:D2093,"N1"),""))</f>
        <v/>
      </c>
      <c r="J2093" s="96" t="str">
        <f>IF(D2093="","",COUNTA(D2088:D2093)-(COUNTA(D2093:D2093)-1))</f>
        <v/>
      </c>
    </row>
    <row r="2094" spans="1:10" thickBot="1">
      <c r="A2094" s="117"/>
      <c r="B2094" s="70">
        <f t="shared" si="133"/>
        <v>45886</v>
      </c>
      <c r="C2094" s="82" t="str">
        <f t="shared" si="134"/>
        <v>dimanche</v>
      </c>
      <c r="D2094" s="87"/>
      <c r="E2094" s="115" t="str">
        <f t="shared" si="135"/>
        <v/>
      </c>
      <c r="F2094" s="115" t="str">
        <f t="shared" si="136"/>
        <v/>
      </c>
      <c r="G2094" s="116" t="str">
        <f>IF(ISNONTEXT(D2094),"",E2094-MAX($F$2:F2093))</f>
        <v/>
      </c>
      <c r="H2094" s="98"/>
      <c r="I2094" s="74" t="str">
        <f ca="1">IF(D2094="N",COUNTIF(INDIRECT(ADDRESS(MATCH(Plages!$D$19,'Planning annuel mixing coater'!$B:$B),4)):D2094,"N"),IF(D2094="N1",COUNTIF($D$9:D2094,"N1"),""))</f>
        <v/>
      </c>
      <c r="J2094" s="96" t="str">
        <f>IF(D2094="","",COUNTA(D2088:D2094)-(COUNTA(D2094:D2094)-1))</f>
        <v/>
      </c>
    </row>
    <row r="2095" spans="1:10" thickBot="1">
      <c r="A2095" s="117"/>
      <c r="B2095" s="70">
        <f t="shared" si="133"/>
        <v>45887</v>
      </c>
      <c r="C2095" s="82" t="str">
        <f t="shared" si="134"/>
        <v>lundi</v>
      </c>
      <c r="D2095" s="87"/>
      <c r="E2095" s="115" t="str">
        <f t="shared" si="135"/>
        <v/>
      </c>
      <c r="F2095" s="115" t="str">
        <f t="shared" si="136"/>
        <v/>
      </c>
      <c r="G2095" s="116" t="str">
        <f>IF(ISNONTEXT(D2095),"",E2095-MAX($F$2:F2094))</f>
        <v/>
      </c>
      <c r="H2095" s="97"/>
      <c r="I2095" s="74" t="str">
        <f ca="1">IF(D2095="N",COUNTIF(INDIRECT(ADDRESS(MATCH(Plages!$D$19,'Planning annuel mixing coater'!$B:$B),4)):D2095,"N"),IF(D2095="N1",COUNTIF($D$9:D2095,"N1"),""))</f>
        <v/>
      </c>
      <c r="J2095" s="96" t="str">
        <f>IF(D2095="","",COUNTA(D2088:D2095)-(COUNTA(D2095:D2095)-1))</f>
        <v/>
      </c>
    </row>
    <row r="2096" spans="1:10" thickBot="1">
      <c r="A2096" s="117"/>
      <c r="B2096" s="70">
        <f t="shared" si="133"/>
        <v>45888</v>
      </c>
      <c r="C2096" s="82" t="str">
        <f t="shared" si="134"/>
        <v>mardi</v>
      </c>
      <c r="D2096" s="87"/>
      <c r="E2096" s="115" t="str">
        <f t="shared" si="135"/>
        <v/>
      </c>
      <c r="F2096" s="115" t="str">
        <f t="shared" si="136"/>
        <v/>
      </c>
      <c r="G2096" s="116" t="str">
        <f>IF(ISNONTEXT(D2096),"",E2096-MAX($F$2:F2095))</f>
        <v/>
      </c>
      <c r="H2096" s="97"/>
      <c r="I2096" s="74" t="str">
        <f ca="1">IF(D2096="N",COUNTIF(INDIRECT(ADDRESS(MATCH(Plages!$D$19,'Planning annuel mixing coater'!$B:$B),4)):D2096,"N"),IF(D2096="N1",COUNTIF($D$9:D2096,"N1"),""))</f>
        <v/>
      </c>
      <c r="J2096" s="96" t="str">
        <f>IF(D2096="","",COUNTA(D2088:D2096)-(COUNTA(D2096:D2096)-1))</f>
        <v/>
      </c>
    </row>
    <row r="2097" spans="1:10" thickBot="1">
      <c r="A2097" s="117"/>
      <c r="B2097" s="70">
        <f t="shared" si="133"/>
        <v>45889</v>
      </c>
      <c r="C2097" s="82" t="str">
        <f t="shared" si="134"/>
        <v>mercredi</v>
      </c>
      <c r="D2097" s="87"/>
      <c r="E2097" s="115" t="str">
        <f t="shared" si="135"/>
        <v/>
      </c>
      <c r="F2097" s="115" t="str">
        <f t="shared" si="136"/>
        <v/>
      </c>
      <c r="G2097" s="116" t="str">
        <f>IF(ISNONTEXT(D2097),"",E2097-MAX($F$2:F2096))</f>
        <v/>
      </c>
      <c r="H2097" s="97"/>
      <c r="I2097" s="74" t="str">
        <f ca="1">IF(D2097="N",COUNTIF(INDIRECT(ADDRESS(MATCH(Plages!$D$19,'Planning annuel mixing coater'!$B:$B),4)):D2097,"N"),IF(D2097="N1",COUNTIF($D$9:D2097,"N1"),""))</f>
        <v/>
      </c>
      <c r="J2097" s="96" t="str">
        <f>IF(D2097="","",COUNTA(D2088:D2097)-(COUNTA(D2097:D2097)-1))</f>
        <v/>
      </c>
    </row>
    <row r="2098" spans="1:10" thickBot="1">
      <c r="A2098" s="117"/>
      <c r="B2098" s="70">
        <f t="shared" si="133"/>
        <v>45890</v>
      </c>
      <c r="C2098" s="82" t="str">
        <f t="shared" si="134"/>
        <v>jeudi</v>
      </c>
      <c r="D2098" s="87"/>
      <c r="E2098" s="115" t="str">
        <f t="shared" si="135"/>
        <v/>
      </c>
      <c r="F2098" s="115" t="str">
        <f t="shared" si="136"/>
        <v/>
      </c>
      <c r="G2098" s="116" t="str">
        <f>IF(ISNONTEXT(D2098),"",E2098-MAX($F$2:F2097))</f>
        <v/>
      </c>
      <c r="H2098" s="97"/>
      <c r="I2098" s="74" t="str">
        <f ca="1">IF(D2098="N",COUNTIF(INDIRECT(ADDRESS(MATCH(Plages!$D$19,'Planning annuel mixing coater'!$B:$B),4)):D2098,"N"),IF(D2098="N1",COUNTIF($D$9:D2098,"N1"),""))</f>
        <v/>
      </c>
      <c r="J2098" s="96" t="str">
        <f>IF(D2098="","",COUNTA(D2088:D2098)-(COUNTA(D2098:D2098)-1))</f>
        <v/>
      </c>
    </row>
    <row r="2099" spans="1:10" thickBot="1">
      <c r="A2099" s="117"/>
      <c r="B2099" s="70">
        <f t="shared" si="133"/>
        <v>45891</v>
      </c>
      <c r="C2099" s="82" t="str">
        <f t="shared" si="134"/>
        <v>vendredi</v>
      </c>
      <c r="D2099" s="87"/>
      <c r="E2099" s="115" t="str">
        <f t="shared" si="135"/>
        <v/>
      </c>
      <c r="F2099" s="115" t="str">
        <f t="shared" si="136"/>
        <v/>
      </c>
      <c r="G2099" s="116" t="str">
        <f>IF(ISNONTEXT(D2099),"",E2099-MAX($F$2:F2098))</f>
        <v/>
      </c>
      <c r="H2099" s="97"/>
      <c r="I2099" s="74" t="str">
        <f ca="1">IF(D2099="N",COUNTIF(INDIRECT(ADDRESS(MATCH(Plages!$D$19,'Planning annuel mixing coater'!$B:$B),4)):D2099,"N"),IF(D2099="N1",COUNTIF($D$9:D2099,"N1"),""))</f>
        <v/>
      </c>
      <c r="J2099" s="96" t="str">
        <f>IF(D2099="","",COUNTA(D2088:D2099)-(COUNTA(D2099:D2099)-1))</f>
        <v/>
      </c>
    </row>
    <row r="2100" spans="1:10" thickBot="1">
      <c r="A2100" s="117"/>
      <c r="B2100" s="70">
        <f t="shared" si="133"/>
        <v>45892</v>
      </c>
      <c r="C2100" s="82" t="str">
        <f t="shared" si="134"/>
        <v>samedi</v>
      </c>
      <c r="D2100" s="87"/>
      <c r="E2100" s="115" t="str">
        <f t="shared" si="135"/>
        <v/>
      </c>
      <c r="F2100" s="115" t="str">
        <f t="shared" si="136"/>
        <v/>
      </c>
      <c r="G2100" s="116" t="str">
        <f>IF(ISNONTEXT(D2100),"",E2100-MAX($F$2:F2099))</f>
        <v/>
      </c>
      <c r="H2100" s="97"/>
      <c r="I2100" s="74" t="str">
        <f ca="1">IF(D2100="N",COUNTIF(INDIRECT(ADDRESS(MATCH(Plages!$D$19,'Planning annuel mixing coater'!$B:$B),4)):D2100,"N"),IF(D2100="N1",COUNTIF($D$9:D2100,"N1"),""))</f>
        <v/>
      </c>
      <c r="J2100" s="96" t="str">
        <f>IF(D2100="","",COUNTA(D2088:D2100)-(COUNTA(D2100:D2100)-1))</f>
        <v/>
      </c>
    </row>
    <row r="2101" spans="1:10" s="77" customFormat="1" thickBot="1">
      <c r="A2101" s="117"/>
      <c r="B2101" s="75">
        <f t="shared" si="133"/>
        <v>45893</v>
      </c>
      <c r="C2101" s="83" t="str">
        <f t="shared" si="134"/>
        <v>dimanche</v>
      </c>
      <c r="D2101" s="88"/>
      <c r="E2101" s="115" t="str">
        <f t="shared" si="135"/>
        <v/>
      </c>
      <c r="F2101" s="115" t="str">
        <f t="shared" si="136"/>
        <v/>
      </c>
      <c r="G2101" s="116" t="str">
        <f>IF(ISNONTEXT(D2101),"",E2101-MAX($F$2:F2100))</f>
        <v/>
      </c>
      <c r="H2101" s="98"/>
      <c r="I2101" s="76" t="str">
        <f ca="1">IF(D2101="N",COUNTIF(INDIRECT(ADDRESS(MATCH(Plages!$D$19,'Planning annuel mixing coater'!$B:$B),4)):D2101,"N"),IF(D2101="N1",COUNTIF($D$9:D2101,"N1"),""))</f>
        <v/>
      </c>
      <c r="J2101" s="99" t="str">
        <f>IF(D2101="","",COUNTA(D2088:D2101)-(COUNTA(D2101:D2101)-1))</f>
        <v/>
      </c>
    </row>
    <row r="2102" spans="1:10" ht="16.5" thickTop="1" thickBot="1">
      <c r="A2102" s="117"/>
      <c r="B2102" s="78">
        <f t="shared" si="133"/>
        <v>45894</v>
      </c>
      <c r="C2102" s="81" t="str">
        <f t="shared" si="134"/>
        <v>lundi</v>
      </c>
      <c r="D2102" s="89"/>
      <c r="E2102" s="115" t="str">
        <f t="shared" si="135"/>
        <v/>
      </c>
      <c r="F2102" s="115" t="str">
        <f t="shared" si="136"/>
        <v/>
      </c>
      <c r="G2102" s="116" t="str">
        <f>IF(ISNONTEXT(D2102),"",E2102-MAX($F$2:F2101))</f>
        <v/>
      </c>
      <c r="H2102" s="100"/>
      <c r="I2102" s="79" t="str">
        <f ca="1">IF(D2102="N",COUNTIF(INDIRECT(ADDRESS(MATCH(Plages!$D$19,'Planning annuel mixing coater'!$B:$B),4)):D2102,"N"),IF(D2102="N1",COUNTIF($D$9:D2102,"N1"),""))</f>
        <v/>
      </c>
      <c r="J2102" s="101" t="str">
        <f>IF(D2102="","",COUNTA(D2102:D2102)-(COUNTA(D2102:D2102)-1))</f>
        <v/>
      </c>
    </row>
    <row r="2103" spans="1:10" thickBot="1">
      <c r="A2103" s="117"/>
      <c r="B2103" s="70">
        <f t="shared" si="133"/>
        <v>45895</v>
      </c>
      <c r="C2103" s="82" t="str">
        <f t="shared" si="134"/>
        <v>mardi</v>
      </c>
      <c r="D2103" s="87"/>
      <c r="E2103" s="115" t="str">
        <f t="shared" si="135"/>
        <v/>
      </c>
      <c r="F2103" s="115" t="str">
        <f t="shared" si="136"/>
        <v/>
      </c>
      <c r="G2103" s="116" t="str">
        <f>IF(ISNONTEXT(D2103),"",E2103-MAX($F$2:F2102))</f>
        <v/>
      </c>
      <c r="H2103" s="97"/>
      <c r="I2103" s="74" t="str">
        <f ca="1">IF(D2103="N",COUNTIF(INDIRECT(ADDRESS(MATCH(Plages!$D$19,'Planning annuel mixing coater'!$B:$B),4)):D2103,"N"),IF(D2103="N1",COUNTIF($D$9:D2103,"N1"),""))</f>
        <v/>
      </c>
      <c r="J2103" s="96" t="str">
        <f>IF(D2103="","",COUNTA(D2102:D2103)-(COUNTA(D2103:D2103)-1))</f>
        <v/>
      </c>
    </row>
    <row r="2104" spans="1:10" thickBot="1">
      <c r="A2104" s="117"/>
      <c r="B2104" s="70">
        <f t="shared" si="133"/>
        <v>45896</v>
      </c>
      <c r="C2104" s="82" t="str">
        <f t="shared" si="134"/>
        <v>mercredi</v>
      </c>
      <c r="D2104" s="87"/>
      <c r="E2104" s="115" t="str">
        <f t="shared" si="135"/>
        <v/>
      </c>
      <c r="F2104" s="115" t="str">
        <f t="shared" si="136"/>
        <v/>
      </c>
      <c r="G2104" s="116" t="str">
        <f>IF(ISNONTEXT(D2104),"",E2104-MAX($F$2:F2103))</f>
        <v/>
      </c>
      <c r="H2104" s="97"/>
      <c r="I2104" s="74" t="str">
        <f ca="1">IF(D2104="N",COUNTIF(INDIRECT(ADDRESS(MATCH(Plages!$D$19,'Planning annuel mixing coater'!$B:$B),4)):D2104,"N"),IF(D2104="N1",COUNTIF($D$9:D2104,"N1"),""))</f>
        <v/>
      </c>
      <c r="J2104" s="96" t="str">
        <f>IF(D2104="","",COUNTA(D2102:D2104)-(COUNTA(D2104:D2104)-1))</f>
        <v/>
      </c>
    </row>
    <row r="2105" spans="1:10" thickBot="1">
      <c r="A2105" s="117"/>
      <c r="B2105" s="70">
        <f t="shared" si="133"/>
        <v>45897</v>
      </c>
      <c r="C2105" s="82" t="str">
        <f t="shared" si="134"/>
        <v>jeudi</v>
      </c>
      <c r="D2105" s="87"/>
      <c r="E2105" s="115" t="str">
        <f t="shared" si="135"/>
        <v/>
      </c>
      <c r="F2105" s="115" t="str">
        <f t="shared" si="136"/>
        <v/>
      </c>
      <c r="G2105" s="116" t="str">
        <f>IF(ISNONTEXT(D2105),"",E2105-MAX($F$2:F2104))</f>
        <v/>
      </c>
      <c r="H2105" s="97"/>
      <c r="I2105" s="74" t="str">
        <f ca="1">IF(D2105="N",COUNTIF(INDIRECT(ADDRESS(MATCH(Plages!$D$19,'Planning annuel mixing coater'!$B:$B),4)):D2105,"N"),IF(D2105="N1",COUNTIF($D$9:D2105,"N1"),""))</f>
        <v/>
      </c>
      <c r="J2105" s="96" t="str">
        <f>IF(D2105="","",COUNTA(D2102:D2105)-(COUNTA(D2105:D2105)-1))</f>
        <v/>
      </c>
    </row>
    <row r="2106" spans="1:10" thickBot="1">
      <c r="A2106" s="117"/>
      <c r="B2106" s="70">
        <f t="shared" si="133"/>
        <v>45898</v>
      </c>
      <c r="C2106" s="82" t="str">
        <f t="shared" si="134"/>
        <v>vendredi</v>
      </c>
      <c r="D2106" s="87"/>
      <c r="E2106" s="115" t="str">
        <f t="shared" si="135"/>
        <v/>
      </c>
      <c r="F2106" s="115" t="str">
        <f t="shared" si="136"/>
        <v/>
      </c>
      <c r="G2106" s="116" t="str">
        <f>IF(ISNONTEXT(D2106),"",E2106-MAX($F$2:F2105))</f>
        <v/>
      </c>
      <c r="H2106" s="97"/>
      <c r="I2106" s="74" t="str">
        <f ca="1">IF(D2106="N",COUNTIF(INDIRECT(ADDRESS(MATCH(Plages!$D$19,'Planning annuel mixing coater'!$B:$B),4)):D2106,"N"),IF(D2106="N1",COUNTIF($D$9:D2106,"N1"),""))</f>
        <v/>
      </c>
      <c r="J2106" s="96" t="str">
        <f>IF(D2106="","",COUNTA(D2102:D2106)-(COUNTA(D2106:D2106)-1))</f>
        <v/>
      </c>
    </row>
    <row r="2107" spans="1:10" thickBot="1">
      <c r="A2107" s="117"/>
      <c r="B2107" s="70">
        <f t="shared" si="133"/>
        <v>45899</v>
      </c>
      <c r="C2107" s="82" t="str">
        <f t="shared" si="134"/>
        <v>samedi</v>
      </c>
      <c r="D2107" s="87"/>
      <c r="E2107" s="115" t="str">
        <f t="shared" si="135"/>
        <v/>
      </c>
      <c r="F2107" s="115" t="str">
        <f t="shared" si="136"/>
        <v/>
      </c>
      <c r="G2107" s="116" t="str">
        <f>IF(ISNONTEXT(D2107),"",E2107-MAX($F$2:F2106))</f>
        <v/>
      </c>
      <c r="H2107" s="97"/>
      <c r="I2107" s="74" t="str">
        <f ca="1">IF(D2107="N",COUNTIF(INDIRECT(ADDRESS(MATCH(Plages!$D$19,'Planning annuel mixing coater'!$B:$B),4)):D2107,"N"),IF(D2107="N1",COUNTIF($D$9:D2107,"N1"),""))</f>
        <v/>
      </c>
      <c r="J2107" s="96" t="str">
        <f>IF(D2107="","",COUNTA(D2102:D2107)-(COUNTA(D2107:D2107)-1))</f>
        <v/>
      </c>
    </row>
    <row r="2108" spans="1:10" thickBot="1">
      <c r="A2108" s="117"/>
      <c r="B2108" s="70">
        <f t="shared" si="133"/>
        <v>45900</v>
      </c>
      <c r="C2108" s="82" t="str">
        <f t="shared" si="134"/>
        <v>dimanche</v>
      </c>
      <c r="D2108" s="87"/>
      <c r="E2108" s="115" t="str">
        <f t="shared" si="135"/>
        <v/>
      </c>
      <c r="F2108" s="115" t="str">
        <f t="shared" si="136"/>
        <v/>
      </c>
      <c r="G2108" s="116" t="str">
        <f>IF(ISNONTEXT(D2108),"",E2108-MAX($F$2:F2107))</f>
        <v/>
      </c>
      <c r="H2108" s="98"/>
      <c r="I2108" s="74" t="str">
        <f ca="1">IF(D2108="N",COUNTIF(INDIRECT(ADDRESS(MATCH(Plages!$D$19,'Planning annuel mixing coater'!$B:$B),4)):D2108,"N"),IF(D2108="N1",COUNTIF($D$9:D2108,"N1"),""))</f>
        <v/>
      </c>
      <c r="J2108" s="96" t="str">
        <f>IF(D2108="","",COUNTA(D2102:D2108)-(COUNTA(D2108:D2108)-1))</f>
        <v/>
      </c>
    </row>
    <row r="2109" spans="1:10" thickBot="1">
      <c r="A2109" s="117"/>
      <c r="B2109" s="70">
        <f t="shared" si="133"/>
        <v>45901</v>
      </c>
      <c r="C2109" s="82" t="str">
        <f t="shared" si="134"/>
        <v>lundi</v>
      </c>
      <c r="D2109" s="87"/>
      <c r="E2109" s="115" t="str">
        <f t="shared" si="135"/>
        <v/>
      </c>
      <c r="F2109" s="115" t="str">
        <f t="shared" si="136"/>
        <v/>
      </c>
      <c r="G2109" s="116" t="str">
        <f>IF(ISNONTEXT(D2109),"",E2109-MAX($F$2:F2108))</f>
        <v/>
      </c>
      <c r="H2109" s="97"/>
      <c r="I2109" s="74" t="str">
        <f ca="1">IF(D2109="N",COUNTIF(INDIRECT(ADDRESS(MATCH(Plages!$D$19,'Planning annuel mixing coater'!$B:$B),4)):D2109,"N"),IF(D2109="N1",COUNTIF($D$9:D2109,"N1"),""))</f>
        <v/>
      </c>
      <c r="J2109" s="96" t="str">
        <f>IF(D2109="","",COUNTA(D2102:D2109)-(COUNTA(D2109:D2109)-1))</f>
        <v/>
      </c>
    </row>
    <row r="2110" spans="1:10" thickBot="1">
      <c r="A2110" s="117"/>
      <c r="B2110" s="70">
        <f t="shared" si="133"/>
        <v>45902</v>
      </c>
      <c r="C2110" s="82" t="str">
        <f t="shared" si="134"/>
        <v>mardi</v>
      </c>
      <c r="D2110" s="87"/>
      <c r="E2110" s="115" t="str">
        <f t="shared" si="135"/>
        <v/>
      </c>
      <c r="F2110" s="115" t="str">
        <f t="shared" si="136"/>
        <v/>
      </c>
      <c r="G2110" s="116" t="str">
        <f>IF(ISNONTEXT(D2110),"",E2110-MAX($F$2:F2109))</f>
        <v/>
      </c>
      <c r="H2110" s="97"/>
      <c r="I2110" s="74" t="str">
        <f ca="1">IF(D2110="N",COUNTIF(INDIRECT(ADDRESS(MATCH(Plages!$D$19,'Planning annuel mixing coater'!$B:$B),4)):D2110,"N"),IF(D2110="N1",COUNTIF($D$9:D2110,"N1"),""))</f>
        <v/>
      </c>
      <c r="J2110" s="96" t="str">
        <f>IF(D2110="","",COUNTA(D2102:D2110)-(COUNTA(D2110:D2110)-1))</f>
        <v/>
      </c>
    </row>
    <row r="2111" spans="1:10" thickBot="1">
      <c r="A2111" s="117"/>
      <c r="B2111" s="70">
        <f t="shared" si="133"/>
        <v>45903</v>
      </c>
      <c r="C2111" s="82" t="str">
        <f t="shared" si="134"/>
        <v>mercredi</v>
      </c>
      <c r="D2111" s="87"/>
      <c r="E2111" s="115" t="str">
        <f t="shared" si="135"/>
        <v/>
      </c>
      <c r="F2111" s="115" t="str">
        <f t="shared" si="136"/>
        <v/>
      </c>
      <c r="G2111" s="116" t="str">
        <f>IF(ISNONTEXT(D2111),"",E2111-MAX($F$2:F2110))</f>
        <v/>
      </c>
      <c r="H2111" s="97"/>
      <c r="I2111" s="74" t="str">
        <f ca="1">IF(D2111="N",COUNTIF(INDIRECT(ADDRESS(MATCH(Plages!$D$19,'Planning annuel mixing coater'!$B:$B),4)):D2111,"N"),IF(D2111="N1",COUNTIF($D$9:D2111,"N1"),""))</f>
        <v/>
      </c>
      <c r="J2111" s="96" t="str">
        <f>IF(D2111="","",COUNTA(D2102:D2111)-(COUNTA(D2111:D2111)-1))</f>
        <v/>
      </c>
    </row>
    <row r="2112" spans="1:10" thickBot="1">
      <c r="A2112" s="117"/>
      <c r="B2112" s="70">
        <f t="shared" si="133"/>
        <v>45904</v>
      </c>
      <c r="C2112" s="82" t="str">
        <f t="shared" si="134"/>
        <v>jeudi</v>
      </c>
      <c r="D2112" s="87"/>
      <c r="E2112" s="115" t="str">
        <f t="shared" si="135"/>
        <v/>
      </c>
      <c r="F2112" s="115" t="str">
        <f t="shared" si="136"/>
        <v/>
      </c>
      <c r="G2112" s="116" t="str">
        <f>IF(ISNONTEXT(D2112),"",E2112-MAX($F$2:F2111))</f>
        <v/>
      </c>
      <c r="H2112" s="97"/>
      <c r="I2112" s="74" t="str">
        <f ca="1">IF(D2112="N",COUNTIF(INDIRECT(ADDRESS(MATCH(Plages!$D$19,'Planning annuel mixing coater'!$B:$B),4)):D2112,"N"),IF(D2112="N1",COUNTIF($D$9:D2112,"N1"),""))</f>
        <v/>
      </c>
      <c r="J2112" s="96" t="str">
        <f>IF(D2112="","",COUNTA(D2102:D2112)-(COUNTA(D2112:D2112)-1))</f>
        <v/>
      </c>
    </row>
    <row r="2113" spans="1:10" thickBot="1">
      <c r="A2113" s="117"/>
      <c r="B2113" s="70">
        <f t="shared" si="133"/>
        <v>45905</v>
      </c>
      <c r="C2113" s="82" t="str">
        <f t="shared" si="134"/>
        <v>vendredi</v>
      </c>
      <c r="D2113" s="87"/>
      <c r="E2113" s="115" t="str">
        <f t="shared" si="135"/>
        <v/>
      </c>
      <c r="F2113" s="115" t="str">
        <f t="shared" si="136"/>
        <v/>
      </c>
      <c r="G2113" s="116" t="str">
        <f>IF(ISNONTEXT(D2113),"",E2113-MAX($F$2:F2112))</f>
        <v/>
      </c>
      <c r="H2113" s="97"/>
      <c r="I2113" s="74" t="str">
        <f ca="1">IF(D2113="N",COUNTIF(INDIRECT(ADDRESS(MATCH(Plages!$D$19,'Planning annuel mixing coater'!$B:$B),4)):D2113,"N"),IF(D2113="N1",COUNTIF($D$9:D2113,"N1"),""))</f>
        <v/>
      </c>
      <c r="J2113" s="96" t="str">
        <f>IF(D2113="","",COUNTA(D2102:D2113)-(COUNTA(D2113:D2113)-1))</f>
        <v/>
      </c>
    </row>
    <row r="2114" spans="1:10" thickBot="1">
      <c r="A2114" s="117"/>
      <c r="B2114" s="70">
        <f t="shared" si="133"/>
        <v>45906</v>
      </c>
      <c r="C2114" s="82" t="str">
        <f t="shared" si="134"/>
        <v>samedi</v>
      </c>
      <c r="D2114" s="87"/>
      <c r="E2114" s="115" t="str">
        <f t="shared" si="135"/>
        <v/>
      </c>
      <c r="F2114" s="115" t="str">
        <f t="shared" si="136"/>
        <v/>
      </c>
      <c r="G2114" s="116" t="str">
        <f>IF(ISNONTEXT(D2114),"",E2114-MAX($F$2:F2113))</f>
        <v/>
      </c>
      <c r="H2114" s="97"/>
      <c r="I2114" s="74" t="str">
        <f ca="1">IF(D2114="N",COUNTIF(INDIRECT(ADDRESS(MATCH(Plages!$D$19,'Planning annuel mixing coater'!$B:$B),4)):D2114,"N"),IF(D2114="N1",COUNTIF($D$9:D2114,"N1"),""))</f>
        <v/>
      </c>
      <c r="J2114" s="96" t="str">
        <f>IF(D2114="","",COUNTA(D2102:D2114)-(COUNTA(D2114:D2114)-1))</f>
        <v/>
      </c>
    </row>
    <row r="2115" spans="1:10" s="77" customFormat="1" thickBot="1">
      <c r="A2115" s="117"/>
      <c r="B2115" s="75">
        <f t="shared" si="133"/>
        <v>45907</v>
      </c>
      <c r="C2115" s="83" t="str">
        <f t="shared" si="134"/>
        <v>dimanche</v>
      </c>
      <c r="D2115" s="88"/>
      <c r="E2115" s="115" t="str">
        <f t="shared" si="135"/>
        <v/>
      </c>
      <c r="F2115" s="115" t="str">
        <f t="shared" si="136"/>
        <v/>
      </c>
      <c r="G2115" s="116" t="str">
        <f>IF(ISNONTEXT(D2115),"",E2115-MAX($F$2:F2114))</f>
        <v/>
      </c>
      <c r="H2115" s="98"/>
      <c r="I2115" s="76" t="str">
        <f ca="1">IF(D2115="N",COUNTIF(INDIRECT(ADDRESS(MATCH(Plages!$D$19,'Planning annuel mixing coater'!$B:$B),4)):D2115,"N"),IF(D2115="N1",COUNTIF($D$9:D2115,"N1"),""))</f>
        <v/>
      </c>
      <c r="J2115" s="99" t="str">
        <f>IF(D2115="","",COUNTA(D2102:D2115)-(COUNTA(D2115:D2115)-1))</f>
        <v/>
      </c>
    </row>
    <row r="2116" spans="1:10" ht="16.5" thickTop="1" thickBot="1">
      <c r="A2116" s="117"/>
      <c r="B2116" s="78">
        <f t="shared" ref="B2116:B2179" si="137">IF(B2115="","",B2115+1)</f>
        <v>45908</v>
      </c>
      <c r="C2116" s="81" t="str">
        <f t="shared" si="134"/>
        <v>lundi</v>
      </c>
      <c r="D2116" s="89"/>
      <c r="E2116" s="115" t="str">
        <f t="shared" si="135"/>
        <v/>
      </c>
      <c r="F2116" s="115" t="str">
        <f t="shared" si="136"/>
        <v/>
      </c>
      <c r="G2116" s="116" t="str">
        <f>IF(ISNONTEXT(D2116),"",E2116-MAX($F$2:F2115))</f>
        <v/>
      </c>
      <c r="H2116" s="100"/>
      <c r="I2116" s="79" t="str">
        <f ca="1">IF(D2116="N",COUNTIF(INDIRECT(ADDRESS(MATCH(Plages!$D$19,'Planning annuel mixing coater'!$B:$B),4)):D2116,"N"),IF(D2116="N1",COUNTIF($D$9:D2116,"N1"),""))</f>
        <v/>
      </c>
      <c r="J2116" s="101" t="str">
        <f>IF(D2116="","",COUNTA(D2116:D2116)-(COUNTA(D2116:D2116)-1))</f>
        <v/>
      </c>
    </row>
    <row r="2117" spans="1:10" thickBot="1">
      <c r="A2117" s="117"/>
      <c r="B2117" s="70">
        <f t="shared" si="137"/>
        <v>45909</v>
      </c>
      <c r="C2117" s="82" t="str">
        <f t="shared" si="134"/>
        <v>mardi</v>
      </c>
      <c r="D2117" s="87"/>
      <c r="E2117" s="115" t="str">
        <f t="shared" si="135"/>
        <v/>
      </c>
      <c r="F2117" s="115" t="str">
        <f t="shared" si="136"/>
        <v/>
      </c>
      <c r="G2117" s="116" t="str">
        <f>IF(ISNONTEXT(D2117),"",E2117-MAX($F$2:F2116))</f>
        <v/>
      </c>
      <c r="H2117" s="97"/>
      <c r="I2117" s="74" t="str">
        <f ca="1">IF(D2117="N",COUNTIF(INDIRECT(ADDRESS(MATCH(Plages!$D$19,'Planning annuel mixing coater'!$B:$B),4)):D2117,"N"),IF(D2117="N1",COUNTIF($D$9:D2117,"N1"),""))</f>
        <v/>
      </c>
      <c r="J2117" s="96" t="str">
        <f>IF(D2117="","",COUNTA(D2116:D2117)-(COUNTA(D2117:D2117)-1))</f>
        <v/>
      </c>
    </row>
    <row r="2118" spans="1:10" thickBot="1">
      <c r="A2118" s="117"/>
      <c r="B2118" s="70">
        <f t="shared" si="137"/>
        <v>45910</v>
      </c>
      <c r="C2118" s="82" t="str">
        <f t="shared" si="134"/>
        <v>mercredi</v>
      </c>
      <c r="D2118" s="87"/>
      <c r="E2118" s="115" t="str">
        <f t="shared" si="135"/>
        <v/>
      </c>
      <c r="F2118" s="115" t="str">
        <f t="shared" si="136"/>
        <v/>
      </c>
      <c r="G2118" s="116" t="str">
        <f>IF(ISNONTEXT(D2118),"",E2118-MAX($F$2:F2117))</f>
        <v/>
      </c>
      <c r="H2118" s="97"/>
      <c r="I2118" s="74" t="str">
        <f ca="1">IF(D2118="N",COUNTIF(INDIRECT(ADDRESS(MATCH(Plages!$D$19,'Planning annuel mixing coater'!$B:$B),4)):D2118,"N"),IF(D2118="N1",COUNTIF($D$9:D2118,"N1"),""))</f>
        <v/>
      </c>
      <c r="J2118" s="96" t="str">
        <f>IF(D2118="","",COUNTA(D2116:D2118)-(COUNTA(D2118:D2118)-1))</f>
        <v/>
      </c>
    </row>
    <row r="2119" spans="1:10" thickBot="1">
      <c r="A2119" s="117"/>
      <c r="B2119" s="70">
        <f t="shared" si="137"/>
        <v>45911</v>
      </c>
      <c r="C2119" s="82" t="str">
        <f t="shared" si="134"/>
        <v>jeudi</v>
      </c>
      <c r="D2119" s="87"/>
      <c r="E2119" s="115" t="str">
        <f t="shared" si="135"/>
        <v/>
      </c>
      <c r="F2119" s="115" t="str">
        <f t="shared" si="136"/>
        <v/>
      </c>
      <c r="G2119" s="116" t="str">
        <f>IF(ISNONTEXT(D2119),"",E2119-MAX($F$2:F2118))</f>
        <v/>
      </c>
      <c r="H2119" s="97"/>
      <c r="I2119" s="74" t="str">
        <f ca="1">IF(D2119="N",COUNTIF(INDIRECT(ADDRESS(MATCH(Plages!$D$19,'Planning annuel mixing coater'!$B:$B),4)):D2119,"N"),IF(D2119="N1",COUNTIF($D$9:D2119,"N1"),""))</f>
        <v/>
      </c>
      <c r="J2119" s="96" t="str">
        <f>IF(D2119="","",COUNTA(D2116:D2119)-(COUNTA(D2119:D2119)-1))</f>
        <v/>
      </c>
    </row>
    <row r="2120" spans="1:10" thickBot="1">
      <c r="A2120" s="117"/>
      <c r="B2120" s="70">
        <f t="shared" si="137"/>
        <v>45912</v>
      </c>
      <c r="C2120" s="82" t="str">
        <f t="shared" si="134"/>
        <v>vendredi</v>
      </c>
      <c r="D2120" s="87"/>
      <c r="E2120" s="115" t="str">
        <f t="shared" si="135"/>
        <v/>
      </c>
      <c r="F2120" s="115" t="str">
        <f t="shared" si="136"/>
        <v/>
      </c>
      <c r="G2120" s="116" t="str">
        <f>IF(ISNONTEXT(D2120),"",E2120-MAX($F$2:F2119))</f>
        <v/>
      </c>
      <c r="H2120" s="97"/>
      <c r="I2120" s="74" t="str">
        <f ca="1">IF(D2120="N",COUNTIF(INDIRECT(ADDRESS(MATCH(Plages!$D$19,'Planning annuel mixing coater'!$B:$B),4)):D2120,"N"),IF(D2120="N1",COUNTIF($D$9:D2120,"N1"),""))</f>
        <v/>
      </c>
      <c r="J2120" s="96" t="str">
        <f>IF(D2120="","",COUNTA(D2116:D2120)-(COUNTA(D2120:D2120)-1))</f>
        <v/>
      </c>
    </row>
    <row r="2121" spans="1:10" thickBot="1">
      <c r="A2121" s="117"/>
      <c r="B2121" s="70">
        <f t="shared" si="137"/>
        <v>45913</v>
      </c>
      <c r="C2121" s="82" t="str">
        <f t="shared" si="134"/>
        <v>samedi</v>
      </c>
      <c r="D2121" s="87"/>
      <c r="E2121" s="115" t="str">
        <f t="shared" si="135"/>
        <v/>
      </c>
      <c r="F2121" s="115" t="str">
        <f t="shared" si="136"/>
        <v/>
      </c>
      <c r="G2121" s="116" t="str">
        <f>IF(ISNONTEXT(D2121),"",E2121-MAX($F$2:F2120))</f>
        <v/>
      </c>
      <c r="H2121" s="97"/>
      <c r="I2121" s="74" t="str">
        <f ca="1">IF(D2121="N",COUNTIF(INDIRECT(ADDRESS(MATCH(Plages!$D$19,'Planning annuel mixing coater'!$B:$B),4)):D2121,"N"),IF(D2121="N1",COUNTIF($D$9:D2121,"N1"),""))</f>
        <v/>
      </c>
      <c r="J2121" s="96" t="str">
        <f>IF(D2121="","",COUNTA(D2116:D2121)-(COUNTA(D2121:D2121)-1))</f>
        <v/>
      </c>
    </row>
    <row r="2122" spans="1:10" thickBot="1">
      <c r="A2122" s="117"/>
      <c r="B2122" s="70">
        <f t="shared" si="137"/>
        <v>45914</v>
      </c>
      <c r="C2122" s="82" t="str">
        <f t="shared" si="134"/>
        <v>dimanche</v>
      </c>
      <c r="D2122" s="87"/>
      <c r="E2122" s="115" t="str">
        <f t="shared" si="135"/>
        <v/>
      </c>
      <c r="F2122" s="115" t="str">
        <f t="shared" si="136"/>
        <v/>
      </c>
      <c r="G2122" s="116" t="str">
        <f>IF(ISNONTEXT(D2122),"",E2122-MAX($F$2:F2121))</f>
        <v/>
      </c>
      <c r="H2122" s="98"/>
      <c r="I2122" s="74" t="str">
        <f ca="1">IF(D2122="N",COUNTIF(INDIRECT(ADDRESS(MATCH(Plages!$D$19,'Planning annuel mixing coater'!$B:$B),4)):D2122,"N"),IF(D2122="N1",COUNTIF($D$9:D2122,"N1"),""))</f>
        <v/>
      </c>
      <c r="J2122" s="96" t="str">
        <f>IF(D2122="","",COUNTA(D2116:D2122)-(COUNTA(D2122:D2122)-1))</f>
        <v/>
      </c>
    </row>
    <row r="2123" spans="1:10" thickBot="1">
      <c r="A2123" s="117"/>
      <c r="B2123" s="70">
        <f t="shared" si="137"/>
        <v>45915</v>
      </c>
      <c r="C2123" s="82" t="str">
        <f t="shared" si="134"/>
        <v>lundi</v>
      </c>
      <c r="D2123" s="87"/>
      <c r="E2123" s="115" t="str">
        <f t="shared" si="135"/>
        <v/>
      </c>
      <c r="F2123" s="115" t="str">
        <f t="shared" si="136"/>
        <v/>
      </c>
      <c r="G2123" s="116" t="str">
        <f>IF(ISNONTEXT(D2123),"",E2123-MAX($F$2:F2122))</f>
        <v/>
      </c>
      <c r="H2123" s="97"/>
      <c r="I2123" s="74" t="str">
        <f ca="1">IF(D2123="N",COUNTIF(INDIRECT(ADDRESS(MATCH(Plages!$D$19,'Planning annuel mixing coater'!$B:$B),4)):D2123,"N"),IF(D2123="N1",COUNTIF($D$9:D2123,"N1"),""))</f>
        <v/>
      </c>
      <c r="J2123" s="96" t="str">
        <f>IF(D2123="","",COUNTA(D2116:D2123)-(COUNTA(D2123:D2123)-1))</f>
        <v/>
      </c>
    </row>
    <row r="2124" spans="1:10" thickBot="1">
      <c r="A2124" s="117"/>
      <c r="B2124" s="70">
        <f t="shared" si="137"/>
        <v>45916</v>
      </c>
      <c r="C2124" s="82" t="str">
        <f t="shared" si="134"/>
        <v>mardi</v>
      </c>
      <c r="D2124" s="87"/>
      <c r="E2124" s="115" t="str">
        <f t="shared" si="135"/>
        <v/>
      </c>
      <c r="F2124" s="115" t="str">
        <f t="shared" si="136"/>
        <v/>
      </c>
      <c r="G2124" s="116" t="str">
        <f>IF(ISNONTEXT(D2124),"",E2124-MAX($F$2:F2123))</f>
        <v/>
      </c>
      <c r="H2124" s="97"/>
      <c r="I2124" s="74" t="str">
        <f ca="1">IF(D2124="N",COUNTIF(INDIRECT(ADDRESS(MATCH(Plages!$D$19,'Planning annuel mixing coater'!$B:$B),4)):D2124,"N"),IF(D2124="N1",COUNTIF($D$9:D2124,"N1"),""))</f>
        <v/>
      </c>
      <c r="J2124" s="96" t="str">
        <f>IF(D2124="","",COUNTA(D2116:D2124)-(COUNTA(D2124:D2124)-1))</f>
        <v/>
      </c>
    </row>
    <row r="2125" spans="1:10" thickBot="1">
      <c r="A2125" s="117"/>
      <c r="B2125" s="70">
        <f t="shared" si="137"/>
        <v>45917</v>
      </c>
      <c r="C2125" s="82" t="str">
        <f t="shared" si="134"/>
        <v>mercredi</v>
      </c>
      <c r="D2125" s="87"/>
      <c r="E2125" s="115" t="str">
        <f t="shared" si="135"/>
        <v/>
      </c>
      <c r="F2125" s="115" t="str">
        <f t="shared" si="136"/>
        <v/>
      </c>
      <c r="G2125" s="116" t="str">
        <f>IF(ISNONTEXT(D2125),"",E2125-MAX($F$2:F2124))</f>
        <v/>
      </c>
      <c r="H2125" s="97"/>
      <c r="I2125" s="74" t="str">
        <f ca="1">IF(D2125="N",COUNTIF(INDIRECT(ADDRESS(MATCH(Plages!$D$19,'Planning annuel mixing coater'!$B:$B),4)):D2125,"N"),IF(D2125="N1",COUNTIF($D$9:D2125,"N1"),""))</f>
        <v/>
      </c>
      <c r="J2125" s="96" t="str">
        <f>IF(D2125="","",COUNTA(D2116:D2125)-(COUNTA(D2125:D2125)-1))</f>
        <v/>
      </c>
    </row>
    <row r="2126" spans="1:10" thickBot="1">
      <c r="A2126" s="117"/>
      <c r="B2126" s="70">
        <f t="shared" si="137"/>
        <v>45918</v>
      </c>
      <c r="C2126" s="82" t="str">
        <f t="shared" si="134"/>
        <v>jeudi</v>
      </c>
      <c r="D2126" s="87"/>
      <c r="E2126" s="115" t="str">
        <f t="shared" si="135"/>
        <v/>
      </c>
      <c r="F2126" s="115" t="str">
        <f t="shared" si="136"/>
        <v/>
      </c>
      <c r="G2126" s="116" t="str">
        <f>IF(ISNONTEXT(D2126),"",E2126-MAX($F$2:F2125))</f>
        <v/>
      </c>
      <c r="H2126" s="97"/>
      <c r="I2126" s="74" t="str">
        <f ca="1">IF(D2126="N",COUNTIF(INDIRECT(ADDRESS(MATCH(Plages!$D$19,'Planning annuel mixing coater'!$B:$B),4)):D2126,"N"),IF(D2126="N1",COUNTIF($D$9:D2126,"N1"),""))</f>
        <v/>
      </c>
      <c r="J2126" s="96" t="str">
        <f>IF(D2126="","",COUNTA(D2116:D2126)-(COUNTA(D2126:D2126)-1))</f>
        <v/>
      </c>
    </row>
    <row r="2127" spans="1:10" thickBot="1">
      <c r="A2127" s="117"/>
      <c r="B2127" s="70">
        <f t="shared" si="137"/>
        <v>45919</v>
      </c>
      <c r="C2127" s="82" t="str">
        <f t="shared" si="134"/>
        <v>vendredi</v>
      </c>
      <c r="D2127" s="87"/>
      <c r="E2127" s="115" t="str">
        <f t="shared" si="135"/>
        <v/>
      </c>
      <c r="F2127" s="115" t="str">
        <f t="shared" si="136"/>
        <v/>
      </c>
      <c r="G2127" s="116" t="str">
        <f>IF(ISNONTEXT(D2127),"",E2127-MAX($F$2:F2126))</f>
        <v/>
      </c>
      <c r="H2127" s="97"/>
      <c r="I2127" s="74" t="str">
        <f ca="1">IF(D2127="N",COUNTIF(INDIRECT(ADDRESS(MATCH(Plages!$D$19,'Planning annuel mixing coater'!$B:$B),4)):D2127,"N"),IF(D2127="N1",COUNTIF($D$9:D2127,"N1"),""))</f>
        <v/>
      </c>
      <c r="J2127" s="96" t="str">
        <f>IF(D2127="","",COUNTA(D2116:D2127)-(COUNTA(D2127:D2127)-1))</f>
        <v/>
      </c>
    </row>
    <row r="2128" spans="1:10" thickBot="1">
      <c r="A2128" s="117"/>
      <c r="B2128" s="70">
        <f t="shared" si="137"/>
        <v>45920</v>
      </c>
      <c r="C2128" s="82" t="str">
        <f t="shared" si="134"/>
        <v>samedi</v>
      </c>
      <c r="D2128" s="87"/>
      <c r="E2128" s="115" t="str">
        <f t="shared" si="135"/>
        <v/>
      </c>
      <c r="F2128" s="115" t="str">
        <f t="shared" si="136"/>
        <v/>
      </c>
      <c r="G2128" s="116" t="str">
        <f>IF(ISNONTEXT(D2128),"",E2128-MAX($F$2:F2127))</f>
        <v/>
      </c>
      <c r="H2128" s="97"/>
      <c r="I2128" s="74" t="str">
        <f ca="1">IF(D2128="N",COUNTIF(INDIRECT(ADDRESS(MATCH(Plages!$D$19,'Planning annuel mixing coater'!$B:$B),4)):D2128,"N"),IF(D2128="N1",COUNTIF($D$9:D2128,"N1"),""))</f>
        <v/>
      </c>
      <c r="J2128" s="96" t="str">
        <f>IF(D2128="","",COUNTA(D2116:D2128)-(COUNTA(D2128:D2128)-1))</f>
        <v/>
      </c>
    </row>
    <row r="2129" spans="1:10" s="77" customFormat="1" thickBot="1">
      <c r="A2129" s="117"/>
      <c r="B2129" s="75">
        <f t="shared" si="137"/>
        <v>45921</v>
      </c>
      <c r="C2129" s="83" t="str">
        <f t="shared" si="134"/>
        <v>dimanche</v>
      </c>
      <c r="D2129" s="88"/>
      <c r="E2129" s="115" t="str">
        <f t="shared" si="135"/>
        <v/>
      </c>
      <c r="F2129" s="115" t="str">
        <f t="shared" si="136"/>
        <v/>
      </c>
      <c r="G2129" s="116" t="str">
        <f>IF(ISNONTEXT(D2129),"",E2129-MAX($F$2:F2128))</f>
        <v/>
      </c>
      <c r="H2129" s="98"/>
      <c r="I2129" s="76" t="str">
        <f ca="1">IF(D2129="N",COUNTIF(INDIRECT(ADDRESS(MATCH(Plages!$D$19,'Planning annuel mixing coater'!$B:$B),4)):D2129,"N"),IF(D2129="N1",COUNTIF($D$9:D2129,"N1"),""))</f>
        <v/>
      </c>
      <c r="J2129" s="99" t="str">
        <f>IF(D2129="","",COUNTA(D2116:D2129)-(COUNTA(D2129:D2129)-1))</f>
        <v/>
      </c>
    </row>
    <row r="2130" spans="1:10" ht="16.5" thickTop="1" thickBot="1">
      <c r="A2130" s="117"/>
      <c r="B2130" s="78">
        <f t="shared" si="137"/>
        <v>45922</v>
      </c>
      <c r="C2130" s="81" t="str">
        <f t="shared" si="134"/>
        <v>lundi</v>
      </c>
      <c r="D2130" s="89"/>
      <c r="E2130" s="115" t="str">
        <f t="shared" si="135"/>
        <v/>
      </c>
      <c r="F2130" s="115" t="str">
        <f t="shared" si="136"/>
        <v/>
      </c>
      <c r="G2130" s="116" t="str">
        <f>IF(ISNONTEXT(D2130),"",E2130-MAX($F$2:F2129))</f>
        <v/>
      </c>
      <c r="H2130" s="100"/>
      <c r="I2130" s="79" t="str">
        <f ca="1">IF(D2130="N",COUNTIF(INDIRECT(ADDRESS(MATCH(Plages!$D$19,'Planning annuel mixing coater'!$B:$B),4)):D2130,"N"),IF(D2130="N1",COUNTIF($D$9:D2130,"N1"),""))</f>
        <v/>
      </c>
      <c r="J2130" s="101" t="str">
        <f>IF(D2130="","",COUNTA(D2130:D2130)-(COUNTA(D2130:D2130)-1))</f>
        <v/>
      </c>
    </row>
    <row r="2131" spans="1:10" thickBot="1">
      <c r="A2131" s="117"/>
      <c r="B2131" s="70">
        <f t="shared" si="137"/>
        <v>45923</v>
      </c>
      <c r="C2131" s="82" t="str">
        <f t="shared" si="134"/>
        <v>mardi</v>
      </c>
      <c r="D2131" s="87"/>
      <c r="E2131" s="115" t="str">
        <f t="shared" si="135"/>
        <v/>
      </c>
      <c r="F2131" s="115" t="str">
        <f t="shared" si="136"/>
        <v/>
      </c>
      <c r="G2131" s="116" t="str">
        <f>IF(ISNONTEXT(D2131),"",E2131-MAX($F$2:F2130))</f>
        <v/>
      </c>
      <c r="H2131" s="97"/>
      <c r="I2131" s="74" t="str">
        <f ca="1">IF(D2131="N",COUNTIF(INDIRECT(ADDRESS(MATCH(Plages!$D$19,'Planning annuel mixing coater'!$B:$B),4)):D2131,"N"),IF(D2131="N1",COUNTIF($D$9:D2131,"N1"),""))</f>
        <v/>
      </c>
      <c r="J2131" s="96" t="str">
        <f>IF(D2131="","",COUNTA(D2130:D2131)-(COUNTA(D2131:D2131)-1))</f>
        <v/>
      </c>
    </row>
    <row r="2132" spans="1:10" thickBot="1">
      <c r="A2132" s="117"/>
      <c r="B2132" s="70">
        <f t="shared" si="137"/>
        <v>45924</v>
      </c>
      <c r="C2132" s="82" t="str">
        <f t="shared" si="134"/>
        <v>mercredi</v>
      </c>
      <c r="D2132" s="87"/>
      <c r="E2132" s="115" t="str">
        <f t="shared" si="135"/>
        <v/>
      </c>
      <c r="F2132" s="115" t="str">
        <f t="shared" si="136"/>
        <v/>
      </c>
      <c r="G2132" s="116" t="str">
        <f>IF(ISNONTEXT(D2132),"",E2132-MAX($F$2:F2131))</f>
        <v/>
      </c>
      <c r="H2132" s="97"/>
      <c r="I2132" s="74" t="str">
        <f ca="1">IF(D2132="N",COUNTIF(INDIRECT(ADDRESS(MATCH(Plages!$D$19,'Planning annuel mixing coater'!$B:$B),4)):D2132,"N"),IF(D2132="N1",COUNTIF($D$9:D2132,"N1"),""))</f>
        <v/>
      </c>
      <c r="J2132" s="96" t="str">
        <f>IF(D2132="","",COUNTA(D2130:D2132)-(COUNTA(D2132:D2132)-1))</f>
        <v/>
      </c>
    </row>
    <row r="2133" spans="1:10" thickBot="1">
      <c r="A2133" s="117"/>
      <c r="B2133" s="70">
        <f t="shared" si="137"/>
        <v>45925</v>
      </c>
      <c r="C2133" s="82" t="str">
        <f t="shared" si="134"/>
        <v>jeudi</v>
      </c>
      <c r="D2133" s="87"/>
      <c r="E2133" s="115" t="str">
        <f t="shared" si="135"/>
        <v/>
      </c>
      <c r="F2133" s="115" t="str">
        <f t="shared" si="136"/>
        <v/>
      </c>
      <c r="G2133" s="116" t="str">
        <f>IF(ISNONTEXT(D2133),"",E2133-MAX($F$2:F2132))</f>
        <v/>
      </c>
      <c r="H2133" s="97"/>
      <c r="I2133" s="74" t="str">
        <f ca="1">IF(D2133="N",COUNTIF(INDIRECT(ADDRESS(MATCH(Plages!$D$19,'Planning annuel mixing coater'!$B:$B),4)):D2133,"N"),IF(D2133="N1",COUNTIF($D$9:D2133,"N1"),""))</f>
        <v/>
      </c>
      <c r="J2133" s="96" t="str">
        <f>IF(D2133="","",COUNTA(D2130:D2133)-(COUNTA(D2133:D2133)-1))</f>
        <v/>
      </c>
    </row>
    <row r="2134" spans="1:10" thickBot="1">
      <c r="A2134" s="117"/>
      <c r="B2134" s="70">
        <f t="shared" si="137"/>
        <v>45926</v>
      </c>
      <c r="C2134" s="82" t="str">
        <f t="shared" si="134"/>
        <v>vendredi</v>
      </c>
      <c r="D2134" s="87"/>
      <c r="E2134" s="115" t="str">
        <f t="shared" si="135"/>
        <v/>
      </c>
      <c r="F2134" s="115" t="str">
        <f t="shared" si="136"/>
        <v/>
      </c>
      <c r="G2134" s="116" t="str">
        <f>IF(ISNONTEXT(D2134),"",E2134-MAX($F$2:F2133))</f>
        <v/>
      </c>
      <c r="H2134" s="97"/>
      <c r="I2134" s="74" t="str">
        <f ca="1">IF(D2134="N",COUNTIF(INDIRECT(ADDRESS(MATCH(Plages!$D$19,'Planning annuel mixing coater'!$B:$B),4)):D2134,"N"),IF(D2134="N1",COUNTIF($D$9:D2134,"N1"),""))</f>
        <v/>
      </c>
      <c r="J2134" s="96" t="str">
        <f>IF(D2134="","",COUNTA(D2130:D2134)-(COUNTA(D2134:D2134)-1))</f>
        <v/>
      </c>
    </row>
    <row r="2135" spans="1:10" thickBot="1">
      <c r="A2135" s="117"/>
      <c r="B2135" s="70">
        <f t="shared" si="137"/>
        <v>45927</v>
      </c>
      <c r="C2135" s="82" t="str">
        <f t="shared" si="134"/>
        <v>samedi</v>
      </c>
      <c r="D2135" s="87"/>
      <c r="E2135" s="115" t="str">
        <f t="shared" si="135"/>
        <v/>
      </c>
      <c r="F2135" s="115" t="str">
        <f t="shared" si="136"/>
        <v/>
      </c>
      <c r="G2135" s="116" t="str">
        <f>IF(ISNONTEXT(D2135),"",E2135-MAX($F$2:F2134))</f>
        <v/>
      </c>
      <c r="H2135" s="97"/>
      <c r="I2135" s="74" t="str">
        <f ca="1">IF(D2135="N",COUNTIF(INDIRECT(ADDRESS(MATCH(Plages!$D$19,'Planning annuel mixing coater'!$B:$B),4)):D2135,"N"),IF(D2135="N1",COUNTIF($D$9:D2135,"N1"),""))</f>
        <v/>
      </c>
      <c r="J2135" s="96" t="str">
        <f>IF(D2135="","",COUNTA(D2130:D2135)-(COUNTA(D2135:D2135)-1))</f>
        <v/>
      </c>
    </row>
    <row r="2136" spans="1:10" thickBot="1">
      <c r="A2136" s="117"/>
      <c r="B2136" s="70">
        <f t="shared" si="137"/>
        <v>45928</v>
      </c>
      <c r="C2136" s="82" t="str">
        <f t="shared" si="134"/>
        <v>dimanche</v>
      </c>
      <c r="D2136" s="87"/>
      <c r="E2136" s="115" t="str">
        <f t="shared" si="135"/>
        <v/>
      </c>
      <c r="F2136" s="115" t="str">
        <f t="shared" si="136"/>
        <v/>
      </c>
      <c r="G2136" s="116" t="str">
        <f>IF(ISNONTEXT(D2136),"",E2136-MAX($F$2:F2135))</f>
        <v/>
      </c>
      <c r="H2136" s="98"/>
      <c r="I2136" s="74" t="str">
        <f ca="1">IF(D2136="N",COUNTIF(INDIRECT(ADDRESS(MATCH(Plages!$D$19,'Planning annuel mixing coater'!$B:$B),4)):D2136,"N"),IF(D2136="N1",COUNTIF($D$9:D2136,"N1"),""))</f>
        <v/>
      </c>
      <c r="J2136" s="96" t="str">
        <f>IF(D2136="","",COUNTA(D2130:D2136)-(COUNTA(D2136:D2136)-1))</f>
        <v/>
      </c>
    </row>
    <row r="2137" spans="1:10" thickBot="1">
      <c r="A2137" s="117"/>
      <c r="B2137" s="70">
        <f t="shared" si="137"/>
        <v>45929</v>
      </c>
      <c r="C2137" s="82" t="str">
        <f t="shared" si="134"/>
        <v>lundi</v>
      </c>
      <c r="D2137" s="87"/>
      <c r="E2137" s="115" t="str">
        <f t="shared" si="135"/>
        <v/>
      </c>
      <c r="F2137" s="115" t="str">
        <f t="shared" si="136"/>
        <v/>
      </c>
      <c r="G2137" s="116" t="str">
        <f>IF(ISNONTEXT(D2137),"",E2137-MAX($F$2:F2136))</f>
        <v/>
      </c>
      <c r="H2137" s="97"/>
      <c r="I2137" s="74" t="str">
        <f ca="1">IF(D2137="N",COUNTIF(INDIRECT(ADDRESS(MATCH(Plages!$D$19,'Planning annuel mixing coater'!$B:$B),4)):D2137,"N"),IF(D2137="N1",COUNTIF($D$9:D2137,"N1"),""))</f>
        <v/>
      </c>
      <c r="J2137" s="96" t="str">
        <f>IF(D2137="","",COUNTA(D2130:D2137)-(COUNTA(D2137:D2137)-1))</f>
        <v/>
      </c>
    </row>
    <row r="2138" spans="1:10" thickBot="1">
      <c r="A2138" s="117"/>
      <c r="B2138" s="70">
        <f t="shared" si="137"/>
        <v>45930</v>
      </c>
      <c r="C2138" s="82" t="str">
        <f t="shared" si="134"/>
        <v>mardi</v>
      </c>
      <c r="D2138" s="87"/>
      <c r="E2138" s="115" t="str">
        <f t="shared" si="135"/>
        <v/>
      </c>
      <c r="F2138" s="115" t="str">
        <f t="shared" si="136"/>
        <v/>
      </c>
      <c r="G2138" s="116" t="str">
        <f>IF(ISNONTEXT(D2138),"",E2138-MAX($F$2:F2137))</f>
        <v/>
      </c>
      <c r="H2138" s="97"/>
      <c r="I2138" s="74" t="str">
        <f ca="1">IF(D2138="N",COUNTIF(INDIRECT(ADDRESS(MATCH(Plages!$D$19,'Planning annuel mixing coater'!$B:$B),4)):D2138,"N"),IF(D2138="N1",COUNTIF($D$9:D2138,"N1"),""))</f>
        <v/>
      </c>
      <c r="J2138" s="96" t="str">
        <f>IF(D2138="","",COUNTA(D2130:D2138)-(COUNTA(D2138:D2138)-1))</f>
        <v/>
      </c>
    </row>
    <row r="2139" spans="1:10" thickBot="1">
      <c r="A2139" s="117"/>
      <c r="B2139" s="70">
        <f t="shared" si="137"/>
        <v>45931</v>
      </c>
      <c r="C2139" s="82" t="str">
        <f t="shared" si="134"/>
        <v>mercredi</v>
      </c>
      <c r="D2139" s="87"/>
      <c r="E2139" s="115" t="str">
        <f t="shared" si="135"/>
        <v/>
      </c>
      <c r="F2139" s="115" t="str">
        <f t="shared" si="136"/>
        <v/>
      </c>
      <c r="G2139" s="116" t="str">
        <f>IF(ISNONTEXT(D2139),"",E2139-MAX($F$2:F2138))</f>
        <v/>
      </c>
      <c r="H2139" s="97"/>
      <c r="I2139" s="74" t="str">
        <f ca="1">IF(D2139="N",COUNTIF(INDIRECT(ADDRESS(MATCH(Plages!$D$19,'Planning annuel mixing coater'!$B:$B),4)):D2139,"N"),IF(D2139="N1",COUNTIF($D$9:D2139,"N1"),""))</f>
        <v/>
      </c>
      <c r="J2139" s="96" t="str">
        <f>IF(D2139="","",COUNTA(D2130:D2139)-(COUNTA(D2139:D2139)-1))</f>
        <v/>
      </c>
    </row>
    <row r="2140" spans="1:10" thickBot="1">
      <c r="A2140" s="117"/>
      <c r="B2140" s="70">
        <f t="shared" si="137"/>
        <v>45932</v>
      </c>
      <c r="C2140" s="82" t="str">
        <f t="shared" si="134"/>
        <v>jeudi</v>
      </c>
      <c r="D2140" s="87"/>
      <c r="E2140" s="115" t="str">
        <f t="shared" si="135"/>
        <v/>
      </c>
      <c r="F2140" s="115" t="str">
        <f t="shared" si="136"/>
        <v/>
      </c>
      <c r="G2140" s="116" t="str">
        <f>IF(ISNONTEXT(D2140),"",E2140-MAX($F$2:F2139))</f>
        <v/>
      </c>
      <c r="H2140" s="97"/>
      <c r="I2140" s="74" t="str">
        <f ca="1">IF(D2140="N",COUNTIF(INDIRECT(ADDRESS(MATCH(Plages!$D$19,'Planning annuel mixing coater'!$B:$B),4)):D2140,"N"),IF(D2140="N1",COUNTIF($D$9:D2140,"N1"),""))</f>
        <v/>
      </c>
      <c r="J2140" s="96" t="str">
        <f>IF(D2140="","",COUNTA(D2130:D2140)-(COUNTA(D2140:D2140)-1))</f>
        <v/>
      </c>
    </row>
    <row r="2141" spans="1:10" thickBot="1">
      <c r="A2141" s="117"/>
      <c r="B2141" s="70">
        <f t="shared" si="137"/>
        <v>45933</v>
      </c>
      <c r="C2141" s="82" t="str">
        <f t="shared" si="134"/>
        <v>vendredi</v>
      </c>
      <c r="D2141" s="87"/>
      <c r="E2141" s="115" t="str">
        <f t="shared" si="135"/>
        <v/>
      </c>
      <c r="F2141" s="115" t="str">
        <f t="shared" si="136"/>
        <v/>
      </c>
      <c r="G2141" s="116" t="str">
        <f>IF(ISNONTEXT(D2141),"",E2141-MAX($F$2:F2140))</f>
        <v/>
      </c>
      <c r="H2141" s="97"/>
      <c r="I2141" s="74" t="str">
        <f ca="1">IF(D2141="N",COUNTIF(INDIRECT(ADDRESS(MATCH(Plages!$D$19,'Planning annuel mixing coater'!$B:$B),4)):D2141,"N"),IF(D2141="N1",COUNTIF($D$9:D2141,"N1"),""))</f>
        <v/>
      </c>
      <c r="J2141" s="96" t="str">
        <f>IF(D2141="","",COUNTA(D2130:D2141)-(COUNTA(D2141:D2141)-1))</f>
        <v/>
      </c>
    </row>
    <row r="2142" spans="1:10" thickBot="1">
      <c r="A2142" s="117"/>
      <c r="B2142" s="70">
        <f t="shared" si="137"/>
        <v>45934</v>
      </c>
      <c r="C2142" s="82" t="str">
        <f t="shared" ref="C2142:C2205" si="138">IF(B2142="","",TEXT(B2142,"jjjj"))</f>
        <v>samedi</v>
      </c>
      <c r="D2142" s="87"/>
      <c r="E2142" s="115" t="str">
        <f t="shared" ref="E2142:E2205" si="139">IF(D2142="","",B2142+VLOOKUP(D2142,Plageh,2,0))</f>
        <v/>
      </c>
      <c r="F2142" s="115" t="str">
        <f t="shared" ref="F2142:F2205" si="140">IF(D2142="","",B2142+VLOOKUP(D2142,Plageh,3,0))</f>
        <v/>
      </c>
      <c r="G2142" s="116" t="str">
        <f>IF(ISNONTEXT(D2142),"",E2142-MAX($F$2:F2141))</f>
        <v/>
      </c>
      <c r="H2142" s="97"/>
      <c r="I2142" s="74" t="str">
        <f ca="1">IF(D2142="N",COUNTIF(INDIRECT(ADDRESS(MATCH(Plages!$D$19,'Planning annuel mixing coater'!$B:$B),4)):D2142,"N"),IF(D2142="N1",COUNTIF($D$9:D2142,"N1"),""))</f>
        <v/>
      </c>
      <c r="J2142" s="96" t="str">
        <f>IF(D2142="","",COUNTA(D2130:D2142)-(COUNTA(D2142:D2142)-1))</f>
        <v/>
      </c>
    </row>
    <row r="2143" spans="1:10" s="77" customFormat="1" thickBot="1">
      <c r="A2143" s="117"/>
      <c r="B2143" s="75">
        <f t="shared" si="137"/>
        <v>45935</v>
      </c>
      <c r="C2143" s="83" t="str">
        <f t="shared" si="138"/>
        <v>dimanche</v>
      </c>
      <c r="D2143" s="88"/>
      <c r="E2143" s="115" t="str">
        <f t="shared" si="139"/>
        <v/>
      </c>
      <c r="F2143" s="115" t="str">
        <f t="shared" si="140"/>
        <v/>
      </c>
      <c r="G2143" s="116" t="str">
        <f>IF(ISNONTEXT(D2143),"",E2143-MAX($F$2:F2142))</f>
        <v/>
      </c>
      <c r="H2143" s="98"/>
      <c r="I2143" s="76" t="str">
        <f ca="1">IF(D2143="N",COUNTIF(INDIRECT(ADDRESS(MATCH(Plages!$D$19,'Planning annuel mixing coater'!$B:$B),4)):D2143,"N"),IF(D2143="N1",COUNTIF($D$9:D2143,"N1"),""))</f>
        <v/>
      </c>
      <c r="J2143" s="99" t="str">
        <f>IF(D2143="","",COUNTA(D2130:D2143)-(COUNTA(D2143:D2143)-1))</f>
        <v/>
      </c>
    </row>
    <row r="2144" spans="1:10" ht="16.5" thickTop="1" thickBot="1">
      <c r="A2144" s="117"/>
      <c r="B2144" s="78">
        <f t="shared" si="137"/>
        <v>45936</v>
      </c>
      <c r="C2144" s="81" t="str">
        <f t="shared" si="138"/>
        <v>lundi</v>
      </c>
      <c r="D2144" s="89"/>
      <c r="E2144" s="115" t="str">
        <f t="shared" si="139"/>
        <v/>
      </c>
      <c r="F2144" s="115" t="str">
        <f t="shared" si="140"/>
        <v/>
      </c>
      <c r="G2144" s="116" t="str">
        <f>IF(ISNONTEXT(D2144),"",E2144-MAX($F$2:F2143))</f>
        <v/>
      </c>
      <c r="H2144" s="100"/>
      <c r="I2144" s="79" t="str">
        <f ca="1">IF(D2144="N",COUNTIF(INDIRECT(ADDRESS(MATCH(Plages!$D$19,'Planning annuel mixing coater'!$B:$B),4)):D2144,"N"),IF(D2144="N1",COUNTIF($D$9:D2144,"N1"),""))</f>
        <v/>
      </c>
      <c r="J2144" s="101" t="str">
        <f>IF(D2144="","",COUNTA(D2144:D2144)-(COUNTA(D2144:D2144)-1))</f>
        <v/>
      </c>
    </row>
    <row r="2145" spans="1:10" thickBot="1">
      <c r="A2145" s="117"/>
      <c r="B2145" s="70">
        <f t="shared" si="137"/>
        <v>45937</v>
      </c>
      <c r="C2145" s="82" t="str">
        <f t="shared" si="138"/>
        <v>mardi</v>
      </c>
      <c r="D2145" s="87"/>
      <c r="E2145" s="115" t="str">
        <f t="shared" si="139"/>
        <v/>
      </c>
      <c r="F2145" s="115" t="str">
        <f t="shared" si="140"/>
        <v/>
      </c>
      <c r="G2145" s="116" t="str">
        <f>IF(ISNONTEXT(D2145),"",E2145-MAX($F$2:F2144))</f>
        <v/>
      </c>
      <c r="H2145" s="97"/>
      <c r="I2145" s="74" t="str">
        <f ca="1">IF(D2145="N",COUNTIF(INDIRECT(ADDRESS(MATCH(Plages!$D$19,'Planning annuel mixing coater'!$B:$B),4)):D2145,"N"),IF(D2145="N1",COUNTIF($D$9:D2145,"N1"),""))</f>
        <v/>
      </c>
      <c r="J2145" s="96" t="str">
        <f>IF(D2145="","",COUNTA(D2144:D2145)-(COUNTA(D2145:D2145)-1))</f>
        <v/>
      </c>
    </row>
    <row r="2146" spans="1:10" thickBot="1">
      <c r="A2146" s="117"/>
      <c r="B2146" s="70">
        <f t="shared" si="137"/>
        <v>45938</v>
      </c>
      <c r="C2146" s="82" t="str">
        <f t="shared" si="138"/>
        <v>mercredi</v>
      </c>
      <c r="D2146" s="87"/>
      <c r="E2146" s="115" t="str">
        <f t="shared" si="139"/>
        <v/>
      </c>
      <c r="F2146" s="115" t="str">
        <f t="shared" si="140"/>
        <v/>
      </c>
      <c r="G2146" s="116" t="str">
        <f>IF(ISNONTEXT(D2146),"",E2146-MAX($F$2:F2145))</f>
        <v/>
      </c>
      <c r="H2146" s="97"/>
      <c r="I2146" s="74" t="str">
        <f ca="1">IF(D2146="N",COUNTIF(INDIRECT(ADDRESS(MATCH(Plages!$D$19,'Planning annuel mixing coater'!$B:$B),4)):D2146,"N"),IF(D2146="N1",COUNTIF($D$9:D2146,"N1"),""))</f>
        <v/>
      </c>
      <c r="J2146" s="96" t="str">
        <f>IF(D2146="","",COUNTA(D2144:D2146)-(COUNTA(D2146:D2146)-1))</f>
        <v/>
      </c>
    </row>
    <row r="2147" spans="1:10" thickBot="1">
      <c r="A2147" s="117"/>
      <c r="B2147" s="70">
        <f t="shared" si="137"/>
        <v>45939</v>
      </c>
      <c r="C2147" s="82" t="str">
        <f t="shared" si="138"/>
        <v>jeudi</v>
      </c>
      <c r="D2147" s="87"/>
      <c r="E2147" s="115" t="str">
        <f t="shared" si="139"/>
        <v/>
      </c>
      <c r="F2147" s="115" t="str">
        <f t="shared" si="140"/>
        <v/>
      </c>
      <c r="G2147" s="116" t="str">
        <f>IF(ISNONTEXT(D2147),"",E2147-MAX($F$2:F2146))</f>
        <v/>
      </c>
      <c r="H2147" s="97"/>
      <c r="I2147" s="74" t="str">
        <f ca="1">IF(D2147="N",COUNTIF(INDIRECT(ADDRESS(MATCH(Plages!$D$19,'Planning annuel mixing coater'!$B:$B),4)):D2147,"N"),IF(D2147="N1",COUNTIF($D$9:D2147,"N1"),""))</f>
        <v/>
      </c>
      <c r="J2147" s="96" t="str">
        <f>IF(D2147="","",COUNTA(D2144:D2147)-(COUNTA(D2147:D2147)-1))</f>
        <v/>
      </c>
    </row>
    <row r="2148" spans="1:10" thickBot="1">
      <c r="A2148" s="117"/>
      <c r="B2148" s="70">
        <f t="shared" si="137"/>
        <v>45940</v>
      </c>
      <c r="C2148" s="82" t="str">
        <f t="shared" si="138"/>
        <v>vendredi</v>
      </c>
      <c r="D2148" s="87"/>
      <c r="E2148" s="115" t="str">
        <f t="shared" si="139"/>
        <v/>
      </c>
      <c r="F2148" s="115" t="str">
        <f t="shared" si="140"/>
        <v/>
      </c>
      <c r="G2148" s="116" t="str">
        <f>IF(ISNONTEXT(D2148),"",E2148-MAX($F$2:F2147))</f>
        <v/>
      </c>
      <c r="H2148" s="97"/>
      <c r="I2148" s="74" t="str">
        <f ca="1">IF(D2148="N",COUNTIF(INDIRECT(ADDRESS(MATCH(Plages!$D$19,'Planning annuel mixing coater'!$B:$B),4)):D2148,"N"),IF(D2148="N1",COUNTIF($D$9:D2148,"N1"),""))</f>
        <v/>
      </c>
      <c r="J2148" s="96" t="str">
        <f>IF(D2148="","",COUNTA(D2144:D2148)-(COUNTA(D2148:D2148)-1))</f>
        <v/>
      </c>
    </row>
    <row r="2149" spans="1:10" thickBot="1">
      <c r="A2149" s="117"/>
      <c r="B2149" s="70">
        <f t="shared" si="137"/>
        <v>45941</v>
      </c>
      <c r="C2149" s="82" t="str">
        <f t="shared" si="138"/>
        <v>samedi</v>
      </c>
      <c r="D2149" s="87"/>
      <c r="E2149" s="115" t="str">
        <f t="shared" si="139"/>
        <v/>
      </c>
      <c r="F2149" s="115" t="str">
        <f t="shared" si="140"/>
        <v/>
      </c>
      <c r="G2149" s="116" t="str">
        <f>IF(ISNONTEXT(D2149),"",E2149-MAX($F$2:F2148))</f>
        <v/>
      </c>
      <c r="H2149" s="97"/>
      <c r="I2149" s="74" t="str">
        <f ca="1">IF(D2149="N",COUNTIF(INDIRECT(ADDRESS(MATCH(Plages!$D$19,'Planning annuel mixing coater'!$B:$B),4)):D2149,"N"),IF(D2149="N1",COUNTIF($D$9:D2149,"N1"),""))</f>
        <v/>
      </c>
      <c r="J2149" s="96" t="str">
        <f>IF(D2149="","",COUNTA(D2144:D2149)-(COUNTA(D2149:D2149)-1))</f>
        <v/>
      </c>
    </row>
    <row r="2150" spans="1:10" thickBot="1">
      <c r="A2150" s="117"/>
      <c r="B2150" s="70">
        <f t="shared" si="137"/>
        <v>45942</v>
      </c>
      <c r="C2150" s="82" t="str">
        <f t="shared" si="138"/>
        <v>dimanche</v>
      </c>
      <c r="D2150" s="87"/>
      <c r="E2150" s="115" t="str">
        <f t="shared" si="139"/>
        <v/>
      </c>
      <c r="F2150" s="115" t="str">
        <f t="shared" si="140"/>
        <v/>
      </c>
      <c r="G2150" s="116" t="str">
        <f>IF(ISNONTEXT(D2150),"",E2150-MAX($F$2:F2149))</f>
        <v/>
      </c>
      <c r="H2150" s="98"/>
      <c r="I2150" s="74" t="str">
        <f ca="1">IF(D2150="N",COUNTIF(INDIRECT(ADDRESS(MATCH(Plages!$D$19,'Planning annuel mixing coater'!$B:$B),4)):D2150,"N"),IF(D2150="N1",COUNTIF($D$9:D2150,"N1"),""))</f>
        <v/>
      </c>
      <c r="J2150" s="96" t="str">
        <f>IF(D2150="","",COUNTA(D2144:D2150)-(COUNTA(D2150:D2150)-1))</f>
        <v/>
      </c>
    </row>
    <row r="2151" spans="1:10" thickBot="1">
      <c r="A2151" s="117"/>
      <c r="B2151" s="70">
        <f t="shared" si="137"/>
        <v>45943</v>
      </c>
      <c r="C2151" s="82" t="str">
        <f t="shared" si="138"/>
        <v>lundi</v>
      </c>
      <c r="D2151" s="87"/>
      <c r="E2151" s="115" t="str">
        <f t="shared" si="139"/>
        <v/>
      </c>
      <c r="F2151" s="115" t="str">
        <f t="shared" si="140"/>
        <v/>
      </c>
      <c r="G2151" s="116" t="str">
        <f>IF(ISNONTEXT(D2151),"",E2151-MAX($F$2:F2150))</f>
        <v/>
      </c>
      <c r="H2151" s="97"/>
      <c r="I2151" s="74" t="str">
        <f ca="1">IF(D2151="N",COUNTIF(INDIRECT(ADDRESS(MATCH(Plages!$D$19,'Planning annuel mixing coater'!$B:$B),4)):D2151,"N"),IF(D2151="N1",COUNTIF($D$9:D2151,"N1"),""))</f>
        <v/>
      </c>
      <c r="J2151" s="96" t="str">
        <f>IF(D2151="","",COUNTA(D2144:D2151)-(COUNTA(D2151:D2151)-1))</f>
        <v/>
      </c>
    </row>
    <row r="2152" spans="1:10" thickBot="1">
      <c r="A2152" s="117"/>
      <c r="B2152" s="70">
        <f t="shared" si="137"/>
        <v>45944</v>
      </c>
      <c r="C2152" s="82" t="str">
        <f t="shared" si="138"/>
        <v>mardi</v>
      </c>
      <c r="D2152" s="87"/>
      <c r="E2152" s="115" t="str">
        <f t="shared" si="139"/>
        <v/>
      </c>
      <c r="F2152" s="115" t="str">
        <f t="shared" si="140"/>
        <v/>
      </c>
      <c r="G2152" s="116" t="str">
        <f>IF(ISNONTEXT(D2152),"",E2152-MAX($F$2:F2151))</f>
        <v/>
      </c>
      <c r="H2152" s="97"/>
      <c r="I2152" s="74" t="str">
        <f ca="1">IF(D2152="N",COUNTIF(INDIRECT(ADDRESS(MATCH(Plages!$D$19,'Planning annuel mixing coater'!$B:$B),4)):D2152,"N"),IF(D2152="N1",COUNTIF($D$9:D2152,"N1"),""))</f>
        <v/>
      </c>
      <c r="J2152" s="96" t="str">
        <f>IF(D2152="","",COUNTA(D2144:D2152)-(COUNTA(D2152:D2152)-1))</f>
        <v/>
      </c>
    </row>
    <row r="2153" spans="1:10" thickBot="1">
      <c r="A2153" s="117"/>
      <c r="B2153" s="70">
        <f t="shared" si="137"/>
        <v>45945</v>
      </c>
      <c r="C2153" s="82" t="str">
        <f t="shared" si="138"/>
        <v>mercredi</v>
      </c>
      <c r="D2153" s="87"/>
      <c r="E2153" s="115" t="str">
        <f t="shared" si="139"/>
        <v/>
      </c>
      <c r="F2153" s="115" t="str">
        <f t="shared" si="140"/>
        <v/>
      </c>
      <c r="G2153" s="116" t="str">
        <f>IF(ISNONTEXT(D2153),"",E2153-MAX($F$2:F2152))</f>
        <v/>
      </c>
      <c r="H2153" s="97"/>
      <c r="I2153" s="74" t="str">
        <f ca="1">IF(D2153="N",COUNTIF(INDIRECT(ADDRESS(MATCH(Plages!$D$19,'Planning annuel mixing coater'!$B:$B),4)):D2153,"N"),IF(D2153="N1",COUNTIF($D$9:D2153,"N1"),""))</f>
        <v/>
      </c>
      <c r="J2153" s="96" t="str">
        <f>IF(D2153="","",COUNTA(D2144:D2153)-(COUNTA(D2153:D2153)-1))</f>
        <v/>
      </c>
    </row>
    <row r="2154" spans="1:10" thickBot="1">
      <c r="A2154" s="117"/>
      <c r="B2154" s="70">
        <f t="shared" si="137"/>
        <v>45946</v>
      </c>
      <c r="C2154" s="82" t="str">
        <f t="shared" si="138"/>
        <v>jeudi</v>
      </c>
      <c r="D2154" s="87"/>
      <c r="E2154" s="115" t="str">
        <f t="shared" si="139"/>
        <v/>
      </c>
      <c r="F2154" s="115" t="str">
        <f t="shared" si="140"/>
        <v/>
      </c>
      <c r="G2154" s="116" t="str">
        <f>IF(ISNONTEXT(D2154),"",E2154-MAX($F$2:F2153))</f>
        <v/>
      </c>
      <c r="H2154" s="97"/>
      <c r="I2154" s="74" t="str">
        <f ca="1">IF(D2154="N",COUNTIF(INDIRECT(ADDRESS(MATCH(Plages!$D$19,'Planning annuel mixing coater'!$B:$B),4)):D2154,"N"),IF(D2154="N1",COUNTIF($D$9:D2154,"N1"),""))</f>
        <v/>
      </c>
      <c r="J2154" s="96" t="str">
        <f>IF(D2154="","",COUNTA(D2144:D2154)-(COUNTA(D2154:D2154)-1))</f>
        <v/>
      </c>
    </row>
    <row r="2155" spans="1:10" thickBot="1">
      <c r="A2155" s="117"/>
      <c r="B2155" s="70">
        <f t="shared" si="137"/>
        <v>45947</v>
      </c>
      <c r="C2155" s="82" t="str">
        <f t="shared" si="138"/>
        <v>vendredi</v>
      </c>
      <c r="D2155" s="87"/>
      <c r="E2155" s="115" t="str">
        <f t="shared" si="139"/>
        <v/>
      </c>
      <c r="F2155" s="115" t="str">
        <f t="shared" si="140"/>
        <v/>
      </c>
      <c r="G2155" s="116" t="str">
        <f>IF(ISNONTEXT(D2155),"",E2155-MAX($F$2:F2154))</f>
        <v/>
      </c>
      <c r="H2155" s="97"/>
      <c r="I2155" s="74" t="str">
        <f ca="1">IF(D2155="N",COUNTIF(INDIRECT(ADDRESS(MATCH(Plages!$D$19,'Planning annuel mixing coater'!$B:$B),4)):D2155,"N"),IF(D2155="N1",COUNTIF($D$9:D2155,"N1"),""))</f>
        <v/>
      </c>
      <c r="J2155" s="96" t="str">
        <f>IF(D2155="","",COUNTA(D2144:D2155)-(COUNTA(D2155:D2155)-1))</f>
        <v/>
      </c>
    </row>
    <row r="2156" spans="1:10" thickBot="1">
      <c r="A2156" s="117"/>
      <c r="B2156" s="70">
        <f t="shared" si="137"/>
        <v>45948</v>
      </c>
      <c r="C2156" s="82" t="str">
        <f t="shared" si="138"/>
        <v>samedi</v>
      </c>
      <c r="D2156" s="87"/>
      <c r="E2156" s="115" t="str">
        <f t="shared" si="139"/>
        <v/>
      </c>
      <c r="F2156" s="115" t="str">
        <f t="shared" si="140"/>
        <v/>
      </c>
      <c r="G2156" s="116" t="str">
        <f>IF(ISNONTEXT(D2156),"",E2156-MAX($F$2:F2155))</f>
        <v/>
      </c>
      <c r="H2156" s="97"/>
      <c r="I2156" s="74" t="str">
        <f ca="1">IF(D2156="N",COUNTIF(INDIRECT(ADDRESS(MATCH(Plages!$D$19,'Planning annuel mixing coater'!$B:$B),4)):D2156,"N"),IF(D2156="N1",COUNTIF($D$9:D2156,"N1"),""))</f>
        <v/>
      </c>
      <c r="J2156" s="96" t="str">
        <f>IF(D2156="","",COUNTA(D2144:D2156)-(COUNTA(D2156:D2156)-1))</f>
        <v/>
      </c>
    </row>
    <row r="2157" spans="1:10" s="77" customFormat="1" thickBot="1">
      <c r="A2157" s="117"/>
      <c r="B2157" s="75">
        <f t="shared" si="137"/>
        <v>45949</v>
      </c>
      <c r="C2157" s="83" t="str">
        <f t="shared" si="138"/>
        <v>dimanche</v>
      </c>
      <c r="D2157" s="88"/>
      <c r="E2157" s="115" t="str">
        <f t="shared" si="139"/>
        <v/>
      </c>
      <c r="F2157" s="115" t="str">
        <f t="shared" si="140"/>
        <v/>
      </c>
      <c r="G2157" s="116" t="str">
        <f>IF(ISNONTEXT(D2157),"",E2157-MAX($F$2:F2156))</f>
        <v/>
      </c>
      <c r="H2157" s="98"/>
      <c r="I2157" s="76" t="str">
        <f ca="1">IF(D2157="N",COUNTIF(INDIRECT(ADDRESS(MATCH(Plages!$D$19,'Planning annuel mixing coater'!$B:$B),4)):D2157,"N"),IF(D2157="N1",COUNTIF($D$9:D2157,"N1"),""))</f>
        <v/>
      </c>
      <c r="J2157" s="99" t="str">
        <f>IF(D2157="","",COUNTA(D2144:D2157)-(COUNTA(D2157:D2157)-1))</f>
        <v/>
      </c>
    </row>
    <row r="2158" spans="1:10" ht="16.5" thickTop="1" thickBot="1">
      <c r="A2158" s="117"/>
      <c r="B2158" s="78">
        <f t="shared" si="137"/>
        <v>45950</v>
      </c>
      <c r="C2158" s="81" t="str">
        <f t="shared" si="138"/>
        <v>lundi</v>
      </c>
      <c r="D2158" s="89"/>
      <c r="E2158" s="115" t="str">
        <f t="shared" si="139"/>
        <v/>
      </c>
      <c r="F2158" s="115" t="str">
        <f t="shared" si="140"/>
        <v/>
      </c>
      <c r="G2158" s="116" t="str">
        <f>IF(ISNONTEXT(D2158),"",E2158-MAX($F$2:F2157))</f>
        <v/>
      </c>
      <c r="H2158" s="100"/>
      <c r="I2158" s="79" t="str">
        <f ca="1">IF(D2158="N",COUNTIF(INDIRECT(ADDRESS(MATCH(Plages!$D$19,'Planning annuel mixing coater'!$B:$B),4)):D2158,"N"),IF(D2158="N1",COUNTIF($D$9:D2158,"N1"),""))</f>
        <v/>
      </c>
      <c r="J2158" s="101" t="str">
        <f>IF(D2158="","",COUNTA(D2158:D2158)-(COUNTA(D2158:D2158)-1))</f>
        <v/>
      </c>
    </row>
    <row r="2159" spans="1:10" thickBot="1">
      <c r="A2159" s="117"/>
      <c r="B2159" s="70">
        <f t="shared" si="137"/>
        <v>45951</v>
      </c>
      <c r="C2159" s="82" t="str">
        <f t="shared" si="138"/>
        <v>mardi</v>
      </c>
      <c r="D2159" s="87"/>
      <c r="E2159" s="115" t="str">
        <f t="shared" si="139"/>
        <v/>
      </c>
      <c r="F2159" s="115" t="str">
        <f t="shared" si="140"/>
        <v/>
      </c>
      <c r="G2159" s="116" t="str">
        <f>IF(ISNONTEXT(D2159),"",E2159-MAX($F$2:F2158))</f>
        <v/>
      </c>
      <c r="H2159" s="97"/>
      <c r="I2159" s="74" t="str">
        <f ca="1">IF(D2159="N",COUNTIF(INDIRECT(ADDRESS(MATCH(Plages!$D$19,'Planning annuel mixing coater'!$B:$B),4)):D2159,"N"),IF(D2159="N1",COUNTIF($D$9:D2159,"N1"),""))</f>
        <v/>
      </c>
      <c r="J2159" s="96" t="str">
        <f>IF(D2159="","",COUNTA(D2158:D2159)-(COUNTA(D2159:D2159)-1))</f>
        <v/>
      </c>
    </row>
    <row r="2160" spans="1:10" thickBot="1">
      <c r="A2160" s="117"/>
      <c r="B2160" s="70">
        <f t="shared" si="137"/>
        <v>45952</v>
      </c>
      <c r="C2160" s="82" t="str">
        <f t="shared" si="138"/>
        <v>mercredi</v>
      </c>
      <c r="D2160" s="87"/>
      <c r="E2160" s="115" t="str">
        <f t="shared" si="139"/>
        <v/>
      </c>
      <c r="F2160" s="115" t="str">
        <f t="shared" si="140"/>
        <v/>
      </c>
      <c r="G2160" s="116" t="str">
        <f>IF(ISNONTEXT(D2160),"",E2160-MAX($F$2:F2159))</f>
        <v/>
      </c>
      <c r="H2160" s="97"/>
      <c r="I2160" s="74" t="str">
        <f ca="1">IF(D2160="N",COUNTIF(INDIRECT(ADDRESS(MATCH(Plages!$D$19,'Planning annuel mixing coater'!$B:$B),4)):D2160,"N"),IF(D2160="N1",COUNTIF($D$9:D2160,"N1"),""))</f>
        <v/>
      </c>
      <c r="J2160" s="96" t="str">
        <f>IF(D2160="","",COUNTA(D2158:D2160)-(COUNTA(D2160:D2160)-1))</f>
        <v/>
      </c>
    </row>
    <row r="2161" spans="1:10" thickBot="1">
      <c r="A2161" s="117"/>
      <c r="B2161" s="70">
        <f t="shared" si="137"/>
        <v>45953</v>
      </c>
      <c r="C2161" s="82" t="str">
        <f t="shared" si="138"/>
        <v>jeudi</v>
      </c>
      <c r="D2161" s="87"/>
      <c r="E2161" s="115" t="str">
        <f t="shared" si="139"/>
        <v/>
      </c>
      <c r="F2161" s="115" t="str">
        <f t="shared" si="140"/>
        <v/>
      </c>
      <c r="G2161" s="116" t="str">
        <f>IF(ISNONTEXT(D2161),"",E2161-MAX($F$2:F2160))</f>
        <v/>
      </c>
      <c r="H2161" s="97"/>
      <c r="I2161" s="74" t="str">
        <f ca="1">IF(D2161="N",COUNTIF(INDIRECT(ADDRESS(MATCH(Plages!$D$19,'Planning annuel mixing coater'!$B:$B),4)):D2161,"N"),IF(D2161="N1",COUNTIF($D$9:D2161,"N1"),""))</f>
        <v/>
      </c>
      <c r="J2161" s="96" t="str">
        <f>IF(D2161="","",COUNTA(D2158:D2161)-(COUNTA(D2161:D2161)-1))</f>
        <v/>
      </c>
    </row>
    <row r="2162" spans="1:10" thickBot="1">
      <c r="A2162" s="117"/>
      <c r="B2162" s="70">
        <f t="shared" si="137"/>
        <v>45954</v>
      </c>
      <c r="C2162" s="82" t="str">
        <f t="shared" si="138"/>
        <v>vendredi</v>
      </c>
      <c r="D2162" s="87"/>
      <c r="E2162" s="115" t="str">
        <f t="shared" si="139"/>
        <v/>
      </c>
      <c r="F2162" s="115" t="str">
        <f t="shared" si="140"/>
        <v/>
      </c>
      <c r="G2162" s="116" t="str">
        <f>IF(ISNONTEXT(D2162),"",E2162-MAX($F$2:F2161))</f>
        <v/>
      </c>
      <c r="H2162" s="97"/>
      <c r="I2162" s="74" t="str">
        <f ca="1">IF(D2162="N",COUNTIF(INDIRECT(ADDRESS(MATCH(Plages!$D$19,'Planning annuel mixing coater'!$B:$B),4)):D2162,"N"),IF(D2162="N1",COUNTIF($D$9:D2162,"N1"),""))</f>
        <v/>
      </c>
      <c r="J2162" s="96" t="str">
        <f>IF(D2162="","",COUNTA(D2158:D2162)-(COUNTA(D2162:D2162)-1))</f>
        <v/>
      </c>
    </row>
    <row r="2163" spans="1:10" thickBot="1">
      <c r="A2163" s="117"/>
      <c r="B2163" s="70">
        <f t="shared" si="137"/>
        <v>45955</v>
      </c>
      <c r="C2163" s="82" t="str">
        <f t="shared" si="138"/>
        <v>samedi</v>
      </c>
      <c r="D2163" s="87"/>
      <c r="E2163" s="115" t="str">
        <f t="shared" si="139"/>
        <v/>
      </c>
      <c r="F2163" s="115" t="str">
        <f t="shared" si="140"/>
        <v/>
      </c>
      <c r="G2163" s="116" t="str">
        <f>IF(ISNONTEXT(D2163),"",E2163-MAX($F$2:F2162))</f>
        <v/>
      </c>
      <c r="H2163" s="97"/>
      <c r="I2163" s="74" t="str">
        <f ca="1">IF(D2163="N",COUNTIF(INDIRECT(ADDRESS(MATCH(Plages!$D$19,'Planning annuel mixing coater'!$B:$B),4)):D2163,"N"),IF(D2163="N1",COUNTIF($D$9:D2163,"N1"),""))</f>
        <v/>
      </c>
      <c r="J2163" s="96" t="str">
        <f>IF(D2163="","",COUNTA(D2158:D2163)-(COUNTA(D2163:D2163)-1))</f>
        <v/>
      </c>
    </row>
    <row r="2164" spans="1:10" thickBot="1">
      <c r="A2164" s="117"/>
      <c r="B2164" s="70">
        <f t="shared" si="137"/>
        <v>45956</v>
      </c>
      <c r="C2164" s="82" t="str">
        <f t="shared" si="138"/>
        <v>dimanche</v>
      </c>
      <c r="D2164" s="87"/>
      <c r="E2164" s="115" t="str">
        <f t="shared" si="139"/>
        <v/>
      </c>
      <c r="F2164" s="115" t="str">
        <f t="shared" si="140"/>
        <v/>
      </c>
      <c r="G2164" s="116" t="str">
        <f>IF(ISNONTEXT(D2164),"",E2164-MAX($F$2:F2163))</f>
        <v/>
      </c>
      <c r="H2164" s="98"/>
      <c r="I2164" s="74" t="str">
        <f ca="1">IF(D2164="N",COUNTIF(INDIRECT(ADDRESS(MATCH(Plages!$D$19,'Planning annuel mixing coater'!$B:$B),4)):D2164,"N"),IF(D2164="N1",COUNTIF($D$9:D2164,"N1"),""))</f>
        <v/>
      </c>
      <c r="J2164" s="96" t="str">
        <f>IF(D2164="","",COUNTA(D2158:D2164)-(COUNTA(D2164:D2164)-1))</f>
        <v/>
      </c>
    </row>
    <row r="2165" spans="1:10" thickBot="1">
      <c r="A2165" s="117"/>
      <c r="B2165" s="70">
        <f t="shared" si="137"/>
        <v>45957</v>
      </c>
      <c r="C2165" s="82" t="str">
        <f t="shared" si="138"/>
        <v>lundi</v>
      </c>
      <c r="D2165" s="87"/>
      <c r="E2165" s="115" t="str">
        <f t="shared" si="139"/>
        <v/>
      </c>
      <c r="F2165" s="115" t="str">
        <f t="shared" si="140"/>
        <v/>
      </c>
      <c r="G2165" s="116" t="str">
        <f>IF(ISNONTEXT(D2165),"",E2165-MAX($F$2:F2164))</f>
        <v/>
      </c>
      <c r="H2165" s="97"/>
      <c r="I2165" s="74" t="str">
        <f ca="1">IF(D2165="N",COUNTIF(INDIRECT(ADDRESS(MATCH(Plages!$D$19,'Planning annuel mixing coater'!$B:$B),4)):D2165,"N"),IF(D2165="N1",COUNTIF($D$9:D2165,"N1"),""))</f>
        <v/>
      </c>
      <c r="J2165" s="96" t="str">
        <f>IF(D2165="","",COUNTA(D2158:D2165)-(COUNTA(D2165:D2165)-1))</f>
        <v/>
      </c>
    </row>
    <row r="2166" spans="1:10" thickBot="1">
      <c r="A2166" s="117"/>
      <c r="B2166" s="70">
        <f t="shared" si="137"/>
        <v>45958</v>
      </c>
      <c r="C2166" s="82" t="str">
        <f t="shared" si="138"/>
        <v>mardi</v>
      </c>
      <c r="D2166" s="87"/>
      <c r="E2166" s="115" t="str">
        <f t="shared" si="139"/>
        <v/>
      </c>
      <c r="F2166" s="115" t="str">
        <f t="shared" si="140"/>
        <v/>
      </c>
      <c r="G2166" s="116" t="str">
        <f>IF(ISNONTEXT(D2166),"",E2166-MAX($F$2:F2165))</f>
        <v/>
      </c>
      <c r="H2166" s="97"/>
      <c r="I2166" s="74" t="str">
        <f ca="1">IF(D2166="N",COUNTIF(INDIRECT(ADDRESS(MATCH(Plages!$D$19,'Planning annuel mixing coater'!$B:$B),4)):D2166,"N"),IF(D2166="N1",COUNTIF($D$9:D2166,"N1"),""))</f>
        <v/>
      </c>
      <c r="J2166" s="96" t="str">
        <f>IF(D2166="","",COUNTA(D2158:D2166)-(COUNTA(D2166:D2166)-1))</f>
        <v/>
      </c>
    </row>
    <row r="2167" spans="1:10" thickBot="1">
      <c r="A2167" s="117"/>
      <c r="B2167" s="70">
        <f t="shared" si="137"/>
        <v>45959</v>
      </c>
      <c r="C2167" s="82" t="str">
        <f t="shared" si="138"/>
        <v>mercredi</v>
      </c>
      <c r="D2167" s="87"/>
      <c r="E2167" s="115" t="str">
        <f t="shared" si="139"/>
        <v/>
      </c>
      <c r="F2167" s="115" t="str">
        <f t="shared" si="140"/>
        <v/>
      </c>
      <c r="G2167" s="116" t="str">
        <f>IF(ISNONTEXT(D2167),"",E2167-MAX($F$2:F2166))</f>
        <v/>
      </c>
      <c r="H2167" s="97"/>
      <c r="I2167" s="74" t="str">
        <f ca="1">IF(D2167="N",COUNTIF(INDIRECT(ADDRESS(MATCH(Plages!$D$19,'Planning annuel mixing coater'!$B:$B),4)):D2167,"N"),IF(D2167="N1",COUNTIF($D$9:D2167,"N1"),""))</f>
        <v/>
      </c>
      <c r="J2167" s="96" t="str">
        <f>IF(D2167="","",COUNTA(D2158:D2167)-(COUNTA(D2167:D2167)-1))</f>
        <v/>
      </c>
    </row>
    <row r="2168" spans="1:10" thickBot="1">
      <c r="A2168" s="117"/>
      <c r="B2168" s="70">
        <f t="shared" si="137"/>
        <v>45960</v>
      </c>
      <c r="C2168" s="82" t="str">
        <f t="shared" si="138"/>
        <v>jeudi</v>
      </c>
      <c r="D2168" s="87"/>
      <c r="E2168" s="115" t="str">
        <f t="shared" si="139"/>
        <v/>
      </c>
      <c r="F2168" s="115" t="str">
        <f t="shared" si="140"/>
        <v/>
      </c>
      <c r="G2168" s="116" t="str">
        <f>IF(ISNONTEXT(D2168),"",E2168-MAX($F$2:F2167))</f>
        <v/>
      </c>
      <c r="H2168" s="97"/>
      <c r="I2168" s="74" t="str">
        <f ca="1">IF(D2168="N",COUNTIF(INDIRECT(ADDRESS(MATCH(Plages!$D$19,'Planning annuel mixing coater'!$B:$B),4)):D2168,"N"),IF(D2168="N1",COUNTIF($D$9:D2168,"N1"),""))</f>
        <v/>
      </c>
      <c r="J2168" s="96" t="str">
        <f>IF(D2168="","",COUNTA(D2158:D2168)-(COUNTA(D2168:D2168)-1))</f>
        <v/>
      </c>
    </row>
    <row r="2169" spans="1:10" thickBot="1">
      <c r="A2169" s="117"/>
      <c r="B2169" s="70">
        <f t="shared" si="137"/>
        <v>45961</v>
      </c>
      <c r="C2169" s="82" t="str">
        <f t="shared" si="138"/>
        <v>vendredi</v>
      </c>
      <c r="D2169" s="87"/>
      <c r="E2169" s="115" t="str">
        <f t="shared" si="139"/>
        <v/>
      </c>
      <c r="F2169" s="115" t="str">
        <f t="shared" si="140"/>
        <v/>
      </c>
      <c r="G2169" s="116" t="str">
        <f>IF(ISNONTEXT(D2169),"",E2169-MAX($F$2:F2168))</f>
        <v/>
      </c>
      <c r="H2169" s="97"/>
      <c r="I2169" s="74" t="str">
        <f ca="1">IF(D2169="N",COUNTIF(INDIRECT(ADDRESS(MATCH(Plages!$D$19,'Planning annuel mixing coater'!$B:$B),4)):D2169,"N"),IF(D2169="N1",COUNTIF($D$9:D2169,"N1"),""))</f>
        <v/>
      </c>
      <c r="J2169" s="96" t="str">
        <f>IF(D2169="","",COUNTA(D2158:D2169)-(COUNTA(D2169:D2169)-1))</f>
        <v/>
      </c>
    </row>
    <row r="2170" spans="1:10" thickBot="1">
      <c r="A2170" s="117"/>
      <c r="B2170" s="70">
        <f t="shared" si="137"/>
        <v>45962</v>
      </c>
      <c r="C2170" s="82" t="str">
        <f t="shared" si="138"/>
        <v>samedi</v>
      </c>
      <c r="D2170" s="87"/>
      <c r="E2170" s="115" t="str">
        <f t="shared" si="139"/>
        <v/>
      </c>
      <c r="F2170" s="115" t="str">
        <f t="shared" si="140"/>
        <v/>
      </c>
      <c r="G2170" s="116" t="str">
        <f>IF(ISNONTEXT(D2170),"",E2170-MAX($F$2:F2169))</f>
        <v/>
      </c>
      <c r="H2170" s="97"/>
      <c r="I2170" s="74" t="str">
        <f ca="1">IF(D2170="N",COUNTIF(INDIRECT(ADDRESS(MATCH(Plages!$D$19,'Planning annuel mixing coater'!$B:$B),4)):D2170,"N"),IF(D2170="N1",COUNTIF($D$9:D2170,"N1"),""))</f>
        <v/>
      </c>
      <c r="J2170" s="96" t="str">
        <f>IF(D2170="","",COUNTA(D2158:D2170)-(COUNTA(D2170:D2170)-1))</f>
        <v/>
      </c>
    </row>
    <row r="2171" spans="1:10" s="77" customFormat="1" thickBot="1">
      <c r="A2171" s="117"/>
      <c r="B2171" s="75">
        <f t="shared" si="137"/>
        <v>45963</v>
      </c>
      <c r="C2171" s="83" t="str">
        <f t="shared" si="138"/>
        <v>dimanche</v>
      </c>
      <c r="D2171" s="88"/>
      <c r="E2171" s="115" t="str">
        <f t="shared" si="139"/>
        <v/>
      </c>
      <c r="F2171" s="115" t="str">
        <f t="shared" si="140"/>
        <v/>
      </c>
      <c r="G2171" s="116" t="str">
        <f>IF(ISNONTEXT(D2171),"",E2171-MAX($F$2:F2170))</f>
        <v/>
      </c>
      <c r="H2171" s="98"/>
      <c r="I2171" s="76" t="str">
        <f ca="1">IF(D2171="N",COUNTIF(INDIRECT(ADDRESS(MATCH(Plages!$D$19,'Planning annuel mixing coater'!$B:$B),4)):D2171,"N"),IF(D2171="N1",COUNTIF($D$9:D2171,"N1"),""))</f>
        <v/>
      </c>
      <c r="J2171" s="99" t="str">
        <f>IF(D2171="","",COUNTA(D2158:D2171)-(COUNTA(D2171:D2171)-1))</f>
        <v/>
      </c>
    </row>
    <row r="2172" spans="1:10" ht="16.5" thickTop="1" thickBot="1">
      <c r="A2172" s="117"/>
      <c r="B2172" s="78">
        <f t="shared" si="137"/>
        <v>45964</v>
      </c>
      <c r="C2172" s="81" t="str">
        <f t="shared" si="138"/>
        <v>lundi</v>
      </c>
      <c r="D2172" s="89"/>
      <c r="E2172" s="115" t="str">
        <f t="shared" si="139"/>
        <v/>
      </c>
      <c r="F2172" s="115" t="str">
        <f t="shared" si="140"/>
        <v/>
      </c>
      <c r="G2172" s="116" t="str">
        <f>IF(ISNONTEXT(D2172),"",E2172-MAX($F$2:F2171))</f>
        <v/>
      </c>
      <c r="H2172" s="100"/>
      <c r="I2172" s="79" t="str">
        <f ca="1">IF(D2172="N",COUNTIF(INDIRECT(ADDRESS(MATCH(Plages!$D$19,'Planning annuel mixing coater'!$B:$B),4)):D2172,"N"),IF(D2172="N1",COUNTIF($D$9:D2172,"N1"),""))</f>
        <v/>
      </c>
      <c r="J2172" s="101" t="str">
        <f>IF(D2172="","",COUNTA(D2172:D2172)-(COUNTA(D2172:D2172)-1))</f>
        <v/>
      </c>
    </row>
    <row r="2173" spans="1:10" thickBot="1">
      <c r="A2173" s="117"/>
      <c r="B2173" s="70">
        <f t="shared" si="137"/>
        <v>45965</v>
      </c>
      <c r="C2173" s="82" t="str">
        <f t="shared" si="138"/>
        <v>mardi</v>
      </c>
      <c r="D2173" s="87"/>
      <c r="E2173" s="115" t="str">
        <f t="shared" si="139"/>
        <v/>
      </c>
      <c r="F2173" s="115" t="str">
        <f t="shared" si="140"/>
        <v/>
      </c>
      <c r="G2173" s="116" t="str">
        <f>IF(ISNONTEXT(D2173),"",E2173-MAX($F$2:F2172))</f>
        <v/>
      </c>
      <c r="H2173" s="97"/>
      <c r="I2173" s="74" t="str">
        <f ca="1">IF(D2173="N",COUNTIF(INDIRECT(ADDRESS(MATCH(Plages!$D$19,'Planning annuel mixing coater'!$B:$B),4)):D2173,"N"),IF(D2173="N1",COUNTIF($D$9:D2173,"N1"),""))</f>
        <v/>
      </c>
      <c r="J2173" s="96" t="str">
        <f>IF(D2173="","",COUNTA(D2172:D2173)-(COUNTA(D2173:D2173)-1))</f>
        <v/>
      </c>
    </row>
    <row r="2174" spans="1:10" thickBot="1">
      <c r="A2174" s="117"/>
      <c r="B2174" s="70">
        <f t="shared" si="137"/>
        <v>45966</v>
      </c>
      <c r="C2174" s="82" t="str">
        <f t="shared" si="138"/>
        <v>mercredi</v>
      </c>
      <c r="D2174" s="87"/>
      <c r="E2174" s="115" t="str">
        <f t="shared" si="139"/>
        <v/>
      </c>
      <c r="F2174" s="115" t="str">
        <f t="shared" si="140"/>
        <v/>
      </c>
      <c r="G2174" s="116" t="str">
        <f>IF(ISNONTEXT(D2174),"",E2174-MAX($F$2:F2173))</f>
        <v/>
      </c>
      <c r="H2174" s="97"/>
      <c r="I2174" s="74" t="str">
        <f ca="1">IF(D2174="N",COUNTIF(INDIRECT(ADDRESS(MATCH(Plages!$D$19,'Planning annuel mixing coater'!$B:$B),4)):D2174,"N"),IF(D2174="N1",COUNTIF($D$9:D2174,"N1"),""))</f>
        <v/>
      </c>
      <c r="J2174" s="96" t="str">
        <f>IF(D2174="","",COUNTA(D2172:D2174)-(COUNTA(D2174:D2174)-1))</f>
        <v/>
      </c>
    </row>
    <row r="2175" spans="1:10" thickBot="1">
      <c r="A2175" s="117"/>
      <c r="B2175" s="70">
        <f t="shared" si="137"/>
        <v>45967</v>
      </c>
      <c r="C2175" s="82" t="str">
        <f t="shared" si="138"/>
        <v>jeudi</v>
      </c>
      <c r="D2175" s="87"/>
      <c r="E2175" s="115" t="str">
        <f t="shared" si="139"/>
        <v/>
      </c>
      <c r="F2175" s="115" t="str">
        <f t="shared" si="140"/>
        <v/>
      </c>
      <c r="G2175" s="116" t="str">
        <f>IF(ISNONTEXT(D2175),"",E2175-MAX($F$2:F2174))</f>
        <v/>
      </c>
      <c r="H2175" s="97"/>
      <c r="I2175" s="74" t="str">
        <f ca="1">IF(D2175="N",COUNTIF(INDIRECT(ADDRESS(MATCH(Plages!$D$19,'Planning annuel mixing coater'!$B:$B),4)):D2175,"N"),IF(D2175="N1",COUNTIF($D$9:D2175,"N1"),""))</f>
        <v/>
      </c>
      <c r="J2175" s="96" t="str">
        <f>IF(D2175="","",COUNTA(D2172:D2175)-(COUNTA(D2175:D2175)-1))</f>
        <v/>
      </c>
    </row>
    <row r="2176" spans="1:10" thickBot="1">
      <c r="A2176" s="117"/>
      <c r="B2176" s="70">
        <f t="shared" si="137"/>
        <v>45968</v>
      </c>
      <c r="C2176" s="82" t="str">
        <f t="shared" si="138"/>
        <v>vendredi</v>
      </c>
      <c r="D2176" s="87"/>
      <c r="E2176" s="115" t="str">
        <f t="shared" si="139"/>
        <v/>
      </c>
      <c r="F2176" s="115" t="str">
        <f t="shared" si="140"/>
        <v/>
      </c>
      <c r="G2176" s="116" t="str">
        <f>IF(ISNONTEXT(D2176),"",E2176-MAX($F$2:F2175))</f>
        <v/>
      </c>
      <c r="H2176" s="97"/>
      <c r="I2176" s="74" t="str">
        <f ca="1">IF(D2176="N",COUNTIF(INDIRECT(ADDRESS(MATCH(Plages!$D$19,'Planning annuel mixing coater'!$B:$B),4)):D2176,"N"),IF(D2176="N1",COUNTIF($D$9:D2176,"N1"),""))</f>
        <v/>
      </c>
      <c r="J2176" s="96" t="str">
        <f>IF(D2176="","",COUNTA(D2172:D2176)-(COUNTA(D2176:D2176)-1))</f>
        <v/>
      </c>
    </row>
    <row r="2177" spans="1:10" thickBot="1">
      <c r="A2177" s="117"/>
      <c r="B2177" s="70">
        <f t="shared" si="137"/>
        <v>45969</v>
      </c>
      <c r="C2177" s="82" t="str">
        <f t="shared" si="138"/>
        <v>samedi</v>
      </c>
      <c r="D2177" s="87"/>
      <c r="E2177" s="115" t="str">
        <f t="shared" si="139"/>
        <v/>
      </c>
      <c r="F2177" s="115" t="str">
        <f t="shared" si="140"/>
        <v/>
      </c>
      <c r="G2177" s="116" t="str">
        <f>IF(ISNONTEXT(D2177),"",E2177-MAX($F$2:F2176))</f>
        <v/>
      </c>
      <c r="H2177" s="97"/>
      <c r="I2177" s="74" t="str">
        <f ca="1">IF(D2177="N",COUNTIF(INDIRECT(ADDRESS(MATCH(Plages!$D$19,'Planning annuel mixing coater'!$B:$B),4)):D2177,"N"),IF(D2177="N1",COUNTIF($D$9:D2177,"N1"),""))</f>
        <v/>
      </c>
      <c r="J2177" s="96" t="str">
        <f>IF(D2177="","",COUNTA(D2172:D2177)-(COUNTA(D2177:D2177)-1))</f>
        <v/>
      </c>
    </row>
    <row r="2178" spans="1:10" thickBot="1">
      <c r="A2178" s="117"/>
      <c r="B2178" s="70">
        <f t="shared" si="137"/>
        <v>45970</v>
      </c>
      <c r="C2178" s="82" t="str">
        <f t="shared" si="138"/>
        <v>dimanche</v>
      </c>
      <c r="D2178" s="87"/>
      <c r="E2178" s="115" t="str">
        <f t="shared" si="139"/>
        <v/>
      </c>
      <c r="F2178" s="115" t="str">
        <f t="shared" si="140"/>
        <v/>
      </c>
      <c r="G2178" s="116" t="str">
        <f>IF(ISNONTEXT(D2178),"",E2178-MAX($F$2:F2177))</f>
        <v/>
      </c>
      <c r="H2178" s="98"/>
      <c r="I2178" s="74" t="str">
        <f ca="1">IF(D2178="N",COUNTIF(INDIRECT(ADDRESS(MATCH(Plages!$D$19,'Planning annuel mixing coater'!$B:$B),4)):D2178,"N"),IF(D2178="N1",COUNTIF($D$9:D2178,"N1"),""))</f>
        <v/>
      </c>
      <c r="J2178" s="96" t="str">
        <f>IF(D2178="","",COUNTA(D2172:D2178)-(COUNTA(D2178:D2178)-1))</f>
        <v/>
      </c>
    </row>
    <row r="2179" spans="1:10" thickBot="1">
      <c r="A2179" s="117"/>
      <c r="B2179" s="70">
        <f t="shared" si="137"/>
        <v>45971</v>
      </c>
      <c r="C2179" s="82" t="str">
        <f t="shared" si="138"/>
        <v>lundi</v>
      </c>
      <c r="D2179" s="87"/>
      <c r="E2179" s="115" t="str">
        <f t="shared" si="139"/>
        <v/>
      </c>
      <c r="F2179" s="115" t="str">
        <f t="shared" si="140"/>
        <v/>
      </c>
      <c r="G2179" s="116" t="str">
        <f>IF(ISNONTEXT(D2179),"",E2179-MAX($F$2:F2178))</f>
        <v/>
      </c>
      <c r="H2179" s="97"/>
      <c r="I2179" s="74" t="str">
        <f ca="1">IF(D2179="N",COUNTIF(INDIRECT(ADDRESS(MATCH(Plages!$D$19,'Planning annuel mixing coater'!$B:$B),4)):D2179,"N"),IF(D2179="N1",COUNTIF($D$9:D2179,"N1"),""))</f>
        <v/>
      </c>
      <c r="J2179" s="96" t="str">
        <f>IF(D2179="","",COUNTA(D2172:D2179)-(COUNTA(D2179:D2179)-1))</f>
        <v/>
      </c>
    </row>
    <row r="2180" spans="1:10" thickBot="1">
      <c r="A2180" s="117"/>
      <c r="B2180" s="70">
        <f t="shared" ref="B2180:B2243" si="141">IF(B2179="","",B2179+1)</f>
        <v>45972</v>
      </c>
      <c r="C2180" s="82" t="str">
        <f t="shared" si="138"/>
        <v>mardi</v>
      </c>
      <c r="D2180" s="87"/>
      <c r="E2180" s="115" t="str">
        <f t="shared" si="139"/>
        <v/>
      </c>
      <c r="F2180" s="115" t="str">
        <f t="shared" si="140"/>
        <v/>
      </c>
      <c r="G2180" s="116" t="str">
        <f>IF(ISNONTEXT(D2180),"",E2180-MAX($F$2:F2179))</f>
        <v/>
      </c>
      <c r="H2180" s="97"/>
      <c r="I2180" s="74" t="str">
        <f ca="1">IF(D2180="N",COUNTIF(INDIRECT(ADDRESS(MATCH(Plages!$D$19,'Planning annuel mixing coater'!$B:$B),4)):D2180,"N"),IF(D2180="N1",COUNTIF($D$9:D2180,"N1"),""))</f>
        <v/>
      </c>
      <c r="J2180" s="96" t="str">
        <f>IF(D2180="","",COUNTA(D2172:D2180)-(COUNTA(D2180:D2180)-1))</f>
        <v/>
      </c>
    </row>
    <row r="2181" spans="1:10" thickBot="1">
      <c r="A2181" s="117"/>
      <c r="B2181" s="70">
        <f t="shared" si="141"/>
        <v>45973</v>
      </c>
      <c r="C2181" s="82" t="str">
        <f t="shared" si="138"/>
        <v>mercredi</v>
      </c>
      <c r="D2181" s="87"/>
      <c r="E2181" s="115" t="str">
        <f t="shared" si="139"/>
        <v/>
      </c>
      <c r="F2181" s="115" t="str">
        <f t="shared" si="140"/>
        <v/>
      </c>
      <c r="G2181" s="116" t="str">
        <f>IF(ISNONTEXT(D2181),"",E2181-MAX($F$2:F2180))</f>
        <v/>
      </c>
      <c r="H2181" s="97"/>
      <c r="I2181" s="74" t="str">
        <f ca="1">IF(D2181="N",COUNTIF(INDIRECT(ADDRESS(MATCH(Plages!$D$19,'Planning annuel mixing coater'!$B:$B),4)):D2181,"N"),IF(D2181="N1",COUNTIF($D$9:D2181,"N1"),""))</f>
        <v/>
      </c>
      <c r="J2181" s="96" t="str">
        <f>IF(D2181="","",COUNTA(D2172:D2181)-(COUNTA(D2181:D2181)-1))</f>
        <v/>
      </c>
    </row>
    <row r="2182" spans="1:10" thickBot="1">
      <c r="A2182" s="117"/>
      <c r="B2182" s="70">
        <f t="shared" si="141"/>
        <v>45974</v>
      </c>
      <c r="C2182" s="82" t="str">
        <f t="shared" si="138"/>
        <v>jeudi</v>
      </c>
      <c r="D2182" s="87"/>
      <c r="E2182" s="115" t="str">
        <f t="shared" si="139"/>
        <v/>
      </c>
      <c r="F2182" s="115" t="str">
        <f t="shared" si="140"/>
        <v/>
      </c>
      <c r="G2182" s="116" t="str">
        <f>IF(ISNONTEXT(D2182),"",E2182-MAX($F$2:F2181))</f>
        <v/>
      </c>
      <c r="H2182" s="97"/>
      <c r="I2182" s="74" t="str">
        <f ca="1">IF(D2182="N",COUNTIF(INDIRECT(ADDRESS(MATCH(Plages!$D$19,'Planning annuel mixing coater'!$B:$B),4)):D2182,"N"),IF(D2182="N1",COUNTIF($D$9:D2182,"N1"),""))</f>
        <v/>
      </c>
      <c r="J2182" s="96" t="str">
        <f>IF(D2182="","",COUNTA(D2172:D2182)-(COUNTA(D2182:D2182)-1))</f>
        <v/>
      </c>
    </row>
    <row r="2183" spans="1:10" thickBot="1">
      <c r="A2183" s="117"/>
      <c r="B2183" s="70">
        <f t="shared" si="141"/>
        <v>45975</v>
      </c>
      <c r="C2183" s="82" t="str">
        <f t="shared" si="138"/>
        <v>vendredi</v>
      </c>
      <c r="D2183" s="87"/>
      <c r="E2183" s="115" t="str">
        <f t="shared" si="139"/>
        <v/>
      </c>
      <c r="F2183" s="115" t="str">
        <f t="shared" si="140"/>
        <v/>
      </c>
      <c r="G2183" s="116" t="str">
        <f>IF(ISNONTEXT(D2183),"",E2183-MAX($F$2:F2182))</f>
        <v/>
      </c>
      <c r="H2183" s="97"/>
      <c r="I2183" s="74" t="str">
        <f ca="1">IF(D2183="N",COUNTIF(INDIRECT(ADDRESS(MATCH(Plages!$D$19,'Planning annuel mixing coater'!$B:$B),4)):D2183,"N"),IF(D2183="N1",COUNTIF($D$9:D2183,"N1"),""))</f>
        <v/>
      </c>
      <c r="J2183" s="96" t="str">
        <f>IF(D2183="","",COUNTA(D2172:D2183)-(COUNTA(D2183:D2183)-1))</f>
        <v/>
      </c>
    </row>
    <row r="2184" spans="1:10" thickBot="1">
      <c r="A2184" s="117"/>
      <c r="B2184" s="70">
        <f t="shared" si="141"/>
        <v>45976</v>
      </c>
      <c r="C2184" s="82" t="str">
        <f t="shared" si="138"/>
        <v>samedi</v>
      </c>
      <c r="D2184" s="87"/>
      <c r="E2184" s="115" t="str">
        <f t="shared" si="139"/>
        <v/>
      </c>
      <c r="F2184" s="115" t="str">
        <f t="shared" si="140"/>
        <v/>
      </c>
      <c r="G2184" s="116" t="str">
        <f>IF(ISNONTEXT(D2184),"",E2184-MAX($F$2:F2183))</f>
        <v/>
      </c>
      <c r="H2184" s="97"/>
      <c r="I2184" s="74" t="str">
        <f ca="1">IF(D2184="N",COUNTIF(INDIRECT(ADDRESS(MATCH(Plages!$D$19,'Planning annuel mixing coater'!$B:$B),4)):D2184,"N"),IF(D2184="N1",COUNTIF($D$9:D2184,"N1"),""))</f>
        <v/>
      </c>
      <c r="J2184" s="96" t="str">
        <f>IF(D2184="","",COUNTA(D2172:D2184)-(COUNTA(D2184:D2184)-1))</f>
        <v/>
      </c>
    </row>
    <row r="2185" spans="1:10" s="77" customFormat="1" thickBot="1">
      <c r="A2185" s="117"/>
      <c r="B2185" s="75">
        <f t="shared" si="141"/>
        <v>45977</v>
      </c>
      <c r="C2185" s="83" t="str">
        <f t="shared" si="138"/>
        <v>dimanche</v>
      </c>
      <c r="D2185" s="88"/>
      <c r="E2185" s="115" t="str">
        <f t="shared" si="139"/>
        <v/>
      </c>
      <c r="F2185" s="115" t="str">
        <f t="shared" si="140"/>
        <v/>
      </c>
      <c r="G2185" s="116" t="str">
        <f>IF(ISNONTEXT(D2185),"",E2185-MAX($F$2:F2184))</f>
        <v/>
      </c>
      <c r="H2185" s="98"/>
      <c r="I2185" s="76" t="str">
        <f ca="1">IF(D2185="N",COUNTIF(INDIRECT(ADDRESS(MATCH(Plages!$D$19,'Planning annuel mixing coater'!$B:$B),4)):D2185,"N"),IF(D2185="N1",COUNTIF($D$9:D2185,"N1"),""))</f>
        <v/>
      </c>
      <c r="J2185" s="99" t="str">
        <f>IF(D2185="","",COUNTA(D2172:D2185)-(COUNTA(D2185:D2185)-1))</f>
        <v/>
      </c>
    </row>
    <row r="2186" spans="1:10" ht="16.5" thickTop="1" thickBot="1">
      <c r="A2186" s="117"/>
      <c r="B2186" s="78">
        <f t="shared" si="141"/>
        <v>45978</v>
      </c>
      <c r="C2186" s="81" t="str">
        <f t="shared" si="138"/>
        <v>lundi</v>
      </c>
      <c r="D2186" s="89"/>
      <c r="E2186" s="115" t="str">
        <f t="shared" si="139"/>
        <v/>
      </c>
      <c r="F2186" s="115" t="str">
        <f t="shared" si="140"/>
        <v/>
      </c>
      <c r="G2186" s="116" t="str">
        <f>IF(ISNONTEXT(D2186),"",E2186-MAX($F$2:F2185))</f>
        <v/>
      </c>
      <c r="H2186" s="100"/>
      <c r="I2186" s="79" t="str">
        <f ca="1">IF(D2186="N",COUNTIF(INDIRECT(ADDRESS(MATCH(Plages!$D$19,'Planning annuel mixing coater'!$B:$B),4)):D2186,"N"),IF(D2186="N1",COUNTIF($D$9:D2186,"N1"),""))</f>
        <v/>
      </c>
      <c r="J2186" s="101" t="str">
        <f>IF(D2186="","",COUNTA(D2186:D2186)-(COUNTA(D2186:D2186)-1))</f>
        <v/>
      </c>
    </row>
    <row r="2187" spans="1:10" thickBot="1">
      <c r="A2187" s="117"/>
      <c r="B2187" s="70">
        <f t="shared" si="141"/>
        <v>45979</v>
      </c>
      <c r="C2187" s="82" t="str">
        <f t="shared" si="138"/>
        <v>mardi</v>
      </c>
      <c r="D2187" s="87"/>
      <c r="E2187" s="115" t="str">
        <f t="shared" si="139"/>
        <v/>
      </c>
      <c r="F2187" s="115" t="str">
        <f t="shared" si="140"/>
        <v/>
      </c>
      <c r="G2187" s="116" t="str">
        <f>IF(ISNONTEXT(D2187),"",E2187-MAX($F$2:F2186))</f>
        <v/>
      </c>
      <c r="H2187" s="97"/>
      <c r="I2187" s="74" t="str">
        <f ca="1">IF(D2187="N",COUNTIF(INDIRECT(ADDRESS(MATCH(Plages!$D$19,'Planning annuel mixing coater'!$B:$B),4)):D2187,"N"),IF(D2187="N1",COUNTIF($D$9:D2187,"N1"),""))</f>
        <v/>
      </c>
      <c r="J2187" s="96" t="str">
        <f>IF(D2187="","",COUNTA(D2186:D2187)-(COUNTA(D2187:D2187)-1))</f>
        <v/>
      </c>
    </row>
    <row r="2188" spans="1:10" thickBot="1">
      <c r="A2188" s="117"/>
      <c r="B2188" s="70">
        <f t="shared" si="141"/>
        <v>45980</v>
      </c>
      <c r="C2188" s="82" t="str">
        <f t="shared" si="138"/>
        <v>mercredi</v>
      </c>
      <c r="D2188" s="87"/>
      <c r="E2188" s="115" t="str">
        <f t="shared" si="139"/>
        <v/>
      </c>
      <c r="F2188" s="115" t="str">
        <f t="shared" si="140"/>
        <v/>
      </c>
      <c r="G2188" s="116" t="str">
        <f>IF(ISNONTEXT(D2188),"",E2188-MAX($F$2:F2187))</f>
        <v/>
      </c>
      <c r="H2188" s="97"/>
      <c r="I2188" s="74" t="str">
        <f ca="1">IF(D2188="N",COUNTIF(INDIRECT(ADDRESS(MATCH(Plages!$D$19,'Planning annuel mixing coater'!$B:$B),4)):D2188,"N"),IF(D2188="N1",COUNTIF($D$9:D2188,"N1"),""))</f>
        <v/>
      </c>
      <c r="J2188" s="96" t="str">
        <f>IF(D2188="","",COUNTA(D2186:D2188)-(COUNTA(D2188:D2188)-1))</f>
        <v/>
      </c>
    </row>
    <row r="2189" spans="1:10" thickBot="1">
      <c r="A2189" s="117"/>
      <c r="B2189" s="70">
        <f t="shared" si="141"/>
        <v>45981</v>
      </c>
      <c r="C2189" s="82" t="str">
        <f t="shared" si="138"/>
        <v>jeudi</v>
      </c>
      <c r="D2189" s="87"/>
      <c r="E2189" s="115" t="str">
        <f t="shared" si="139"/>
        <v/>
      </c>
      <c r="F2189" s="115" t="str">
        <f t="shared" si="140"/>
        <v/>
      </c>
      <c r="G2189" s="116" t="str">
        <f>IF(ISNONTEXT(D2189),"",E2189-MAX($F$2:F2188))</f>
        <v/>
      </c>
      <c r="H2189" s="97"/>
      <c r="I2189" s="74" t="str">
        <f ca="1">IF(D2189="N",COUNTIF(INDIRECT(ADDRESS(MATCH(Plages!$D$19,'Planning annuel mixing coater'!$B:$B),4)):D2189,"N"),IF(D2189="N1",COUNTIF($D$9:D2189,"N1"),""))</f>
        <v/>
      </c>
      <c r="J2189" s="96" t="str">
        <f>IF(D2189="","",COUNTA(D2186:D2189)-(COUNTA(D2189:D2189)-1))</f>
        <v/>
      </c>
    </row>
    <row r="2190" spans="1:10" thickBot="1">
      <c r="A2190" s="117"/>
      <c r="B2190" s="70">
        <f t="shared" si="141"/>
        <v>45982</v>
      </c>
      <c r="C2190" s="82" t="str">
        <f t="shared" si="138"/>
        <v>vendredi</v>
      </c>
      <c r="D2190" s="87"/>
      <c r="E2190" s="115" t="str">
        <f t="shared" si="139"/>
        <v/>
      </c>
      <c r="F2190" s="115" t="str">
        <f t="shared" si="140"/>
        <v/>
      </c>
      <c r="G2190" s="116" t="str">
        <f>IF(ISNONTEXT(D2190),"",E2190-MAX($F$2:F2189))</f>
        <v/>
      </c>
      <c r="H2190" s="97"/>
      <c r="I2190" s="74" t="str">
        <f ca="1">IF(D2190="N",COUNTIF(INDIRECT(ADDRESS(MATCH(Plages!$D$19,'Planning annuel mixing coater'!$B:$B),4)):D2190,"N"),IF(D2190="N1",COUNTIF($D$9:D2190,"N1"),""))</f>
        <v/>
      </c>
      <c r="J2190" s="96" t="str">
        <f>IF(D2190="","",COUNTA(D2186:D2190)-(COUNTA(D2190:D2190)-1))</f>
        <v/>
      </c>
    </row>
    <row r="2191" spans="1:10" thickBot="1">
      <c r="A2191" s="117"/>
      <c r="B2191" s="70">
        <f t="shared" si="141"/>
        <v>45983</v>
      </c>
      <c r="C2191" s="82" t="str">
        <f t="shared" si="138"/>
        <v>samedi</v>
      </c>
      <c r="D2191" s="87"/>
      <c r="E2191" s="115" t="str">
        <f t="shared" si="139"/>
        <v/>
      </c>
      <c r="F2191" s="115" t="str">
        <f t="shared" si="140"/>
        <v/>
      </c>
      <c r="G2191" s="116" t="str">
        <f>IF(ISNONTEXT(D2191),"",E2191-MAX($F$2:F2190))</f>
        <v/>
      </c>
      <c r="H2191" s="97"/>
      <c r="I2191" s="74" t="str">
        <f ca="1">IF(D2191="N",COUNTIF(INDIRECT(ADDRESS(MATCH(Plages!$D$19,'Planning annuel mixing coater'!$B:$B),4)):D2191,"N"),IF(D2191="N1",COUNTIF($D$9:D2191,"N1"),""))</f>
        <v/>
      </c>
      <c r="J2191" s="96" t="str">
        <f>IF(D2191="","",COUNTA(D2186:D2191)-(COUNTA(D2191:D2191)-1))</f>
        <v/>
      </c>
    </row>
    <row r="2192" spans="1:10" thickBot="1">
      <c r="A2192" s="117"/>
      <c r="B2192" s="70">
        <f t="shared" si="141"/>
        <v>45984</v>
      </c>
      <c r="C2192" s="82" t="str">
        <f t="shared" si="138"/>
        <v>dimanche</v>
      </c>
      <c r="D2192" s="87"/>
      <c r="E2192" s="115" t="str">
        <f t="shared" si="139"/>
        <v/>
      </c>
      <c r="F2192" s="115" t="str">
        <f t="shared" si="140"/>
        <v/>
      </c>
      <c r="G2192" s="116" t="str">
        <f>IF(ISNONTEXT(D2192),"",E2192-MAX($F$2:F2191))</f>
        <v/>
      </c>
      <c r="H2192" s="98"/>
      <c r="I2192" s="74" t="str">
        <f ca="1">IF(D2192="N",COUNTIF(INDIRECT(ADDRESS(MATCH(Plages!$D$19,'Planning annuel mixing coater'!$B:$B),4)):D2192,"N"),IF(D2192="N1",COUNTIF($D$9:D2192,"N1"),""))</f>
        <v/>
      </c>
      <c r="J2192" s="96" t="str">
        <f>IF(D2192="","",COUNTA(D2186:D2192)-(COUNTA(D2192:D2192)-1))</f>
        <v/>
      </c>
    </row>
    <row r="2193" spans="1:10" thickBot="1">
      <c r="A2193" s="117"/>
      <c r="B2193" s="70">
        <f t="shared" si="141"/>
        <v>45985</v>
      </c>
      <c r="C2193" s="82" t="str">
        <f t="shared" si="138"/>
        <v>lundi</v>
      </c>
      <c r="D2193" s="87"/>
      <c r="E2193" s="115" t="str">
        <f t="shared" si="139"/>
        <v/>
      </c>
      <c r="F2193" s="115" t="str">
        <f t="shared" si="140"/>
        <v/>
      </c>
      <c r="G2193" s="116" t="str">
        <f>IF(ISNONTEXT(D2193),"",E2193-MAX($F$2:F2192))</f>
        <v/>
      </c>
      <c r="H2193" s="97"/>
      <c r="I2193" s="74" t="str">
        <f ca="1">IF(D2193="N",COUNTIF(INDIRECT(ADDRESS(MATCH(Plages!$D$19,'Planning annuel mixing coater'!$B:$B),4)):D2193,"N"),IF(D2193="N1",COUNTIF($D$9:D2193,"N1"),""))</f>
        <v/>
      </c>
      <c r="J2193" s="96" t="str">
        <f>IF(D2193="","",COUNTA(D2186:D2193)-(COUNTA(D2193:D2193)-1))</f>
        <v/>
      </c>
    </row>
    <row r="2194" spans="1:10" thickBot="1">
      <c r="A2194" s="117"/>
      <c r="B2194" s="70">
        <f t="shared" si="141"/>
        <v>45986</v>
      </c>
      <c r="C2194" s="82" t="str">
        <f t="shared" si="138"/>
        <v>mardi</v>
      </c>
      <c r="D2194" s="87"/>
      <c r="E2194" s="115" t="str">
        <f t="shared" si="139"/>
        <v/>
      </c>
      <c r="F2194" s="115" t="str">
        <f t="shared" si="140"/>
        <v/>
      </c>
      <c r="G2194" s="116" t="str">
        <f>IF(ISNONTEXT(D2194),"",E2194-MAX($F$2:F2193))</f>
        <v/>
      </c>
      <c r="H2194" s="97"/>
      <c r="I2194" s="74" t="str">
        <f ca="1">IF(D2194="N",COUNTIF(INDIRECT(ADDRESS(MATCH(Plages!$D$19,'Planning annuel mixing coater'!$B:$B),4)):D2194,"N"),IF(D2194="N1",COUNTIF($D$9:D2194,"N1"),""))</f>
        <v/>
      </c>
      <c r="J2194" s="96" t="str">
        <f>IF(D2194="","",COUNTA(D2186:D2194)-(COUNTA(D2194:D2194)-1))</f>
        <v/>
      </c>
    </row>
    <row r="2195" spans="1:10" thickBot="1">
      <c r="A2195" s="117"/>
      <c r="B2195" s="70">
        <f t="shared" si="141"/>
        <v>45987</v>
      </c>
      <c r="C2195" s="82" t="str">
        <f t="shared" si="138"/>
        <v>mercredi</v>
      </c>
      <c r="D2195" s="87"/>
      <c r="E2195" s="115" t="str">
        <f t="shared" si="139"/>
        <v/>
      </c>
      <c r="F2195" s="115" t="str">
        <f t="shared" si="140"/>
        <v/>
      </c>
      <c r="G2195" s="116" t="str">
        <f>IF(ISNONTEXT(D2195),"",E2195-MAX($F$2:F2194))</f>
        <v/>
      </c>
      <c r="H2195" s="97"/>
      <c r="I2195" s="74" t="str">
        <f ca="1">IF(D2195="N",COUNTIF(INDIRECT(ADDRESS(MATCH(Plages!$D$19,'Planning annuel mixing coater'!$B:$B),4)):D2195,"N"),IF(D2195="N1",COUNTIF($D$9:D2195,"N1"),""))</f>
        <v/>
      </c>
      <c r="J2195" s="96" t="str">
        <f>IF(D2195="","",COUNTA(D2186:D2195)-(COUNTA(D2195:D2195)-1))</f>
        <v/>
      </c>
    </row>
    <row r="2196" spans="1:10" thickBot="1">
      <c r="A2196" s="117"/>
      <c r="B2196" s="70">
        <f t="shared" si="141"/>
        <v>45988</v>
      </c>
      <c r="C2196" s="82" t="str">
        <f t="shared" si="138"/>
        <v>jeudi</v>
      </c>
      <c r="D2196" s="87"/>
      <c r="E2196" s="115" t="str">
        <f t="shared" si="139"/>
        <v/>
      </c>
      <c r="F2196" s="115" t="str">
        <f t="shared" si="140"/>
        <v/>
      </c>
      <c r="G2196" s="116" t="str">
        <f>IF(ISNONTEXT(D2196),"",E2196-MAX($F$2:F2195))</f>
        <v/>
      </c>
      <c r="H2196" s="97"/>
      <c r="I2196" s="74" t="str">
        <f ca="1">IF(D2196="N",COUNTIF(INDIRECT(ADDRESS(MATCH(Plages!$D$19,'Planning annuel mixing coater'!$B:$B),4)):D2196,"N"),IF(D2196="N1",COUNTIF($D$9:D2196,"N1"),""))</f>
        <v/>
      </c>
      <c r="J2196" s="96" t="str">
        <f>IF(D2196="","",COUNTA(D2186:D2196)-(COUNTA(D2196:D2196)-1))</f>
        <v/>
      </c>
    </row>
    <row r="2197" spans="1:10" thickBot="1">
      <c r="A2197" s="117"/>
      <c r="B2197" s="70">
        <f t="shared" si="141"/>
        <v>45989</v>
      </c>
      <c r="C2197" s="82" t="str">
        <f t="shared" si="138"/>
        <v>vendredi</v>
      </c>
      <c r="D2197" s="87"/>
      <c r="E2197" s="115" t="str">
        <f t="shared" si="139"/>
        <v/>
      </c>
      <c r="F2197" s="115" t="str">
        <f t="shared" si="140"/>
        <v/>
      </c>
      <c r="G2197" s="116" t="str">
        <f>IF(ISNONTEXT(D2197),"",E2197-MAX($F$2:F2196))</f>
        <v/>
      </c>
      <c r="H2197" s="97"/>
      <c r="I2197" s="74" t="str">
        <f ca="1">IF(D2197="N",COUNTIF(INDIRECT(ADDRESS(MATCH(Plages!$D$19,'Planning annuel mixing coater'!$B:$B),4)):D2197,"N"),IF(D2197="N1",COUNTIF($D$9:D2197,"N1"),""))</f>
        <v/>
      </c>
      <c r="J2197" s="96" t="str">
        <f>IF(D2197="","",COUNTA(D2186:D2197)-(COUNTA(D2197:D2197)-1))</f>
        <v/>
      </c>
    </row>
    <row r="2198" spans="1:10" thickBot="1">
      <c r="A2198" s="117"/>
      <c r="B2198" s="70">
        <f t="shared" si="141"/>
        <v>45990</v>
      </c>
      <c r="C2198" s="82" t="str">
        <f t="shared" si="138"/>
        <v>samedi</v>
      </c>
      <c r="D2198" s="87"/>
      <c r="E2198" s="115" t="str">
        <f t="shared" si="139"/>
        <v/>
      </c>
      <c r="F2198" s="115" t="str">
        <f t="shared" si="140"/>
        <v/>
      </c>
      <c r="G2198" s="116" t="str">
        <f>IF(ISNONTEXT(D2198),"",E2198-MAX($F$2:F2197))</f>
        <v/>
      </c>
      <c r="H2198" s="97"/>
      <c r="I2198" s="74" t="str">
        <f ca="1">IF(D2198="N",COUNTIF(INDIRECT(ADDRESS(MATCH(Plages!$D$19,'Planning annuel mixing coater'!$B:$B),4)):D2198,"N"),IF(D2198="N1",COUNTIF($D$9:D2198,"N1"),""))</f>
        <v/>
      </c>
      <c r="J2198" s="96" t="str">
        <f>IF(D2198="","",COUNTA(D2186:D2198)-(COUNTA(D2198:D2198)-1))</f>
        <v/>
      </c>
    </row>
    <row r="2199" spans="1:10" s="77" customFormat="1" thickBot="1">
      <c r="A2199" s="117"/>
      <c r="B2199" s="75">
        <f t="shared" si="141"/>
        <v>45991</v>
      </c>
      <c r="C2199" s="83" t="str">
        <f t="shared" si="138"/>
        <v>dimanche</v>
      </c>
      <c r="D2199" s="88"/>
      <c r="E2199" s="115" t="str">
        <f t="shared" si="139"/>
        <v/>
      </c>
      <c r="F2199" s="115" t="str">
        <f t="shared" si="140"/>
        <v/>
      </c>
      <c r="G2199" s="116" t="str">
        <f>IF(ISNONTEXT(D2199),"",E2199-MAX($F$2:F2198))</f>
        <v/>
      </c>
      <c r="H2199" s="98"/>
      <c r="I2199" s="76" t="str">
        <f ca="1">IF(D2199="N",COUNTIF(INDIRECT(ADDRESS(MATCH(Plages!$D$19,'Planning annuel mixing coater'!$B:$B),4)):D2199,"N"),IF(D2199="N1",COUNTIF($D$9:D2199,"N1"),""))</f>
        <v/>
      </c>
      <c r="J2199" s="99" t="str">
        <f>IF(D2199="","",COUNTA(D2186:D2199)-(COUNTA(D2199:D2199)-1))</f>
        <v/>
      </c>
    </row>
    <row r="2200" spans="1:10" ht="16.5" thickTop="1" thickBot="1">
      <c r="A2200" s="117"/>
      <c r="B2200" s="78">
        <f t="shared" si="141"/>
        <v>45992</v>
      </c>
      <c r="C2200" s="81" t="str">
        <f t="shared" si="138"/>
        <v>lundi</v>
      </c>
      <c r="D2200" s="89"/>
      <c r="E2200" s="115" t="str">
        <f t="shared" si="139"/>
        <v/>
      </c>
      <c r="F2200" s="115" t="str">
        <f t="shared" si="140"/>
        <v/>
      </c>
      <c r="G2200" s="116" t="str">
        <f>IF(ISNONTEXT(D2200),"",E2200-MAX($F$2:F2199))</f>
        <v/>
      </c>
      <c r="H2200" s="100"/>
      <c r="I2200" s="79" t="str">
        <f ca="1">IF(D2200="N",COUNTIF(INDIRECT(ADDRESS(MATCH(Plages!$D$19,'Planning annuel mixing coater'!$B:$B),4)):D2200,"N"),IF(D2200="N1",COUNTIF($D$9:D2200,"N1"),""))</f>
        <v/>
      </c>
      <c r="J2200" s="101" t="str">
        <f>IF(D2200="","",COUNTA(D2200:D2200)-(COUNTA(D2200:D2200)-1))</f>
        <v/>
      </c>
    </row>
    <row r="2201" spans="1:10" thickBot="1">
      <c r="A2201" s="117"/>
      <c r="B2201" s="70">
        <f t="shared" si="141"/>
        <v>45993</v>
      </c>
      <c r="C2201" s="82" t="str">
        <f t="shared" si="138"/>
        <v>mardi</v>
      </c>
      <c r="D2201" s="87"/>
      <c r="E2201" s="115" t="str">
        <f t="shared" si="139"/>
        <v/>
      </c>
      <c r="F2201" s="115" t="str">
        <f t="shared" si="140"/>
        <v/>
      </c>
      <c r="G2201" s="116" t="str">
        <f>IF(ISNONTEXT(D2201),"",E2201-MAX($F$2:F2200))</f>
        <v/>
      </c>
      <c r="H2201" s="97"/>
      <c r="I2201" s="74" t="str">
        <f ca="1">IF(D2201="N",COUNTIF(INDIRECT(ADDRESS(MATCH(Plages!$D$19,'Planning annuel mixing coater'!$B:$B),4)):D2201,"N"),IF(D2201="N1",COUNTIF($D$9:D2201,"N1"),""))</f>
        <v/>
      </c>
      <c r="J2201" s="96" t="str">
        <f>IF(D2201="","",COUNTA(D2200:D2201)-(COUNTA(D2201:D2201)-1))</f>
        <v/>
      </c>
    </row>
    <row r="2202" spans="1:10" thickBot="1">
      <c r="A2202" s="117"/>
      <c r="B2202" s="70">
        <f t="shared" si="141"/>
        <v>45994</v>
      </c>
      <c r="C2202" s="82" t="str">
        <f t="shared" si="138"/>
        <v>mercredi</v>
      </c>
      <c r="D2202" s="87"/>
      <c r="E2202" s="115" t="str">
        <f t="shared" si="139"/>
        <v/>
      </c>
      <c r="F2202" s="115" t="str">
        <f t="shared" si="140"/>
        <v/>
      </c>
      <c r="G2202" s="116" t="str">
        <f>IF(ISNONTEXT(D2202),"",E2202-MAX($F$2:F2201))</f>
        <v/>
      </c>
      <c r="H2202" s="97"/>
      <c r="I2202" s="74" t="str">
        <f ca="1">IF(D2202="N",COUNTIF(INDIRECT(ADDRESS(MATCH(Plages!$D$19,'Planning annuel mixing coater'!$B:$B),4)):D2202,"N"),IF(D2202="N1",COUNTIF($D$9:D2202,"N1"),""))</f>
        <v/>
      </c>
      <c r="J2202" s="96" t="str">
        <f>IF(D2202="","",COUNTA(D2200:D2202)-(COUNTA(D2202:D2202)-1))</f>
        <v/>
      </c>
    </row>
    <row r="2203" spans="1:10" thickBot="1">
      <c r="A2203" s="117"/>
      <c r="B2203" s="70">
        <f t="shared" si="141"/>
        <v>45995</v>
      </c>
      <c r="C2203" s="82" t="str">
        <f t="shared" si="138"/>
        <v>jeudi</v>
      </c>
      <c r="D2203" s="87"/>
      <c r="E2203" s="115" t="str">
        <f t="shared" si="139"/>
        <v/>
      </c>
      <c r="F2203" s="115" t="str">
        <f t="shared" si="140"/>
        <v/>
      </c>
      <c r="G2203" s="116" t="str">
        <f>IF(ISNONTEXT(D2203),"",E2203-MAX($F$2:F2202))</f>
        <v/>
      </c>
      <c r="H2203" s="97"/>
      <c r="I2203" s="74" t="str">
        <f ca="1">IF(D2203="N",COUNTIF(INDIRECT(ADDRESS(MATCH(Plages!$D$19,'Planning annuel mixing coater'!$B:$B),4)):D2203,"N"),IF(D2203="N1",COUNTIF($D$9:D2203,"N1"),""))</f>
        <v/>
      </c>
      <c r="J2203" s="96" t="str">
        <f>IF(D2203="","",COUNTA(D2200:D2203)-(COUNTA(D2203:D2203)-1))</f>
        <v/>
      </c>
    </row>
    <row r="2204" spans="1:10" thickBot="1">
      <c r="A2204" s="117"/>
      <c r="B2204" s="70">
        <f t="shared" si="141"/>
        <v>45996</v>
      </c>
      <c r="C2204" s="82" t="str">
        <f t="shared" si="138"/>
        <v>vendredi</v>
      </c>
      <c r="D2204" s="87"/>
      <c r="E2204" s="115" t="str">
        <f t="shared" si="139"/>
        <v/>
      </c>
      <c r="F2204" s="115" t="str">
        <f t="shared" si="140"/>
        <v/>
      </c>
      <c r="G2204" s="116" t="str">
        <f>IF(ISNONTEXT(D2204),"",E2204-MAX($F$2:F2203))</f>
        <v/>
      </c>
      <c r="H2204" s="97"/>
      <c r="I2204" s="74" t="str">
        <f ca="1">IF(D2204="N",COUNTIF(INDIRECT(ADDRESS(MATCH(Plages!$D$19,'Planning annuel mixing coater'!$B:$B),4)):D2204,"N"),IF(D2204="N1",COUNTIF($D$9:D2204,"N1"),""))</f>
        <v/>
      </c>
      <c r="J2204" s="96" t="str">
        <f>IF(D2204="","",COUNTA(D2200:D2204)-(COUNTA(D2204:D2204)-1))</f>
        <v/>
      </c>
    </row>
    <row r="2205" spans="1:10" thickBot="1">
      <c r="A2205" s="117"/>
      <c r="B2205" s="70">
        <f t="shared" si="141"/>
        <v>45997</v>
      </c>
      <c r="C2205" s="82" t="str">
        <f t="shared" si="138"/>
        <v>samedi</v>
      </c>
      <c r="D2205" s="87"/>
      <c r="E2205" s="115" t="str">
        <f t="shared" si="139"/>
        <v/>
      </c>
      <c r="F2205" s="115" t="str">
        <f t="shared" si="140"/>
        <v/>
      </c>
      <c r="G2205" s="116" t="str">
        <f>IF(ISNONTEXT(D2205),"",E2205-MAX($F$2:F2204))</f>
        <v/>
      </c>
      <c r="H2205" s="97"/>
      <c r="I2205" s="74" t="str">
        <f ca="1">IF(D2205="N",COUNTIF(INDIRECT(ADDRESS(MATCH(Plages!$D$19,'Planning annuel mixing coater'!$B:$B),4)):D2205,"N"),IF(D2205="N1",COUNTIF($D$9:D2205,"N1"),""))</f>
        <v/>
      </c>
      <c r="J2205" s="96" t="str">
        <f>IF(D2205="","",COUNTA(D2200:D2205)-(COUNTA(D2205:D2205)-1))</f>
        <v/>
      </c>
    </row>
    <row r="2206" spans="1:10" thickBot="1">
      <c r="A2206" s="117"/>
      <c r="B2206" s="70">
        <f t="shared" si="141"/>
        <v>45998</v>
      </c>
      <c r="C2206" s="82" t="str">
        <f t="shared" ref="C2206:C2269" si="142">IF(B2206="","",TEXT(B2206,"jjjj"))</f>
        <v>dimanche</v>
      </c>
      <c r="D2206" s="87"/>
      <c r="E2206" s="115" t="str">
        <f t="shared" ref="E2206:E2269" si="143">IF(D2206="","",B2206+VLOOKUP(D2206,Plageh,2,0))</f>
        <v/>
      </c>
      <c r="F2206" s="115" t="str">
        <f t="shared" ref="F2206:F2269" si="144">IF(D2206="","",B2206+VLOOKUP(D2206,Plageh,3,0))</f>
        <v/>
      </c>
      <c r="G2206" s="116" t="str">
        <f>IF(ISNONTEXT(D2206),"",E2206-MAX($F$2:F2205))</f>
        <v/>
      </c>
      <c r="H2206" s="98"/>
      <c r="I2206" s="74" t="str">
        <f ca="1">IF(D2206="N",COUNTIF(INDIRECT(ADDRESS(MATCH(Plages!$D$19,'Planning annuel mixing coater'!$B:$B),4)):D2206,"N"),IF(D2206="N1",COUNTIF($D$9:D2206,"N1"),""))</f>
        <v/>
      </c>
      <c r="J2206" s="96" t="str">
        <f>IF(D2206="","",COUNTA(D2200:D2206)-(COUNTA(D2206:D2206)-1))</f>
        <v/>
      </c>
    </row>
    <row r="2207" spans="1:10" thickBot="1">
      <c r="A2207" s="117"/>
      <c r="B2207" s="70">
        <f t="shared" si="141"/>
        <v>45999</v>
      </c>
      <c r="C2207" s="82" t="str">
        <f t="shared" si="142"/>
        <v>lundi</v>
      </c>
      <c r="D2207" s="87"/>
      <c r="E2207" s="115" t="str">
        <f t="shared" si="143"/>
        <v/>
      </c>
      <c r="F2207" s="115" t="str">
        <f t="shared" si="144"/>
        <v/>
      </c>
      <c r="G2207" s="116" t="str">
        <f>IF(ISNONTEXT(D2207),"",E2207-MAX($F$2:F2206))</f>
        <v/>
      </c>
      <c r="H2207" s="97"/>
      <c r="I2207" s="74" t="str">
        <f ca="1">IF(D2207="N",COUNTIF(INDIRECT(ADDRESS(MATCH(Plages!$D$19,'Planning annuel mixing coater'!$B:$B),4)):D2207,"N"),IF(D2207="N1",COUNTIF($D$9:D2207,"N1"),""))</f>
        <v/>
      </c>
      <c r="J2207" s="96" t="str">
        <f>IF(D2207="","",COUNTA(D2200:D2207)-(COUNTA(D2207:D2207)-1))</f>
        <v/>
      </c>
    </row>
    <row r="2208" spans="1:10" thickBot="1">
      <c r="A2208" s="117"/>
      <c r="B2208" s="70">
        <f t="shared" si="141"/>
        <v>46000</v>
      </c>
      <c r="C2208" s="82" t="str">
        <f t="shared" si="142"/>
        <v>mardi</v>
      </c>
      <c r="D2208" s="87"/>
      <c r="E2208" s="115" t="str">
        <f t="shared" si="143"/>
        <v/>
      </c>
      <c r="F2208" s="115" t="str">
        <f t="shared" si="144"/>
        <v/>
      </c>
      <c r="G2208" s="116" t="str">
        <f>IF(ISNONTEXT(D2208),"",E2208-MAX($F$2:F2207))</f>
        <v/>
      </c>
      <c r="H2208" s="97"/>
      <c r="I2208" s="74" t="str">
        <f ca="1">IF(D2208="N",COUNTIF(INDIRECT(ADDRESS(MATCH(Plages!$D$19,'Planning annuel mixing coater'!$B:$B),4)):D2208,"N"),IF(D2208="N1",COUNTIF($D$9:D2208,"N1"),""))</f>
        <v/>
      </c>
      <c r="J2208" s="96" t="str">
        <f>IF(D2208="","",COUNTA(D2200:D2208)-(COUNTA(D2208:D2208)-1))</f>
        <v/>
      </c>
    </row>
    <row r="2209" spans="1:10" thickBot="1">
      <c r="A2209" s="117"/>
      <c r="B2209" s="70">
        <f t="shared" si="141"/>
        <v>46001</v>
      </c>
      <c r="C2209" s="82" t="str">
        <f t="shared" si="142"/>
        <v>mercredi</v>
      </c>
      <c r="D2209" s="87"/>
      <c r="E2209" s="115" t="str">
        <f t="shared" si="143"/>
        <v/>
      </c>
      <c r="F2209" s="115" t="str">
        <f t="shared" si="144"/>
        <v/>
      </c>
      <c r="G2209" s="116" t="str">
        <f>IF(ISNONTEXT(D2209),"",E2209-MAX($F$2:F2208))</f>
        <v/>
      </c>
      <c r="H2209" s="97"/>
      <c r="I2209" s="74" t="str">
        <f ca="1">IF(D2209="N",COUNTIF(INDIRECT(ADDRESS(MATCH(Plages!$D$19,'Planning annuel mixing coater'!$B:$B),4)):D2209,"N"),IF(D2209="N1",COUNTIF($D$9:D2209,"N1"),""))</f>
        <v/>
      </c>
      <c r="J2209" s="96" t="str">
        <f>IF(D2209="","",COUNTA(D2200:D2209)-(COUNTA(D2209:D2209)-1))</f>
        <v/>
      </c>
    </row>
    <row r="2210" spans="1:10" thickBot="1">
      <c r="A2210" s="117"/>
      <c r="B2210" s="70">
        <f t="shared" si="141"/>
        <v>46002</v>
      </c>
      <c r="C2210" s="82" t="str">
        <f t="shared" si="142"/>
        <v>jeudi</v>
      </c>
      <c r="D2210" s="87"/>
      <c r="E2210" s="115" t="str">
        <f t="shared" si="143"/>
        <v/>
      </c>
      <c r="F2210" s="115" t="str">
        <f t="shared" si="144"/>
        <v/>
      </c>
      <c r="G2210" s="116" t="str">
        <f>IF(ISNONTEXT(D2210),"",E2210-MAX($F$2:F2209))</f>
        <v/>
      </c>
      <c r="H2210" s="97"/>
      <c r="I2210" s="74" t="str">
        <f ca="1">IF(D2210="N",COUNTIF(INDIRECT(ADDRESS(MATCH(Plages!$D$19,'Planning annuel mixing coater'!$B:$B),4)):D2210,"N"),IF(D2210="N1",COUNTIF($D$9:D2210,"N1"),""))</f>
        <v/>
      </c>
      <c r="J2210" s="96" t="str">
        <f>IF(D2210="","",COUNTA(D2200:D2210)-(COUNTA(D2210:D2210)-1))</f>
        <v/>
      </c>
    </row>
    <row r="2211" spans="1:10" thickBot="1">
      <c r="A2211" s="117"/>
      <c r="B2211" s="70">
        <f t="shared" si="141"/>
        <v>46003</v>
      </c>
      <c r="C2211" s="82" t="str">
        <f t="shared" si="142"/>
        <v>vendredi</v>
      </c>
      <c r="D2211" s="87"/>
      <c r="E2211" s="115" t="str">
        <f t="shared" si="143"/>
        <v/>
      </c>
      <c r="F2211" s="115" t="str">
        <f t="shared" si="144"/>
        <v/>
      </c>
      <c r="G2211" s="116" t="str">
        <f>IF(ISNONTEXT(D2211),"",E2211-MAX($F$2:F2210))</f>
        <v/>
      </c>
      <c r="H2211" s="97"/>
      <c r="I2211" s="74" t="str">
        <f ca="1">IF(D2211="N",COUNTIF(INDIRECT(ADDRESS(MATCH(Plages!$D$19,'Planning annuel mixing coater'!$B:$B),4)):D2211,"N"),IF(D2211="N1",COUNTIF($D$9:D2211,"N1"),""))</f>
        <v/>
      </c>
      <c r="J2211" s="96" t="str">
        <f>IF(D2211="","",COUNTA(D2200:D2211)-(COUNTA(D2211:D2211)-1))</f>
        <v/>
      </c>
    </row>
    <row r="2212" spans="1:10" thickBot="1">
      <c r="A2212" s="117"/>
      <c r="B2212" s="70">
        <f t="shared" si="141"/>
        <v>46004</v>
      </c>
      <c r="C2212" s="82" t="str">
        <f t="shared" si="142"/>
        <v>samedi</v>
      </c>
      <c r="D2212" s="87"/>
      <c r="E2212" s="115" t="str">
        <f t="shared" si="143"/>
        <v/>
      </c>
      <c r="F2212" s="115" t="str">
        <f t="shared" si="144"/>
        <v/>
      </c>
      <c r="G2212" s="116" t="str">
        <f>IF(ISNONTEXT(D2212),"",E2212-MAX($F$2:F2211))</f>
        <v/>
      </c>
      <c r="H2212" s="97"/>
      <c r="I2212" s="74" t="str">
        <f ca="1">IF(D2212="N",COUNTIF(INDIRECT(ADDRESS(MATCH(Plages!$D$19,'Planning annuel mixing coater'!$B:$B),4)):D2212,"N"),IF(D2212="N1",COUNTIF($D$9:D2212,"N1"),""))</f>
        <v/>
      </c>
      <c r="J2212" s="96" t="str">
        <f>IF(D2212="","",COUNTA(D2200:D2212)-(COUNTA(D2212:D2212)-1))</f>
        <v/>
      </c>
    </row>
    <row r="2213" spans="1:10" s="77" customFormat="1" thickBot="1">
      <c r="A2213" s="117"/>
      <c r="B2213" s="75">
        <f t="shared" si="141"/>
        <v>46005</v>
      </c>
      <c r="C2213" s="83" t="str">
        <f t="shared" si="142"/>
        <v>dimanche</v>
      </c>
      <c r="D2213" s="88"/>
      <c r="E2213" s="115" t="str">
        <f t="shared" si="143"/>
        <v/>
      </c>
      <c r="F2213" s="115" t="str">
        <f t="shared" si="144"/>
        <v/>
      </c>
      <c r="G2213" s="116" t="str">
        <f>IF(ISNONTEXT(D2213),"",E2213-MAX($F$2:F2212))</f>
        <v/>
      </c>
      <c r="H2213" s="98"/>
      <c r="I2213" s="76" t="str">
        <f ca="1">IF(D2213="N",COUNTIF(INDIRECT(ADDRESS(MATCH(Plages!$D$19,'Planning annuel mixing coater'!$B:$B),4)):D2213,"N"),IF(D2213="N1",COUNTIF($D$9:D2213,"N1"),""))</f>
        <v/>
      </c>
      <c r="J2213" s="99" t="str">
        <f>IF(D2213="","",COUNTA(D2200:D2213)-(COUNTA(D2213:D2213)-1))</f>
        <v/>
      </c>
    </row>
    <row r="2214" spans="1:10" ht="16.5" thickTop="1" thickBot="1">
      <c r="A2214" s="117"/>
      <c r="B2214" s="78">
        <f t="shared" si="141"/>
        <v>46006</v>
      </c>
      <c r="C2214" s="81" t="str">
        <f t="shared" si="142"/>
        <v>lundi</v>
      </c>
      <c r="D2214" s="89"/>
      <c r="E2214" s="115" t="str">
        <f t="shared" si="143"/>
        <v/>
      </c>
      <c r="F2214" s="115" t="str">
        <f t="shared" si="144"/>
        <v/>
      </c>
      <c r="G2214" s="116" t="str">
        <f>IF(ISNONTEXT(D2214),"",E2214-MAX($F$2:F2213))</f>
        <v/>
      </c>
      <c r="H2214" s="100"/>
      <c r="I2214" s="79" t="str">
        <f ca="1">IF(D2214="N",COUNTIF(INDIRECT(ADDRESS(MATCH(Plages!$D$19,'Planning annuel mixing coater'!$B:$B),4)):D2214,"N"),IF(D2214="N1",COUNTIF($D$9:D2214,"N1"),""))</f>
        <v/>
      </c>
      <c r="J2214" s="101" t="str">
        <f>IF(D2214="","",COUNTA(D2214:D2214)-(COUNTA(D2214:D2214)-1))</f>
        <v/>
      </c>
    </row>
    <row r="2215" spans="1:10" thickBot="1">
      <c r="A2215" s="117"/>
      <c r="B2215" s="70">
        <f t="shared" si="141"/>
        <v>46007</v>
      </c>
      <c r="C2215" s="82" t="str">
        <f t="shared" si="142"/>
        <v>mardi</v>
      </c>
      <c r="D2215" s="87"/>
      <c r="E2215" s="115" t="str">
        <f t="shared" si="143"/>
        <v/>
      </c>
      <c r="F2215" s="115" t="str">
        <f t="shared" si="144"/>
        <v/>
      </c>
      <c r="G2215" s="116" t="str">
        <f>IF(ISNONTEXT(D2215),"",E2215-MAX($F$2:F2214))</f>
        <v/>
      </c>
      <c r="H2215" s="97"/>
      <c r="I2215" s="74" t="str">
        <f ca="1">IF(D2215="N",COUNTIF(INDIRECT(ADDRESS(MATCH(Plages!$D$19,'Planning annuel mixing coater'!$B:$B),4)):D2215,"N"),IF(D2215="N1",COUNTIF($D$9:D2215,"N1"),""))</f>
        <v/>
      </c>
      <c r="J2215" s="96" t="str">
        <f>IF(D2215="","",COUNTA(D2214:D2215)-(COUNTA(D2215:D2215)-1))</f>
        <v/>
      </c>
    </row>
    <row r="2216" spans="1:10" thickBot="1">
      <c r="A2216" s="117"/>
      <c r="B2216" s="70">
        <f t="shared" si="141"/>
        <v>46008</v>
      </c>
      <c r="C2216" s="82" t="str">
        <f t="shared" si="142"/>
        <v>mercredi</v>
      </c>
      <c r="D2216" s="87"/>
      <c r="E2216" s="115" t="str">
        <f t="shared" si="143"/>
        <v/>
      </c>
      <c r="F2216" s="115" t="str">
        <f t="shared" si="144"/>
        <v/>
      </c>
      <c r="G2216" s="116" t="str">
        <f>IF(ISNONTEXT(D2216),"",E2216-MAX($F$2:F2215))</f>
        <v/>
      </c>
      <c r="H2216" s="97"/>
      <c r="I2216" s="74" t="str">
        <f ca="1">IF(D2216="N",COUNTIF(INDIRECT(ADDRESS(MATCH(Plages!$D$19,'Planning annuel mixing coater'!$B:$B),4)):D2216,"N"),IF(D2216="N1",COUNTIF($D$9:D2216,"N1"),""))</f>
        <v/>
      </c>
      <c r="J2216" s="96" t="str">
        <f>IF(D2216="","",COUNTA(D2214:D2216)-(COUNTA(D2216:D2216)-1))</f>
        <v/>
      </c>
    </row>
    <row r="2217" spans="1:10" thickBot="1">
      <c r="A2217" s="117"/>
      <c r="B2217" s="70">
        <f t="shared" si="141"/>
        <v>46009</v>
      </c>
      <c r="C2217" s="82" t="str">
        <f t="shared" si="142"/>
        <v>jeudi</v>
      </c>
      <c r="D2217" s="87"/>
      <c r="E2217" s="115" t="str">
        <f t="shared" si="143"/>
        <v/>
      </c>
      <c r="F2217" s="115" t="str">
        <f t="shared" si="144"/>
        <v/>
      </c>
      <c r="G2217" s="116" t="str">
        <f>IF(ISNONTEXT(D2217),"",E2217-MAX($F$2:F2216))</f>
        <v/>
      </c>
      <c r="H2217" s="97"/>
      <c r="I2217" s="74" t="str">
        <f ca="1">IF(D2217="N",COUNTIF(INDIRECT(ADDRESS(MATCH(Plages!$D$19,'Planning annuel mixing coater'!$B:$B),4)):D2217,"N"),IF(D2217="N1",COUNTIF($D$9:D2217,"N1"),""))</f>
        <v/>
      </c>
      <c r="J2217" s="96" t="str">
        <f>IF(D2217="","",COUNTA(D2214:D2217)-(COUNTA(D2217:D2217)-1))</f>
        <v/>
      </c>
    </row>
    <row r="2218" spans="1:10" thickBot="1">
      <c r="A2218" s="117"/>
      <c r="B2218" s="70">
        <f t="shared" si="141"/>
        <v>46010</v>
      </c>
      <c r="C2218" s="82" t="str">
        <f t="shared" si="142"/>
        <v>vendredi</v>
      </c>
      <c r="D2218" s="87"/>
      <c r="E2218" s="115" t="str">
        <f t="shared" si="143"/>
        <v/>
      </c>
      <c r="F2218" s="115" t="str">
        <f t="shared" si="144"/>
        <v/>
      </c>
      <c r="G2218" s="116" t="str">
        <f>IF(ISNONTEXT(D2218),"",E2218-MAX($F$2:F2217))</f>
        <v/>
      </c>
      <c r="H2218" s="97"/>
      <c r="I2218" s="74" t="str">
        <f ca="1">IF(D2218="N",COUNTIF(INDIRECT(ADDRESS(MATCH(Plages!$D$19,'Planning annuel mixing coater'!$B:$B),4)):D2218,"N"),IF(D2218="N1",COUNTIF($D$9:D2218,"N1"),""))</f>
        <v/>
      </c>
      <c r="J2218" s="96" t="str">
        <f>IF(D2218="","",COUNTA(D2214:D2218)-(COUNTA(D2218:D2218)-1))</f>
        <v/>
      </c>
    </row>
    <row r="2219" spans="1:10" thickBot="1">
      <c r="A2219" s="117"/>
      <c r="B2219" s="70">
        <f t="shared" si="141"/>
        <v>46011</v>
      </c>
      <c r="C2219" s="82" t="str">
        <f t="shared" si="142"/>
        <v>samedi</v>
      </c>
      <c r="D2219" s="87"/>
      <c r="E2219" s="115" t="str">
        <f t="shared" si="143"/>
        <v/>
      </c>
      <c r="F2219" s="115" t="str">
        <f t="shared" si="144"/>
        <v/>
      </c>
      <c r="G2219" s="116" t="str">
        <f>IF(ISNONTEXT(D2219),"",E2219-MAX($F$2:F2218))</f>
        <v/>
      </c>
      <c r="H2219" s="97"/>
      <c r="I2219" s="74" t="str">
        <f ca="1">IF(D2219="N",COUNTIF(INDIRECT(ADDRESS(MATCH(Plages!$D$19,'Planning annuel mixing coater'!$B:$B),4)):D2219,"N"),IF(D2219="N1",COUNTIF($D$9:D2219,"N1"),""))</f>
        <v/>
      </c>
      <c r="J2219" s="96" t="str">
        <f>IF(D2219="","",COUNTA(D2214:D2219)-(COUNTA(D2219:D2219)-1))</f>
        <v/>
      </c>
    </row>
    <row r="2220" spans="1:10" thickBot="1">
      <c r="A2220" s="117"/>
      <c r="B2220" s="70">
        <f t="shared" si="141"/>
        <v>46012</v>
      </c>
      <c r="C2220" s="82" t="str">
        <f t="shared" si="142"/>
        <v>dimanche</v>
      </c>
      <c r="D2220" s="87"/>
      <c r="E2220" s="115" t="str">
        <f t="shared" si="143"/>
        <v/>
      </c>
      <c r="F2220" s="115" t="str">
        <f t="shared" si="144"/>
        <v/>
      </c>
      <c r="G2220" s="116" t="str">
        <f>IF(ISNONTEXT(D2220),"",E2220-MAX($F$2:F2219))</f>
        <v/>
      </c>
      <c r="H2220" s="98"/>
      <c r="I2220" s="74" t="str">
        <f ca="1">IF(D2220="N",COUNTIF(INDIRECT(ADDRESS(MATCH(Plages!$D$19,'Planning annuel mixing coater'!$B:$B),4)):D2220,"N"),IF(D2220="N1",COUNTIF($D$9:D2220,"N1"),""))</f>
        <v/>
      </c>
      <c r="J2220" s="96" t="str">
        <f>IF(D2220="","",COUNTA(D2214:D2220)-(COUNTA(D2220:D2220)-1))</f>
        <v/>
      </c>
    </row>
    <row r="2221" spans="1:10" thickBot="1">
      <c r="A2221" s="117"/>
      <c r="B2221" s="70">
        <f t="shared" si="141"/>
        <v>46013</v>
      </c>
      <c r="C2221" s="82" t="str">
        <f t="shared" si="142"/>
        <v>lundi</v>
      </c>
      <c r="D2221" s="87"/>
      <c r="E2221" s="115" t="str">
        <f t="shared" si="143"/>
        <v/>
      </c>
      <c r="F2221" s="115" t="str">
        <f t="shared" si="144"/>
        <v/>
      </c>
      <c r="G2221" s="116" t="str">
        <f>IF(ISNONTEXT(D2221),"",E2221-MAX($F$2:F2220))</f>
        <v/>
      </c>
      <c r="H2221" s="97"/>
      <c r="I2221" s="74" t="str">
        <f ca="1">IF(D2221="N",COUNTIF(INDIRECT(ADDRESS(MATCH(Plages!$D$19,'Planning annuel mixing coater'!$B:$B),4)):D2221,"N"),IF(D2221="N1",COUNTIF($D$9:D2221,"N1"),""))</f>
        <v/>
      </c>
      <c r="J2221" s="96" t="str">
        <f>IF(D2221="","",COUNTA(D2214:D2221)-(COUNTA(D2221:D2221)-1))</f>
        <v/>
      </c>
    </row>
    <row r="2222" spans="1:10" thickBot="1">
      <c r="A2222" s="117"/>
      <c r="B2222" s="70">
        <f t="shared" si="141"/>
        <v>46014</v>
      </c>
      <c r="C2222" s="82" t="str">
        <f t="shared" si="142"/>
        <v>mardi</v>
      </c>
      <c r="D2222" s="87"/>
      <c r="E2222" s="115" t="str">
        <f t="shared" si="143"/>
        <v/>
      </c>
      <c r="F2222" s="115" t="str">
        <f t="shared" si="144"/>
        <v/>
      </c>
      <c r="G2222" s="116" t="str">
        <f>IF(ISNONTEXT(D2222),"",E2222-MAX($F$2:F2221))</f>
        <v/>
      </c>
      <c r="H2222" s="97"/>
      <c r="I2222" s="74" t="str">
        <f ca="1">IF(D2222="N",COUNTIF(INDIRECT(ADDRESS(MATCH(Plages!$D$19,'Planning annuel mixing coater'!$B:$B),4)):D2222,"N"),IF(D2222="N1",COUNTIF($D$9:D2222,"N1"),""))</f>
        <v/>
      </c>
      <c r="J2222" s="96" t="str">
        <f>IF(D2222="","",COUNTA(D2214:D2222)-(COUNTA(D2222:D2222)-1))</f>
        <v/>
      </c>
    </row>
    <row r="2223" spans="1:10" thickBot="1">
      <c r="A2223" s="117"/>
      <c r="B2223" s="70">
        <f t="shared" si="141"/>
        <v>46015</v>
      </c>
      <c r="C2223" s="82" t="str">
        <f t="shared" si="142"/>
        <v>mercredi</v>
      </c>
      <c r="D2223" s="87"/>
      <c r="E2223" s="115" t="str">
        <f t="shared" si="143"/>
        <v/>
      </c>
      <c r="F2223" s="115" t="str">
        <f t="shared" si="144"/>
        <v/>
      </c>
      <c r="G2223" s="116" t="str">
        <f>IF(ISNONTEXT(D2223),"",E2223-MAX($F$2:F2222))</f>
        <v/>
      </c>
      <c r="H2223" s="97"/>
      <c r="I2223" s="74" t="str">
        <f ca="1">IF(D2223="N",COUNTIF(INDIRECT(ADDRESS(MATCH(Plages!$D$19,'Planning annuel mixing coater'!$B:$B),4)):D2223,"N"),IF(D2223="N1",COUNTIF($D$9:D2223,"N1"),""))</f>
        <v/>
      </c>
      <c r="J2223" s="96" t="str">
        <f>IF(D2223="","",COUNTA(D2214:D2223)-(COUNTA(D2223:D2223)-1))</f>
        <v/>
      </c>
    </row>
    <row r="2224" spans="1:10" thickBot="1">
      <c r="A2224" s="117"/>
      <c r="B2224" s="70">
        <f t="shared" si="141"/>
        <v>46016</v>
      </c>
      <c r="C2224" s="82" t="str">
        <f t="shared" si="142"/>
        <v>jeudi</v>
      </c>
      <c r="D2224" s="87"/>
      <c r="E2224" s="115" t="str">
        <f t="shared" si="143"/>
        <v/>
      </c>
      <c r="F2224" s="115" t="str">
        <f t="shared" si="144"/>
        <v/>
      </c>
      <c r="G2224" s="116" t="str">
        <f>IF(ISNONTEXT(D2224),"",E2224-MAX($F$2:F2223))</f>
        <v/>
      </c>
      <c r="H2224" s="97"/>
      <c r="I2224" s="74" t="str">
        <f ca="1">IF(D2224="N",COUNTIF(INDIRECT(ADDRESS(MATCH(Plages!$D$19,'Planning annuel mixing coater'!$B:$B),4)):D2224,"N"),IF(D2224="N1",COUNTIF($D$9:D2224,"N1"),""))</f>
        <v/>
      </c>
      <c r="J2224" s="96" t="str">
        <f>IF(D2224="","",COUNTA(D2214:D2224)-(COUNTA(D2224:D2224)-1))</f>
        <v/>
      </c>
    </row>
    <row r="2225" spans="1:10" thickBot="1">
      <c r="A2225" s="117"/>
      <c r="B2225" s="70">
        <f t="shared" si="141"/>
        <v>46017</v>
      </c>
      <c r="C2225" s="82" t="str">
        <f t="shared" si="142"/>
        <v>vendredi</v>
      </c>
      <c r="D2225" s="87"/>
      <c r="E2225" s="115" t="str">
        <f t="shared" si="143"/>
        <v/>
      </c>
      <c r="F2225" s="115" t="str">
        <f t="shared" si="144"/>
        <v/>
      </c>
      <c r="G2225" s="116" t="str">
        <f>IF(ISNONTEXT(D2225),"",E2225-MAX($F$2:F2224))</f>
        <v/>
      </c>
      <c r="H2225" s="97"/>
      <c r="I2225" s="74" t="str">
        <f ca="1">IF(D2225="N",COUNTIF(INDIRECT(ADDRESS(MATCH(Plages!$D$19,'Planning annuel mixing coater'!$B:$B),4)):D2225,"N"),IF(D2225="N1",COUNTIF($D$9:D2225,"N1"),""))</f>
        <v/>
      </c>
      <c r="J2225" s="96" t="str">
        <f>IF(D2225="","",COUNTA(D2214:D2225)-(COUNTA(D2225:D2225)-1))</f>
        <v/>
      </c>
    </row>
    <row r="2226" spans="1:10" thickBot="1">
      <c r="A2226" s="117"/>
      <c r="B2226" s="70">
        <f t="shared" si="141"/>
        <v>46018</v>
      </c>
      <c r="C2226" s="82" t="str">
        <f t="shared" si="142"/>
        <v>samedi</v>
      </c>
      <c r="D2226" s="87"/>
      <c r="E2226" s="115" t="str">
        <f t="shared" si="143"/>
        <v/>
      </c>
      <c r="F2226" s="115" t="str">
        <f t="shared" si="144"/>
        <v/>
      </c>
      <c r="G2226" s="116" t="str">
        <f>IF(ISNONTEXT(D2226),"",E2226-MAX($F$2:F2225))</f>
        <v/>
      </c>
      <c r="H2226" s="97"/>
      <c r="I2226" s="74" t="str">
        <f ca="1">IF(D2226="N",COUNTIF(INDIRECT(ADDRESS(MATCH(Plages!$D$19,'Planning annuel mixing coater'!$B:$B),4)):D2226,"N"),IF(D2226="N1",COUNTIF($D$9:D2226,"N1"),""))</f>
        <v/>
      </c>
      <c r="J2226" s="96" t="str">
        <f>IF(D2226="","",COUNTA(D2214:D2226)-(COUNTA(D2226:D2226)-1))</f>
        <v/>
      </c>
    </row>
    <row r="2227" spans="1:10" s="77" customFormat="1" thickBot="1">
      <c r="A2227" s="117"/>
      <c r="B2227" s="75">
        <f t="shared" si="141"/>
        <v>46019</v>
      </c>
      <c r="C2227" s="83" t="str">
        <f t="shared" si="142"/>
        <v>dimanche</v>
      </c>
      <c r="D2227" s="88"/>
      <c r="E2227" s="115" t="str">
        <f t="shared" si="143"/>
        <v/>
      </c>
      <c r="F2227" s="115" t="str">
        <f t="shared" si="144"/>
        <v/>
      </c>
      <c r="G2227" s="116" t="str">
        <f>IF(ISNONTEXT(D2227),"",E2227-MAX($F$2:F2226))</f>
        <v/>
      </c>
      <c r="H2227" s="98"/>
      <c r="I2227" s="76" t="str">
        <f ca="1">IF(D2227="N",COUNTIF(INDIRECT(ADDRESS(MATCH(Plages!$D$19,'Planning annuel mixing coater'!$B:$B),4)):D2227,"N"),IF(D2227="N1",COUNTIF($D$9:D2227,"N1"),""))</f>
        <v/>
      </c>
      <c r="J2227" s="99" t="str">
        <f>IF(D2227="","",COUNTA(D2214:D2227)-(COUNTA(D2227:D2227)-1))</f>
        <v/>
      </c>
    </row>
    <row r="2228" spans="1:10" ht="16.5" thickTop="1" thickBot="1">
      <c r="A2228" s="117"/>
      <c r="B2228" s="78">
        <f t="shared" si="141"/>
        <v>46020</v>
      </c>
      <c r="C2228" s="81" t="str">
        <f t="shared" si="142"/>
        <v>lundi</v>
      </c>
      <c r="D2228" s="89"/>
      <c r="E2228" s="115" t="str">
        <f t="shared" si="143"/>
        <v/>
      </c>
      <c r="F2228" s="115" t="str">
        <f t="shared" si="144"/>
        <v/>
      </c>
      <c r="G2228" s="116" t="str">
        <f>IF(ISNONTEXT(D2228),"",E2228-MAX($F$2:F2227))</f>
        <v/>
      </c>
      <c r="H2228" s="100"/>
      <c r="I2228" s="79" t="str">
        <f ca="1">IF(D2228="N",COUNTIF(INDIRECT(ADDRESS(MATCH(Plages!$D$19,'Planning annuel mixing coater'!$B:$B),4)):D2228,"N"),IF(D2228="N1",COUNTIF($D$9:D2228,"N1"),""))</f>
        <v/>
      </c>
      <c r="J2228" s="101" t="str">
        <f>IF(D2228="","",COUNTA(D2228:D2228)-(COUNTA(D2228:D2228)-1))</f>
        <v/>
      </c>
    </row>
    <row r="2229" spans="1:10" thickBot="1">
      <c r="A2229" s="117"/>
      <c r="B2229" s="70">
        <f t="shared" si="141"/>
        <v>46021</v>
      </c>
      <c r="C2229" s="82" t="str">
        <f t="shared" si="142"/>
        <v>mardi</v>
      </c>
      <c r="D2229" s="87"/>
      <c r="E2229" s="115" t="str">
        <f t="shared" si="143"/>
        <v/>
      </c>
      <c r="F2229" s="115" t="str">
        <f t="shared" si="144"/>
        <v/>
      </c>
      <c r="G2229" s="116" t="str">
        <f>IF(ISNONTEXT(D2229),"",E2229-MAX($F$2:F2228))</f>
        <v/>
      </c>
      <c r="H2229" s="97"/>
      <c r="I2229" s="74" t="str">
        <f ca="1">IF(D2229="N",COUNTIF(INDIRECT(ADDRESS(MATCH(Plages!$D$19,'Planning annuel mixing coater'!$B:$B),4)):D2229,"N"),IF(D2229="N1",COUNTIF($D$9:D2229,"N1"),""))</f>
        <v/>
      </c>
      <c r="J2229" s="96" t="str">
        <f>IF(D2229="","",COUNTA(D2228:D2229)-(COUNTA(D2229:D2229)-1))</f>
        <v/>
      </c>
    </row>
    <row r="2230" spans="1:10" thickBot="1">
      <c r="A2230" s="117"/>
      <c r="B2230" s="70">
        <f t="shared" si="141"/>
        <v>46022</v>
      </c>
      <c r="C2230" s="82" t="str">
        <f t="shared" si="142"/>
        <v>mercredi</v>
      </c>
      <c r="D2230" s="87"/>
      <c r="E2230" s="115" t="str">
        <f t="shared" si="143"/>
        <v/>
      </c>
      <c r="F2230" s="115" t="str">
        <f t="shared" si="144"/>
        <v/>
      </c>
      <c r="G2230" s="116" t="str">
        <f>IF(ISNONTEXT(D2230),"",E2230-MAX($F$2:F2229))</f>
        <v/>
      </c>
      <c r="H2230" s="97"/>
      <c r="I2230" s="74" t="str">
        <f ca="1">IF(D2230="N",COUNTIF(INDIRECT(ADDRESS(MATCH(Plages!$D$19,'Planning annuel mixing coater'!$B:$B),4)):D2230,"N"),IF(D2230="N1",COUNTIF($D$9:D2230,"N1"),""))</f>
        <v/>
      </c>
      <c r="J2230" s="96" t="str">
        <f>IF(D2230="","",COUNTA(D2228:D2230)-(COUNTA(D2230:D2230)-1))</f>
        <v/>
      </c>
    </row>
    <row r="2231" spans="1:10" thickBot="1">
      <c r="A2231" s="117"/>
      <c r="B2231" s="70">
        <f t="shared" si="141"/>
        <v>46023</v>
      </c>
      <c r="C2231" s="82" t="str">
        <f t="shared" si="142"/>
        <v>jeudi</v>
      </c>
      <c r="D2231" s="87"/>
      <c r="E2231" s="115" t="str">
        <f t="shared" si="143"/>
        <v/>
      </c>
      <c r="F2231" s="115" t="str">
        <f t="shared" si="144"/>
        <v/>
      </c>
      <c r="G2231" s="116" t="str">
        <f>IF(ISNONTEXT(D2231),"",E2231-MAX($F$2:F2230))</f>
        <v/>
      </c>
      <c r="H2231" s="97"/>
      <c r="I2231" s="74" t="str">
        <f ca="1">IF(D2231="N",COUNTIF(INDIRECT(ADDRESS(MATCH(Plages!$D$19,'Planning annuel mixing coater'!$B:$B),4)):D2231,"N"),IF(D2231="N1",COUNTIF($D$9:D2231,"N1"),""))</f>
        <v/>
      </c>
      <c r="J2231" s="96" t="str">
        <f>IF(D2231="","",COUNTA(D2228:D2231)-(COUNTA(D2231:D2231)-1))</f>
        <v/>
      </c>
    </row>
    <row r="2232" spans="1:10" thickBot="1">
      <c r="A2232" s="117"/>
      <c r="B2232" s="70">
        <f t="shared" si="141"/>
        <v>46024</v>
      </c>
      <c r="C2232" s="82" t="str">
        <f t="shared" si="142"/>
        <v>vendredi</v>
      </c>
      <c r="D2232" s="87"/>
      <c r="E2232" s="115" t="str">
        <f t="shared" si="143"/>
        <v/>
      </c>
      <c r="F2232" s="115" t="str">
        <f t="shared" si="144"/>
        <v/>
      </c>
      <c r="G2232" s="116" t="str">
        <f>IF(ISNONTEXT(D2232),"",E2232-MAX($F$2:F2231))</f>
        <v/>
      </c>
      <c r="H2232" s="97"/>
      <c r="I2232" s="74" t="str">
        <f ca="1">IF(D2232="N",COUNTIF(INDIRECT(ADDRESS(MATCH(Plages!$D$19,'Planning annuel mixing coater'!$B:$B),4)):D2232,"N"),IF(D2232="N1",COUNTIF($D$9:D2232,"N1"),""))</f>
        <v/>
      </c>
      <c r="J2232" s="96" t="str">
        <f>IF(D2232="","",COUNTA(D2228:D2232)-(COUNTA(D2232:D2232)-1))</f>
        <v/>
      </c>
    </row>
    <row r="2233" spans="1:10" thickBot="1">
      <c r="A2233" s="117"/>
      <c r="B2233" s="70">
        <f t="shared" si="141"/>
        <v>46025</v>
      </c>
      <c r="C2233" s="82" t="str">
        <f t="shared" si="142"/>
        <v>samedi</v>
      </c>
      <c r="D2233" s="87"/>
      <c r="E2233" s="115" t="str">
        <f t="shared" si="143"/>
        <v/>
      </c>
      <c r="F2233" s="115" t="str">
        <f t="shared" si="144"/>
        <v/>
      </c>
      <c r="G2233" s="116" t="str">
        <f>IF(ISNONTEXT(D2233),"",E2233-MAX($F$2:F2232))</f>
        <v/>
      </c>
      <c r="H2233" s="97"/>
      <c r="I2233" s="74" t="str">
        <f ca="1">IF(D2233="N",COUNTIF(INDIRECT(ADDRESS(MATCH(Plages!$D$19,'Planning annuel mixing coater'!$B:$B),4)):D2233,"N"),IF(D2233="N1",COUNTIF($D$9:D2233,"N1"),""))</f>
        <v/>
      </c>
      <c r="J2233" s="96" t="str">
        <f>IF(D2233="","",COUNTA(D2228:D2233)-(COUNTA(D2233:D2233)-1))</f>
        <v/>
      </c>
    </row>
    <row r="2234" spans="1:10" thickBot="1">
      <c r="A2234" s="117"/>
      <c r="B2234" s="70">
        <f t="shared" si="141"/>
        <v>46026</v>
      </c>
      <c r="C2234" s="82" t="str">
        <f t="shared" si="142"/>
        <v>dimanche</v>
      </c>
      <c r="D2234" s="87"/>
      <c r="E2234" s="115" t="str">
        <f t="shared" si="143"/>
        <v/>
      </c>
      <c r="F2234" s="115" t="str">
        <f t="shared" si="144"/>
        <v/>
      </c>
      <c r="G2234" s="116" t="str">
        <f>IF(ISNONTEXT(D2234),"",E2234-MAX($F$2:F2233))</f>
        <v/>
      </c>
      <c r="H2234" s="98"/>
      <c r="I2234" s="74" t="str">
        <f ca="1">IF(D2234="N",COUNTIF(INDIRECT(ADDRESS(MATCH(Plages!$D$19,'Planning annuel mixing coater'!$B:$B),4)):D2234,"N"),IF(D2234="N1",COUNTIF($D$9:D2234,"N1"),""))</f>
        <v/>
      </c>
      <c r="J2234" s="96" t="str">
        <f>IF(D2234="","",COUNTA(D2228:D2234)-(COUNTA(D2234:D2234)-1))</f>
        <v/>
      </c>
    </row>
    <row r="2235" spans="1:10" thickBot="1">
      <c r="A2235" s="117"/>
      <c r="B2235" s="70">
        <f t="shared" si="141"/>
        <v>46027</v>
      </c>
      <c r="C2235" s="82" t="str">
        <f t="shared" si="142"/>
        <v>lundi</v>
      </c>
      <c r="D2235" s="87"/>
      <c r="E2235" s="115" t="str">
        <f t="shared" si="143"/>
        <v/>
      </c>
      <c r="F2235" s="115" t="str">
        <f t="shared" si="144"/>
        <v/>
      </c>
      <c r="G2235" s="116" t="str">
        <f>IF(ISNONTEXT(D2235),"",E2235-MAX($F$2:F2234))</f>
        <v/>
      </c>
      <c r="H2235" s="97"/>
      <c r="I2235" s="74" t="str">
        <f ca="1">IF(D2235="N",COUNTIF(INDIRECT(ADDRESS(MATCH(Plages!$D$19,'Planning annuel mixing coater'!$B:$B),4)):D2235,"N"),IF(D2235="N1",COUNTIF($D$9:D2235,"N1"),""))</f>
        <v/>
      </c>
      <c r="J2235" s="96" t="str">
        <f>IF(D2235="","",COUNTA(D2228:D2235)-(COUNTA(D2235:D2235)-1))</f>
        <v/>
      </c>
    </row>
    <row r="2236" spans="1:10" thickBot="1">
      <c r="A2236" s="117"/>
      <c r="B2236" s="70">
        <f t="shared" si="141"/>
        <v>46028</v>
      </c>
      <c r="C2236" s="82" t="str">
        <f t="shared" si="142"/>
        <v>mardi</v>
      </c>
      <c r="D2236" s="87"/>
      <c r="E2236" s="115" t="str">
        <f t="shared" si="143"/>
        <v/>
      </c>
      <c r="F2236" s="115" t="str">
        <f t="shared" si="144"/>
        <v/>
      </c>
      <c r="G2236" s="116" t="str">
        <f>IF(ISNONTEXT(D2236),"",E2236-MAX($F$2:F2235))</f>
        <v/>
      </c>
      <c r="H2236" s="97"/>
      <c r="I2236" s="74" t="str">
        <f ca="1">IF(D2236="N",COUNTIF(INDIRECT(ADDRESS(MATCH(Plages!$D$19,'Planning annuel mixing coater'!$B:$B),4)):D2236,"N"),IF(D2236="N1",COUNTIF($D$9:D2236,"N1"),""))</f>
        <v/>
      </c>
      <c r="J2236" s="96" t="str">
        <f>IF(D2236="","",COUNTA(D2228:D2236)-(COUNTA(D2236:D2236)-1))</f>
        <v/>
      </c>
    </row>
    <row r="2237" spans="1:10" thickBot="1">
      <c r="A2237" s="117"/>
      <c r="B2237" s="70">
        <f t="shared" si="141"/>
        <v>46029</v>
      </c>
      <c r="C2237" s="82" t="str">
        <f t="shared" si="142"/>
        <v>mercredi</v>
      </c>
      <c r="D2237" s="87"/>
      <c r="E2237" s="115" t="str">
        <f t="shared" si="143"/>
        <v/>
      </c>
      <c r="F2237" s="115" t="str">
        <f t="shared" si="144"/>
        <v/>
      </c>
      <c r="G2237" s="116" t="str">
        <f>IF(ISNONTEXT(D2237),"",E2237-MAX($F$2:F2236))</f>
        <v/>
      </c>
      <c r="H2237" s="97"/>
      <c r="I2237" s="74" t="str">
        <f ca="1">IF(D2237="N",COUNTIF(INDIRECT(ADDRESS(MATCH(Plages!$D$19,'Planning annuel mixing coater'!$B:$B),4)):D2237,"N"),IF(D2237="N1",COUNTIF($D$9:D2237,"N1"),""))</f>
        <v/>
      </c>
      <c r="J2237" s="96" t="str">
        <f>IF(D2237="","",COUNTA(D2228:D2237)-(COUNTA(D2237:D2237)-1))</f>
        <v/>
      </c>
    </row>
    <row r="2238" spans="1:10" thickBot="1">
      <c r="A2238" s="117"/>
      <c r="B2238" s="70">
        <f t="shared" si="141"/>
        <v>46030</v>
      </c>
      <c r="C2238" s="82" t="str">
        <f t="shared" si="142"/>
        <v>jeudi</v>
      </c>
      <c r="D2238" s="87"/>
      <c r="E2238" s="115" t="str">
        <f t="shared" si="143"/>
        <v/>
      </c>
      <c r="F2238" s="115" t="str">
        <f t="shared" si="144"/>
        <v/>
      </c>
      <c r="G2238" s="116" t="str">
        <f>IF(ISNONTEXT(D2238),"",E2238-MAX($F$2:F2237))</f>
        <v/>
      </c>
      <c r="H2238" s="97"/>
      <c r="I2238" s="74" t="str">
        <f ca="1">IF(D2238="N",COUNTIF(INDIRECT(ADDRESS(MATCH(Plages!$D$19,'Planning annuel mixing coater'!$B:$B),4)):D2238,"N"),IF(D2238="N1",COUNTIF($D$9:D2238,"N1"),""))</f>
        <v/>
      </c>
      <c r="J2238" s="96" t="str">
        <f>IF(D2238="","",COUNTA(D2228:D2238)-(COUNTA(D2238:D2238)-1))</f>
        <v/>
      </c>
    </row>
    <row r="2239" spans="1:10" thickBot="1">
      <c r="A2239" s="117"/>
      <c r="B2239" s="70">
        <f t="shared" si="141"/>
        <v>46031</v>
      </c>
      <c r="C2239" s="82" t="str">
        <f t="shared" si="142"/>
        <v>vendredi</v>
      </c>
      <c r="D2239" s="87"/>
      <c r="E2239" s="115" t="str">
        <f t="shared" si="143"/>
        <v/>
      </c>
      <c r="F2239" s="115" t="str">
        <f t="shared" si="144"/>
        <v/>
      </c>
      <c r="G2239" s="116" t="str">
        <f>IF(ISNONTEXT(D2239),"",E2239-MAX($F$2:F2238))</f>
        <v/>
      </c>
      <c r="H2239" s="97"/>
      <c r="I2239" s="74" t="str">
        <f ca="1">IF(D2239="N",COUNTIF(INDIRECT(ADDRESS(MATCH(Plages!$D$19,'Planning annuel mixing coater'!$B:$B),4)):D2239,"N"),IF(D2239="N1",COUNTIF($D$9:D2239,"N1"),""))</f>
        <v/>
      </c>
      <c r="J2239" s="96" t="str">
        <f>IF(D2239="","",COUNTA(D2228:D2239)-(COUNTA(D2239:D2239)-1))</f>
        <v/>
      </c>
    </row>
    <row r="2240" spans="1:10" thickBot="1">
      <c r="A2240" s="117"/>
      <c r="B2240" s="70">
        <f t="shared" si="141"/>
        <v>46032</v>
      </c>
      <c r="C2240" s="82" t="str">
        <f t="shared" si="142"/>
        <v>samedi</v>
      </c>
      <c r="D2240" s="87"/>
      <c r="E2240" s="115" t="str">
        <f t="shared" si="143"/>
        <v/>
      </c>
      <c r="F2240" s="115" t="str">
        <f t="shared" si="144"/>
        <v/>
      </c>
      <c r="G2240" s="116" t="str">
        <f>IF(ISNONTEXT(D2240),"",E2240-MAX($F$2:F2239))</f>
        <v/>
      </c>
      <c r="H2240" s="97"/>
      <c r="I2240" s="74" t="str">
        <f ca="1">IF(D2240="N",COUNTIF(INDIRECT(ADDRESS(MATCH(Plages!$D$19,'Planning annuel mixing coater'!$B:$B),4)):D2240,"N"),IF(D2240="N1",COUNTIF($D$9:D2240,"N1"),""))</f>
        <v/>
      </c>
      <c r="J2240" s="96" t="str">
        <f>IF(D2240="","",COUNTA(D2228:D2240)-(COUNTA(D2240:D2240)-1))</f>
        <v/>
      </c>
    </row>
    <row r="2241" spans="1:10" s="77" customFormat="1" thickBot="1">
      <c r="A2241" s="117"/>
      <c r="B2241" s="75">
        <f t="shared" si="141"/>
        <v>46033</v>
      </c>
      <c r="C2241" s="83" t="str">
        <f t="shared" si="142"/>
        <v>dimanche</v>
      </c>
      <c r="D2241" s="88"/>
      <c r="E2241" s="115" t="str">
        <f t="shared" si="143"/>
        <v/>
      </c>
      <c r="F2241" s="115" t="str">
        <f t="shared" si="144"/>
        <v/>
      </c>
      <c r="G2241" s="116" t="str">
        <f>IF(ISNONTEXT(D2241),"",E2241-MAX($F$2:F2240))</f>
        <v/>
      </c>
      <c r="H2241" s="98"/>
      <c r="I2241" s="76" t="str">
        <f ca="1">IF(D2241="N",COUNTIF(INDIRECT(ADDRESS(MATCH(Plages!$D$19,'Planning annuel mixing coater'!$B:$B),4)):D2241,"N"),IF(D2241="N1",COUNTIF($D$9:D2241,"N1"),""))</f>
        <v/>
      </c>
      <c r="J2241" s="99" t="str">
        <f>IF(D2241="","",COUNTA(D2228:D2241)-(COUNTA(D2241:D2241)-1))</f>
        <v/>
      </c>
    </row>
    <row r="2242" spans="1:10" ht="16.5" thickTop="1" thickBot="1">
      <c r="A2242" s="117"/>
      <c r="B2242" s="78">
        <f t="shared" si="141"/>
        <v>46034</v>
      </c>
      <c r="C2242" s="81" t="str">
        <f t="shared" si="142"/>
        <v>lundi</v>
      </c>
      <c r="D2242" s="89"/>
      <c r="E2242" s="115" t="str">
        <f t="shared" si="143"/>
        <v/>
      </c>
      <c r="F2242" s="115" t="str">
        <f t="shared" si="144"/>
        <v/>
      </c>
      <c r="G2242" s="116" t="str">
        <f>IF(ISNONTEXT(D2242),"",E2242-MAX($F$2:F2241))</f>
        <v/>
      </c>
      <c r="H2242" s="100"/>
      <c r="I2242" s="79" t="str">
        <f ca="1">IF(D2242="N",COUNTIF(INDIRECT(ADDRESS(MATCH(Plages!$D$19,'Planning annuel mixing coater'!$B:$B),4)):D2242,"N"),IF(D2242="N1",COUNTIF($D$9:D2242,"N1"),""))</f>
        <v/>
      </c>
      <c r="J2242" s="101" t="str">
        <f>IF(D2242="","",COUNTA(D2242:D2242)-(COUNTA(D2242:D2242)-1))</f>
        <v/>
      </c>
    </row>
    <row r="2243" spans="1:10" thickBot="1">
      <c r="A2243" s="117"/>
      <c r="B2243" s="70">
        <f t="shared" si="141"/>
        <v>46035</v>
      </c>
      <c r="C2243" s="82" t="str">
        <f t="shared" si="142"/>
        <v>mardi</v>
      </c>
      <c r="D2243" s="87"/>
      <c r="E2243" s="115" t="str">
        <f t="shared" si="143"/>
        <v/>
      </c>
      <c r="F2243" s="115" t="str">
        <f t="shared" si="144"/>
        <v/>
      </c>
      <c r="G2243" s="116" t="str">
        <f>IF(ISNONTEXT(D2243),"",E2243-MAX($F$2:F2242))</f>
        <v/>
      </c>
      <c r="H2243" s="97"/>
      <c r="I2243" s="74" t="str">
        <f ca="1">IF(D2243="N",COUNTIF(INDIRECT(ADDRESS(MATCH(Plages!$D$19,'Planning annuel mixing coater'!$B:$B),4)):D2243,"N"),IF(D2243="N1",COUNTIF($D$9:D2243,"N1"),""))</f>
        <v/>
      </c>
      <c r="J2243" s="96" t="str">
        <f>IF(D2243="","",COUNTA(D2242:D2243)-(COUNTA(D2243:D2243)-1))</f>
        <v/>
      </c>
    </row>
    <row r="2244" spans="1:10" thickBot="1">
      <c r="A2244" s="117"/>
      <c r="B2244" s="70">
        <f t="shared" ref="B2244:B2307" si="145">IF(B2243="","",B2243+1)</f>
        <v>46036</v>
      </c>
      <c r="C2244" s="82" t="str">
        <f t="shared" si="142"/>
        <v>mercredi</v>
      </c>
      <c r="D2244" s="87"/>
      <c r="E2244" s="115" t="str">
        <f t="shared" si="143"/>
        <v/>
      </c>
      <c r="F2244" s="115" t="str">
        <f t="shared" si="144"/>
        <v/>
      </c>
      <c r="G2244" s="116" t="str">
        <f>IF(ISNONTEXT(D2244),"",E2244-MAX($F$2:F2243))</f>
        <v/>
      </c>
      <c r="H2244" s="97"/>
      <c r="I2244" s="74" t="str">
        <f ca="1">IF(D2244="N",COUNTIF(INDIRECT(ADDRESS(MATCH(Plages!$D$19,'Planning annuel mixing coater'!$B:$B),4)):D2244,"N"),IF(D2244="N1",COUNTIF($D$9:D2244,"N1"),""))</f>
        <v/>
      </c>
      <c r="J2244" s="96" t="str">
        <f>IF(D2244="","",COUNTA(D2242:D2244)-(COUNTA(D2244:D2244)-1))</f>
        <v/>
      </c>
    </row>
    <row r="2245" spans="1:10" thickBot="1">
      <c r="A2245" s="117"/>
      <c r="B2245" s="70">
        <f t="shared" si="145"/>
        <v>46037</v>
      </c>
      <c r="C2245" s="82" t="str">
        <f t="shared" si="142"/>
        <v>jeudi</v>
      </c>
      <c r="D2245" s="87"/>
      <c r="E2245" s="115" t="str">
        <f t="shared" si="143"/>
        <v/>
      </c>
      <c r="F2245" s="115" t="str">
        <f t="shared" si="144"/>
        <v/>
      </c>
      <c r="G2245" s="116" t="str">
        <f>IF(ISNONTEXT(D2245),"",E2245-MAX($F$2:F2244))</f>
        <v/>
      </c>
      <c r="H2245" s="97"/>
      <c r="I2245" s="74" t="str">
        <f ca="1">IF(D2245="N",COUNTIF(INDIRECT(ADDRESS(MATCH(Plages!$D$19,'Planning annuel mixing coater'!$B:$B),4)):D2245,"N"),IF(D2245="N1",COUNTIF($D$9:D2245,"N1"),""))</f>
        <v/>
      </c>
      <c r="J2245" s="96" t="str">
        <f>IF(D2245="","",COUNTA(D2242:D2245)-(COUNTA(D2245:D2245)-1))</f>
        <v/>
      </c>
    </row>
    <row r="2246" spans="1:10" thickBot="1">
      <c r="A2246" s="117"/>
      <c r="B2246" s="70">
        <f t="shared" si="145"/>
        <v>46038</v>
      </c>
      <c r="C2246" s="82" t="str">
        <f t="shared" si="142"/>
        <v>vendredi</v>
      </c>
      <c r="D2246" s="87"/>
      <c r="E2246" s="115" t="str">
        <f t="shared" si="143"/>
        <v/>
      </c>
      <c r="F2246" s="115" t="str">
        <f t="shared" si="144"/>
        <v/>
      </c>
      <c r="G2246" s="116" t="str">
        <f>IF(ISNONTEXT(D2246),"",E2246-MAX($F$2:F2245))</f>
        <v/>
      </c>
      <c r="H2246" s="97"/>
      <c r="I2246" s="74" t="str">
        <f ca="1">IF(D2246="N",COUNTIF(INDIRECT(ADDRESS(MATCH(Plages!$D$19,'Planning annuel mixing coater'!$B:$B),4)):D2246,"N"),IF(D2246="N1",COUNTIF($D$9:D2246,"N1"),""))</f>
        <v/>
      </c>
      <c r="J2246" s="96" t="str">
        <f>IF(D2246="","",COUNTA(D2242:D2246)-(COUNTA(D2246:D2246)-1))</f>
        <v/>
      </c>
    </row>
    <row r="2247" spans="1:10" thickBot="1">
      <c r="A2247" s="117"/>
      <c r="B2247" s="70">
        <f t="shared" si="145"/>
        <v>46039</v>
      </c>
      <c r="C2247" s="82" t="str">
        <f t="shared" si="142"/>
        <v>samedi</v>
      </c>
      <c r="D2247" s="87"/>
      <c r="E2247" s="115" t="str">
        <f t="shared" si="143"/>
        <v/>
      </c>
      <c r="F2247" s="115" t="str">
        <f t="shared" si="144"/>
        <v/>
      </c>
      <c r="G2247" s="116" t="str">
        <f>IF(ISNONTEXT(D2247),"",E2247-MAX($F$2:F2246))</f>
        <v/>
      </c>
      <c r="H2247" s="97"/>
      <c r="I2247" s="74" t="str">
        <f ca="1">IF(D2247="N",COUNTIF(INDIRECT(ADDRESS(MATCH(Plages!$D$19,'Planning annuel mixing coater'!$B:$B),4)):D2247,"N"),IF(D2247="N1",COUNTIF($D$9:D2247,"N1"),""))</f>
        <v/>
      </c>
      <c r="J2247" s="96" t="str">
        <f>IF(D2247="","",COUNTA(D2242:D2247)-(COUNTA(D2247:D2247)-1))</f>
        <v/>
      </c>
    </row>
    <row r="2248" spans="1:10" thickBot="1">
      <c r="A2248" s="117"/>
      <c r="B2248" s="70">
        <f t="shared" si="145"/>
        <v>46040</v>
      </c>
      <c r="C2248" s="82" t="str">
        <f t="shared" si="142"/>
        <v>dimanche</v>
      </c>
      <c r="D2248" s="87"/>
      <c r="E2248" s="115" t="str">
        <f t="shared" si="143"/>
        <v/>
      </c>
      <c r="F2248" s="115" t="str">
        <f t="shared" si="144"/>
        <v/>
      </c>
      <c r="G2248" s="116" t="str">
        <f>IF(ISNONTEXT(D2248),"",E2248-MAX($F$2:F2247))</f>
        <v/>
      </c>
      <c r="H2248" s="98"/>
      <c r="I2248" s="74" t="str">
        <f ca="1">IF(D2248="N",COUNTIF(INDIRECT(ADDRESS(MATCH(Plages!$D$19,'Planning annuel mixing coater'!$B:$B),4)):D2248,"N"),IF(D2248="N1",COUNTIF($D$9:D2248,"N1"),""))</f>
        <v/>
      </c>
      <c r="J2248" s="96" t="str">
        <f>IF(D2248="","",COUNTA(D2242:D2248)-(COUNTA(D2248:D2248)-1))</f>
        <v/>
      </c>
    </row>
    <row r="2249" spans="1:10" thickBot="1">
      <c r="A2249" s="117"/>
      <c r="B2249" s="70">
        <f t="shared" si="145"/>
        <v>46041</v>
      </c>
      <c r="C2249" s="82" t="str">
        <f t="shared" si="142"/>
        <v>lundi</v>
      </c>
      <c r="D2249" s="87"/>
      <c r="E2249" s="115" t="str">
        <f t="shared" si="143"/>
        <v/>
      </c>
      <c r="F2249" s="115" t="str">
        <f t="shared" si="144"/>
        <v/>
      </c>
      <c r="G2249" s="116" t="str">
        <f>IF(ISNONTEXT(D2249),"",E2249-MAX($F$2:F2248))</f>
        <v/>
      </c>
      <c r="H2249" s="97"/>
      <c r="I2249" s="74" t="str">
        <f ca="1">IF(D2249="N",COUNTIF(INDIRECT(ADDRESS(MATCH(Plages!$D$19,'Planning annuel mixing coater'!$B:$B),4)):D2249,"N"),IF(D2249="N1",COUNTIF($D$9:D2249,"N1"),""))</f>
        <v/>
      </c>
      <c r="J2249" s="96" t="str">
        <f>IF(D2249="","",COUNTA(D2242:D2249)-(COUNTA(D2249:D2249)-1))</f>
        <v/>
      </c>
    </row>
    <row r="2250" spans="1:10" thickBot="1">
      <c r="A2250" s="117"/>
      <c r="B2250" s="70">
        <f t="shared" si="145"/>
        <v>46042</v>
      </c>
      <c r="C2250" s="82" t="str">
        <f t="shared" si="142"/>
        <v>mardi</v>
      </c>
      <c r="D2250" s="87"/>
      <c r="E2250" s="115" t="str">
        <f t="shared" si="143"/>
        <v/>
      </c>
      <c r="F2250" s="115" t="str">
        <f t="shared" si="144"/>
        <v/>
      </c>
      <c r="G2250" s="116" t="str">
        <f>IF(ISNONTEXT(D2250),"",E2250-MAX($F$2:F2249))</f>
        <v/>
      </c>
      <c r="H2250" s="97"/>
      <c r="I2250" s="74" t="str">
        <f ca="1">IF(D2250="N",COUNTIF(INDIRECT(ADDRESS(MATCH(Plages!$D$19,'Planning annuel mixing coater'!$B:$B),4)):D2250,"N"),IF(D2250="N1",COUNTIF($D$9:D2250,"N1"),""))</f>
        <v/>
      </c>
      <c r="J2250" s="96" t="str">
        <f>IF(D2250="","",COUNTA(D2242:D2250)-(COUNTA(D2250:D2250)-1))</f>
        <v/>
      </c>
    </row>
    <row r="2251" spans="1:10" thickBot="1">
      <c r="A2251" s="117"/>
      <c r="B2251" s="70">
        <f t="shared" si="145"/>
        <v>46043</v>
      </c>
      <c r="C2251" s="82" t="str">
        <f t="shared" si="142"/>
        <v>mercredi</v>
      </c>
      <c r="D2251" s="87"/>
      <c r="E2251" s="115" t="str">
        <f t="shared" si="143"/>
        <v/>
      </c>
      <c r="F2251" s="115" t="str">
        <f t="shared" si="144"/>
        <v/>
      </c>
      <c r="G2251" s="116" t="str">
        <f>IF(ISNONTEXT(D2251),"",E2251-MAX($F$2:F2250))</f>
        <v/>
      </c>
      <c r="H2251" s="97"/>
      <c r="I2251" s="74" t="str">
        <f ca="1">IF(D2251="N",COUNTIF(INDIRECT(ADDRESS(MATCH(Plages!$D$19,'Planning annuel mixing coater'!$B:$B),4)):D2251,"N"),IF(D2251="N1",COUNTIF($D$9:D2251,"N1"),""))</f>
        <v/>
      </c>
      <c r="J2251" s="96" t="str">
        <f>IF(D2251="","",COUNTA(D2242:D2251)-(COUNTA(D2251:D2251)-1))</f>
        <v/>
      </c>
    </row>
    <row r="2252" spans="1:10" thickBot="1">
      <c r="A2252" s="117"/>
      <c r="B2252" s="70">
        <f t="shared" si="145"/>
        <v>46044</v>
      </c>
      <c r="C2252" s="82" t="str">
        <f t="shared" si="142"/>
        <v>jeudi</v>
      </c>
      <c r="D2252" s="87"/>
      <c r="E2252" s="115" t="str">
        <f t="shared" si="143"/>
        <v/>
      </c>
      <c r="F2252" s="115" t="str">
        <f t="shared" si="144"/>
        <v/>
      </c>
      <c r="G2252" s="116" t="str">
        <f>IF(ISNONTEXT(D2252),"",E2252-MAX($F$2:F2251))</f>
        <v/>
      </c>
      <c r="H2252" s="97"/>
      <c r="I2252" s="74" t="str">
        <f ca="1">IF(D2252="N",COUNTIF(INDIRECT(ADDRESS(MATCH(Plages!$D$19,'Planning annuel mixing coater'!$B:$B),4)):D2252,"N"),IF(D2252="N1",COUNTIF($D$9:D2252,"N1"),""))</f>
        <v/>
      </c>
      <c r="J2252" s="96" t="str">
        <f>IF(D2252="","",COUNTA(D2242:D2252)-(COUNTA(D2252:D2252)-1))</f>
        <v/>
      </c>
    </row>
    <row r="2253" spans="1:10" thickBot="1">
      <c r="A2253" s="117"/>
      <c r="B2253" s="70">
        <f t="shared" si="145"/>
        <v>46045</v>
      </c>
      <c r="C2253" s="82" t="str">
        <f t="shared" si="142"/>
        <v>vendredi</v>
      </c>
      <c r="D2253" s="87"/>
      <c r="E2253" s="115" t="str">
        <f t="shared" si="143"/>
        <v/>
      </c>
      <c r="F2253" s="115" t="str">
        <f t="shared" si="144"/>
        <v/>
      </c>
      <c r="G2253" s="116" t="str">
        <f>IF(ISNONTEXT(D2253),"",E2253-MAX($F$2:F2252))</f>
        <v/>
      </c>
      <c r="H2253" s="97"/>
      <c r="I2253" s="74" t="str">
        <f ca="1">IF(D2253="N",COUNTIF(INDIRECT(ADDRESS(MATCH(Plages!$D$19,'Planning annuel mixing coater'!$B:$B),4)):D2253,"N"),IF(D2253="N1",COUNTIF($D$9:D2253,"N1"),""))</f>
        <v/>
      </c>
      <c r="J2253" s="96" t="str">
        <f>IF(D2253="","",COUNTA(D2242:D2253)-(COUNTA(D2253:D2253)-1))</f>
        <v/>
      </c>
    </row>
    <row r="2254" spans="1:10" thickBot="1">
      <c r="A2254" s="117"/>
      <c r="B2254" s="70">
        <f t="shared" si="145"/>
        <v>46046</v>
      </c>
      <c r="C2254" s="82" t="str">
        <f t="shared" si="142"/>
        <v>samedi</v>
      </c>
      <c r="D2254" s="87"/>
      <c r="E2254" s="115" t="str">
        <f t="shared" si="143"/>
        <v/>
      </c>
      <c r="F2254" s="115" t="str">
        <f t="shared" si="144"/>
        <v/>
      </c>
      <c r="G2254" s="116" t="str">
        <f>IF(ISNONTEXT(D2254),"",E2254-MAX($F$2:F2253))</f>
        <v/>
      </c>
      <c r="H2254" s="97"/>
      <c r="I2254" s="74" t="str">
        <f ca="1">IF(D2254="N",COUNTIF(INDIRECT(ADDRESS(MATCH(Plages!$D$19,'Planning annuel mixing coater'!$B:$B),4)):D2254,"N"),IF(D2254="N1",COUNTIF($D$9:D2254,"N1"),""))</f>
        <v/>
      </c>
      <c r="J2254" s="96" t="str">
        <f>IF(D2254="","",COUNTA(D2242:D2254)-(COUNTA(D2254:D2254)-1))</f>
        <v/>
      </c>
    </row>
    <row r="2255" spans="1:10" s="77" customFormat="1" thickBot="1">
      <c r="A2255" s="117"/>
      <c r="B2255" s="75">
        <f t="shared" si="145"/>
        <v>46047</v>
      </c>
      <c r="C2255" s="83" t="str">
        <f t="shared" si="142"/>
        <v>dimanche</v>
      </c>
      <c r="D2255" s="88"/>
      <c r="E2255" s="115" t="str">
        <f t="shared" si="143"/>
        <v/>
      </c>
      <c r="F2255" s="115" t="str">
        <f t="shared" si="144"/>
        <v/>
      </c>
      <c r="G2255" s="116" t="str">
        <f>IF(ISNONTEXT(D2255),"",E2255-MAX($F$2:F2254))</f>
        <v/>
      </c>
      <c r="H2255" s="98"/>
      <c r="I2255" s="76" t="str">
        <f ca="1">IF(D2255="N",COUNTIF(INDIRECT(ADDRESS(MATCH(Plages!$D$19,'Planning annuel mixing coater'!$B:$B),4)):D2255,"N"),IF(D2255="N1",COUNTIF($D$9:D2255,"N1"),""))</f>
        <v/>
      </c>
      <c r="J2255" s="99" t="str">
        <f>IF(D2255="","",COUNTA(D2242:D2255)-(COUNTA(D2255:D2255)-1))</f>
        <v/>
      </c>
    </row>
    <row r="2256" spans="1:10" ht="16.5" thickTop="1" thickBot="1">
      <c r="A2256" s="117"/>
      <c r="B2256" s="78">
        <f t="shared" si="145"/>
        <v>46048</v>
      </c>
      <c r="C2256" s="81" t="str">
        <f t="shared" si="142"/>
        <v>lundi</v>
      </c>
      <c r="D2256" s="89"/>
      <c r="E2256" s="115" t="str">
        <f t="shared" si="143"/>
        <v/>
      </c>
      <c r="F2256" s="115" t="str">
        <f t="shared" si="144"/>
        <v/>
      </c>
      <c r="G2256" s="116" t="str">
        <f>IF(ISNONTEXT(D2256),"",E2256-MAX($F$2:F2255))</f>
        <v/>
      </c>
      <c r="H2256" s="100"/>
      <c r="I2256" s="79" t="str">
        <f ca="1">IF(D2256="N",COUNTIF(INDIRECT(ADDRESS(MATCH(Plages!$D$19,'Planning annuel mixing coater'!$B:$B),4)):D2256,"N"),IF(D2256="N1",COUNTIF($D$9:D2256,"N1"),""))</f>
        <v/>
      </c>
      <c r="J2256" s="101" t="str">
        <f>IF(D2256="","",COUNTA(D2256:D2256)-(COUNTA(D2256:D2256)-1))</f>
        <v/>
      </c>
    </row>
    <row r="2257" spans="1:10" thickBot="1">
      <c r="A2257" s="117"/>
      <c r="B2257" s="70">
        <f t="shared" si="145"/>
        <v>46049</v>
      </c>
      <c r="C2257" s="82" t="str">
        <f t="shared" si="142"/>
        <v>mardi</v>
      </c>
      <c r="D2257" s="87"/>
      <c r="E2257" s="115" t="str">
        <f t="shared" si="143"/>
        <v/>
      </c>
      <c r="F2257" s="115" t="str">
        <f t="shared" si="144"/>
        <v/>
      </c>
      <c r="G2257" s="116" t="str">
        <f>IF(ISNONTEXT(D2257),"",E2257-MAX($F$2:F2256))</f>
        <v/>
      </c>
      <c r="H2257" s="97"/>
      <c r="I2257" s="74" t="str">
        <f ca="1">IF(D2257="N",COUNTIF(INDIRECT(ADDRESS(MATCH(Plages!$D$19,'Planning annuel mixing coater'!$B:$B),4)):D2257,"N"),IF(D2257="N1",COUNTIF($D$9:D2257,"N1"),""))</f>
        <v/>
      </c>
      <c r="J2257" s="96" t="str">
        <f>IF(D2257="","",COUNTA(D2256:D2257)-(COUNTA(D2257:D2257)-1))</f>
        <v/>
      </c>
    </row>
    <row r="2258" spans="1:10" thickBot="1">
      <c r="A2258" s="117"/>
      <c r="B2258" s="70">
        <f t="shared" si="145"/>
        <v>46050</v>
      </c>
      <c r="C2258" s="82" t="str">
        <f t="shared" si="142"/>
        <v>mercredi</v>
      </c>
      <c r="D2258" s="87"/>
      <c r="E2258" s="115" t="str">
        <f t="shared" si="143"/>
        <v/>
      </c>
      <c r="F2258" s="115" t="str">
        <f t="shared" si="144"/>
        <v/>
      </c>
      <c r="G2258" s="116" t="str">
        <f>IF(ISNONTEXT(D2258),"",E2258-MAX($F$2:F2257))</f>
        <v/>
      </c>
      <c r="H2258" s="97"/>
      <c r="I2258" s="74" t="str">
        <f ca="1">IF(D2258="N",COUNTIF(INDIRECT(ADDRESS(MATCH(Plages!$D$19,'Planning annuel mixing coater'!$B:$B),4)):D2258,"N"),IF(D2258="N1",COUNTIF($D$9:D2258,"N1"),""))</f>
        <v/>
      </c>
      <c r="J2258" s="96" t="str">
        <f>IF(D2258="","",COUNTA(D2256:D2258)-(COUNTA(D2258:D2258)-1))</f>
        <v/>
      </c>
    </row>
    <row r="2259" spans="1:10" thickBot="1">
      <c r="A2259" s="117"/>
      <c r="B2259" s="70">
        <f t="shared" si="145"/>
        <v>46051</v>
      </c>
      <c r="C2259" s="82" t="str">
        <f t="shared" si="142"/>
        <v>jeudi</v>
      </c>
      <c r="D2259" s="87"/>
      <c r="E2259" s="115" t="str">
        <f t="shared" si="143"/>
        <v/>
      </c>
      <c r="F2259" s="115" t="str">
        <f t="shared" si="144"/>
        <v/>
      </c>
      <c r="G2259" s="116" t="str">
        <f>IF(ISNONTEXT(D2259),"",E2259-MAX($F$2:F2258))</f>
        <v/>
      </c>
      <c r="H2259" s="97"/>
      <c r="I2259" s="74" t="str">
        <f ca="1">IF(D2259="N",COUNTIF(INDIRECT(ADDRESS(MATCH(Plages!$D$19,'Planning annuel mixing coater'!$B:$B),4)):D2259,"N"),IF(D2259="N1",COUNTIF($D$9:D2259,"N1"),""))</f>
        <v/>
      </c>
      <c r="J2259" s="96" t="str">
        <f>IF(D2259="","",COUNTA(D2256:D2259)-(COUNTA(D2259:D2259)-1))</f>
        <v/>
      </c>
    </row>
    <row r="2260" spans="1:10" thickBot="1">
      <c r="A2260" s="117"/>
      <c r="B2260" s="70">
        <f t="shared" si="145"/>
        <v>46052</v>
      </c>
      <c r="C2260" s="82" t="str">
        <f t="shared" si="142"/>
        <v>vendredi</v>
      </c>
      <c r="D2260" s="87"/>
      <c r="E2260" s="115" t="str">
        <f t="shared" si="143"/>
        <v/>
      </c>
      <c r="F2260" s="115" t="str">
        <f t="shared" si="144"/>
        <v/>
      </c>
      <c r="G2260" s="116" t="str">
        <f>IF(ISNONTEXT(D2260),"",E2260-MAX($F$2:F2259))</f>
        <v/>
      </c>
      <c r="H2260" s="97"/>
      <c r="I2260" s="74" t="str">
        <f ca="1">IF(D2260="N",COUNTIF(INDIRECT(ADDRESS(MATCH(Plages!$D$19,'Planning annuel mixing coater'!$B:$B),4)):D2260,"N"),IF(D2260="N1",COUNTIF($D$9:D2260,"N1"),""))</f>
        <v/>
      </c>
      <c r="J2260" s="96" t="str">
        <f>IF(D2260="","",COUNTA(D2256:D2260)-(COUNTA(D2260:D2260)-1))</f>
        <v/>
      </c>
    </row>
    <row r="2261" spans="1:10" thickBot="1">
      <c r="A2261" s="117"/>
      <c r="B2261" s="70">
        <f t="shared" si="145"/>
        <v>46053</v>
      </c>
      <c r="C2261" s="82" t="str">
        <f t="shared" si="142"/>
        <v>samedi</v>
      </c>
      <c r="D2261" s="87"/>
      <c r="E2261" s="115" t="str">
        <f t="shared" si="143"/>
        <v/>
      </c>
      <c r="F2261" s="115" t="str">
        <f t="shared" si="144"/>
        <v/>
      </c>
      <c r="G2261" s="116" t="str">
        <f>IF(ISNONTEXT(D2261),"",E2261-MAX($F$2:F2260))</f>
        <v/>
      </c>
      <c r="H2261" s="97"/>
      <c r="I2261" s="74" t="str">
        <f ca="1">IF(D2261="N",COUNTIF(INDIRECT(ADDRESS(MATCH(Plages!$D$19,'Planning annuel mixing coater'!$B:$B),4)):D2261,"N"),IF(D2261="N1",COUNTIF($D$9:D2261,"N1"),""))</f>
        <v/>
      </c>
      <c r="J2261" s="96" t="str">
        <f>IF(D2261="","",COUNTA(D2256:D2261)-(COUNTA(D2261:D2261)-1))</f>
        <v/>
      </c>
    </row>
    <row r="2262" spans="1:10" thickBot="1">
      <c r="A2262" s="117"/>
      <c r="B2262" s="70">
        <f t="shared" si="145"/>
        <v>46054</v>
      </c>
      <c r="C2262" s="82" t="str">
        <f t="shared" si="142"/>
        <v>dimanche</v>
      </c>
      <c r="D2262" s="87"/>
      <c r="E2262" s="115" t="str">
        <f t="shared" si="143"/>
        <v/>
      </c>
      <c r="F2262" s="115" t="str">
        <f t="shared" si="144"/>
        <v/>
      </c>
      <c r="G2262" s="116" t="str">
        <f>IF(ISNONTEXT(D2262),"",E2262-MAX($F$2:F2261))</f>
        <v/>
      </c>
      <c r="H2262" s="98"/>
      <c r="I2262" s="74" t="str">
        <f ca="1">IF(D2262="N",COUNTIF(INDIRECT(ADDRESS(MATCH(Plages!$D$19,'Planning annuel mixing coater'!$B:$B),4)):D2262,"N"),IF(D2262="N1",COUNTIF($D$9:D2262,"N1"),""))</f>
        <v/>
      </c>
      <c r="J2262" s="96" t="str">
        <f>IF(D2262="","",COUNTA(D2256:D2262)-(COUNTA(D2262:D2262)-1))</f>
        <v/>
      </c>
    </row>
    <row r="2263" spans="1:10" thickBot="1">
      <c r="A2263" s="117"/>
      <c r="B2263" s="70">
        <f t="shared" si="145"/>
        <v>46055</v>
      </c>
      <c r="C2263" s="82" t="str">
        <f t="shared" si="142"/>
        <v>lundi</v>
      </c>
      <c r="D2263" s="87"/>
      <c r="E2263" s="115" t="str">
        <f t="shared" si="143"/>
        <v/>
      </c>
      <c r="F2263" s="115" t="str">
        <f t="shared" si="144"/>
        <v/>
      </c>
      <c r="G2263" s="116" t="str">
        <f>IF(ISNONTEXT(D2263),"",E2263-MAX($F$2:F2262))</f>
        <v/>
      </c>
      <c r="H2263" s="97"/>
      <c r="I2263" s="74" t="str">
        <f ca="1">IF(D2263="N",COUNTIF(INDIRECT(ADDRESS(MATCH(Plages!$D$19,'Planning annuel mixing coater'!$B:$B),4)):D2263,"N"),IF(D2263="N1",COUNTIF($D$9:D2263,"N1"),""))</f>
        <v/>
      </c>
      <c r="J2263" s="96" t="str">
        <f>IF(D2263="","",COUNTA(D2256:D2263)-(COUNTA(D2263:D2263)-1))</f>
        <v/>
      </c>
    </row>
    <row r="2264" spans="1:10" thickBot="1">
      <c r="A2264" s="117"/>
      <c r="B2264" s="70">
        <f t="shared" si="145"/>
        <v>46056</v>
      </c>
      <c r="C2264" s="82" t="str">
        <f t="shared" si="142"/>
        <v>mardi</v>
      </c>
      <c r="D2264" s="87"/>
      <c r="E2264" s="115" t="str">
        <f t="shared" si="143"/>
        <v/>
      </c>
      <c r="F2264" s="115" t="str">
        <f t="shared" si="144"/>
        <v/>
      </c>
      <c r="G2264" s="116" t="str">
        <f>IF(ISNONTEXT(D2264),"",E2264-MAX($F$2:F2263))</f>
        <v/>
      </c>
      <c r="H2264" s="97"/>
      <c r="I2264" s="74" t="str">
        <f ca="1">IF(D2264="N",COUNTIF(INDIRECT(ADDRESS(MATCH(Plages!$D$19,'Planning annuel mixing coater'!$B:$B),4)):D2264,"N"),IF(D2264="N1",COUNTIF($D$9:D2264,"N1"),""))</f>
        <v/>
      </c>
      <c r="J2264" s="96" t="str">
        <f>IF(D2264="","",COUNTA(D2256:D2264)-(COUNTA(D2264:D2264)-1))</f>
        <v/>
      </c>
    </row>
    <row r="2265" spans="1:10" thickBot="1">
      <c r="A2265" s="117"/>
      <c r="B2265" s="70">
        <f t="shared" si="145"/>
        <v>46057</v>
      </c>
      <c r="C2265" s="82" t="str">
        <f t="shared" si="142"/>
        <v>mercredi</v>
      </c>
      <c r="D2265" s="87"/>
      <c r="E2265" s="115" t="str">
        <f t="shared" si="143"/>
        <v/>
      </c>
      <c r="F2265" s="115" t="str">
        <f t="shared" si="144"/>
        <v/>
      </c>
      <c r="G2265" s="116" t="str">
        <f>IF(ISNONTEXT(D2265),"",E2265-MAX($F$2:F2264))</f>
        <v/>
      </c>
      <c r="H2265" s="97"/>
      <c r="I2265" s="74" t="str">
        <f ca="1">IF(D2265="N",COUNTIF(INDIRECT(ADDRESS(MATCH(Plages!$D$19,'Planning annuel mixing coater'!$B:$B),4)):D2265,"N"),IF(D2265="N1",COUNTIF($D$9:D2265,"N1"),""))</f>
        <v/>
      </c>
      <c r="J2265" s="96" t="str">
        <f>IF(D2265="","",COUNTA(D2256:D2265)-(COUNTA(D2265:D2265)-1))</f>
        <v/>
      </c>
    </row>
    <row r="2266" spans="1:10" thickBot="1">
      <c r="A2266" s="117"/>
      <c r="B2266" s="70">
        <f t="shared" si="145"/>
        <v>46058</v>
      </c>
      <c r="C2266" s="82" t="str">
        <f t="shared" si="142"/>
        <v>jeudi</v>
      </c>
      <c r="D2266" s="87"/>
      <c r="E2266" s="115" t="str">
        <f t="shared" si="143"/>
        <v/>
      </c>
      <c r="F2266" s="115" t="str">
        <f t="shared" si="144"/>
        <v/>
      </c>
      <c r="G2266" s="116" t="str">
        <f>IF(ISNONTEXT(D2266),"",E2266-MAX($F$2:F2265))</f>
        <v/>
      </c>
      <c r="H2266" s="97"/>
      <c r="I2266" s="74" t="str">
        <f ca="1">IF(D2266="N",COUNTIF(INDIRECT(ADDRESS(MATCH(Plages!$D$19,'Planning annuel mixing coater'!$B:$B),4)):D2266,"N"),IF(D2266="N1",COUNTIF($D$9:D2266,"N1"),""))</f>
        <v/>
      </c>
      <c r="J2266" s="96" t="str">
        <f>IF(D2266="","",COUNTA(D2256:D2266)-(COUNTA(D2266:D2266)-1))</f>
        <v/>
      </c>
    </row>
    <row r="2267" spans="1:10" thickBot="1">
      <c r="A2267" s="117"/>
      <c r="B2267" s="70">
        <f t="shared" si="145"/>
        <v>46059</v>
      </c>
      <c r="C2267" s="82" t="str">
        <f t="shared" si="142"/>
        <v>vendredi</v>
      </c>
      <c r="D2267" s="87"/>
      <c r="E2267" s="115" t="str">
        <f t="shared" si="143"/>
        <v/>
      </c>
      <c r="F2267" s="115" t="str">
        <f t="shared" si="144"/>
        <v/>
      </c>
      <c r="G2267" s="116" t="str">
        <f>IF(ISNONTEXT(D2267),"",E2267-MAX($F$2:F2266))</f>
        <v/>
      </c>
      <c r="H2267" s="97"/>
      <c r="I2267" s="74" t="str">
        <f ca="1">IF(D2267="N",COUNTIF(INDIRECT(ADDRESS(MATCH(Plages!$D$19,'Planning annuel mixing coater'!$B:$B),4)):D2267,"N"),IF(D2267="N1",COUNTIF($D$9:D2267,"N1"),""))</f>
        <v/>
      </c>
      <c r="J2267" s="96" t="str">
        <f>IF(D2267="","",COUNTA(D2256:D2267)-(COUNTA(D2267:D2267)-1))</f>
        <v/>
      </c>
    </row>
    <row r="2268" spans="1:10" thickBot="1">
      <c r="A2268" s="117"/>
      <c r="B2268" s="70">
        <f t="shared" si="145"/>
        <v>46060</v>
      </c>
      <c r="C2268" s="82" t="str">
        <f t="shared" si="142"/>
        <v>samedi</v>
      </c>
      <c r="D2268" s="87"/>
      <c r="E2268" s="115" t="str">
        <f t="shared" si="143"/>
        <v/>
      </c>
      <c r="F2268" s="115" t="str">
        <f t="shared" si="144"/>
        <v/>
      </c>
      <c r="G2268" s="116" t="str">
        <f>IF(ISNONTEXT(D2268),"",E2268-MAX($F$2:F2267))</f>
        <v/>
      </c>
      <c r="H2268" s="97"/>
      <c r="I2268" s="74" t="str">
        <f ca="1">IF(D2268="N",COUNTIF(INDIRECT(ADDRESS(MATCH(Plages!$D$19,'Planning annuel mixing coater'!$B:$B),4)):D2268,"N"),IF(D2268="N1",COUNTIF($D$9:D2268,"N1"),""))</f>
        <v/>
      </c>
      <c r="J2268" s="96" t="str">
        <f>IF(D2268="","",COUNTA(D2256:D2268)-(COUNTA(D2268:D2268)-1))</f>
        <v/>
      </c>
    </row>
    <row r="2269" spans="1:10" s="77" customFormat="1" thickBot="1">
      <c r="A2269" s="117"/>
      <c r="B2269" s="75">
        <f t="shared" si="145"/>
        <v>46061</v>
      </c>
      <c r="C2269" s="83" t="str">
        <f t="shared" si="142"/>
        <v>dimanche</v>
      </c>
      <c r="D2269" s="88"/>
      <c r="E2269" s="115" t="str">
        <f t="shared" si="143"/>
        <v/>
      </c>
      <c r="F2269" s="115" t="str">
        <f t="shared" si="144"/>
        <v/>
      </c>
      <c r="G2269" s="116" t="str">
        <f>IF(ISNONTEXT(D2269),"",E2269-MAX($F$2:F2268))</f>
        <v/>
      </c>
      <c r="H2269" s="98"/>
      <c r="I2269" s="76" t="str">
        <f ca="1">IF(D2269="N",COUNTIF(INDIRECT(ADDRESS(MATCH(Plages!$D$19,'Planning annuel mixing coater'!$B:$B),4)):D2269,"N"),IF(D2269="N1",COUNTIF($D$9:D2269,"N1"),""))</f>
        <v/>
      </c>
      <c r="J2269" s="99" t="str">
        <f>IF(D2269="","",COUNTA(D2256:D2269)-(COUNTA(D2269:D2269)-1))</f>
        <v/>
      </c>
    </row>
    <row r="2270" spans="1:10" ht="16.5" thickTop="1" thickBot="1">
      <c r="A2270" s="117"/>
      <c r="B2270" s="78">
        <f t="shared" si="145"/>
        <v>46062</v>
      </c>
      <c r="C2270" s="81" t="str">
        <f t="shared" ref="C2270:C2333" si="146">IF(B2270="","",TEXT(B2270,"jjjj"))</f>
        <v>lundi</v>
      </c>
      <c r="D2270" s="89"/>
      <c r="E2270" s="115" t="str">
        <f t="shared" ref="E2270:E2333" si="147">IF(D2270="","",B2270+VLOOKUP(D2270,Plageh,2,0))</f>
        <v/>
      </c>
      <c r="F2270" s="115" t="str">
        <f t="shared" ref="F2270:F2333" si="148">IF(D2270="","",B2270+VLOOKUP(D2270,Plageh,3,0))</f>
        <v/>
      </c>
      <c r="G2270" s="116" t="str">
        <f>IF(ISNONTEXT(D2270),"",E2270-MAX($F$2:F2269))</f>
        <v/>
      </c>
      <c r="H2270" s="100"/>
      <c r="I2270" s="79" t="str">
        <f ca="1">IF(D2270="N",COUNTIF(INDIRECT(ADDRESS(MATCH(Plages!$D$19,'Planning annuel mixing coater'!$B:$B),4)):D2270,"N"),IF(D2270="N1",COUNTIF($D$9:D2270,"N1"),""))</f>
        <v/>
      </c>
      <c r="J2270" s="101" t="str">
        <f>IF(D2270="","",COUNTA(D2270:D2270)-(COUNTA(D2270:D2270)-1))</f>
        <v/>
      </c>
    </row>
    <row r="2271" spans="1:10" thickBot="1">
      <c r="A2271" s="117"/>
      <c r="B2271" s="70">
        <f t="shared" si="145"/>
        <v>46063</v>
      </c>
      <c r="C2271" s="82" t="str">
        <f t="shared" si="146"/>
        <v>mardi</v>
      </c>
      <c r="D2271" s="87"/>
      <c r="E2271" s="115" t="str">
        <f t="shared" si="147"/>
        <v/>
      </c>
      <c r="F2271" s="115" t="str">
        <f t="shared" si="148"/>
        <v/>
      </c>
      <c r="G2271" s="116" t="str">
        <f>IF(ISNONTEXT(D2271),"",E2271-MAX($F$2:F2270))</f>
        <v/>
      </c>
      <c r="H2271" s="97"/>
      <c r="I2271" s="74" t="str">
        <f ca="1">IF(D2271="N",COUNTIF(INDIRECT(ADDRESS(MATCH(Plages!$D$19,'Planning annuel mixing coater'!$B:$B),4)):D2271,"N"),IF(D2271="N1",COUNTIF($D$9:D2271,"N1"),""))</f>
        <v/>
      </c>
      <c r="J2271" s="96" t="str">
        <f>IF(D2271="","",COUNTA(D2270:D2271)-(COUNTA(D2271:D2271)-1))</f>
        <v/>
      </c>
    </row>
    <row r="2272" spans="1:10" thickBot="1">
      <c r="A2272" s="117"/>
      <c r="B2272" s="70">
        <f t="shared" si="145"/>
        <v>46064</v>
      </c>
      <c r="C2272" s="82" t="str">
        <f t="shared" si="146"/>
        <v>mercredi</v>
      </c>
      <c r="D2272" s="87"/>
      <c r="E2272" s="115" t="str">
        <f t="shared" si="147"/>
        <v/>
      </c>
      <c r="F2272" s="115" t="str">
        <f t="shared" si="148"/>
        <v/>
      </c>
      <c r="G2272" s="116" t="str">
        <f>IF(ISNONTEXT(D2272),"",E2272-MAX($F$2:F2271))</f>
        <v/>
      </c>
      <c r="H2272" s="97"/>
      <c r="I2272" s="74" t="str">
        <f ca="1">IF(D2272="N",COUNTIF(INDIRECT(ADDRESS(MATCH(Plages!$D$19,'Planning annuel mixing coater'!$B:$B),4)):D2272,"N"),IF(D2272="N1",COUNTIF($D$9:D2272,"N1"),""))</f>
        <v/>
      </c>
      <c r="J2272" s="96" t="str">
        <f>IF(D2272="","",COUNTA(D2270:D2272)-(COUNTA(D2272:D2272)-1))</f>
        <v/>
      </c>
    </row>
    <row r="2273" spans="1:10" thickBot="1">
      <c r="A2273" s="117"/>
      <c r="B2273" s="70">
        <f t="shared" si="145"/>
        <v>46065</v>
      </c>
      <c r="C2273" s="82" t="str">
        <f t="shared" si="146"/>
        <v>jeudi</v>
      </c>
      <c r="D2273" s="87"/>
      <c r="E2273" s="115" t="str">
        <f t="shared" si="147"/>
        <v/>
      </c>
      <c r="F2273" s="115" t="str">
        <f t="shared" si="148"/>
        <v/>
      </c>
      <c r="G2273" s="116" t="str">
        <f>IF(ISNONTEXT(D2273),"",E2273-MAX($F$2:F2272))</f>
        <v/>
      </c>
      <c r="H2273" s="97"/>
      <c r="I2273" s="74" t="str">
        <f ca="1">IF(D2273="N",COUNTIF(INDIRECT(ADDRESS(MATCH(Plages!$D$19,'Planning annuel mixing coater'!$B:$B),4)):D2273,"N"),IF(D2273="N1",COUNTIF($D$9:D2273,"N1"),""))</f>
        <v/>
      </c>
      <c r="J2273" s="96" t="str">
        <f>IF(D2273="","",COUNTA(D2270:D2273)-(COUNTA(D2273:D2273)-1))</f>
        <v/>
      </c>
    </row>
    <row r="2274" spans="1:10" thickBot="1">
      <c r="A2274" s="117"/>
      <c r="B2274" s="70">
        <f t="shared" si="145"/>
        <v>46066</v>
      </c>
      <c r="C2274" s="82" t="str">
        <f t="shared" si="146"/>
        <v>vendredi</v>
      </c>
      <c r="D2274" s="87"/>
      <c r="E2274" s="115" t="str">
        <f t="shared" si="147"/>
        <v/>
      </c>
      <c r="F2274" s="115" t="str">
        <f t="shared" si="148"/>
        <v/>
      </c>
      <c r="G2274" s="116" t="str">
        <f>IF(ISNONTEXT(D2274),"",E2274-MAX($F$2:F2273))</f>
        <v/>
      </c>
      <c r="H2274" s="97"/>
      <c r="I2274" s="74" t="str">
        <f ca="1">IF(D2274="N",COUNTIF(INDIRECT(ADDRESS(MATCH(Plages!$D$19,'Planning annuel mixing coater'!$B:$B),4)):D2274,"N"),IF(D2274="N1",COUNTIF($D$9:D2274,"N1"),""))</f>
        <v/>
      </c>
      <c r="J2274" s="96" t="str">
        <f>IF(D2274="","",COUNTA(D2270:D2274)-(COUNTA(D2274:D2274)-1))</f>
        <v/>
      </c>
    </row>
    <row r="2275" spans="1:10" thickBot="1">
      <c r="A2275" s="117"/>
      <c r="B2275" s="70">
        <f t="shared" si="145"/>
        <v>46067</v>
      </c>
      <c r="C2275" s="82" t="str">
        <f t="shared" si="146"/>
        <v>samedi</v>
      </c>
      <c r="D2275" s="87"/>
      <c r="E2275" s="115" t="str">
        <f t="shared" si="147"/>
        <v/>
      </c>
      <c r="F2275" s="115" t="str">
        <f t="shared" si="148"/>
        <v/>
      </c>
      <c r="G2275" s="116" t="str">
        <f>IF(ISNONTEXT(D2275),"",E2275-MAX($F$2:F2274))</f>
        <v/>
      </c>
      <c r="H2275" s="97"/>
      <c r="I2275" s="74" t="str">
        <f ca="1">IF(D2275="N",COUNTIF(INDIRECT(ADDRESS(MATCH(Plages!$D$19,'Planning annuel mixing coater'!$B:$B),4)):D2275,"N"),IF(D2275="N1",COUNTIF($D$9:D2275,"N1"),""))</f>
        <v/>
      </c>
      <c r="J2275" s="96" t="str">
        <f>IF(D2275="","",COUNTA(D2270:D2275)-(COUNTA(D2275:D2275)-1))</f>
        <v/>
      </c>
    </row>
    <row r="2276" spans="1:10" thickBot="1">
      <c r="A2276" s="117"/>
      <c r="B2276" s="70">
        <f t="shared" si="145"/>
        <v>46068</v>
      </c>
      <c r="C2276" s="82" t="str">
        <f t="shared" si="146"/>
        <v>dimanche</v>
      </c>
      <c r="D2276" s="87"/>
      <c r="E2276" s="115" t="str">
        <f t="shared" si="147"/>
        <v/>
      </c>
      <c r="F2276" s="115" t="str">
        <f t="shared" si="148"/>
        <v/>
      </c>
      <c r="G2276" s="116" t="str">
        <f>IF(ISNONTEXT(D2276),"",E2276-MAX($F$2:F2275))</f>
        <v/>
      </c>
      <c r="H2276" s="98"/>
      <c r="I2276" s="74" t="str">
        <f ca="1">IF(D2276="N",COUNTIF(INDIRECT(ADDRESS(MATCH(Plages!$D$19,'Planning annuel mixing coater'!$B:$B),4)):D2276,"N"),IF(D2276="N1",COUNTIF($D$9:D2276,"N1"),""))</f>
        <v/>
      </c>
      <c r="J2276" s="96" t="str">
        <f>IF(D2276="","",COUNTA(D2270:D2276)-(COUNTA(D2276:D2276)-1))</f>
        <v/>
      </c>
    </row>
    <row r="2277" spans="1:10" thickBot="1">
      <c r="A2277" s="117"/>
      <c r="B2277" s="70">
        <f t="shared" si="145"/>
        <v>46069</v>
      </c>
      <c r="C2277" s="82" t="str">
        <f t="shared" si="146"/>
        <v>lundi</v>
      </c>
      <c r="D2277" s="87"/>
      <c r="E2277" s="115" t="str">
        <f t="shared" si="147"/>
        <v/>
      </c>
      <c r="F2277" s="115" t="str">
        <f t="shared" si="148"/>
        <v/>
      </c>
      <c r="G2277" s="116" t="str">
        <f>IF(ISNONTEXT(D2277),"",E2277-MAX($F$2:F2276))</f>
        <v/>
      </c>
      <c r="H2277" s="97"/>
      <c r="I2277" s="74" t="str">
        <f ca="1">IF(D2277="N",COUNTIF(INDIRECT(ADDRESS(MATCH(Plages!$D$19,'Planning annuel mixing coater'!$B:$B),4)):D2277,"N"),IF(D2277="N1",COUNTIF($D$9:D2277,"N1"),""))</f>
        <v/>
      </c>
      <c r="J2277" s="96" t="str">
        <f>IF(D2277="","",COUNTA(D2270:D2277)-(COUNTA(D2277:D2277)-1))</f>
        <v/>
      </c>
    </row>
    <row r="2278" spans="1:10" thickBot="1">
      <c r="A2278" s="117"/>
      <c r="B2278" s="70">
        <f t="shared" si="145"/>
        <v>46070</v>
      </c>
      <c r="C2278" s="82" t="str">
        <f t="shared" si="146"/>
        <v>mardi</v>
      </c>
      <c r="D2278" s="87"/>
      <c r="E2278" s="115" t="str">
        <f t="shared" si="147"/>
        <v/>
      </c>
      <c r="F2278" s="115" t="str">
        <f t="shared" si="148"/>
        <v/>
      </c>
      <c r="G2278" s="116" t="str">
        <f>IF(ISNONTEXT(D2278),"",E2278-MAX($F$2:F2277))</f>
        <v/>
      </c>
      <c r="H2278" s="97"/>
      <c r="I2278" s="74" t="str">
        <f ca="1">IF(D2278="N",COUNTIF(INDIRECT(ADDRESS(MATCH(Plages!$D$19,'Planning annuel mixing coater'!$B:$B),4)):D2278,"N"),IF(D2278="N1",COUNTIF($D$9:D2278,"N1"),""))</f>
        <v/>
      </c>
      <c r="J2278" s="96" t="str">
        <f>IF(D2278="","",COUNTA(D2270:D2278)-(COUNTA(D2278:D2278)-1))</f>
        <v/>
      </c>
    </row>
    <row r="2279" spans="1:10" thickBot="1">
      <c r="A2279" s="117"/>
      <c r="B2279" s="70">
        <f t="shared" si="145"/>
        <v>46071</v>
      </c>
      <c r="C2279" s="82" t="str">
        <f t="shared" si="146"/>
        <v>mercredi</v>
      </c>
      <c r="D2279" s="87"/>
      <c r="E2279" s="115" t="str">
        <f t="shared" si="147"/>
        <v/>
      </c>
      <c r="F2279" s="115" t="str">
        <f t="shared" si="148"/>
        <v/>
      </c>
      <c r="G2279" s="116" t="str">
        <f>IF(ISNONTEXT(D2279),"",E2279-MAX($F$2:F2278))</f>
        <v/>
      </c>
      <c r="H2279" s="97"/>
      <c r="I2279" s="74" t="str">
        <f ca="1">IF(D2279="N",COUNTIF(INDIRECT(ADDRESS(MATCH(Plages!$D$19,'Planning annuel mixing coater'!$B:$B),4)):D2279,"N"),IF(D2279="N1",COUNTIF($D$9:D2279,"N1"),""))</f>
        <v/>
      </c>
      <c r="J2279" s="96" t="str">
        <f>IF(D2279="","",COUNTA(D2270:D2279)-(COUNTA(D2279:D2279)-1))</f>
        <v/>
      </c>
    </row>
    <row r="2280" spans="1:10" thickBot="1">
      <c r="A2280" s="117"/>
      <c r="B2280" s="70">
        <f t="shared" si="145"/>
        <v>46072</v>
      </c>
      <c r="C2280" s="82" t="str">
        <f t="shared" si="146"/>
        <v>jeudi</v>
      </c>
      <c r="D2280" s="87"/>
      <c r="E2280" s="115" t="str">
        <f t="shared" si="147"/>
        <v/>
      </c>
      <c r="F2280" s="115" t="str">
        <f t="shared" si="148"/>
        <v/>
      </c>
      <c r="G2280" s="116" t="str">
        <f>IF(ISNONTEXT(D2280),"",E2280-MAX($F$2:F2279))</f>
        <v/>
      </c>
      <c r="H2280" s="97"/>
      <c r="I2280" s="74" t="str">
        <f ca="1">IF(D2280="N",COUNTIF(INDIRECT(ADDRESS(MATCH(Plages!$D$19,'Planning annuel mixing coater'!$B:$B),4)):D2280,"N"),IF(D2280="N1",COUNTIF($D$9:D2280,"N1"),""))</f>
        <v/>
      </c>
      <c r="J2280" s="96" t="str">
        <f>IF(D2280="","",COUNTA(D2270:D2280)-(COUNTA(D2280:D2280)-1))</f>
        <v/>
      </c>
    </row>
    <row r="2281" spans="1:10" thickBot="1">
      <c r="A2281" s="117"/>
      <c r="B2281" s="70">
        <f t="shared" si="145"/>
        <v>46073</v>
      </c>
      <c r="C2281" s="82" t="str">
        <f t="shared" si="146"/>
        <v>vendredi</v>
      </c>
      <c r="D2281" s="87"/>
      <c r="E2281" s="115" t="str">
        <f t="shared" si="147"/>
        <v/>
      </c>
      <c r="F2281" s="115" t="str">
        <f t="shared" si="148"/>
        <v/>
      </c>
      <c r="G2281" s="116" t="str">
        <f>IF(ISNONTEXT(D2281),"",E2281-MAX($F$2:F2280))</f>
        <v/>
      </c>
      <c r="H2281" s="97"/>
      <c r="I2281" s="74" t="str">
        <f ca="1">IF(D2281="N",COUNTIF(INDIRECT(ADDRESS(MATCH(Plages!$D$19,'Planning annuel mixing coater'!$B:$B),4)):D2281,"N"),IF(D2281="N1",COUNTIF($D$9:D2281,"N1"),""))</f>
        <v/>
      </c>
      <c r="J2281" s="96" t="str">
        <f>IF(D2281="","",COUNTA(D2270:D2281)-(COUNTA(D2281:D2281)-1))</f>
        <v/>
      </c>
    </row>
    <row r="2282" spans="1:10" thickBot="1">
      <c r="A2282" s="117"/>
      <c r="B2282" s="70">
        <f t="shared" si="145"/>
        <v>46074</v>
      </c>
      <c r="C2282" s="82" t="str">
        <f t="shared" si="146"/>
        <v>samedi</v>
      </c>
      <c r="D2282" s="87"/>
      <c r="E2282" s="115" t="str">
        <f t="shared" si="147"/>
        <v/>
      </c>
      <c r="F2282" s="115" t="str">
        <f t="shared" si="148"/>
        <v/>
      </c>
      <c r="G2282" s="116" t="str">
        <f>IF(ISNONTEXT(D2282),"",E2282-MAX($F$2:F2281))</f>
        <v/>
      </c>
      <c r="H2282" s="97"/>
      <c r="I2282" s="74" t="str">
        <f ca="1">IF(D2282="N",COUNTIF(INDIRECT(ADDRESS(MATCH(Plages!$D$19,'Planning annuel mixing coater'!$B:$B),4)):D2282,"N"),IF(D2282="N1",COUNTIF($D$9:D2282,"N1"),""))</f>
        <v/>
      </c>
      <c r="J2282" s="96" t="str">
        <f>IF(D2282="","",COUNTA(D2270:D2282)-(COUNTA(D2282:D2282)-1))</f>
        <v/>
      </c>
    </row>
    <row r="2283" spans="1:10" s="77" customFormat="1" thickBot="1">
      <c r="A2283" s="117"/>
      <c r="B2283" s="75">
        <f t="shared" si="145"/>
        <v>46075</v>
      </c>
      <c r="C2283" s="83" t="str">
        <f t="shared" si="146"/>
        <v>dimanche</v>
      </c>
      <c r="D2283" s="88"/>
      <c r="E2283" s="115" t="str">
        <f t="shared" si="147"/>
        <v/>
      </c>
      <c r="F2283" s="115" t="str">
        <f t="shared" si="148"/>
        <v/>
      </c>
      <c r="G2283" s="116" t="str">
        <f>IF(ISNONTEXT(D2283),"",E2283-MAX($F$2:F2282))</f>
        <v/>
      </c>
      <c r="H2283" s="98"/>
      <c r="I2283" s="76" t="str">
        <f ca="1">IF(D2283="N",COUNTIF(INDIRECT(ADDRESS(MATCH(Plages!$D$19,'Planning annuel mixing coater'!$B:$B),4)):D2283,"N"),IF(D2283="N1",COUNTIF($D$9:D2283,"N1"),""))</f>
        <v/>
      </c>
      <c r="J2283" s="99" t="str">
        <f>IF(D2283="","",COUNTA(D2270:D2283)-(COUNTA(D2283:D2283)-1))</f>
        <v/>
      </c>
    </row>
    <row r="2284" spans="1:10" ht="16.5" thickTop="1" thickBot="1">
      <c r="A2284" s="117"/>
      <c r="B2284" s="78">
        <f t="shared" si="145"/>
        <v>46076</v>
      </c>
      <c r="C2284" s="81" t="str">
        <f t="shared" si="146"/>
        <v>lundi</v>
      </c>
      <c r="D2284" s="89"/>
      <c r="E2284" s="115" t="str">
        <f t="shared" si="147"/>
        <v/>
      </c>
      <c r="F2284" s="115" t="str">
        <f t="shared" si="148"/>
        <v/>
      </c>
      <c r="G2284" s="116" t="str">
        <f>IF(ISNONTEXT(D2284),"",E2284-MAX($F$2:F2283))</f>
        <v/>
      </c>
      <c r="H2284" s="100"/>
      <c r="I2284" s="79" t="str">
        <f ca="1">IF(D2284="N",COUNTIF(INDIRECT(ADDRESS(MATCH(Plages!$D$19,'Planning annuel mixing coater'!$B:$B),4)):D2284,"N"),IF(D2284="N1",COUNTIF($D$9:D2284,"N1"),""))</f>
        <v/>
      </c>
      <c r="J2284" s="101" t="str">
        <f>IF(D2284="","",COUNTA(D2284:D2284)-(COUNTA(D2284:D2284)-1))</f>
        <v/>
      </c>
    </row>
    <row r="2285" spans="1:10" thickBot="1">
      <c r="A2285" s="117"/>
      <c r="B2285" s="70">
        <f t="shared" si="145"/>
        <v>46077</v>
      </c>
      <c r="C2285" s="82" t="str">
        <f t="shared" si="146"/>
        <v>mardi</v>
      </c>
      <c r="D2285" s="87"/>
      <c r="E2285" s="115" t="str">
        <f t="shared" si="147"/>
        <v/>
      </c>
      <c r="F2285" s="115" t="str">
        <f t="shared" si="148"/>
        <v/>
      </c>
      <c r="G2285" s="116" t="str">
        <f>IF(ISNONTEXT(D2285),"",E2285-MAX($F$2:F2284))</f>
        <v/>
      </c>
      <c r="H2285" s="97"/>
      <c r="I2285" s="74" t="str">
        <f ca="1">IF(D2285="N",COUNTIF(INDIRECT(ADDRESS(MATCH(Plages!$D$19,'Planning annuel mixing coater'!$B:$B),4)):D2285,"N"),IF(D2285="N1",COUNTIF($D$9:D2285,"N1"),""))</f>
        <v/>
      </c>
      <c r="J2285" s="96" t="str">
        <f>IF(D2285="","",COUNTA(D2284:D2285)-(COUNTA(D2285:D2285)-1))</f>
        <v/>
      </c>
    </row>
    <row r="2286" spans="1:10" thickBot="1">
      <c r="A2286" s="117"/>
      <c r="B2286" s="70">
        <f t="shared" si="145"/>
        <v>46078</v>
      </c>
      <c r="C2286" s="82" t="str">
        <f t="shared" si="146"/>
        <v>mercredi</v>
      </c>
      <c r="D2286" s="87"/>
      <c r="E2286" s="115" t="str">
        <f t="shared" si="147"/>
        <v/>
      </c>
      <c r="F2286" s="115" t="str">
        <f t="shared" si="148"/>
        <v/>
      </c>
      <c r="G2286" s="116" t="str">
        <f>IF(ISNONTEXT(D2286),"",E2286-MAX($F$2:F2285))</f>
        <v/>
      </c>
      <c r="H2286" s="97"/>
      <c r="I2286" s="74" t="str">
        <f ca="1">IF(D2286="N",COUNTIF(INDIRECT(ADDRESS(MATCH(Plages!$D$19,'Planning annuel mixing coater'!$B:$B),4)):D2286,"N"),IF(D2286="N1",COUNTIF($D$9:D2286,"N1"),""))</f>
        <v/>
      </c>
      <c r="J2286" s="96" t="str">
        <f>IF(D2286="","",COUNTA(D2284:D2286)-(COUNTA(D2286:D2286)-1))</f>
        <v/>
      </c>
    </row>
    <row r="2287" spans="1:10" thickBot="1">
      <c r="A2287" s="117"/>
      <c r="B2287" s="70">
        <f t="shared" si="145"/>
        <v>46079</v>
      </c>
      <c r="C2287" s="82" t="str">
        <f t="shared" si="146"/>
        <v>jeudi</v>
      </c>
      <c r="D2287" s="87"/>
      <c r="E2287" s="115" t="str">
        <f t="shared" si="147"/>
        <v/>
      </c>
      <c r="F2287" s="115" t="str">
        <f t="shared" si="148"/>
        <v/>
      </c>
      <c r="G2287" s="116" t="str">
        <f>IF(ISNONTEXT(D2287),"",E2287-MAX($F$2:F2286))</f>
        <v/>
      </c>
      <c r="H2287" s="97"/>
      <c r="I2287" s="74" t="str">
        <f ca="1">IF(D2287="N",COUNTIF(INDIRECT(ADDRESS(MATCH(Plages!$D$19,'Planning annuel mixing coater'!$B:$B),4)):D2287,"N"),IF(D2287="N1",COUNTIF($D$9:D2287,"N1"),""))</f>
        <v/>
      </c>
      <c r="J2287" s="96" t="str">
        <f>IF(D2287="","",COUNTA(D2284:D2287)-(COUNTA(D2287:D2287)-1))</f>
        <v/>
      </c>
    </row>
    <row r="2288" spans="1:10" thickBot="1">
      <c r="A2288" s="117"/>
      <c r="B2288" s="70">
        <f t="shared" si="145"/>
        <v>46080</v>
      </c>
      <c r="C2288" s="82" t="str">
        <f t="shared" si="146"/>
        <v>vendredi</v>
      </c>
      <c r="D2288" s="87"/>
      <c r="E2288" s="115" t="str">
        <f t="shared" si="147"/>
        <v/>
      </c>
      <c r="F2288" s="115" t="str">
        <f t="shared" si="148"/>
        <v/>
      </c>
      <c r="G2288" s="116" t="str">
        <f>IF(ISNONTEXT(D2288),"",E2288-MAX($F$2:F2287))</f>
        <v/>
      </c>
      <c r="H2288" s="97"/>
      <c r="I2288" s="74" t="str">
        <f ca="1">IF(D2288="N",COUNTIF(INDIRECT(ADDRESS(MATCH(Plages!$D$19,'Planning annuel mixing coater'!$B:$B),4)):D2288,"N"),IF(D2288="N1",COUNTIF($D$9:D2288,"N1"),""))</f>
        <v/>
      </c>
      <c r="J2288" s="96" t="str">
        <f>IF(D2288="","",COUNTA(D2284:D2288)-(COUNTA(D2288:D2288)-1))</f>
        <v/>
      </c>
    </row>
    <row r="2289" spans="1:10" thickBot="1">
      <c r="A2289" s="117"/>
      <c r="B2289" s="70">
        <f t="shared" si="145"/>
        <v>46081</v>
      </c>
      <c r="C2289" s="82" t="str">
        <f t="shared" si="146"/>
        <v>samedi</v>
      </c>
      <c r="D2289" s="87"/>
      <c r="E2289" s="115" t="str">
        <f t="shared" si="147"/>
        <v/>
      </c>
      <c r="F2289" s="115" t="str">
        <f t="shared" si="148"/>
        <v/>
      </c>
      <c r="G2289" s="116" t="str">
        <f>IF(ISNONTEXT(D2289),"",E2289-MAX($F$2:F2288))</f>
        <v/>
      </c>
      <c r="H2289" s="97"/>
      <c r="I2289" s="74" t="str">
        <f ca="1">IF(D2289="N",COUNTIF(INDIRECT(ADDRESS(MATCH(Plages!$D$19,'Planning annuel mixing coater'!$B:$B),4)):D2289,"N"),IF(D2289="N1",COUNTIF($D$9:D2289,"N1"),""))</f>
        <v/>
      </c>
      <c r="J2289" s="96" t="str">
        <f>IF(D2289="","",COUNTA(D2284:D2289)-(COUNTA(D2289:D2289)-1))</f>
        <v/>
      </c>
    </row>
    <row r="2290" spans="1:10" thickBot="1">
      <c r="A2290" s="117"/>
      <c r="B2290" s="70">
        <f t="shared" si="145"/>
        <v>46082</v>
      </c>
      <c r="C2290" s="82" t="str">
        <f t="shared" si="146"/>
        <v>dimanche</v>
      </c>
      <c r="D2290" s="87"/>
      <c r="E2290" s="115" t="str">
        <f t="shared" si="147"/>
        <v/>
      </c>
      <c r="F2290" s="115" t="str">
        <f t="shared" si="148"/>
        <v/>
      </c>
      <c r="G2290" s="116" t="str">
        <f>IF(ISNONTEXT(D2290),"",E2290-MAX($F$2:F2289))</f>
        <v/>
      </c>
      <c r="H2290" s="98"/>
      <c r="I2290" s="74" t="str">
        <f ca="1">IF(D2290="N",COUNTIF(INDIRECT(ADDRESS(MATCH(Plages!$D$19,'Planning annuel mixing coater'!$B:$B),4)):D2290,"N"),IF(D2290="N1",COUNTIF($D$9:D2290,"N1"),""))</f>
        <v/>
      </c>
      <c r="J2290" s="96" t="str">
        <f>IF(D2290="","",COUNTA(D2284:D2290)-(COUNTA(D2290:D2290)-1))</f>
        <v/>
      </c>
    </row>
    <row r="2291" spans="1:10" thickBot="1">
      <c r="A2291" s="117"/>
      <c r="B2291" s="70">
        <f t="shared" si="145"/>
        <v>46083</v>
      </c>
      <c r="C2291" s="82" t="str">
        <f t="shared" si="146"/>
        <v>lundi</v>
      </c>
      <c r="D2291" s="87"/>
      <c r="E2291" s="115" t="str">
        <f t="shared" si="147"/>
        <v/>
      </c>
      <c r="F2291" s="115" t="str">
        <f t="shared" si="148"/>
        <v/>
      </c>
      <c r="G2291" s="116" t="str">
        <f>IF(ISNONTEXT(D2291),"",E2291-MAX($F$2:F2290))</f>
        <v/>
      </c>
      <c r="H2291" s="97"/>
      <c r="I2291" s="74" t="str">
        <f ca="1">IF(D2291="N",COUNTIF(INDIRECT(ADDRESS(MATCH(Plages!$D$19,'Planning annuel mixing coater'!$B:$B),4)):D2291,"N"),IF(D2291="N1",COUNTIF($D$9:D2291,"N1"),""))</f>
        <v/>
      </c>
      <c r="J2291" s="96" t="str">
        <f>IF(D2291="","",COUNTA(D2284:D2291)-(COUNTA(D2291:D2291)-1))</f>
        <v/>
      </c>
    </row>
    <row r="2292" spans="1:10" thickBot="1">
      <c r="A2292" s="117"/>
      <c r="B2292" s="70">
        <f t="shared" si="145"/>
        <v>46084</v>
      </c>
      <c r="C2292" s="82" t="str">
        <f t="shared" si="146"/>
        <v>mardi</v>
      </c>
      <c r="D2292" s="87"/>
      <c r="E2292" s="115" t="str">
        <f t="shared" si="147"/>
        <v/>
      </c>
      <c r="F2292" s="115" t="str">
        <f t="shared" si="148"/>
        <v/>
      </c>
      <c r="G2292" s="116" t="str">
        <f>IF(ISNONTEXT(D2292),"",E2292-MAX($F$2:F2291))</f>
        <v/>
      </c>
      <c r="H2292" s="97"/>
      <c r="I2292" s="74" t="str">
        <f ca="1">IF(D2292="N",COUNTIF(INDIRECT(ADDRESS(MATCH(Plages!$D$19,'Planning annuel mixing coater'!$B:$B),4)):D2292,"N"),IF(D2292="N1",COUNTIF($D$9:D2292,"N1"),""))</f>
        <v/>
      </c>
      <c r="J2292" s="96" t="str">
        <f>IF(D2292="","",COUNTA(D2284:D2292)-(COUNTA(D2292:D2292)-1))</f>
        <v/>
      </c>
    </row>
    <row r="2293" spans="1:10" thickBot="1">
      <c r="A2293" s="117"/>
      <c r="B2293" s="70">
        <f t="shared" si="145"/>
        <v>46085</v>
      </c>
      <c r="C2293" s="82" t="str">
        <f t="shared" si="146"/>
        <v>mercredi</v>
      </c>
      <c r="D2293" s="87"/>
      <c r="E2293" s="115" t="str">
        <f t="shared" si="147"/>
        <v/>
      </c>
      <c r="F2293" s="115" t="str">
        <f t="shared" si="148"/>
        <v/>
      </c>
      <c r="G2293" s="116" t="str">
        <f>IF(ISNONTEXT(D2293),"",E2293-MAX($F$2:F2292))</f>
        <v/>
      </c>
      <c r="H2293" s="97"/>
      <c r="I2293" s="74" t="str">
        <f ca="1">IF(D2293="N",COUNTIF(INDIRECT(ADDRESS(MATCH(Plages!$D$19,'Planning annuel mixing coater'!$B:$B),4)):D2293,"N"),IF(D2293="N1",COUNTIF($D$9:D2293,"N1"),""))</f>
        <v/>
      </c>
      <c r="J2293" s="96" t="str">
        <f>IF(D2293="","",COUNTA(D2284:D2293)-(COUNTA(D2293:D2293)-1))</f>
        <v/>
      </c>
    </row>
    <row r="2294" spans="1:10" thickBot="1">
      <c r="A2294" s="117"/>
      <c r="B2294" s="70">
        <f t="shared" si="145"/>
        <v>46086</v>
      </c>
      <c r="C2294" s="82" t="str">
        <f t="shared" si="146"/>
        <v>jeudi</v>
      </c>
      <c r="D2294" s="87"/>
      <c r="E2294" s="115" t="str">
        <f t="shared" si="147"/>
        <v/>
      </c>
      <c r="F2294" s="115" t="str">
        <f t="shared" si="148"/>
        <v/>
      </c>
      <c r="G2294" s="116" t="str">
        <f>IF(ISNONTEXT(D2294),"",E2294-MAX($F$2:F2293))</f>
        <v/>
      </c>
      <c r="H2294" s="97"/>
      <c r="I2294" s="74" t="str">
        <f ca="1">IF(D2294="N",COUNTIF(INDIRECT(ADDRESS(MATCH(Plages!$D$19,'Planning annuel mixing coater'!$B:$B),4)):D2294,"N"),IF(D2294="N1",COUNTIF($D$9:D2294,"N1"),""))</f>
        <v/>
      </c>
      <c r="J2294" s="96" t="str">
        <f>IF(D2294="","",COUNTA(D2284:D2294)-(COUNTA(D2294:D2294)-1))</f>
        <v/>
      </c>
    </row>
    <row r="2295" spans="1:10" thickBot="1">
      <c r="A2295" s="117"/>
      <c r="B2295" s="70">
        <f t="shared" si="145"/>
        <v>46087</v>
      </c>
      <c r="C2295" s="82" t="str">
        <f t="shared" si="146"/>
        <v>vendredi</v>
      </c>
      <c r="D2295" s="87"/>
      <c r="E2295" s="115" t="str">
        <f t="shared" si="147"/>
        <v/>
      </c>
      <c r="F2295" s="115" t="str">
        <f t="shared" si="148"/>
        <v/>
      </c>
      <c r="G2295" s="116" t="str">
        <f>IF(ISNONTEXT(D2295),"",E2295-MAX($F$2:F2294))</f>
        <v/>
      </c>
      <c r="H2295" s="97"/>
      <c r="I2295" s="74" t="str">
        <f ca="1">IF(D2295="N",COUNTIF(INDIRECT(ADDRESS(MATCH(Plages!$D$19,'Planning annuel mixing coater'!$B:$B),4)):D2295,"N"),IF(D2295="N1",COUNTIF($D$9:D2295,"N1"),""))</f>
        <v/>
      </c>
      <c r="J2295" s="96" t="str">
        <f>IF(D2295="","",COUNTA(D2284:D2295)-(COUNTA(D2295:D2295)-1))</f>
        <v/>
      </c>
    </row>
    <row r="2296" spans="1:10" thickBot="1">
      <c r="A2296" s="117"/>
      <c r="B2296" s="70">
        <f t="shared" si="145"/>
        <v>46088</v>
      </c>
      <c r="C2296" s="82" t="str">
        <f t="shared" si="146"/>
        <v>samedi</v>
      </c>
      <c r="D2296" s="87"/>
      <c r="E2296" s="115" t="str">
        <f t="shared" si="147"/>
        <v/>
      </c>
      <c r="F2296" s="115" t="str">
        <f t="shared" si="148"/>
        <v/>
      </c>
      <c r="G2296" s="116" t="str">
        <f>IF(ISNONTEXT(D2296),"",E2296-MAX($F$2:F2295))</f>
        <v/>
      </c>
      <c r="H2296" s="97"/>
      <c r="I2296" s="74" t="str">
        <f ca="1">IF(D2296="N",COUNTIF(INDIRECT(ADDRESS(MATCH(Plages!$D$19,'Planning annuel mixing coater'!$B:$B),4)):D2296,"N"),IF(D2296="N1",COUNTIF($D$9:D2296,"N1"),""))</f>
        <v/>
      </c>
      <c r="J2296" s="96" t="str">
        <f>IF(D2296="","",COUNTA(D2284:D2296)-(COUNTA(D2296:D2296)-1))</f>
        <v/>
      </c>
    </row>
    <row r="2297" spans="1:10" s="77" customFormat="1" thickBot="1">
      <c r="A2297" s="117"/>
      <c r="B2297" s="75">
        <f t="shared" si="145"/>
        <v>46089</v>
      </c>
      <c r="C2297" s="83" t="str">
        <f t="shared" si="146"/>
        <v>dimanche</v>
      </c>
      <c r="D2297" s="88"/>
      <c r="E2297" s="115" t="str">
        <f t="shared" si="147"/>
        <v/>
      </c>
      <c r="F2297" s="115" t="str">
        <f t="shared" si="148"/>
        <v/>
      </c>
      <c r="G2297" s="116" t="str">
        <f>IF(ISNONTEXT(D2297),"",E2297-MAX($F$2:F2296))</f>
        <v/>
      </c>
      <c r="H2297" s="98"/>
      <c r="I2297" s="76" t="str">
        <f ca="1">IF(D2297="N",COUNTIF(INDIRECT(ADDRESS(MATCH(Plages!$D$19,'Planning annuel mixing coater'!$B:$B),4)):D2297,"N"),IF(D2297="N1",COUNTIF($D$9:D2297,"N1"),""))</f>
        <v/>
      </c>
      <c r="J2297" s="99" t="str">
        <f>IF(D2297="","",COUNTA(D2284:D2297)-(COUNTA(D2297:D2297)-1))</f>
        <v/>
      </c>
    </row>
    <row r="2298" spans="1:10" ht="16.5" thickTop="1" thickBot="1">
      <c r="A2298" s="117"/>
      <c r="B2298" s="78">
        <f t="shared" si="145"/>
        <v>46090</v>
      </c>
      <c r="C2298" s="81" t="str">
        <f t="shared" si="146"/>
        <v>lundi</v>
      </c>
      <c r="D2298" s="89"/>
      <c r="E2298" s="115" t="str">
        <f t="shared" si="147"/>
        <v/>
      </c>
      <c r="F2298" s="115" t="str">
        <f t="shared" si="148"/>
        <v/>
      </c>
      <c r="G2298" s="116" t="str">
        <f>IF(ISNONTEXT(D2298),"",E2298-MAX($F$2:F2297))</f>
        <v/>
      </c>
      <c r="H2298" s="100"/>
      <c r="I2298" s="79" t="str">
        <f ca="1">IF(D2298="N",COUNTIF(INDIRECT(ADDRESS(MATCH(Plages!$D$19,'Planning annuel mixing coater'!$B:$B),4)):D2298,"N"),IF(D2298="N1",COUNTIF($D$9:D2298,"N1"),""))</f>
        <v/>
      </c>
      <c r="J2298" s="101" t="str">
        <f>IF(D2298="","",COUNTA(D2298:D2298)-(COUNTA(D2298:D2298)-1))</f>
        <v/>
      </c>
    </row>
    <row r="2299" spans="1:10" thickBot="1">
      <c r="A2299" s="117"/>
      <c r="B2299" s="70">
        <f t="shared" si="145"/>
        <v>46091</v>
      </c>
      <c r="C2299" s="82" t="str">
        <f t="shared" si="146"/>
        <v>mardi</v>
      </c>
      <c r="D2299" s="87"/>
      <c r="E2299" s="115" t="str">
        <f t="shared" si="147"/>
        <v/>
      </c>
      <c r="F2299" s="115" t="str">
        <f t="shared" si="148"/>
        <v/>
      </c>
      <c r="G2299" s="116" t="str">
        <f>IF(ISNONTEXT(D2299),"",E2299-MAX($F$2:F2298))</f>
        <v/>
      </c>
      <c r="H2299" s="97"/>
      <c r="I2299" s="74" t="str">
        <f ca="1">IF(D2299="N",COUNTIF(INDIRECT(ADDRESS(MATCH(Plages!$D$19,'Planning annuel mixing coater'!$B:$B),4)):D2299,"N"),IF(D2299="N1",COUNTIF($D$9:D2299,"N1"),""))</f>
        <v/>
      </c>
      <c r="J2299" s="96" t="str">
        <f>IF(D2299="","",COUNTA(D2298:D2299)-(COUNTA(D2299:D2299)-1))</f>
        <v/>
      </c>
    </row>
    <row r="2300" spans="1:10" thickBot="1">
      <c r="A2300" s="117"/>
      <c r="B2300" s="70">
        <f t="shared" si="145"/>
        <v>46092</v>
      </c>
      <c r="C2300" s="82" t="str">
        <f t="shared" si="146"/>
        <v>mercredi</v>
      </c>
      <c r="D2300" s="87"/>
      <c r="E2300" s="115" t="str">
        <f t="shared" si="147"/>
        <v/>
      </c>
      <c r="F2300" s="115" t="str">
        <f t="shared" si="148"/>
        <v/>
      </c>
      <c r="G2300" s="116" t="str">
        <f>IF(ISNONTEXT(D2300),"",E2300-MAX($F$2:F2299))</f>
        <v/>
      </c>
      <c r="H2300" s="97"/>
      <c r="I2300" s="74" t="str">
        <f ca="1">IF(D2300="N",COUNTIF(INDIRECT(ADDRESS(MATCH(Plages!$D$19,'Planning annuel mixing coater'!$B:$B),4)):D2300,"N"),IF(D2300="N1",COUNTIF($D$9:D2300,"N1"),""))</f>
        <v/>
      </c>
      <c r="J2300" s="96" t="str">
        <f>IF(D2300="","",COUNTA(D2298:D2300)-(COUNTA(D2300:D2300)-1))</f>
        <v/>
      </c>
    </row>
    <row r="2301" spans="1:10" thickBot="1">
      <c r="A2301" s="117"/>
      <c r="B2301" s="70">
        <f t="shared" si="145"/>
        <v>46093</v>
      </c>
      <c r="C2301" s="82" t="str">
        <f t="shared" si="146"/>
        <v>jeudi</v>
      </c>
      <c r="D2301" s="87"/>
      <c r="E2301" s="115" t="str">
        <f t="shared" si="147"/>
        <v/>
      </c>
      <c r="F2301" s="115" t="str">
        <f t="shared" si="148"/>
        <v/>
      </c>
      <c r="G2301" s="116" t="str">
        <f>IF(ISNONTEXT(D2301),"",E2301-MAX($F$2:F2300))</f>
        <v/>
      </c>
      <c r="H2301" s="97"/>
      <c r="I2301" s="74" t="str">
        <f ca="1">IF(D2301="N",COUNTIF(INDIRECT(ADDRESS(MATCH(Plages!$D$19,'Planning annuel mixing coater'!$B:$B),4)):D2301,"N"),IF(D2301="N1",COUNTIF($D$9:D2301,"N1"),""))</f>
        <v/>
      </c>
      <c r="J2301" s="96" t="str">
        <f>IF(D2301="","",COUNTA(D2298:D2301)-(COUNTA(D2301:D2301)-1))</f>
        <v/>
      </c>
    </row>
    <row r="2302" spans="1:10" thickBot="1">
      <c r="A2302" s="117"/>
      <c r="B2302" s="70">
        <f t="shared" si="145"/>
        <v>46094</v>
      </c>
      <c r="C2302" s="82" t="str">
        <f t="shared" si="146"/>
        <v>vendredi</v>
      </c>
      <c r="D2302" s="87"/>
      <c r="E2302" s="115" t="str">
        <f t="shared" si="147"/>
        <v/>
      </c>
      <c r="F2302" s="115" t="str">
        <f t="shared" si="148"/>
        <v/>
      </c>
      <c r="G2302" s="116" t="str">
        <f>IF(ISNONTEXT(D2302),"",E2302-MAX($F$2:F2301))</f>
        <v/>
      </c>
      <c r="H2302" s="97"/>
      <c r="I2302" s="74" t="str">
        <f ca="1">IF(D2302="N",COUNTIF(INDIRECT(ADDRESS(MATCH(Plages!$D$19,'Planning annuel mixing coater'!$B:$B),4)):D2302,"N"),IF(D2302="N1",COUNTIF($D$9:D2302,"N1"),""))</f>
        <v/>
      </c>
      <c r="J2302" s="96" t="str">
        <f>IF(D2302="","",COUNTA(D2298:D2302)-(COUNTA(D2302:D2302)-1))</f>
        <v/>
      </c>
    </row>
    <row r="2303" spans="1:10" thickBot="1">
      <c r="A2303" s="117"/>
      <c r="B2303" s="70">
        <f t="shared" si="145"/>
        <v>46095</v>
      </c>
      <c r="C2303" s="82" t="str">
        <f t="shared" si="146"/>
        <v>samedi</v>
      </c>
      <c r="D2303" s="87"/>
      <c r="E2303" s="115" t="str">
        <f t="shared" si="147"/>
        <v/>
      </c>
      <c r="F2303" s="115" t="str">
        <f t="shared" si="148"/>
        <v/>
      </c>
      <c r="G2303" s="116" t="str">
        <f>IF(ISNONTEXT(D2303),"",E2303-MAX($F$2:F2302))</f>
        <v/>
      </c>
      <c r="H2303" s="97"/>
      <c r="I2303" s="74" t="str">
        <f ca="1">IF(D2303="N",COUNTIF(INDIRECT(ADDRESS(MATCH(Plages!$D$19,'Planning annuel mixing coater'!$B:$B),4)):D2303,"N"),IF(D2303="N1",COUNTIF($D$9:D2303,"N1"),""))</f>
        <v/>
      </c>
      <c r="J2303" s="96" t="str">
        <f>IF(D2303="","",COUNTA(D2298:D2303)-(COUNTA(D2303:D2303)-1))</f>
        <v/>
      </c>
    </row>
    <row r="2304" spans="1:10" thickBot="1">
      <c r="A2304" s="117"/>
      <c r="B2304" s="70">
        <f t="shared" si="145"/>
        <v>46096</v>
      </c>
      <c r="C2304" s="82" t="str">
        <f t="shared" si="146"/>
        <v>dimanche</v>
      </c>
      <c r="D2304" s="87"/>
      <c r="E2304" s="115" t="str">
        <f t="shared" si="147"/>
        <v/>
      </c>
      <c r="F2304" s="115" t="str">
        <f t="shared" si="148"/>
        <v/>
      </c>
      <c r="G2304" s="116" t="str">
        <f>IF(ISNONTEXT(D2304),"",E2304-MAX($F$2:F2303))</f>
        <v/>
      </c>
      <c r="H2304" s="98"/>
      <c r="I2304" s="74" t="str">
        <f ca="1">IF(D2304="N",COUNTIF(INDIRECT(ADDRESS(MATCH(Plages!$D$19,'Planning annuel mixing coater'!$B:$B),4)):D2304,"N"),IF(D2304="N1",COUNTIF($D$9:D2304,"N1"),""))</f>
        <v/>
      </c>
      <c r="J2304" s="96" t="str">
        <f>IF(D2304="","",COUNTA(D2298:D2304)-(COUNTA(D2304:D2304)-1))</f>
        <v/>
      </c>
    </row>
    <row r="2305" spans="1:10" thickBot="1">
      <c r="A2305" s="117"/>
      <c r="B2305" s="70">
        <f t="shared" si="145"/>
        <v>46097</v>
      </c>
      <c r="C2305" s="82" t="str">
        <f t="shared" si="146"/>
        <v>lundi</v>
      </c>
      <c r="D2305" s="87"/>
      <c r="E2305" s="115" t="str">
        <f t="shared" si="147"/>
        <v/>
      </c>
      <c r="F2305" s="115" t="str">
        <f t="shared" si="148"/>
        <v/>
      </c>
      <c r="G2305" s="116" t="str">
        <f>IF(ISNONTEXT(D2305),"",E2305-MAX($F$2:F2304))</f>
        <v/>
      </c>
      <c r="H2305" s="97"/>
      <c r="I2305" s="74" t="str">
        <f ca="1">IF(D2305="N",COUNTIF(INDIRECT(ADDRESS(MATCH(Plages!$D$19,'Planning annuel mixing coater'!$B:$B),4)):D2305,"N"),IF(D2305="N1",COUNTIF($D$9:D2305,"N1"),""))</f>
        <v/>
      </c>
      <c r="J2305" s="96" t="str">
        <f>IF(D2305="","",COUNTA(D2298:D2305)-(COUNTA(D2305:D2305)-1))</f>
        <v/>
      </c>
    </row>
    <row r="2306" spans="1:10" thickBot="1">
      <c r="A2306" s="117"/>
      <c r="B2306" s="70">
        <f t="shared" si="145"/>
        <v>46098</v>
      </c>
      <c r="C2306" s="82" t="str">
        <f t="shared" si="146"/>
        <v>mardi</v>
      </c>
      <c r="D2306" s="87"/>
      <c r="E2306" s="115" t="str">
        <f t="shared" si="147"/>
        <v/>
      </c>
      <c r="F2306" s="115" t="str">
        <f t="shared" si="148"/>
        <v/>
      </c>
      <c r="G2306" s="116" t="str">
        <f>IF(ISNONTEXT(D2306),"",E2306-MAX($F$2:F2305))</f>
        <v/>
      </c>
      <c r="H2306" s="97"/>
      <c r="I2306" s="74" t="str">
        <f ca="1">IF(D2306="N",COUNTIF(INDIRECT(ADDRESS(MATCH(Plages!$D$19,'Planning annuel mixing coater'!$B:$B),4)):D2306,"N"),IF(D2306="N1",COUNTIF($D$9:D2306,"N1"),""))</f>
        <v/>
      </c>
      <c r="J2306" s="96" t="str">
        <f>IF(D2306="","",COUNTA(D2298:D2306)-(COUNTA(D2306:D2306)-1))</f>
        <v/>
      </c>
    </row>
    <row r="2307" spans="1:10" thickBot="1">
      <c r="A2307" s="117"/>
      <c r="B2307" s="70">
        <f t="shared" si="145"/>
        <v>46099</v>
      </c>
      <c r="C2307" s="82" t="str">
        <f t="shared" si="146"/>
        <v>mercredi</v>
      </c>
      <c r="D2307" s="87"/>
      <c r="E2307" s="115" t="str">
        <f t="shared" si="147"/>
        <v/>
      </c>
      <c r="F2307" s="115" t="str">
        <f t="shared" si="148"/>
        <v/>
      </c>
      <c r="G2307" s="116" t="str">
        <f>IF(ISNONTEXT(D2307),"",E2307-MAX($F$2:F2306))</f>
        <v/>
      </c>
      <c r="H2307" s="97"/>
      <c r="I2307" s="74" t="str">
        <f ca="1">IF(D2307="N",COUNTIF(INDIRECT(ADDRESS(MATCH(Plages!$D$19,'Planning annuel mixing coater'!$B:$B),4)):D2307,"N"),IF(D2307="N1",COUNTIF($D$9:D2307,"N1"),""))</f>
        <v/>
      </c>
      <c r="J2307" s="96" t="str">
        <f>IF(D2307="","",COUNTA(D2298:D2307)-(COUNTA(D2307:D2307)-1))</f>
        <v/>
      </c>
    </row>
    <row r="2308" spans="1:10" thickBot="1">
      <c r="A2308" s="117"/>
      <c r="B2308" s="70">
        <f t="shared" ref="B2308:B2371" si="149">IF(B2307="","",B2307+1)</f>
        <v>46100</v>
      </c>
      <c r="C2308" s="82" t="str">
        <f t="shared" si="146"/>
        <v>jeudi</v>
      </c>
      <c r="D2308" s="87"/>
      <c r="E2308" s="115" t="str">
        <f t="shared" si="147"/>
        <v/>
      </c>
      <c r="F2308" s="115" t="str">
        <f t="shared" si="148"/>
        <v/>
      </c>
      <c r="G2308" s="116" t="str">
        <f>IF(ISNONTEXT(D2308),"",E2308-MAX($F$2:F2307))</f>
        <v/>
      </c>
      <c r="H2308" s="97"/>
      <c r="I2308" s="74" t="str">
        <f ca="1">IF(D2308="N",COUNTIF(INDIRECT(ADDRESS(MATCH(Plages!$D$19,'Planning annuel mixing coater'!$B:$B),4)):D2308,"N"),IF(D2308="N1",COUNTIF($D$9:D2308,"N1"),""))</f>
        <v/>
      </c>
      <c r="J2308" s="96" t="str">
        <f>IF(D2308="","",COUNTA(D2298:D2308)-(COUNTA(D2308:D2308)-1))</f>
        <v/>
      </c>
    </row>
    <row r="2309" spans="1:10" thickBot="1">
      <c r="A2309" s="117"/>
      <c r="B2309" s="70">
        <f t="shared" si="149"/>
        <v>46101</v>
      </c>
      <c r="C2309" s="82" t="str">
        <f t="shared" si="146"/>
        <v>vendredi</v>
      </c>
      <c r="D2309" s="87"/>
      <c r="E2309" s="115" t="str">
        <f t="shared" si="147"/>
        <v/>
      </c>
      <c r="F2309" s="115" t="str">
        <f t="shared" si="148"/>
        <v/>
      </c>
      <c r="G2309" s="116" t="str">
        <f>IF(ISNONTEXT(D2309),"",E2309-MAX($F$2:F2308))</f>
        <v/>
      </c>
      <c r="H2309" s="97"/>
      <c r="I2309" s="74" t="str">
        <f ca="1">IF(D2309="N",COUNTIF(INDIRECT(ADDRESS(MATCH(Plages!$D$19,'Planning annuel mixing coater'!$B:$B),4)):D2309,"N"),IF(D2309="N1",COUNTIF($D$9:D2309,"N1"),""))</f>
        <v/>
      </c>
      <c r="J2309" s="96" t="str">
        <f>IF(D2309="","",COUNTA(D2298:D2309)-(COUNTA(D2309:D2309)-1))</f>
        <v/>
      </c>
    </row>
    <row r="2310" spans="1:10" thickBot="1">
      <c r="A2310" s="117"/>
      <c r="B2310" s="70">
        <f t="shared" si="149"/>
        <v>46102</v>
      </c>
      <c r="C2310" s="82" t="str">
        <f t="shared" si="146"/>
        <v>samedi</v>
      </c>
      <c r="D2310" s="87"/>
      <c r="E2310" s="115" t="str">
        <f t="shared" si="147"/>
        <v/>
      </c>
      <c r="F2310" s="115" t="str">
        <f t="shared" si="148"/>
        <v/>
      </c>
      <c r="G2310" s="116" t="str">
        <f>IF(ISNONTEXT(D2310),"",E2310-MAX($F$2:F2309))</f>
        <v/>
      </c>
      <c r="H2310" s="97"/>
      <c r="I2310" s="74" t="str">
        <f ca="1">IF(D2310="N",COUNTIF(INDIRECT(ADDRESS(MATCH(Plages!$D$19,'Planning annuel mixing coater'!$B:$B),4)):D2310,"N"),IF(D2310="N1",COUNTIF($D$9:D2310,"N1"),""))</f>
        <v/>
      </c>
      <c r="J2310" s="96" t="str">
        <f>IF(D2310="","",COUNTA(D2298:D2310)-(COUNTA(D2310:D2310)-1))</f>
        <v/>
      </c>
    </row>
    <row r="2311" spans="1:10" s="77" customFormat="1" thickBot="1">
      <c r="A2311" s="117"/>
      <c r="B2311" s="75">
        <f t="shared" si="149"/>
        <v>46103</v>
      </c>
      <c r="C2311" s="83" t="str">
        <f t="shared" si="146"/>
        <v>dimanche</v>
      </c>
      <c r="D2311" s="88"/>
      <c r="E2311" s="115" t="str">
        <f t="shared" si="147"/>
        <v/>
      </c>
      <c r="F2311" s="115" t="str">
        <f t="shared" si="148"/>
        <v/>
      </c>
      <c r="G2311" s="116" t="str">
        <f>IF(ISNONTEXT(D2311),"",E2311-MAX($F$2:F2310))</f>
        <v/>
      </c>
      <c r="H2311" s="98"/>
      <c r="I2311" s="76" t="str">
        <f ca="1">IF(D2311="N",COUNTIF(INDIRECT(ADDRESS(MATCH(Plages!$D$19,'Planning annuel mixing coater'!$B:$B),4)):D2311,"N"),IF(D2311="N1",COUNTIF($D$9:D2311,"N1"),""))</f>
        <v/>
      </c>
      <c r="J2311" s="99" t="str">
        <f>IF(D2311="","",COUNTA(D2298:D2311)-(COUNTA(D2311:D2311)-1))</f>
        <v/>
      </c>
    </row>
    <row r="2312" spans="1:10" ht="16.5" thickTop="1" thickBot="1">
      <c r="A2312" s="117"/>
      <c r="B2312" s="78">
        <f t="shared" si="149"/>
        <v>46104</v>
      </c>
      <c r="C2312" s="81" t="str">
        <f t="shared" si="146"/>
        <v>lundi</v>
      </c>
      <c r="D2312" s="89"/>
      <c r="E2312" s="115" t="str">
        <f t="shared" si="147"/>
        <v/>
      </c>
      <c r="F2312" s="115" t="str">
        <f t="shared" si="148"/>
        <v/>
      </c>
      <c r="G2312" s="116" t="str">
        <f>IF(ISNONTEXT(D2312),"",E2312-MAX($F$2:F2311))</f>
        <v/>
      </c>
      <c r="H2312" s="100"/>
      <c r="I2312" s="79" t="str">
        <f ca="1">IF(D2312="N",COUNTIF(INDIRECT(ADDRESS(MATCH(Plages!$D$19,'Planning annuel mixing coater'!$B:$B),4)):D2312,"N"),IF(D2312="N1",COUNTIF($D$9:D2312,"N1"),""))</f>
        <v/>
      </c>
      <c r="J2312" s="101" t="str">
        <f>IF(D2312="","",COUNTA(D2312:D2312)-(COUNTA(D2312:D2312)-1))</f>
        <v/>
      </c>
    </row>
    <row r="2313" spans="1:10" thickBot="1">
      <c r="A2313" s="117"/>
      <c r="B2313" s="70">
        <f t="shared" si="149"/>
        <v>46105</v>
      </c>
      <c r="C2313" s="82" t="str">
        <f t="shared" si="146"/>
        <v>mardi</v>
      </c>
      <c r="D2313" s="87"/>
      <c r="E2313" s="115" t="str">
        <f t="shared" si="147"/>
        <v/>
      </c>
      <c r="F2313" s="115" t="str">
        <f t="shared" si="148"/>
        <v/>
      </c>
      <c r="G2313" s="116" t="str">
        <f>IF(ISNONTEXT(D2313),"",E2313-MAX($F$2:F2312))</f>
        <v/>
      </c>
      <c r="H2313" s="97"/>
      <c r="I2313" s="74" t="str">
        <f ca="1">IF(D2313="N",COUNTIF(INDIRECT(ADDRESS(MATCH(Plages!$D$19,'Planning annuel mixing coater'!$B:$B),4)):D2313,"N"),IF(D2313="N1",COUNTIF($D$9:D2313,"N1"),""))</f>
        <v/>
      </c>
      <c r="J2313" s="96" t="str">
        <f>IF(D2313="","",COUNTA(D2312:D2313)-(COUNTA(D2313:D2313)-1))</f>
        <v/>
      </c>
    </row>
    <row r="2314" spans="1:10" thickBot="1">
      <c r="A2314" s="117"/>
      <c r="B2314" s="70">
        <f t="shared" si="149"/>
        <v>46106</v>
      </c>
      <c r="C2314" s="82" t="str">
        <f t="shared" si="146"/>
        <v>mercredi</v>
      </c>
      <c r="D2314" s="87"/>
      <c r="E2314" s="115" t="str">
        <f t="shared" si="147"/>
        <v/>
      </c>
      <c r="F2314" s="115" t="str">
        <f t="shared" si="148"/>
        <v/>
      </c>
      <c r="G2314" s="116" t="str">
        <f>IF(ISNONTEXT(D2314),"",E2314-MAX($F$2:F2313))</f>
        <v/>
      </c>
      <c r="H2314" s="97"/>
      <c r="I2314" s="74" t="str">
        <f ca="1">IF(D2314="N",COUNTIF(INDIRECT(ADDRESS(MATCH(Plages!$D$19,'Planning annuel mixing coater'!$B:$B),4)):D2314,"N"),IF(D2314="N1",COUNTIF($D$9:D2314,"N1"),""))</f>
        <v/>
      </c>
      <c r="J2314" s="96" t="str">
        <f>IF(D2314="","",COUNTA(D2312:D2314)-(COUNTA(D2314:D2314)-1))</f>
        <v/>
      </c>
    </row>
    <row r="2315" spans="1:10" thickBot="1">
      <c r="A2315" s="117"/>
      <c r="B2315" s="70">
        <f t="shared" si="149"/>
        <v>46107</v>
      </c>
      <c r="C2315" s="82" t="str">
        <f t="shared" si="146"/>
        <v>jeudi</v>
      </c>
      <c r="D2315" s="87"/>
      <c r="E2315" s="115" t="str">
        <f t="shared" si="147"/>
        <v/>
      </c>
      <c r="F2315" s="115" t="str">
        <f t="shared" si="148"/>
        <v/>
      </c>
      <c r="G2315" s="116" t="str">
        <f>IF(ISNONTEXT(D2315),"",E2315-MAX($F$2:F2314))</f>
        <v/>
      </c>
      <c r="H2315" s="97"/>
      <c r="I2315" s="74" t="str">
        <f ca="1">IF(D2315="N",COUNTIF(INDIRECT(ADDRESS(MATCH(Plages!$D$19,'Planning annuel mixing coater'!$B:$B),4)):D2315,"N"),IF(D2315="N1",COUNTIF($D$9:D2315,"N1"),""))</f>
        <v/>
      </c>
      <c r="J2315" s="96" t="str">
        <f>IF(D2315="","",COUNTA(D2312:D2315)-(COUNTA(D2315:D2315)-1))</f>
        <v/>
      </c>
    </row>
    <row r="2316" spans="1:10" thickBot="1">
      <c r="A2316" s="117"/>
      <c r="B2316" s="70">
        <f t="shared" si="149"/>
        <v>46108</v>
      </c>
      <c r="C2316" s="82" t="str">
        <f t="shared" si="146"/>
        <v>vendredi</v>
      </c>
      <c r="D2316" s="87"/>
      <c r="E2316" s="115" t="str">
        <f t="shared" si="147"/>
        <v/>
      </c>
      <c r="F2316" s="115" t="str">
        <f t="shared" si="148"/>
        <v/>
      </c>
      <c r="G2316" s="116" t="str">
        <f>IF(ISNONTEXT(D2316),"",E2316-MAX($F$2:F2315))</f>
        <v/>
      </c>
      <c r="H2316" s="97"/>
      <c r="I2316" s="74" t="str">
        <f ca="1">IF(D2316="N",COUNTIF(INDIRECT(ADDRESS(MATCH(Plages!$D$19,'Planning annuel mixing coater'!$B:$B),4)):D2316,"N"),IF(D2316="N1",COUNTIF($D$9:D2316,"N1"),""))</f>
        <v/>
      </c>
      <c r="J2316" s="96" t="str">
        <f>IF(D2316="","",COUNTA(D2312:D2316)-(COUNTA(D2316:D2316)-1))</f>
        <v/>
      </c>
    </row>
    <row r="2317" spans="1:10" thickBot="1">
      <c r="A2317" s="117"/>
      <c r="B2317" s="70">
        <f t="shared" si="149"/>
        <v>46109</v>
      </c>
      <c r="C2317" s="82" t="str">
        <f t="shared" si="146"/>
        <v>samedi</v>
      </c>
      <c r="D2317" s="87"/>
      <c r="E2317" s="115" t="str">
        <f t="shared" si="147"/>
        <v/>
      </c>
      <c r="F2317" s="115" t="str">
        <f t="shared" si="148"/>
        <v/>
      </c>
      <c r="G2317" s="116" t="str">
        <f>IF(ISNONTEXT(D2317),"",E2317-MAX($F$2:F2316))</f>
        <v/>
      </c>
      <c r="H2317" s="97"/>
      <c r="I2317" s="74" t="str">
        <f ca="1">IF(D2317="N",COUNTIF(INDIRECT(ADDRESS(MATCH(Plages!$D$19,'Planning annuel mixing coater'!$B:$B),4)):D2317,"N"),IF(D2317="N1",COUNTIF($D$9:D2317,"N1"),""))</f>
        <v/>
      </c>
      <c r="J2317" s="96" t="str">
        <f>IF(D2317="","",COUNTA(D2312:D2317)-(COUNTA(D2317:D2317)-1))</f>
        <v/>
      </c>
    </row>
    <row r="2318" spans="1:10" thickBot="1">
      <c r="A2318" s="117"/>
      <c r="B2318" s="70">
        <f t="shared" si="149"/>
        <v>46110</v>
      </c>
      <c r="C2318" s="82" t="str">
        <f t="shared" si="146"/>
        <v>dimanche</v>
      </c>
      <c r="D2318" s="87"/>
      <c r="E2318" s="115" t="str">
        <f t="shared" si="147"/>
        <v/>
      </c>
      <c r="F2318" s="115" t="str">
        <f t="shared" si="148"/>
        <v/>
      </c>
      <c r="G2318" s="116" t="str">
        <f>IF(ISNONTEXT(D2318),"",E2318-MAX($F$2:F2317))</f>
        <v/>
      </c>
      <c r="H2318" s="98"/>
      <c r="I2318" s="74" t="str">
        <f ca="1">IF(D2318="N",COUNTIF(INDIRECT(ADDRESS(MATCH(Plages!$D$19,'Planning annuel mixing coater'!$B:$B),4)):D2318,"N"),IF(D2318="N1",COUNTIF($D$9:D2318,"N1"),""))</f>
        <v/>
      </c>
      <c r="J2318" s="96" t="str">
        <f>IF(D2318="","",COUNTA(D2312:D2318)-(COUNTA(D2318:D2318)-1))</f>
        <v/>
      </c>
    </row>
    <row r="2319" spans="1:10" thickBot="1">
      <c r="A2319" s="117"/>
      <c r="B2319" s="70">
        <f t="shared" si="149"/>
        <v>46111</v>
      </c>
      <c r="C2319" s="82" t="str">
        <f t="shared" si="146"/>
        <v>lundi</v>
      </c>
      <c r="D2319" s="87"/>
      <c r="E2319" s="115" t="str">
        <f t="shared" si="147"/>
        <v/>
      </c>
      <c r="F2319" s="115" t="str">
        <f t="shared" si="148"/>
        <v/>
      </c>
      <c r="G2319" s="116" t="str">
        <f>IF(ISNONTEXT(D2319),"",E2319-MAX($F$2:F2318))</f>
        <v/>
      </c>
      <c r="H2319" s="97"/>
      <c r="I2319" s="74" t="str">
        <f ca="1">IF(D2319="N",COUNTIF(INDIRECT(ADDRESS(MATCH(Plages!$D$19,'Planning annuel mixing coater'!$B:$B),4)):D2319,"N"),IF(D2319="N1",COUNTIF($D$9:D2319,"N1"),""))</f>
        <v/>
      </c>
      <c r="J2319" s="96" t="str">
        <f>IF(D2319="","",COUNTA(D2312:D2319)-(COUNTA(D2319:D2319)-1))</f>
        <v/>
      </c>
    </row>
    <row r="2320" spans="1:10" thickBot="1">
      <c r="A2320" s="117"/>
      <c r="B2320" s="70">
        <f t="shared" si="149"/>
        <v>46112</v>
      </c>
      <c r="C2320" s="82" t="str">
        <f t="shared" si="146"/>
        <v>mardi</v>
      </c>
      <c r="D2320" s="87"/>
      <c r="E2320" s="115" t="str">
        <f t="shared" si="147"/>
        <v/>
      </c>
      <c r="F2320" s="115" t="str">
        <f t="shared" si="148"/>
        <v/>
      </c>
      <c r="G2320" s="116" t="str">
        <f>IF(ISNONTEXT(D2320),"",E2320-MAX($F$2:F2319))</f>
        <v/>
      </c>
      <c r="H2320" s="97"/>
      <c r="I2320" s="74" t="str">
        <f ca="1">IF(D2320="N",COUNTIF(INDIRECT(ADDRESS(MATCH(Plages!$D$19,'Planning annuel mixing coater'!$B:$B),4)):D2320,"N"),IF(D2320="N1",COUNTIF($D$9:D2320,"N1"),""))</f>
        <v/>
      </c>
      <c r="J2320" s="96" t="str">
        <f>IF(D2320="","",COUNTA(D2312:D2320)-(COUNTA(D2320:D2320)-1))</f>
        <v/>
      </c>
    </row>
    <row r="2321" spans="1:10" thickBot="1">
      <c r="A2321" s="117"/>
      <c r="B2321" s="70">
        <f t="shared" si="149"/>
        <v>46113</v>
      </c>
      <c r="C2321" s="82" t="str">
        <f t="shared" si="146"/>
        <v>mercredi</v>
      </c>
      <c r="D2321" s="87"/>
      <c r="E2321" s="115" t="str">
        <f t="shared" si="147"/>
        <v/>
      </c>
      <c r="F2321" s="115" t="str">
        <f t="shared" si="148"/>
        <v/>
      </c>
      <c r="G2321" s="116" t="str">
        <f>IF(ISNONTEXT(D2321),"",E2321-MAX($F$2:F2320))</f>
        <v/>
      </c>
      <c r="H2321" s="97"/>
      <c r="I2321" s="74" t="str">
        <f ca="1">IF(D2321="N",COUNTIF(INDIRECT(ADDRESS(MATCH(Plages!$D$19,'Planning annuel mixing coater'!$B:$B),4)):D2321,"N"),IF(D2321="N1",COUNTIF($D$9:D2321,"N1"),""))</f>
        <v/>
      </c>
      <c r="J2321" s="96" t="str">
        <f>IF(D2321="","",COUNTA(D2312:D2321)-(COUNTA(D2321:D2321)-1))</f>
        <v/>
      </c>
    </row>
    <row r="2322" spans="1:10" thickBot="1">
      <c r="A2322" s="117"/>
      <c r="B2322" s="70">
        <f t="shared" si="149"/>
        <v>46114</v>
      </c>
      <c r="C2322" s="82" t="str">
        <f t="shared" si="146"/>
        <v>jeudi</v>
      </c>
      <c r="D2322" s="87"/>
      <c r="E2322" s="115" t="str">
        <f t="shared" si="147"/>
        <v/>
      </c>
      <c r="F2322" s="115" t="str">
        <f t="shared" si="148"/>
        <v/>
      </c>
      <c r="G2322" s="116" t="str">
        <f>IF(ISNONTEXT(D2322),"",E2322-MAX($F$2:F2321))</f>
        <v/>
      </c>
      <c r="H2322" s="97"/>
      <c r="I2322" s="74" t="str">
        <f ca="1">IF(D2322="N",COUNTIF(INDIRECT(ADDRESS(MATCH(Plages!$D$19,'Planning annuel mixing coater'!$B:$B),4)):D2322,"N"),IF(D2322="N1",COUNTIF($D$9:D2322,"N1"),""))</f>
        <v/>
      </c>
      <c r="J2322" s="96" t="str">
        <f>IF(D2322="","",COUNTA(D2312:D2322)-(COUNTA(D2322:D2322)-1))</f>
        <v/>
      </c>
    </row>
    <row r="2323" spans="1:10" thickBot="1">
      <c r="A2323" s="117"/>
      <c r="B2323" s="70">
        <f t="shared" si="149"/>
        <v>46115</v>
      </c>
      <c r="C2323" s="82" t="str">
        <f t="shared" si="146"/>
        <v>vendredi</v>
      </c>
      <c r="D2323" s="87"/>
      <c r="E2323" s="115" t="str">
        <f t="shared" si="147"/>
        <v/>
      </c>
      <c r="F2323" s="115" t="str">
        <f t="shared" si="148"/>
        <v/>
      </c>
      <c r="G2323" s="116" t="str">
        <f>IF(ISNONTEXT(D2323),"",E2323-MAX($F$2:F2322))</f>
        <v/>
      </c>
      <c r="H2323" s="97"/>
      <c r="I2323" s="74" t="str">
        <f ca="1">IF(D2323="N",COUNTIF(INDIRECT(ADDRESS(MATCH(Plages!$D$19,'Planning annuel mixing coater'!$B:$B),4)):D2323,"N"),IF(D2323="N1",COUNTIF($D$9:D2323,"N1"),""))</f>
        <v/>
      </c>
      <c r="J2323" s="96" t="str">
        <f>IF(D2323="","",COUNTA(D2312:D2323)-(COUNTA(D2323:D2323)-1))</f>
        <v/>
      </c>
    </row>
    <row r="2324" spans="1:10" thickBot="1">
      <c r="A2324" s="117"/>
      <c r="B2324" s="70">
        <f t="shared" si="149"/>
        <v>46116</v>
      </c>
      <c r="C2324" s="82" t="str">
        <f t="shared" si="146"/>
        <v>samedi</v>
      </c>
      <c r="D2324" s="87"/>
      <c r="E2324" s="115" t="str">
        <f t="shared" si="147"/>
        <v/>
      </c>
      <c r="F2324" s="115" t="str">
        <f t="shared" si="148"/>
        <v/>
      </c>
      <c r="G2324" s="116" t="str">
        <f>IF(ISNONTEXT(D2324),"",E2324-MAX($F$2:F2323))</f>
        <v/>
      </c>
      <c r="H2324" s="97"/>
      <c r="I2324" s="74" t="str">
        <f ca="1">IF(D2324="N",COUNTIF(INDIRECT(ADDRESS(MATCH(Plages!$D$19,'Planning annuel mixing coater'!$B:$B),4)):D2324,"N"),IF(D2324="N1",COUNTIF($D$9:D2324,"N1"),""))</f>
        <v/>
      </c>
      <c r="J2324" s="96" t="str">
        <f>IF(D2324="","",COUNTA(D2312:D2324)-(COUNTA(D2324:D2324)-1))</f>
        <v/>
      </c>
    </row>
    <row r="2325" spans="1:10" s="77" customFormat="1" thickBot="1">
      <c r="A2325" s="117"/>
      <c r="B2325" s="75">
        <f t="shared" si="149"/>
        <v>46117</v>
      </c>
      <c r="C2325" s="83" t="str">
        <f t="shared" si="146"/>
        <v>dimanche</v>
      </c>
      <c r="D2325" s="88"/>
      <c r="E2325" s="115" t="str">
        <f t="shared" si="147"/>
        <v/>
      </c>
      <c r="F2325" s="115" t="str">
        <f t="shared" si="148"/>
        <v/>
      </c>
      <c r="G2325" s="116" t="str">
        <f>IF(ISNONTEXT(D2325),"",E2325-MAX($F$2:F2324))</f>
        <v/>
      </c>
      <c r="H2325" s="98"/>
      <c r="I2325" s="76" t="str">
        <f ca="1">IF(D2325="N",COUNTIF(INDIRECT(ADDRESS(MATCH(Plages!$D$19,'Planning annuel mixing coater'!$B:$B),4)):D2325,"N"),IF(D2325="N1",COUNTIF($D$9:D2325,"N1"),""))</f>
        <v/>
      </c>
      <c r="J2325" s="99" t="str">
        <f>IF(D2325="","",COUNTA(D2312:D2325)-(COUNTA(D2325:D2325)-1))</f>
        <v/>
      </c>
    </row>
    <row r="2326" spans="1:10" ht="16.5" thickTop="1" thickBot="1">
      <c r="A2326" s="117"/>
      <c r="B2326" s="78">
        <f t="shared" si="149"/>
        <v>46118</v>
      </c>
      <c r="C2326" s="81" t="str">
        <f t="shared" si="146"/>
        <v>lundi</v>
      </c>
      <c r="D2326" s="89"/>
      <c r="E2326" s="115" t="str">
        <f t="shared" si="147"/>
        <v/>
      </c>
      <c r="F2326" s="115" t="str">
        <f t="shared" si="148"/>
        <v/>
      </c>
      <c r="G2326" s="116" t="str">
        <f>IF(ISNONTEXT(D2326),"",E2326-MAX($F$2:F2325))</f>
        <v/>
      </c>
      <c r="H2326" s="100"/>
      <c r="I2326" s="79" t="str">
        <f ca="1">IF(D2326="N",COUNTIF(INDIRECT(ADDRESS(MATCH(Plages!$D$19,'Planning annuel mixing coater'!$B:$B),4)):D2326,"N"),IF(D2326="N1",COUNTIF($D$9:D2326,"N1"),""))</f>
        <v/>
      </c>
      <c r="J2326" s="101" t="str">
        <f>IF(D2326="","",COUNTA(D2326:D2326)-(COUNTA(D2326:D2326)-1))</f>
        <v/>
      </c>
    </row>
    <row r="2327" spans="1:10" thickBot="1">
      <c r="A2327" s="117"/>
      <c r="B2327" s="70">
        <f t="shared" si="149"/>
        <v>46119</v>
      </c>
      <c r="C2327" s="82" t="str">
        <f t="shared" si="146"/>
        <v>mardi</v>
      </c>
      <c r="D2327" s="87"/>
      <c r="E2327" s="115" t="str">
        <f t="shared" si="147"/>
        <v/>
      </c>
      <c r="F2327" s="115" t="str">
        <f t="shared" si="148"/>
        <v/>
      </c>
      <c r="G2327" s="116" t="str">
        <f>IF(ISNONTEXT(D2327),"",E2327-MAX($F$2:F2326))</f>
        <v/>
      </c>
      <c r="H2327" s="97"/>
      <c r="I2327" s="74" t="str">
        <f ca="1">IF(D2327="N",COUNTIF(INDIRECT(ADDRESS(MATCH(Plages!$D$19,'Planning annuel mixing coater'!$B:$B),4)):D2327,"N"),IF(D2327="N1",COUNTIF($D$9:D2327,"N1"),""))</f>
        <v/>
      </c>
      <c r="J2327" s="96" t="str">
        <f>IF(D2327="","",COUNTA(D2326:D2327)-(COUNTA(D2327:D2327)-1))</f>
        <v/>
      </c>
    </row>
    <row r="2328" spans="1:10" thickBot="1">
      <c r="A2328" s="117"/>
      <c r="B2328" s="70">
        <f t="shared" si="149"/>
        <v>46120</v>
      </c>
      <c r="C2328" s="82" t="str">
        <f t="shared" si="146"/>
        <v>mercredi</v>
      </c>
      <c r="D2328" s="87"/>
      <c r="E2328" s="115" t="str">
        <f t="shared" si="147"/>
        <v/>
      </c>
      <c r="F2328" s="115" t="str">
        <f t="shared" si="148"/>
        <v/>
      </c>
      <c r="G2328" s="116" t="str">
        <f>IF(ISNONTEXT(D2328),"",E2328-MAX($F$2:F2327))</f>
        <v/>
      </c>
      <c r="H2328" s="97"/>
      <c r="I2328" s="74" t="str">
        <f ca="1">IF(D2328="N",COUNTIF(INDIRECT(ADDRESS(MATCH(Plages!$D$19,'Planning annuel mixing coater'!$B:$B),4)):D2328,"N"),IF(D2328="N1",COUNTIF($D$9:D2328,"N1"),""))</f>
        <v/>
      </c>
      <c r="J2328" s="96" t="str">
        <f>IF(D2328="","",COUNTA(D2326:D2328)-(COUNTA(D2328:D2328)-1))</f>
        <v/>
      </c>
    </row>
    <row r="2329" spans="1:10" thickBot="1">
      <c r="A2329" s="117"/>
      <c r="B2329" s="70">
        <f t="shared" si="149"/>
        <v>46121</v>
      </c>
      <c r="C2329" s="82" t="str">
        <f t="shared" si="146"/>
        <v>jeudi</v>
      </c>
      <c r="D2329" s="87"/>
      <c r="E2329" s="115" t="str">
        <f t="shared" si="147"/>
        <v/>
      </c>
      <c r="F2329" s="115" t="str">
        <f t="shared" si="148"/>
        <v/>
      </c>
      <c r="G2329" s="116" t="str">
        <f>IF(ISNONTEXT(D2329),"",E2329-MAX($F$2:F2328))</f>
        <v/>
      </c>
      <c r="H2329" s="97"/>
      <c r="I2329" s="74" t="str">
        <f ca="1">IF(D2329="N",COUNTIF(INDIRECT(ADDRESS(MATCH(Plages!$D$19,'Planning annuel mixing coater'!$B:$B),4)):D2329,"N"),IF(D2329="N1",COUNTIF($D$9:D2329,"N1"),""))</f>
        <v/>
      </c>
      <c r="J2329" s="96" t="str">
        <f>IF(D2329="","",COUNTA(D2326:D2329)-(COUNTA(D2329:D2329)-1))</f>
        <v/>
      </c>
    </row>
    <row r="2330" spans="1:10" thickBot="1">
      <c r="A2330" s="117"/>
      <c r="B2330" s="70">
        <f t="shared" si="149"/>
        <v>46122</v>
      </c>
      <c r="C2330" s="82" t="str">
        <f t="shared" si="146"/>
        <v>vendredi</v>
      </c>
      <c r="D2330" s="87"/>
      <c r="E2330" s="115" t="str">
        <f t="shared" si="147"/>
        <v/>
      </c>
      <c r="F2330" s="115" t="str">
        <f t="shared" si="148"/>
        <v/>
      </c>
      <c r="G2330" s="116" t="str">
        <f>IF(ISNONTEXT(D2330),"",E2330-MAX($F$2:F2329))</f>
        <v/>
      </c>
      <c r="H2330" s="97"/>
      <c r="I2330" s="74" t="str">
        <f ca="1">IF(D2330="N",COUNTIF(INDIRECT(ADDRESS(MATCH(Plages!$D$19,'Planning annuel mixing coater'!$B:$B),4)):D2330,"N"),IF(D2330="N1",COUNTIF($D$9:D2330,"N1"),""))</f>
        <v/>
      </c>
      <c r="J2330" s="96" t="str">
        <f>IF(D2330="","",COUNTA(D2326:D2330)-(COUNTA(D2330:D2330)-1))</f>
        <v/>
      </c>
    </row>
    <row r="2331" spans="1:10" thickBot="1">
      <c r="A2331" s="117"/>
      <c r="B2331" s="70">
        <f t="shared" si="149"/>
        <v>46123</v>
      </c>
      <c r="C2331" s="82" t="str">
        <f t="shared" si="146"/>
        <v>samedi</v>
      </c>
      <c r="D2331" s="87"/>
      <c r="E2331" s="115" t="str">
        <f t="shared" si="147"/>
        <v/>
      </c>
      <c r="F2331" s="115" t="str">
        <f t="shared" si="148"/>
        <v/>
      </c>
      <c r="G2331" s="116" t="str">
        <f>IF(ISNONTEXT(D2331),"",E2331-MAX($F$2:F2330))</f>
        <v/>
      </c>
      <c r="H2331" s="97"/>
      <c r="I2331" s="74" t="str">
        <f ca="1">IF(D2331="N",COUNTIF(INDIRECT(ADDRESS(MATCH(Plages!$D$19,'Planning annuel mixing coater'!$B:$B),4)):D2331,"N"),IF(D2331="N1",COUNTIF($D$9:D2331,"N1"),""))</f>
        <v/>
      </c>
      <c r="J2331" s="96" t="str">
        <f>IF(D2331="","",COUNTA(D2326:D2331)-(COUNTA(D2331:D2331)-1))</f>
        <v/>
      </c>
    </row>
    <row r="2332" spans="1:10" thickBot="1">
      <c r="A2332" s="117"/>
      <c r="B2332" s="70">
        <f t="shared" si="149"/>
        <v>46124</v>
      </c>
      <c r="C2332" s="82" t="str">
        <f t="shared" si="146"/>
        <v>dimanche</v>
      </c>
      <c r="D2332" s="87"/>
      <c r="E2332" s="115" t="str">
        <f t="shared" si="147"/>
        <v/>
      </c>
      <c r="F2332" s="115" t="str">
        <f t="shared" si="148"/>
        <v/>
      </c>
      <c r="G2332" s="116" t="str">
        <f>IF(ISNONTEXT(D2332),"",E2332-MAX($F$2:F2331))</f>
        <v/>
      </c>
      <c r="H2332" s="98"/>
      <c r="I2332" s="74" t="str">
        <f ca="1">IF(D2332="N",COUNTIF(INDIRECT(ADDRESS(MATCH(Plages!$D$19,'Planning annuel mixing coater'!$B:$B),4)):D2332,"N"),IF(D2332="N1",COUNTIF($D$9:D2332,"N1"),""))</f>
        <v/>
      </c>
      <c r="J2332" s="96" t="str">
        <f>IF(D2332="","",COUNTA(D2326:D2332)-(COUNTA(D2332:D2332)-1))</f>
        <v/>
      </c>
    </row>
    <row r="2333" spans="1:10" thickBot="1">
      <c r="A2333" s="117"/>
      <c r="B2333" s="70">
        <f t="shared" si="149"/>
        <v>46125</v>
      </c>
      <c r="C2333" s="82" t="str">
        <f t="shared" si="146"/>
        <v>lundi</v>
      </c>
      <c r="D2333" s="87"/>
      <c r="E2333" s="115" t="str">
        <f t="shared" si="147"/>
        <v/>
      </c>
      <c r="F2333" s="115" t="str">
        <f t="shared" si="148"/>
        <v/>
      </c>
      <c r="G2333" s="116" t="str">
        <f>IF(ISNONTEXT(D2333),"",E2333-MAX($F$2:F2332))</f>
        <v/>
      </c>
      <c r="H2333" s="97"/>
      <c r="I2333" s="74" t="str">
        <f ca="1">IF(D2333="N",COUNTIF(INDIRECT(ADDRESS(MATCH(Plages!$D$19,'Planning annuel mixing coater'!$B:$B),4)):D2333,"N"),IF(D2333="N1",COUNTIF($D$9:D2333,"N1"),""))</f>
        <v/>
      </c>
      <c r="J2333" s="96" t="str">
        <f>IF(D2333="","",COUNTA(D2326:D2333)-(COUNTA(D2333:D2333)-1))</f>
        <v/>
      </c>
    </row>
    <row r="2334" spans="1:10" thickBot="1">
      <c r="A2334" s="117"/>
      <c r="B2334" s="70">
        <f t="shared" si="149"/>
        <v>46126</v>
      </c>
      <c r="C2334" s="82" t="str">
        <f t="shared" ref="C2334:C2397" si="150">IF(B2334="","",TEXT(B2334,"jjjj"))</f>
        <v>mardi</v>
      </c>
      <c r="D2334" s="87"/>
      <c r="E2334" s="115" t="str">
        <f t="shared" ref="E2334:E2397" si="151">IF(D2334="","",B2334+VLOOKUP(D2334,Plageh,2,0))</f>
        <v/>
      </c>
      <c r="F2334" s="115" t="str">
        <f t="shared" ref="F2334:F2397" si="152">IF(D2334="","",B2334+VLOOKUP(D2334,Plageh,3,0))</f>
        <v/>
      </c>
      <c r="G2334" s="116" t="str">
        <f>IF(ISNONTEXT(D2334),"",E2334-MAX($F$2:F2333))</f>
        <v/>
      </c>
      <c r="H2334" s="97"/>
      <c r="I2334" s="74" t="str">
        <f ca="1">IF(D2334="N",COUNTIF(INDIRECT(ADDRESS(MATCH(Plages!$D$19,'Planning annuel mixing coater'!$B:$B),4)):D2334,"N"),IF(D2334="N1",COUNTIF($D$9:D2334,"N1"),""))</f>
        <v/>
      </c>
      <c r="J2334" s="96" t="str">
        <f>IF(D2334="","",COUNTA(D2326:D2334)-(COUNTA(D2334:D2334)-1))</f>
        <v/>
      </c>
    </row>
    <row r="2335" spans="1:10" thickBot="1">
      <c r="A2335" s="117"/>
      <c r="B2335" s="70">
        <f t="shared" si="149"/>
        <v>46127</v>
      </c>
      <c r="C2335" s="82" t="str">
        <f t="shared" si="150"/>
        <v>mercredi</v>
      </c>
      <c r="D2335" s="87"/>
      <c r="E2335" s="115" t="str">
        <f t="shared" si="151"/>
        <v/>
      </c>
      <c r="F2335" s="115" t="str">
        <f t="shared" si="152"/>
        <v/>
      </c>
      <c r="G2335" s="116" t="str">
        <f>IF(ISNONTEXT(D2335),"",E2335-MAX($F$2:F2334))</f>
        <v/>
      </c>
      <c r="H2335" s="97"/>
      <c r="I2335" s="74" t="str">
        <f ca="1">IF(D2335="N",COUNTIF(INDIRECT(ADDRESS(MATCH(Plages!$D$19,'Planning annuel mixing coater'!$B:$B),4)):D2335,"N"),IF(D2335="N1",COUNTIF($D$9:D2335,"N1"),""))</f>
        <v/>
      </c>
      <c r="J2335" s="96" t="str">
        <f>IF(D2335="","",COUNTA(D2326:D2335)-(COUNTA(D2335:D2335)-1))</f>
        <v/>
      </c>
    </row>
    <row r="2336" spans="1:10" thickBot="1">
      <c r="A2336" s="117"/>
      <c r="B2336" s="70">
        <f t="shared" si="149"/>
        <v>46128</v>
      </c>
      <c r="C2336" s="82" t="str">
        <f t="shared" si="150"/>
        <v>jeudi</v>
      </c>
      <c r="D2336" s="87"/>
      <c r="E2336" s="115" t="str">
        <f t="shared" si="151"/>
        <v/>
      </c>
      <c r="F2336" s="115" t="str">
        <f t="shared" si="152"/>
        <v/>
      </c>
      <c r="G2336" s="116" t="str">
        <f>IF(ISNONTEXT(D2336),"",E2336-MAX($F$2:F2335))</f>
        <v/>
      </c>
      <c r="H2336" s="97"/>
      <c r="I2336" s="74" t="str">
        <f ca="1">IF(D2336="N",COUNTIF(INDIRECT(ADDRESS(MATCH(Plages!$D$19,'Planning annuel mixing coater'!$B:$B),4)):D2336,"N"),IF(D2336="N1",COUNTIF($D$9:D2336,"N1"),""))</f>
        <v/>
      </c>
      <c r="J2336" s="96" t="str">
        <f>IF(D2336="","",COUNTA(D2326:D2336)-(COUNTA(D2336:D2336)-1))</f>
        <v/>
      </c>
    </row>
    <row r="2337" spans="1:10" thickBot="1">
      <c r="A2337" s="117"/>
      <c r="B2337" s="70">
        <f t="shared" si="149"/>
        <v>46129</v>
      </c>
      <c r="C2337" s="82" t="str">
        <f t="shared" si="150"/>
        <v>vendredi</v>
      </c>
      <c r="D2337" s="87"/>
      <c r="E2337" s="115" t="str">
        <f t="shared" si="151"/>
        <v/>
      </c>
      <c r="F2337" s="115" t="str">
        <f t="shared" si="152"/>
        <v/>
      </c>
      <c r="G2337" s="116" t="str">
        <f>IF(ISNONTEXT(D2337),"",E2337-MAX($F$2:F2336))</f>
        <v/>
      </c>
      <c r="H2337" s="97"/>
      <c r="I2337" s="74" t="str">
        <f ca="1">IF(D2337="N",COUNTIF(INDIRECT(ADDRESS(MATCH(Plages!$D$19,'Planning annuel mixing coater'!$B:$B),4)):D2337,"N"),IF(D2337="N1",COUNTIF($D$9:D2337,"N1"),""))</f>
        <v/>
      </c>
      <c r="J2337" s="96" t="str">
        <f>IF(D2337="","",COUNTA(D2326:D2337)-(COUNTA(D2337:D2337)-1))</f>
        <v/>
      </c>
    </row>
    <row r="2338" spans="1:10" thickBot="1">
      <c r="A2338" s="117"/>
      <c r="B2338" s="70">
        <f t="shared" si="149"/>
        <v>46130</v>
      </c>
      <c r="C2338" s="82" t="str">
        <f t="shared" si="150"/>
        <v>samedi</v>
      </c>
      <c r="D2338" s="87"/>
      <c r="E2338" s="115" t="str">
        <f t="shared" si="151"/>
        <v/>
      </c>
      <c r="F2338" s="115" t="str">
        <f t="shared" si="152"/>
        <v/>
      </c>
      <c r="G2338" s="116" t="str">
        <f>IF(ISNONTEXT(D2338),"",E2338-MAX($F$2:F2337))</f>
        <v/>
      </c>
      <c r="H2338" s="97"/>
      <c r="I2338" s="74" t="str">
        <f ca="1">IF(D2338="N",COUNTIF(INDIRECT(ADDRESS(MATCH(Plages!$D$19,'Planning annuel mixing coater'!$B:$B),4)):D2338,"N"),IF(D2338="N1",COUNTIF($D$9:D2338,"N1"),""))</f>
        <v/>
      </c>
      <c r="J2338" s="96" t="str">
        <f>IF(D2338="","",COUNTA(D2326:D2338)-(COUNTA(D2338:D2338)-1))</f>
        <v/>
      </c>
    </row>
    <row r="2339" spans="1:10" s="77" customFormat="1" thickBot="1">
      <c r="A2339" s="117"/>
      <c r="B2339" s="75">
        <f t="shared" si="149"/>
        <v>46131</v>
      </c>
      <c r="C2339" s="83" t="str">
        <f t="shared" si="150"/>
        <v>dimanche</v>
      </c>
      <c r="D2339" s="88"/>
      <c r="E2339" s="115" t="str">
        <f t="shared" si="151"/>
        <v/>
      </c>
      <c r="F2339" s="115" t="str">
        <f t="shared" si="152"/>
        <v/>
      </c>
      <c r="G2339" s="116" t="str">
        <f>IF(ISNONTEXT(D2339),"",E2339-MAX($F$2:F2338))</f>
        <v/>
      </c>
      <c r="H2339" s="98"/>
      <c r="I2339" s="76" t="str">
        <f ca="1">IF(D2339="N",COUNTIF(INDIRECT(ADDRESS(MATCH(Plages!$D$19,'Planning annuel mixing coater'!$B:$B),4)):D2339,"N"),IF(D2339="N1",COUNTIF($D$9:D2339,"N1"),""))</f>
        <v/>
      </c>
      <c r="J2339" s="99" t="str">
        <f>IF(D2339="","",COUNTA(D2326:D2339)-(COUNTA(D2339:D2339)-1))</f>
        <v/>
      </c>
    </row>
    <row r="2340" spans="1:10" ht="16.5" thickTop="1" thickBot="1">
      <c r="A2340" s="117"/>
      <c r="B2340" s="78">
        <f t="shared" si="149"/>
        <v>46132</v>
      </c>
      <c r="C2340" s="81" t="str">
        <f t="shared" si="150"/>
        <v>lundi</v>
      </c>
      <c r="D2340" s="89"/>
      <c r="E2340" s="115" t="str">
        <f t="shared" si="151"/>
        <v/>
      </c>
      <c r="F2340" s="115" t="str">
        <f t="shared" si="152"/>
        <v/>
      </c>
      <c r="G2340" s="116" t="str">
        <f>IF(ISNONTEXT(D2340),"",E2340-MAX($F$2:F2339))</f>
        <v/>
      </c>
      <c r="H2340" s="100"/>
      <c r="I2340" s="79" t="str">
        <f ca="1">IF(D2340="N",COUNTIF(INDIRECT(ADDRESS(MATCH(Plages!$D$19,'Planning annuel mixing coater'!$B:$B),4)):D2340,"N"),IF(D2340="N1",COUNTIF($D$9:D2340,"N1"),""))</f>
        <v/>
      </c>
      <c r="J2340" s="101" t="str">
        <f>IF(D2340="","",COUNTA(D2340:D2340)-(COUNTA(D2340:D2340)-1))</f>
        <v/>
      </c>
    </row>
    <row r="2341" spans="1:10" thickBot="1">
      <c r="A2341" s="117"/>
      <c r="B2341" s="70">
        <f t="shared" si="149"/>
        <v>46133</v>
      </c>
      <c r="C2341" s="82" t="str">
        <f t="shared" si="150"/>
        <v>mardi</v>
      </c>
      <c r="D2341" s="87"/>
      <c r="E2341" s="115" t="str">
        <f t="shared" si="151"/>
        <v/>
      </c>
      <c r="F2341" s="115" t="str">
        <f t="shared" si="152"/>
        <v/>
      </c>
      <c r="G2341" s="116" t="str">
        <f>IF(ISNONTEXT(D2341),"",E2341-MAX($F$2:F2340))</f>
        <v/>
      </c>
      <c r="H2341" s="97"/>
      <c r="I2341" s="74" t="str">
        <f ca="1">IF(D2341="N",COUNTIF(INDIRECT(ADDRESS(MATCH(Plages!$D$19,'Planning annuel mixing coater'!$B:$B),4)):D2341,"N"),IF(D2341="N1",COUNTIF($D$9:D2341,"N1"),""))</f>
        <v/>
      </c>
      <c r="J2341" s="96" t="str">
        <f>IF(D2341="","",COUNTA(D2340:D2341)-(COUNTA(D2341:D2341)-1))</f>
        <v/>
      </c>
    </row>
    <row r="2342" spans="1:10" thickBot="1">
      <c r="A2342" s="117"/>
      <c r="B2342" s="70">
        <f t="shared" si="149"/>
        <v>46134</v>
      </c>
      <c r="C2342" s="82" t="str">
        <f t="shared" si="150"/>
        <v>mercredi</v>
      </c>
      <c r="D2342" s="87"/>
      <c r="E2342" s="115" t="str">
        <f t="shared" si="151"/>
        <v/>
      </c>
      <c r="F2342" s="115" t="str">
        <f t="shared" si="152"/>
        <v/>
      </c>
      <c r="G2342" s="116" t="str">
        <f>IF(ISNONTEXT(D2342),"",E2342-MAX($F$2:F2341))</f>
        <v/>
      </c>
      <c r="H2342" s="97"/>
      <c r="I2342" s="74" t="str">
        <f ca="1">IF(D2342="N",COUNTIF(INDIRECT(ADDRESS(MATCH(Plages!$D$19,'Planning annuel mixing coater'!$B:$B),4)):D2342,"N"),IF(D2342="N1",COUNTIF($D$9:D2342,"N1"),""))</f>
        <v/>
      </c>
      <c r="J2342" s="96" t="str">
        <f>IF(D2342="","",COUNTA(D2340:D2342)-(COUNTA(D2342:D2342)-1))</f>
        <v/>
      </c>
    </row>
    <row r="2343" spans="1:10" thickBot="1">
      <c r="A2343" s="117"/>
      <c r="B2343" s="70">
        <f t="shared" si="149"/>
        <v>46135</v>
      </c>
      <c r="C2343" s="82" t="str">
        <f t="shared" si="150"/>
        <v>jeudi</v>
      </c>
      <c r="D2343" s="87"/>
      <c r="E2343" s="115" t="str">
        <f t="shared" si="151"/>
        <v/>
      </c>
      <c r="F2343" s="115" t="str">
        <f t="shared" si="152"/>
        <v/>
      </c>
      <c r="G2343" s="116" t="str">
        <f>IF(ISNONTEXT(D2343),"",E2343-MAX($F$2:F2342))</f>
        <v/>
      </c>
      <c r="H2343" s="97"/>
      <c r="I2343" s="74" t="str">
        <f ca="1">IF(D2343="N",COUNTIF(INDIRECT(ADDRESS(MATCH(Plages!$D$19,'Planning annuel mixing coater'!$B:$B),4)):D2343,"N"),IF(D2343="N1",COUNTIF($D$9:D2343,"N1"),""))</f>
        <v/>
      </c>
      <c r="J2343" s="96" t="str">
        <f>IF(D2343="","",COUNTA(D2340:D2343)-(COUNTA(D2343:D2343)-1))</f>
        <v/>
      </c>
    </row>
    <row r="2344" spans="1:10" thickBot="1">
      <c r="A2344" s="117"/>
      <c r="B2344" s="70">
        <f t="shared" si="149"/>
        <v>46136</v>
      </c>
      <c r="C2344" s="82" t="str">
        <f t="shared" si="150"/>
        <v>vendredi</v>
      </c>
      <c r="D2344" s="87"/>
      <c r="E2344" s="115" t="str">
        <f t="shared" si="151"/>
        <v/>
      </c>
      <c r="F2344" s="115" t="str">
        <f t="shared" si="152"/>
        <v/>
      </c>
      <c r="G2344" s="116" t="str">
        <f>IF(ISNONTEXT(D2344),"",E2344-MAX($F$2:F2343))</f>
        <v/>
      </c>
      <c r="H2344" s="97"/>
      <c r="I2344" s="74" t="str">
        <f ca="1">IF(D2344="N",COUNTIF(INDIRECT(ADDRESS(MATCH(Plages!$D$19,'Planning annuel mixing coater'!$B:$B),4)):D2344,"N"),IF(D2344="N1",COUNTIF($D$9:D2344,"N1"),""))</f>
        <v/>
      </c>
      <c r="J2344" s="96" t="str">
        <f>IF(D2344="","",COUNTA(D2340:D2344)-(COUNTA(D2344:D2344)-1))</f>
        <v/>
      </c>
    </row>
    <row r="2345" spans="1:10" thickBot="1">
      <c r="A2345" s="117"/>
      <c r="B2345" s="70">
        <f t="shared" si="149"/>
        <v>46137</v>
      </c>
      <c r="C2345" s="82" t="str">
        <f t="shared" si="150"/>
        <v>samedi</v>
      </c>
      <c r="D2345" s="87"/>
      <c r="E2345" s="115" t="str">
        <f t="shared" si="151"/>
        <v/>
      </c>
      <c r="F2345" s="115" t="str">
        <f t="shared" si="152"/>
        <v/>
      </c>
      <c r="G2345" s="116" t="str">
        <f>IF(ISNONTEXT(D2345),"",E2345-MAX($F$2:F2344))</f>
        <v/>
      </c>
      <c r="H2345" s="97"/>
      <c r="I2345" s="74" t="str">
        <f ca="1">IF(D2345="N",COUNTIF(INDIRECT(ADDRESS(MATCH(Plages!$D$19,'Planning annuel mixing coater'!$B:$B),4)):D2345,"N"),IF(D2345="N1",COUNTIF($D$9:D2345,"N1"),""))</f>
        <v/>
      </c>
      <c r="J2345" s="96" t="str">
        <f>IF(D2345="","",COUNTA(D2340:D2345)-(COUNTA(D2345:D2345)-1))</f>
        <v/>
      </c>
    </row>
    <row r="2346" spans="1:10" thickBot="1">
      <c r="A2346" s="117"/>
      <c r="B2346" s="70">
        <f t="shared" si="149"/>
        <v>46138</v>
      </c>
      <c r="C2346" s="82" t="str">
        <f t="shared" si="150"/>
        <v>dimanche</v>
      </c>
      <c r="D2346" s="87"/>
      <c r="E2346" s="115" t="str">
        <f t="shared" si="151"/>
        <v/>
      </c>
      <c r="F2346" s="115" t="str">
        <f t="shared" si="152"/>
        <v/>
      </c>
      <c r="G2346" s="116" t="str">
        <f>IF(ISNONTEXT(D2346),"",E2346-MAX($F$2:F2345))</f>
        <v/>
      </c>
      <c r="H2346" s="98"/>
      <c r="I2346" s="74" t="str">
        <f ca="1">IF(D2346="N",COUNTIF(INDIRECT(ADDRESS(MATCH(Plages!$D$19,'Planning annuel mixing coater'!$B:$B),4)):D2346,"N"),IF(D2346="N1",COUNTIF($D$9:D2346,"N1"),""))</f>
        <v/>
      </c>
      <c r="J2346" s="96" t="str">
        <f>IF(D2346="","",COUNTA(D2340:D2346)-(COUNTA(D2346:D2346)-1))</f>
        <v/>
      </c>
    </row>
    <row r="2347" spans="1:10" thickBot="1">
      <c r="A2347" s="117"/>
      <c r="B2347" s="70">
        <f t="shared" si="149"/>
        <v>46139</v>
      </c>
      <c r="C2347" s="82" t="str">
        <f t="shared" si="150"/>
        <v>lundi</v>
      </c>
      <c r="D2347" s="87"/>
      <c r="E2347" s="115" t="str">
        <f t="shared" si="151"/>
        <v/>
      </c>
      <c r="F2347" s="115" t="str">
        <f t="shared" si="152"/>
        <v/>
      </c>
      <c r="G2347" s="116" t="str">
        <f>IF(ISNONTEXT(D2347),"",E2347-MAX($F$2:F2346))</f>
        <v/>
      </c>
      <c r="H2347" s="97"/>
      <c r="I2347" s="74" t="str">
        <f ca="1">IF(D2347="N",COUNTIF(INDIRECT(ADDRESS(MATCH(Plages!$D$19,'Planning annuel mixing coater'!$B:$B),4)):D2347,"N"),IF(D2347="N1",COUNTIF($D$9:D2347,"N1"),""))</f>
        <v/>
      </c>
      <c r="J2347" s="96" t="str">
        <f>IF(D2347="","",COUNTA(D2340:D2347)-(COUNTA(D2347:D2347)-1))</f>
        <v/>
      </c>
    </row>
    <row r="2348" spans="1:10" thickBot="1">
      <c r="A2348" s="117"/>
      <c r="B2348" s="70">
        <f t="shared" si="149"/>
        <v>46140</v>
      </c>
      <c r="C2348" s="82" t="str">
        <f t="shared" si="150"/>
        <v>mardi</v>
      </c>
      <c r="D2348" s="87"/>
      <c r="E2348" s="115" t="str">
        <f t="shared" si="151"/>
        <v/>
      </c>
      <c r="F2348" s="115" t="str">
        <f t="shared" si="152"/>
        <v/>
      </c>
      <c r="G2348" s="116" t="str">
        <f>IF(ISNONTEXT(D2348),"",E2348-MAX($F$2:F2347))</f>
        <v/>
      </c>
      <c r="H2348" s="97"/>
      <c r="I2348" s="74" t="str">
        <f ca="1">IF(D2348="N",COUNTIF(INDIRECT(ADDRESS(MATCH(Plages!$D$19,'Planning annuel mixing coater'!$B:$B),4)):D2348,"N"),IF(D2348="N1",COUNTIF($D$9:D2348,"N1"),""))</f>
        <v/>
      </c>
      <c r="J2348" s="96" t="str">
        <f>IF(D2348="","",COUNTA(D2340:D2348)-(COUNTA(D2348:D2348)-1))</f>
        <v/>
      </c>
    </row>
    <row r="2349" spans="1:10" thickBot="1">
      <c r="A2349" s="117"/>
      <c r="B2349" s="70">
        <f t="shared" si="149"/>
        <v>46141</v>
      </c>
      <c r="C2349" s="82" t="str">
        <f t="shared" si="150"/>
        <v>mercredi</v>
      </c>
      <c r="D2349" s="87"/>
      <c r="E2349" s="115" t="str">
        <f t="shared" si="151"/>
        <v/>
      </c>
      <c r="F2349" s="115" t="str">
        <f t="shared" si="152"/>
        <v/>
      </c>
      <c r="G2349" s="116" t="str">
        <f>IF(ISNONTEXT(D2349),"",E2349-MAX($F$2:F2348))</f>
        <v/>
      </c>
      <c r="H2349" s="97"/>
      <c r="I2349" s="74" t="str">
        <f ca="1">IF(D2349="N",COUNTIF(INDIRECT(ADDRESS(MATCH(Plages!$D$19,'Planning annuel mixing coater'!$B:$B),4)):D2349,"N"),IF(D2349="N1",COUNTIF($D$9:D2349,"N1"),""))</f>
        <v/>
      </c>
      <c r="J2349" s="96" t="str">
        <f>IF(D2349="","",COUNTA(D2340:D2349)-(COUNTA(D2349:D2349)-1))</f>
        <v/>
      </c>
    </row>
    <row r="2350" spans="1:10" thickBot="1">
      <c r="A2350" s="117"/>
      <c r="B2350" s="70">
        <f t="shared" si="149"/>
        <v>46142</v>
      </c>
      <c r="C2350" s="82" t="str">
        <f t="shared" si="150"/>
        <v>jeudi</v>
      </c>
      <c r="D2350" s="87"/>
      <c r="E2350" s="115" t="str">
        <f t="shared" si="151"/>
        <v/>
      </c>
      <c r="F2350" s="115" t="str">
        <f t="shared" si="152"/>
        <v/>
      </c>
      <c r="G2350" s="116" t="str">
        <f>IF(ISNONTEXT(D2350),"",E2350-MAX($F$2:F2349))</f>
        <v/>
      </c>
      <c r="H2350" s="97"/>
      <c r="I2350" s="74" t="str">
        <f ca="1">IF(D2350="N",COUNTIF(INDIRECT(ADDRESS(MATCH(Plages!$D$19,'Planning annuel mixing coater'!$B:$B),4)):D2350,"N"),IF(D2350="N1",COUNTIF($D$9:D2350,"N1"),""))</f>
        <v/>
      </c>
      <c r="J2350" s="96" t="str">
        <f>IF(D2350="","",COUNTA(D2340:D2350)-(COUNTA(D2350:D2350)-1))</f>
        <v/>
      </c>
    </row>
    <row r="2351" spans="1:10" thickBot="1">
      <c r="A2351" s="117"/>
      <c r="B2351" s="70">
        <f t="shared" si="149"/>
        <v>46143</v>
      </c>
      <c r="C2351" s="82" t="str">
        <f t="shared" si="150"/>
        <v>vendredi</v>
      </c>
      <c r="D2351" s="87"/>
      <c r="E2351" s="115" t="str">
        <f t="shared" si="151"/>
        <v/>
      </c>
      <c r="F2351" s="115" t="str">
        <f t="shared" si="152"/>
        <v/>
      </c>
      <c r="G2351" s="116" t="str">
        <f>IF(ISNONTEXT(D2351),"",E2351-MAX($F$2:F2350))</f>
        <v/>
      </c>
      <c r="H2351" s="97"/>
      <c r="I2351" s="74" t="str">
        <f ca="1">IF(D2351="N",COUNTIF(INDIRECT(ADDRESS(MATCH(Plages!$D$19,'Planning annuel mixing coater'!$B:$B),4)):D2351,"N"),IF(D2351="N1",COUNTIF($D$9:D2351,"N1"),""))</f>
        <v/>
      </c>
      <c r="J2351" s="96" t="str">
        <f>IF(D2351="","",COUNTA(D2340:D2351)-(COUNTA(D2351:D2351)-1))</f>
        <v/>
      </c>
    </row>
    <row r="2352" spans="1:10" thickBot="1">
      <c r="A2352" s="117"/>
      <c r="B2352" s="70">
        <f t="shared" si="149"/>
        <v>46144</v>
      </c>
      <c r="C2352" s="82" t="str">
        <f t="shared" si="150"/>
        <v>samedi</v>
      </c>
      <c r="D2352" s="87"/>
      <c r="E2352" s="115" t="str">
        <f t="shared" si="151"/>
        <v/>
      </c>
      <c r="F2352" s="115" t="str">
        <f t="shared" si="152"/>
        <v/>
      </c>
      <c r="G2352" s="116" t="str">
        <f>IF(ISNONTEXT(D2352),"",E2352-MAX($F$2:F2351))</f>
        <v/>
      </c>
      <c r="H2352" s="97"/>
      <c r="I2352" s="74" t="str">
        <f ca="1">IF(D2352="N",COUNTIF(INDIRECT(ADDRESS(MATCH(Plages!$D$19,'Planning annuel mixing coater'!$B:$B),4)):D2352,"N"),IF(D2352="N1",COUNTIF($D$9:D2352,"N1"),""))</f>
        <v/>
      </c>
      <c r="J2352" s="96" t="str">
        <f>IF(D2352="","",COUNTA(D2340:D2352)-(COUNTA(D2352:D2352)-1))</f>
        <v/>
      </c>
    </row>
    <row r="2353" spans="1:10" s="77" customFormat="1" thickBot="1">
      <c r="A2353" s="117"/>
      <c r="B2353" s="75">
        <f t="shared" si="149"/>
        <v>46145</v>
      </c>
      <c r="C2353" s="83" t="str">
        <f t="shared" si="150"/>
        <v>dimanche</v>
      </c>
      <c r="D2353" s="88"/>
      <c r="E2353" s="115" t="str">
        <f t="shared" si="151"/>
        <v/>
      </c>
      <c r="F2353" s="115" t="str">
        <f t="shared" si="152"/>
        <v/>
      </c>
      <c r="G2353" s="116" t="str">
        <f>IF(ISNONTEXT(D2353),"",E2353-MAX($F$2:F2352))</f>
        <v/>
      </c>
      <c r="H2353" s="98"/>
      <c r="I2353" s="76" t="str">
        <f ca="1">IF(D2353="N",COUNTIF(INDIRECT(ADDRESS(MATCH(Plages!$D$19,'Planning annuel mixing coater'!$B:$B),4)):D2353,"N"),IF(D2353="N1",COUNTIF($D$9:D2353,"N1"),""))</f>
        <v/>
      </c>
      <c r="J2353" s="99" t="str">
        <f>IF(D2353="","",COUNTA(D2340:D2353)-(COUNTA(D2353:D2353)-1))</f>
        <v/>
      </c>
    </row>
    <row r="2354" spans="1:10" ht="16.5" thickTop="1" thickBot="1">
      <c r="A2354" s="117"/>
      <c r="B2354" s="78">
        <f t="shared" si="149"/>
        <v>46146</v>
      </c>
      <c r="C2354" s="81" t="str">
        <f t="shared" si="150"/>
        <v>lundi</v>
      </c>
      <c r="D2354" s="89"/>
      <c r="E2354" s="115" t="str">
        <f t="shared" si="151"/>
        <v/>
      </c>
      <c r="F2354" s="115" t="str">
        <f t="shared" si="152"/>
        <v/>
      </c>
      <c r="G2354" s="116" t="str">
        <f>IF(ISNONTEXT(D2354),"",E2354-MAX($F$2:F2353))</f>
        <v/>
      </c>
      <c r="H2354" s="100"/>
      <c r="I2354" s="79" t="str">
        <f ca="1">IF(D2354="N",COUNTIF(INDIRECT(ADDRESS(MATCH(Plages!$D$19,'Planning annuel mixing coater'!$B:$B),4)):D2354,"N"),IF(D2354="N1",COUNTIF($D$9:D2354,"N1"),""))</f>
        <v/>
      </c>
      <c r="J2354" s="101" t="str">
        <f>IF(D2354="","",COUNTA(D2354:D2354)-(COUNTA(D2354:D2354)-1))</f>
        <v/>
      </c>
    </row>
    <row r="2355" spans="1:10" thickBot="1">
      <c r="A2355" s="117"/>
      <c r="B2355" s="70">
        <f t="shared" si="149"/>
        <v>46147</v>
      </c>
      <c r="C2355" s="82" t="str">
        <f t="shared" si="150"/>
        <v>mardi</v>
      </c>
      <c r="D2355" s="87"/>
      <c r="E2355" s="115" t="str">
        <f t="shared" si="151"/>
        <v/>
      </c>
      <c r="F2355" s="115" t="str">
        <f t="shared" si="152"/>
        <v/>
      </c>
      <c r="G2355" s="116" t="str">
        <f>IF(ISNONTEXT(D2355),"",E2355-MAX($F$2:F2354))</f>
        <v/>
      </c>
      <c r="H2355" s="97"/>
      <c r="I2355" s="74" t="str">
        <f ca="1">IF(D2355="N",COUNTIF(INDIRECT(ADDRESS(MATCH(Plages!$D$19,'Planning annuel mixing coater'!$B:$B),4)):D2355,"N"),IF(D2355="N1",COUNTIF($D$9:D2355,"N1"),""))</f>
        <v/>
      </c>
      <c r="J2355" s="96" t="str">
        <f>IF(D2355="","",COUNTA(D2354:D2355)-(COUNTA(D2355:D2355)-1))</f>
        <v/>
      </c>
    </row>
    <row r="2356" spans="1:10" thickBot="1">
      <c r="A2356" s="117"/>
      <c r="B2356" s="70">
        <f t="shared" si="149"/>
        <v>46148</v>
      </c>
      <c r="C2356" s="82" t="str">
        <f t="shared" si="150"/>
        <v>mercredi</v>
      </c>
      <c r="D2356" s="87"/>
      <c r="E2356" s="115" t="str">
        <f t="shared" si="151"/>
        <v/>
      </c>
      <c r="F2356" s="115" t="str">
        <f t="shared" si="152"/>
        <v/>
      </c>
      <c r="G2356" s="116" t="str">
        <f>IF(ISNONTEXT(D2356),"",E2356-MAX($F$2:F2355))</f>
        <v/>
      </c>
      <c r="H2356" s="97"/>
      <c r="I2356" s="74" t="str">
        <f ca="1">IF(D2356="N",COUNTIF(INDIRECT(ADDRESS(MATCH(Plages!$D$19,'Planning annuel mixing coater'!$B:$B),4)):D2356,"N"),IF(D2356="N1",COUNTIF($D$9:D2356,"N1"),""))</f>
        <v/>
      </c>
      <c r="J2356" s="96" t="str">
        <f>IF(D2356="","",COUNTA(D2354:D2356)-(COUNTA(D2356:D2356)-1))</f>
        <v/>
      </c>
    </row>
    <row r="2357" spans="1:10" thickBot="1">
      <c r="A2357" s="117"/>
      <c r="B2357" s="70">
        <f t="shared" si="149"/>
        <v>46149</v>
      </c>
      <c r="C2357" s="82" t="str">
        <f t="shared" si="150"/>
        <v>jeudi</v>
      </c>
      <c r="D2357" s="87"/>
      <c r="E2357" s="115" t="str">
        <f t="shared" si="151"/>
        <v/>
      </c>
      <c r="F2357" s="115" t="str">
        <f t="shared" si="152"/>
        <v/>
      </c>
      <c r="G2357" s="116" t="str">
        <f>IF(ISNONTEXT(D2357),"",E2357-MAX($F$2:F2356))</f>
        <v/>
      </c>
      <c r="H2357" s="97"/>
      <c r="I2357" s="74" t="str">
        <f ca="1">IF(D2357="N",COUNTIF(INDIRECT(ADDRESS(MATCH(Plages!$D$19,'Planning annuel mixing coater'!$B:$B),4)):D2357,"N"),IF(D2357="N1",COUNTIF($D$9:D2357,"N1"),""))</f>
        <v/>
      </c>
      <c r="J2357" s="96" t="str">
        <f>IF(D2357="","",COUNTA(D2354:D2357)-(COUNTA(D2357:D2357)-1))</f>
        <v/>
      </c>
    </row>
    <row r="2358" spans="1:10" thickBot="1">
      <c r="A2358" s="117"/>
      <c r="B2358" s="70">
        <f t="shared" si="149"/>
        <v>46150</v>
      </c>
      <c r="C2358" s="82" t="str">
        <f t="shared" si="150"/>
        <v>vendredi</v>
      </c>
      <c r="D2358" s="87"/>
      <c r="E2358" s="115" t="str">
        <f t="shared" si="151"/>
        <v/>
      </c>
      <c r="F2358" s="115" t="str">
        <f t="shared" si="152"/>
        <v/>
      </c>
      <c r="G2358" s="116" t="str">
        <f>IF(ISNONTEXT(D2358),"",E2358-MAX($F$2:F2357))</f>
        <v/>
      </c>
      <c r="H2358" s="97"/>
      <c r="I2358" s="74" t="str">
        <f ca="1">IF(D2358="N",COUNTIF(INDIRECT(ADDRESS(MATCH(Plages!$D$19,'Planning annuel mixing coater'!$B:$B),4)):D2358,"N"),IF(D2358="N1",COUNTIF($D$9:D2358,"N1"),""))</f>
        <v/>
      </c>
      <c r="J2358" s="96" t="str">
        <f>IF(D2358="","",COUNTA(D2354:D2358)-(COUNTA(D2358:D2358)-1))</f>
        <v/>
      </c>
    </row>
    <row r="2359" spans="1:10" thickBot="1">
      <c r="A2359" s="117"/>
      <c r="B2359" s="70">
        <f t="shared" si="149"/>
        <v>46151</v>
      </c>
      <c r="C2359" s="82" t="str">
        <f t="shared" si="150"/>
        <v>samedi</v>
      </c>
      <c r="D2359" s="87"/>
      <c r="E2359" s="115" t="str">
        <f t="shared" si="151"/>
        <v/>
      </c>
      <c r="F2359" s="115" t="str">
        <f t="shared" si="152"/>
        <v/>
      </c>
      <c r="G2359" s="116" t="str">
        <f>IF(ISNONTEXT(D2359),"",E2359-MAX($F$2:F2358))</f>
        <v/>
      </c>
      <c r="H2359" s="97"/>
      <c r="I2359" s="74" t="str">
        <f ca="1">IF(D2359="N",COUNTIF(INDIRECT(ADDRESS(MATCH(Plages!$D$19,'Planning annuel mixing coater'!$B:$B),4)):D2359,"N"),IF(D2359="N1",COUNTIF($D$9:D2359,"N1"),""))</f>
        <v/>
      </c>
      <c r="J2359" s="96" t="str">
        <f>IF(D2359="","",COUNTA(D2354:D2359)-(COUNTA(D2359:D2359)-1))</f>
        <v/>
      </c>
    </row>
    <row r="2360" spans="1:10" thickBot="1">
      <c r="A2360" s="117"/>
      <c r="B2360" s="70">
        <f t="shared" si="149"/>
        <v>46152</v>
      </c>
      <c r="C2360" s="82" t="str">
        <f t="shared" si="150"/>
        <v>dimanche</v>
      </c>
      <c r="D2360" s="87"/>
      <c r="E2360" s="115" t="str">
        <f t="shared" si="151"/>
        <v/>
      </c>
      <c r="F2360" s="115" t="str">
        <f t="shared" si="152"/>
        <v/>
      </c>
      <c r="G2360" s="116" t="str">
        <f>IF(ISNONTEXT(D2360),"",E2360-MAX($F$2:F2359))</f>
        <v/>
      </c>
      <c r="H2360" s="98"/>
      <c r="I2360" s="74" t="str">
        <f ca="1">IF(D2360="N",COUNTIF(INDIRECT(ADDRESS(MATCH(Plages!$D$19,'Planning annuel mixing coater'!$B:$B),4)):D2360,"N"),IF(D2360="N1",COUNTIF($D$9:D2360,"N1"),""))</f>
        <v/>
      </c>
      <c r="J2360" s="96" t="str">
        <f>IF(D2360="","",COUNTA(D2354:D2360)-(COUNTA(D2360:D2360)-1))</f>
        <v/>
      </c>
    </row>
    <row r="2361" spans="1:10" thickBot="1">
      <c r="A2361" s="117"/>
      <c r="B2361" s="70">
        <f t="shared" si="149"/>
        <v>46153</v>
      </c>
      <c r="C2361" s="82" t="str">
        <f t="shared" si="150"/>
        <v>lundi</v>
      </c>
      <c r="D2361" s="87"/>
      <c r="E2361" s="115" t="str">
        <f t="shared" si="151"/>
        <v/>
      </c>
      <c r="F2361" s="115" t="str">
        <f t="shared" si="152"/>
        <v/>
      </c>
      <c r="G2361" s="116" t="str">
        <f>IF(ISNONTEXT(D2361),"",E2361-MAX($F$2:F2360))</f>
        <v/>
      </c>
      <c r="H2361" s="97"/>
      <c r="I2361" s="74" t="str">
        <f ca="1">IF(D2361="N",COUNTIF(INDIRECT(ADDRESS(MATCH(Plages!$D$19,'Planning annuel mixing coater'!$B:$B),4)):D2361,"N"),IF(D2361="N1",COUNTIF($D$9:D2361,"N1"),""))</f>
        <v/>
      </c>
      <c r="J2361" s="96" t="str">
        <f>IF(D2361="","",COUNTA(D2354:D2361)-(COUNTA(D2361:D2361)-1))</f>
        <v/>
      </c>
    </row>
    <row r="2362" spans="1:10" thickBot="1">
      <c r="A2362" s="117"/>
      <c r="B2362" s="70">
        <f t="shared" si="149"/>
        <v>46154</v>
      </c>
      <c r="C2362" s="82" t="str">
        <f t="shared" si="150"/>
        <v>mardi</v>
      </c>
      <c r="D2362" s="87"/>
      <c r="E2362" s="115" t="str">
        <f t="shared" si="151"/>
        <v/>
      </c>
      <c r="F2362" s="115" t="str">
        <f t="shared" si="152"/>
        <v/>
      </c>
      <c r="G2362" s="116" t="str">
        <f>IF(ISNONTEXT(D2362),"",E2362-MAX($F$2:F2361))</f>
        <v/>
      </c>
      <c r="H2362" s="97"/>
      <c r="I2362" s="74" t="str">
        <f ca="1">IF(D2362="N",COUNTIF(INDIRECT(ADDRESS(MATCH(Plages!$D$19,'Planning annuel mixing coater'!$B:$B),4)):D2362,"N"),IF(D2362="N1",COUNTIF($D$9:D2362,"N1"),""))</f>
        <v/>
      </c>
      <c r="J2362" s="96" t="str">
        <f>IF(D2362="","",COUNTA(D2354:D2362)-(COUNTA(D2362:D2362)-1))</f>
        <v/>
      </c>
    </row>
    <row r="2363" spans="1:10" thickBot="1">
      <c r="A2363" s="117"/>
      <c r="B2363" s="70">
        <f t="shared" si="149"/>
        <v>46155</v>
      </c>
      <c r="C2363" s="82" t="str">
        <f t="shared" si="150"/>
        <v>mercredi</v>
      </c>
      <c r="D2363" s="87"/>
      <c r="E2363" s="115" t="str">
        <f t="shared" si="151"/>
        <v/>
      </c>
      <c r="F2363" s="115" t="str">
        <f t="shared" si="152"/>
        <v/>
      </c>
      <c r="G2363" s="116" t="str">
        <f>IF(ISNONTEXT(D2363),"",E2363-MAX($F$2:F2362))</f>
        <v/>
      </c>
      <c r="H2363" s="97"/>
      <c r="I2363" s="74" t="str">
        <f ca="1">IF(D2363="N",COUNTIF(INDIRECT(ADDRESS(MATCH(Plages!$D$19,'Planning annuel mixing coater'!$B:$B),4)):D2363,"N"),IF(D2363="N1",COUNTIF($D$9:D2363,"N1"),""))</f>
        <v/>
      </c>
      <c r="J2363" s="96" t="str">
        <f>IF(D2363="","",COUNTA(D2354:D2363)-(COUNTA(D2363:D2363)-1))</f>
        <v/>
      </c>
    </row>
    <row r="2364" spans="1:10" thickBot="1">
      <c r="A2364" s="117"/>
      <c r="B2364" s="70">
        <f t="shared" si="149"/>
        <v>46156</v>
      </c>
      <c r="C2364" s="82" t="str">
        <f t="shared" si="150"/>
        <v>jeudi</v>
      </c>
      <c r="D2364" s="87"/>
      <c r="E2364" s="115" t="str">
        <f t="shared" si="151"/>
        <v/>
      </c>
      <c r="F2364" s="115" t="str">
        <f t="shared" si="152"/>
        <v/>
      </c>
      <c r="G2364" s="116" t="str">
        <f>IF(ISNONTEXT(D2364),"",E2364-MAX($F$2:F2363))</f>
        <v/>
      </c>
      <c r="H2364" s="97"/>
      <c r="I2364" s="74" t="str">
        <f ca="1">IF(D2364="N",COUNTIF(INDIRECT(ADDRESS(MATCH(Plages!$D$19,'Planning annuel mixing coater'!$B:$B),4)):D2364,"N"),IF(D2364="N1",COUNTIF($D$9:D2364,"N1"),""))</f>
        <v/>
      </c>
      <c r="J2364" s="96" t="str">
        <f>IF(D2364="","",COUNTA(D2354:D2364)-(COUNTA(D2364:D2364)-1))</f>
        <v/>
      </c>
    </row>
    <row r="2365" spans="1:10" thickBot="1">
      <c r="A2365" s="117"/>
      <c r="B2365" s="70">
        <f t="shared" si="149"/>
        <v>46157</v>
      </c>
      <c r="C2365" s="82" t="str">
        <f t="shared" si="150"/>
        <v>vendredi</v>
      </c>
      <c r="D2365" s="87"/>
      <c r="E2365" s="115" t="str">
        <f t="shared" si="151"/>
        <v/>
      </c>
      <c r="F2365" s="115" t="str">
        <f t="shared" si="152"/>
        <v/>
      </c>
      <c r="G2365" s="116" t="str">
        <f>IF(ISNONTEXT(D2365),"",E2365-MAX($F$2:F2364))</f>
        <v/>
      </c>
      <c r="H2365" s="97"/>
      <c r="I2365" s="74" t="str">
        <f ca="1">IF(D2365="N",COUNTIF(INDIRECT(ADDRESS(MATCH(Plages!$D$19,'Planning annuel mixing coater'!$B:$B),4)):D2365,"N"),IF(D2365="N1",COUNTIF($D$9:D2365,"N1"),""))</f>
        <v/>
      </c>
      <c r="J2365" s="96" t="str">
        <f>IF(D2365="","",COUNTA(D2354:D2365)-(COUNTA(D2365:D2365)-1))</f>
        <v/>
      </c>
    </row>
    <row r="2366" spans="1:10" thickBot="1">
      <c r="A2366" s="117"/>
      <c r="B2366" s="70">
        <f t="shared" si="149"/>
        <v>46158</v>
      </c>
      <c r="C2366" s="82" t="str">
        <f t="shared" si="150"/>
        <v>samedi</v>
      </c>
      <c r="D2366" s="87"/>
      <c r="E2366" s="115" t="str">
        <f t="shared" si="151"/>
        <v/>
      </c>
      <c r="F2366" s="115" t="str">
        <f t="shared" si="152"/>
        <v/>
      </c>
      <c r="G2366" s="116" t="str">
        <f>IF(ISNONTEXT(D2366),"",E2366-MAX($F$2:F2365))</f>
        <v/>
      </c>
      <c r="H2366" s="97"/>
      <c r="I2366" s="74" t="str">
        <f ca="1">IF(D2366="N",COUNTIF(INDIRECT(ADDRESS(MATCH(Plages!$D$19,'Planning annuel mixing coater'!$B:$B),4)):D2366,"N"),IF(D2366="N1",COUNTIF($D$9:D2366,"N1"),""))</f>
        <v/>
      </c>
      <c r="J2366" s="96" t="str">
        <f>IF(D2366="","",COUNTA(D2354:D2366)-(COUNTA(D2366:D2366)-1))</f>
        <v/>
      </c>
    </row>
    <row r="2367" spans="1:10" s="77" customFormat="1" thickBot="1">
      <c r="A2367" s="117"/>
      <c r="B2367" s="75">
        <f t="shared" si="149"/>
        <v>46159</v>
      </c>
      <c r="C2367" s="83" t="str">
        <f t="shared" si="150"/>
        <v>dimanche</v>
      </c>
      <c r="D2367" s="88"/>
      <c r="E2367" s="115" t="str">
        <f t="shared" si="151"/>
        <v/>
      </c>
      <c r="F2367" s="115" t="str">
        <f t="shared" si="152"/>
        <v/>
      </c>
      <c r="G2367" s="116" t="str">
        <f>IF(ISNONTEXT(D2367),"",E2367-MAX($F$2:F2366))</f>
        <v/>
      </c>
      <c r="H2367" s="98"/>
      <c r="I2367" s="76" t="str">
        <f ca="1">IF(D2367="N",COUNTIF(INDIRECT(ADDRESS(MATCH(Plages!$D$19,'Planning annuel mixing coater'!$B:$B),4)):D2367,"N"),IF(D2367="N1",COUNTIF($D$9:D2367,"N1"),""))</f>
        <v/>
      </c>
      <c r="J2367" s="99" t="str">
        <f>IF(D2367="","",COUNTA(D2354:D2367)-(COUNTA(D2367:D2367)-1))</f>
        <v/>
      </c>
    </row>
    <row r="2368" spans="1:10" ht="16.5" thickTop="1" thickBot="1">
      <c r="A2368" s="117"/>
      <c r="B2368" s="78">
        <f t="shared" si="149"/>
        <v>46160</v>
      </c>
      <c r="C2368" s="81" t="str">
        <f t="shared" si="150"/>
        <v>lundi</v>
      </c>
      <c r="D2368" s="89"/>
      <c r="E2368" s="115" t="str">
        <f t="shared" si="151"/>
        <v/>
      </c>
      <c r="F2368" s="115" t="str">
        <f t="shared" si="152"/>
        <v/>
      </c>
      <c r="G2368" s="116" t="str">
        <f>IF(ISNONTEXT(D2368),"",E2368-MAX($F$2:F2367))</f>
        <v/>
      </c>
      <c r="H2368" s="100"/>
      <c r="I2368" s="79" t="str">
        <f ca="1">IF(D2368="N",COUNTIF(INDIRECT(ADDRESS(MATCH(Plages!$D$19,'Planning annuel mixing coater'!$B:$B),4)):D2368,"N"),IF(D2368="N1",COUNTIF($D$9:D2368,"N1"),""))</f>
        <v/>
      </c>
      <c r="J2368" s="101" t="str">
        <f>IF(D2368="","",COUNTA(D2368:D2368)-(COUNTA(D2368:D2368)-1))</f>
        <v/>
      </c>
    </row>
    <row r="2369" spans="1:10" thickBot="1">
      <c r="A2369" s="117"/>
      <c r="B2369" s="70">
        <f t="shared" si="149"/>
        <v>46161</v>
      </c>
      <c r="C2369" s="82" t="str">
        <f t="shared" si="150"/>
        <v>mardi</v>
      </c>
      <c r="D2369" s="87"/>
      <c r="E2369" s="115" t="str">
        <f t="shared" si="151"/>
        <v/>
      </c>
      <c r="F2369" s="115" t="str">
        <f t="shared" si="152"/>
        <v/>
      </c>
      <c r="G2369" s="116" t="str">
        <f>IF(ISNONTEXT(D2369),"",E2369-MAX($F$2:F2368))</f>
        <v/>
      </c>
      <c r="H2369" s="97"/>
      <c r="I2369" s="74" t="str">
        <f ca="1">IF(D2369="N",COUNTIF(INDIRECT(ADDRESS(MATCH(Plages!$D$19,'Planning annuel mixing coater'!$B:$B),4)):D2369,"N"),IF(D2369="N1",COUNTIF($D$9:D2369,"N1"),""))</f>
        <v/>
      </c>
      <c r="J2369" s="96" t="str">
        <f>IF(D2369="","",COUNTA(D2368:D2369)-(COUNTA(D2369:D2369)-1))</f>
        <v/>
      </c>
    </row>
    <row r="2370" spans="1:10" thickBot="1">
      <c r="A2370" s="117"/>
      <c r="B2370" s="70">
        <f t="shared" si="149"/>
        <v>46162</v>
      </c>
      <c r="C2370" s="82" t="str">
        <f t="shared" si="150"/>
        <v>mercredi</v>
      </c>
      <c r="D2370" s="87"/>
      <c r="E2370" s="115" t="str">
        <f t="shared" si="151"/>
        <v/>
      </c>
      <c r="F2370" s="115" t="str">
        <f t="shared" si="152"/>
        <v/>
      </c>
      <c r="G2370" s="116" t="str">
        <f>IF(ISNONTEXT(D2370),"",E2370-MAX($F$2:F2369))</f>
        <v/>
      </c>
      <c r="H2370" s="97"/>
      <c r="I2370" s="74" t="str">
        <f ca="1">IF(D2370="N",COUNTIF(INDIRECT(ADDRESS(MATCH(Plages!$D$19,'Planning annuel mixing coater'!$B:$B),4)):D2370,"N"),IF(D2370="N1",COUNTIF($D$9:D2370,"N1"),""))</f>
        <v/>
      </c>
      <c r="J2370" s="96" t="str">
        <f>IF(D2370="","",COUNTA(D2368:D2370)-(COUNTA(D2370:D2370)-1))</f>
        <v/>
      </c>
    </row>
    <row r="2371" spans="1:10" thickBot="1">
      <c r="A2371" s="117"/>
      <c r="B2371" s="70">
        <f t="shared" si="149"/>
        <v>46163</v>
      </c>
      <c r="C2371" s="82" t="str">
        <f t="shared" si="150"/>
        <v>jeudi</v>
      </c>
      <c r="D2371" s="87"/>
      <c r="E2371" s="115" t="str">
        <f t="shared" si="151"/>
        <v/>
      </c>
      <c r="F2371" s="115" t="str">
        <f t="shared" si="152"/>
        <v/>
      </c>
      <c r="G2371" s="116" t="str">
        <f>IF(ISNONTEXT(D2371),"",E2371-MAX($F$2:F2370))</f>
        <v/>
      </c>
      <c r="H2371" s="97"/>
      <c r="I2371" s="74" t="str">
        <f ca="1">IF(D2371="N",COUNTIF(INDIRECT(ADDRESS(MATCH(Plages!$D$19,'Planning annuel mixing coater'!$B:$B),4)):D2371,"N"),IF(D2371="N1",COUNTIF($D$9:D2371,"N1"),""))</f>
        <v/>
      </c>
      <c r="J2371" s="96" t="str">
        <f>IF(D2371="","",COUNTA(D2368:D2371)-(COUNTA(D2371:D2371)-1))</f>
        <v/>
      </c>
    </row>
    <row r="2372" spans="1:10" thickBot="1">
      <c r="A2372" s="117"/>
      <c r="B2372" s="70">
        <f t="shared" ref="B2372:B2435" si="153">IF(B2371="","",B2371+1)</f>
        <v>46164</v>
      </c>
      <c r="C2372" s="82" t="str">
        <f t="shared" si="150"/>
        <v>vendredi</v>
      </c>
      <c r="D2372" s="87"/>
      <c r="E2372" s="115" t="str">
        <f t="shared" si="151"/>
        <v/>
      </c>
      <c r="F2372" s="115" t="str">
        <f t="shared" si="152"/>
        <v/>
      </c>
      <c r="G2372" s="116" t="str">
        <f>IF(ISNONTEXT(D2372),"",E2372-MAX($F$2:F2371))</f>
        <v/>
      </c>
      <c r="H2372" s="97"/>
      <c r="I2372" s="74" t="str">
        <f ca="1">IF(D2372="N",COUNTIF(INDIRECT(ADDRESS(MATCH(Plages!$D$19,'Planning annuel mixing coater'!$B:$B),4)):D2372,"N"),IF(D2372="N1",COUNTIF($D$9:D2372,"N1"),""))</f>
        <v/>
      </c>
      <c r="J2372" s="96" t="str">
        <f>IF(D2372="","",COUNTA(D2368:D2372)-(COUNTA(D2372:D2372)-1))</f>
        <v/>
      </c>
    </row>
    <row r="2373" spans="1:10" thickBot="1">
      <c r="A2373" s="117"/>
      <c r="B2373" s="70">
        <f t="shared" si="153"/>
        <v>46165</v>
      </c>
      <c r="C2373" s="82" t="str">
        <f t="shared" si="150"/>
        <v>samedi</v>
      </c>
      <c r="D2373" s="87"/>
      <c r="E2373" s="115" t="str">
        <f t="shared" si="151"/>
        <v/>
      </c>
      <c r="F2373" s="115" t="str">
        <f t="shared" si="152"/>
        <v/>
      </c>
      <c r="G2373" s="116" t="str">
        <f>IF(ISNONTEXT(D2373),"",E2373-MAX($F$2:F2372))</f>
        <v/>
      </c>
      <c r="H2373" s="97"/>
      <c r="I2373" s="74" t="str">
        <f ca="1">IF(D2373="N",COUNTIF(INDIRECT(ADDRESS(MATCH(Plages!$D$19,'Planning annuel mixing coater'!$B:$B),4)):D2373,"N"),IF(D2373="N1",COUNTIF($D$9:D2373,"N1"),""))</f>
        <v/>
      </c>
      <c r="J2373" s="96" t="str">
        <f>IF(D2373="","",COUNTA(D2368:D2373)-(COUNTA(D2373:D2373)-1))</f>
        <v/>
      </c>
    </row>
    <row r="2374" spans="1:10" thickBot="1">
      <c r="A2374" s="117"/>
      <c r="B2374" s="70">
        <f t="shared" si="153"/>
        <v>46166</v>
      </c>
      <c r="C2374" s="82" t="str">
        <f t="shared" si="150"/>
        <v>dimanche</v>
      </c>
      <c r="D2374" s="87"/>
      <c r="E2374" s="115" t="str">
        <f t="shared" si="151"/>
        <v/>
      </c>
      <c r="F2374" s="115" t="str">
        <f t="shared" si="152"/>
        <v/>
      </c>
      <c r="G2374" s="116" t="str">
        <f>IF(ISNONTEXT(D2374),"",E2374-MAX($F$2:F2373))</f>
        <v/>
      </c>
      <c r="H2374" s="98"/>
      <c r="I2374" s="74" t="str">
        <f ca="1">IF(D2374="N",COUNTIF(INDIRECT(ADDRESS(MATCH(Plages!$D$19,'Planning annuel mixing coater'!$B:$B),4)):D2374,"N"),IF(D2374="N1",COUNTIF($D$9:D2374,"N1"),""))</f>
        <v/>
      </c>
      <c r="J2374" s="96" t="str">
        <f>IF(D2374="","",COUNTA(D2368:D2374)-(COUNTA(D2374:D2374)-1))</f>
        <v/>
      </c>
    </row>
    <row r="2375" spans="1:10" thickBot="1">
      <c r="A2375" s="117"/>
      <c r="B2375" s="70">
        <f t="shared" si="153"/>
        <v>46167</v>
      </c>
      <c r="C2375" s="82" t="str">
        <f t="shared" si="150"/>
        <v>lundi</v>
      </c>
      <c r="D2375" s="87"/>
      <c r="E2375" s="115" t="str">
        <f t="shared" si="151"/>
        <v/>
      </c>
      <c r="F2375" s="115" t="str">
        <f t="shared" si="152"/>
        <v/>
      </c>
      <c r="G2375" s="116" t="str">
        <f>IF(ISNONTEXT(D2375),"",E2375-MAX($F$2:F2374))</f>
        <v/>
      </c>
      <c r="H2375" s="97"/>
      <c r="I2375" s="74" t="str">
        <f ca="1">IF(D2375="N",COUNTIF(INDIRECT(ADDRESS(MATCH(Plages!$D$19,'Planning annuel mixing coater'!$B:$B),4)):D2375,"N"),IF(D2375="N1",COUNTIF($D$9:D2375,"N1"),""))</f>
        <v/>
      </c>
      <c r="J2375" s="96" t="str">
        <f>IF(D2375="","",COUNTA(D2368:D2375)-(COUNTA(D2375:D2375)-1))</f>
        <v/>
      </c>
    </row>
    <row r="2376" spans="1:10" thickBot="1">
      <c r="A2376" s="117"/>
      <c r="B2376" s="70">
        <f t="shared" si="153"/>
        <v>46168</v>
      </c>
      <c r="C2376" s="82" t="str">
        <f t="shared" si="150"/>
        <v>mardi</v>
      </c>
      <c r="D2376" s="87"/>
      <c r="E2376" s="115" t="str">
        <f t="shared" si="151"/>
        <v/>
      </c>
      <c r="F2376" s="115" t="str">
        <f t="shared" si="152"/>
        <v/>
      </c>
      <c r="G2376" s="116" t="str">
        <f>IF(ISNONTEXT(D2376),"",E2376-MAX($F$2:F2375))</f>
        <v/>
      </c>
      <c r="H2376" s="97"/>
      <c r="I2376" s="74" t="str">
        <f ca="1">IF(D2376="N",COUNTIF(INDIRECT(ADDRESS(MATCH(Plages!$D$19,'Planning annuel mixing coater'!$B:$B),4)):D2376,"N"),IF(D2376="N1",COUNTIF($D$9:D2376,"N1"),""))</f>
        <v/>
      </c>
      <c r="J2376" s="96" t="str">
        <f>IF(D2376="","",COUNTA(D2368:D2376)-(COUNTA(D2376:D2376)-1))</f>
        <v/>
      </c>
    </row>
    <row r="2377" spans="1:10" thickBot="1">
      <c r="A2377" s="117"/>
      <c r="B2377" s="70">
        <f t="shared" si="153"/>
        <v>46169</v>
      </c>
      <c r="C2377" s="82" t="str">
        <f t="shared" si="150"/>
        <v>mercredi</v>
      </c>
      <c r="D2377" s="87"/>
      <c r="E2377" s="115" t="str">
        <f t="shared" si="151"/>
        <v/>
      </c>
      <c r="F2377" s="115" t="str">
        <f t="shared" si="152"/>
        <v/>
      </c>
      <c r="G2377" s="116" t="str">
        <f>IF(ISNONTEXT(D2377),"",E2377-MAX($F$2:F2376))</f>
        <v/>
      </c>
      <c r="H2377" s="97"/>
      <c r="I2377" s="74" t="str">
        <f ca="1">IF(D2377="N",COUNTIF(INDIRECT(ADDRESS(MATCH(Plages!$D$19,'Planning annuel mixing coater'!$B:$B),4)):D2377,"N"),IF(D2377="N1",COUNTIF($D$9:D2377,"N1"),""))</f>
        <v/>
      </c>
      <c r="J2377" s="96" t="str">
        <f>IF(D2377="","",COUNTA(D2368:D2377)-(COUNTA(D2377:D2377)-1))</f>
        <v/>
      </c>
    </row>
    <row r="2378" spans="1:10" thickBot="1">
      <c r="A2378" s="117"/>
      <c r="B2378" s="70">
        <f t="shared" si="153"/>
        <v>46170</v>
      </c>
      <c r="C2378" s="82" t="str">
        <f t="shared" si="150"/>
        <v>jeudi</v>
      </c>
      <c r="D2378" s="87"/>
      <c r="E2378" s="115" t="str">
        <f t="shared" si="151"/>
        <v/>
      </c>
      <c r="F2378" s="115" t="str">
        <f t="shared" si="152"/>
        <v/>
      </c>
      <c r="G2378" s="116" t="str">
        <f>IF(ISNONTEXT(D2378),"",E2378-MAX($F$2:F2377))</f>
        <v/>
      </c>
      <c r="H2378" s="97"/>
      <c r="I2378" s="74" t="str">
        <f ca="1">IF(D2378="N",COUNTIF(INDIRECT(ADDRESS(MATCH(Plages!$D$19,'Planning annuel mixing coater'!$B:$B),4)):D2378,"N"),IF(D2378="N1",COUNTIF($D$9:D2378,"N1"),""))</f>
        <v/>
      </c>
      <c r="J2378" s="96" t="str">
        <f>IF(D2378="","",COUNTA(D2368:D2378)-(COUNTA(D2378:D2378)-1))</f>
        <v/>
      </c>
    </row>
    <row r="2379" spans="1:10" thickBot="1">
      <c r="A2379" s="117"/>
      <c r="B2379" s="70">
        <f t="shared" si="153"/>
        <v>46171</v>
      </c>
      <c r="C2379" s="82" t="str">
        <f t="shared" si="150"/>
        <v>vendredi</v>
      </c>
      <c r="D2379" s="87"/>
      <c r="E2379" s="115" t="str">
        <f t="shared" si="151"/>
        <v/>
      </c>
      <c r="F2379" s="115" t="str">
        <f t="shared" si="152"/>
        <v/>
      </c>
      <c r="G2379" s="116" t="str">
        <f>IF(ISNONTEXT(D2379),"",E2379-MAX($F$2:F2378))</f>
        <v/>
      </c>
      <c r="H2379" s="97"/>
      <c r="I2379" s="74" t="str">
        <f ca="1">IF(D2379="N",COUNTIF(INDIRECT(ADDRESS(MATCH(Plages!$D$19,'Planning annuel mixing coater'!$B:$B),4)):D2379,"N"),IF(D2379="N1",COUNTIF($D$9:D2379,"N1"),""))</f>
        <v/>
      </c>
      <c r="J2379" s="96" t="str">
        <f>IF(D2379="","",COUNTA(D2368:D2379)-(COUNTA(D2379:D2379)-1))</f>
        <v/>
      </c>
    </row>
    <row r="2380" spans="1:10" thickBot="1">
      <c r="A2380" s="117"/>
      <c r="B2380" s="70">
        <f t="shared" si="153"/>
        <v>46172</v>
      </c>
      <c r="C2380" s="82" t="str">
        <f t="shared" si="150"/>
        <v>samedi</v>
      </c>
      <c r="D2380" s="87"/>
      <c r="E2380" s="115" t="str">
        <f t="shared" si="151"/>
        <v/>
      </c>
      <c r="F2380" s="115" t="str">
        <f t="shared" si="152"/>
        <v/>
      </c>
      <c r="G2380" s="116" t="str">
        <f>IF(ISNONTEXT(D2380),"",E2380-MAX($F$2:F2379))</f>
        <v/>
      </c>
      <c r="H2380" s="97"/>
      <c r="I2380" s="74" t="str">
        <f ca="1">IF(D2380="N",COUNTIF(INDIRECT(ADDRESS(MATCH(Plages!$D$19,'Planning annuel mixing coater'!$B:$B),4)):D2380,"N"),IF(D2380="N1",COUNTIF($D$9:D2380,"N1"),""))</f>
        <v/>
      </c>
      <c r="J2380" s="96" t="str">
        <f>IF(D2380="","",COUNTA(D2368:D2380)-(COUNTA(D2380:D2380)-1))</f>
        <v/>
      </c>
    </row>
    <row r="2381" spans="1:10" s="77" customFormat="1" thickBot="1">
      <c r="A2381" s="117"/>
      <c r="B2381" s="75">
        <f t="shared" si="153"/>
        <v>46173</v>
      </c>
      <c r="C2381" s="83" t="str">
        <f t="shared" si="150"/>
        <v>dimanche</v>
      </c>
      <c r="D2381" s="88"/>
      <c r="E2381" s="115" t="str">
        <f t="shared" si="151"/>
        <v/>
      </c>
      <c r="F2381" s="115" t="str">
        <f t="shared" si="152"/>
        <v/>
      </c>
      <c r="G2381" s="116" t="str">
        <f>IF(ISNONTEXT(D2381),"",E2381-MAX($F$2:F2380))</f>
        <v/>
      </c>
      <c r="H2381" s="98"/>
      <c r="I2381" s="76" t="str">
        <f ca="1">IF(D2381="N",COUNTIF(INDIRECT(ADDRESS(MATCH(Plages!$D$19,'Planning annuel mixing coater'!$B:$B),4)):D2381,"N"),IF(D2381="N1",COUNTIF($D$9:D2381,"N1"),""))</f>
        <v/>
      </c>
      <c r="J2381" s="99" t="str">
        <f>IF(D2381="","",COUNTA(D2368:D2381)-(COUNTA(D2381:D2381)-1))</f>
        <v/>
      </c>
    </row>
    <row r="2382" spans="1:10" ht="16.5" thickTop="1" thickBot="1">
      <c r="A2382" s="117"/>
      <c r="B2382" s="78">
        <f t="shared" si="153"/>
        <v>46174</v>
      </c>
      <c r="C2382" s="81" t="str">
        <f t="shared" si="150"/>
        <v>lundi</v>
      </c>
      <c r="D2382" s="89"/>
      <c r="E2382" s="115" t="str">
        <f t="shared" si="151"/>
        <v/>
      </c>
      <c r="F2382" s="115" t="str">
        <f t="shared" si="152"/>
        <v/>
      </c>
      <c r="G2382" s="116" t="str">
        <f>IF(ISNONTEXT(D2382),"",E2382-MAX($F$2:F2381))</f>
        <v/>
      </c>
      <c r="H2382" s="100"/>
      <c r="I2382" s="79" t="str">
        <f ca="1">IF(D2382="N",COUNTIF(INDIRECT(ADDRESS(MATCH(Plages!$D$19,'Planning annuel mixing coater'!$B:$B),4)):D2382,"N"),IF(D2382="N1",COUNTIF($D$9:D2382,"N1"),""))</f>
        <v/>
      </c>
      <c r="J2382" s="101" t="str">
        <f>IF(D2382="","",COUNTA(D2382:D2382)-(COUNTA(D2382:D2382)-1))</f>
        <v/>
      </c>
    </row>
    <row r="2383" spans="1:10" thickBot="1">
      <c r="A2383" s="117"/>
      <c r="B2383" s="70">
        <f t="shared" si="153"/>
        <v>46175</v>
      </c>
      <c r="C2383" s="82" t="str">
        <f t="shared" si="150"/>
        <v>mardi</v>
      </c>
      <c r="D2383" s="87"/>
      <c r="E2383" s="115" t="str">
        <f t="shared" si="151"/>
        <v/>
      </c>
      <c r="F2383" s="115" t="str">
        <f t="shared" si="152"/>
        <v/>
      </c>
      <c r="G2383" s="116" t="str">
        <f>IF(ISNONTEXT(D2383),"",E2383-MAX($F$2:F2382))</f>
        <v/>
      </c>
      <c r="H2383" s="97"/>
      <c r="I2383" s="74" t="str">
        <f ca="1">IF(D2383="N",COUNTIF(INDIRECT(ADDRESS(MATCH(Plages!$D$19,'Planning annuel mixing coater'!$B:$B),4)):D2383,"N"),IF(D2383="N1",COUNTIF($D$9:D2383,"N1"),""))</f>
        <v/>
      </c>
      <c r="J2383" s="96" t="str">
        <f>IF(D2383="","",COUNTA(D2382:D2383)-(COUNTA(D2383:D2383)-1))</f>
        <v/>
      </c>
    </row>
    <row r="2384" spans="1:10" thickBot="1">
      <c r="A2384" s="117"/>
      <c r="B2384" s="70">
        <f t="shared" si="153"/>
        <v>46176</v>
      </c>
      <c r="C2384" s="82" t="str">
        <f t="shared" si="150"/>
        <v>mercredi</v>
      </c>
      <c r="D2384" s="87"/>
      <c r="E2384" s="115" t="str">
        <f t="shared" si="151"/>
        <v/>
      </c>
      <c r="F2384" s="115" t="str">
        <f t="shared" si="152"/>
        <v/>
      </c>
      <c r="G2384" s="116" t="str">
        <f>IF(ISNONTEXT(D2384),"",E2384-MAX($F$2:F2383))</f>
        <v/>
      </c>
      <c r="H2384" s="97"/>
      <c r="I2384" s="74" t="str">
        <f ca="1">IF(D2384="N",COUNTIF(INDIRECT(ADDRESS(MATCH(Plages!$D$19,'Planning annuel mixing coater'!$B:$B),4)):D2384,"N"),IF(D2384="N1",COUNTIF($D$9:D2384,"N1"),""))</f>
        <v/>
      </c>
      <c r="J2384" s="96" t="str">
        <f>IF(D2384="","",COUNTA(D2382:D2384)-(COUNTA(D2384:D2384)-1))</f>
        <v/>
      </c>
    </row>
    <row r="2385" spans="1:10" thickBot="1">
      <c r="A2385" s="117"/>
      <c r="B2385" s="70">
        <f t="shared" si="153"/>
        <v>46177</v>
      </c>
      <c r="C2385" s="82" t="str">
        <f t="shared" si="150"/>
        <v>jeudi</v>
      </c>
      <c r="D2385" s="87"/>
      <c r="E2385" s="115" t="str">
        <f t="shared" si="151"/>
        <v/>
      </c>
      <c r="F2385" s="115" t="str">
        <f t="shared" si="152"/>
        <v/>
      </c>
      <c r="G2385" s="116" t="str">
        <f>IF(ISNONTEXT(D2385),"",E2385-MAX($F$2:F2384))</f>
        <v/>
      </c>
      <c r="H2385" s="97"/>
      <c r="I2385" s="74" t="str">
        <f ca="1">IF(D2385="N",COUNTIF(INDIRECT(ADDRESS(MATCH(Plages!$D$19,'Planning annuel mixing coater'!$B:$B),4)):D2385,"N"),IF(D2385="N1",COUNTIF($D$9:D2385,"N1"),""))</f>
        <v/>
      </c>
      <c r="J2385" s="96" t="str">
        <f>IF(D2385="","",COUNTA(D2382:D2385)-(COUNTA(D2385:D2385)-1))</f>
        <v/>
      </c>
    </row>
    <row r="2386" spans="1:10" thickBot="1">
      <c r="A2386" s="117"/>
      <c r="B2386" s="70">
        <f t="shared" si="153"/>
        <v>46178</v>
      </c>
      <c r="C2386" s="82" t="str">
        <f t="shared" si="150"/>
        <v>vendredi</v>
      </c>
      <c r="D2386" s="87"/>
      <c r="E2386" s="115" t="str">
        <f t="shared" si="151"/>
        <v/>
      </c>
      <c r="F2386" s="115" t="str">
        <f t="shared" si="152"/>
        <v/>
      </c>
      <c r="G2386" s="116" t="str">
        <f>IF(ISNONTEXT(D2386),"",E2386-MAX($F$2:F2385))</f>
        <v/>
      </c>
      <c r="H2386" s="97"/>
      <c r="I2386" s="74" t="str">
        <f ca="1">IF(D2386="N",COUNTIF(INDIRECT(ADDRESS(MATCH(Plages!$D$19,'Planning annuel mixing coater'!$B:$B),4)):D2386,"N"),IF(D2386="N1",COUNTIF($D$9:D2386,"N1"),""))</f>
        <v/>
      </c>
      <c r="J2386" s="96" t="str">
        <f>IF(D2386="","",COUNTA(D2382:D2386)-(COUNTA(D2386:D2386)-1))</f>
        <v/>
      </c>
    </row>
    <row r="2387" spans="1:10" thickBot="1">
      <c r="A2387" s="117"/>
      <c r="B2387" s="70">
        <f t="shared" si="153"/>
        <v>46179</v>
      </c>
      <c r="C2387" s="82" t="str">
        <f t="shared" si="150"/>
        <v>samedi</v>
      </c>
      <c r="D2387" s="87"/>
      <c r="E2387" s="115" t="str">
        <f t="shared" si="151"/>
        <v/>
      </c>
      <c r="F2387" s="115" t="str">
        <f t="shared" si="152"/>
        <v/>
      </c>
      <c r="G2387" s="116" t="str">
        <f>IF(ISNONTEXT(D2387),"",E2387-MAX($F$2:F2386))</f>
        <v/>
      </c>
      <c r="H2387" s="97"/>
      <c r="I2387" s="74" t="str">
        <f ca="1">IF(D2387="N",COUNTIF(INDIRECT(ADDRESS(MATCH(Plages!$D$19,'Planning annuel mixing coater'!$B:$B),4)):D2387,"N"),IF(D2387="N1",COUNTIF($D$9:D2387,"N1"),""))</f>
        <v/>
      </c>
      <c r="J2387" s="96" t="str">
        <f>IF(D2387="","",COUNTA(D2382:D2387)-(COUNTA(D2387:D2387)-1))</f>
        <v/>
      </c>
    </row>
    <row r="2388" spans="1:10" thickBot="1">
      <c r="A2388" s="117"/>
      <c r="B2388" s="70">
        <f t="shared" si="153"/>
        <v>46180</v>
      </c>
      <c r="C2388" s="82" t="str">
        <f t="shared" si="150"/>
        <v>dimanche</v>
      </c>
      <c r="D2388" s="87"/>
      <c r="E2388" s="115" t="str">
        <f t="shared" si="151"/>
        <v/>
      </c>
      <c r="F2388" s="115" t="str">
        <f t="shared" si="152"/>
        <v/>
      </c>
      <c r="G2388" s="116" t="str">
        <f>IF(ISNONTEXT(D2388),"",E2388-MAX($F$2:F2387))</f>
        <v/>
      </c>
      <c r="H2388" s="98"/>
      <c r="I2388" s="74" t="str">
        <f ca="1">IF(D2388="N",COUNTIF(INDIRECT(ADDRESS(MATCH(Plages!$D$19,'Planning annuel mixing coater'!$B:$B),4)):D2388,"N"),IF(D2388="N1",COUNTIF($D$9:D2388,"N1"),""))</f>
        <v/>
      </c>
      <c r="J2388" s="96" t="str">
        <f>IF(D2388="","",COUNTA(D2382:D2388)-(COUNTA(D2388:D2388)-1))</f>
        <v/>
      </c>
    </row>
    <row r="2389" spans="1:10" thickBot="1">
      <c r="A2389" s="117"/>
      <c r="B2389" s="70">
        <f t="shared" si="153"/>
        <v>46181</v>
      </c>
      <c r="C2389" s="82" t="str">
        <f t="shared" si="150"/>
        <v>lundi</v>
      </c>
      <c r="D2389" s="87"/>
      <c r="E2389" s="115" t="str">
        <f t="shared" si="151"/>
        <v/>
      </c>
      <c r="F2389" s="115" t="str">
        <f t="shared" si="152"/>
        <v/>
      </c>
      <c r="G2389" s="116" t="str">
        <f>IF(ISNONTEXT(D2389),"",E2389-MAX($F$2:F2388))</f>
        <v/>
      </c>
      <c r="H2389" s="97"/>
      <c r="I2389" s="74" t="str">
        <f ca="1">IF(D2389="N",COUNTIF(INDIRECT(ADDRESS(MATCH(Plages!$D$19,'Planning annuel mixing coater'!$B:$B),4)):D2389,"N"),IF(D2389="N1",COUNTIF($D$9:D2389,"N1"),""))</f>
        <v/>
      </c>
      <c r="J2389" s="96" t="str">
        <f>IF(D2389="","",COUNTA(D2382:D2389)-(COUNTA(D2389:D2389)-1))</f>
        <v/>
      </c>
    </row>
    <row r="2390" spans="1:10" thickBot="1">
      <c r="A2390" s="117"/>
      <c r="B2390" s="70">
        <f t="shared" si="153"/>
        <v>46182</v>
      </c>
      <c r="C2390" s="82" t="str">
        <f t="shared" si="150"/>
        <v>mardi</v>
      </c>
      <c r="D2390" s="87"/>
      <c r="E2390" s="115" t="str">
        <f t="shared" si="151"/>
        <v/>
      </c>
      <c r="F2390" s="115" t="str">
        <f t="shared" si="152"/>
        <v/>
      </c>
      <c r="G2390" s="116" t="str">
        <f>IF(ISNONTEXT(D2390),"",E2390-MAX($F$2:F2389))</f>
        <v/>
      </c>
      <c r="H2390" s="97"/>
      <c r="I2390" s="74" t="str">
        <f ca="1">IF(D2390="N",COUNTIF(INDIRECT(ADDRESS(MATCH(Plages!$D$19,'Planning annuel mixing coater'!$B:$B),4)):D2390,"N"),IF(D2390="N1",COUNTIF($D$9:D2390,"N1"),""))</f>
        <v/>
      </c>
      <c r="J2390" s="96" t="str">
        <f>IF(D2390="","",COUNTA(D2382:D2390)-(COUNTA(D2390:D2390)-1))</f>
        <v/>
      </c>
    </row>
    <row r="2391" spans="1:10" thickBot="1">
      <c r="A2391" s="117"/>
      <c r="B2391" s="70">
        <f t="shared" si="153"/>
        <v>46183</v>
      </c>
      <c r="C2391" s="82" t="str">
        <f t="shared" si="150"/>
        <v>mercredi</v>
      </c>
      <c r="D2391" s="87"/>
      <c r="E2391" s="115" t="str">
        <f t="shared" si="151"/>
        <v/>
      </c>
      <c r="F2391" s="115" t="str">
        <f t="shared" si="152"/>
        <v/>
      </c>
      <c r="G2391" s="116" t="str">
        <f>IF(ISNONTEXT(D2391),"",E2391-MAX($F$2:F2390))</f>
        <v/>
      </c>
      <c r="H2391" s="97"/>
      <c r="I2391" s="74" t="str">
        <f ca="1">IF(D2391="N",COUNTIF(INDIRECT(ADDRESS(MATCH(Plages!$D$19,'Planning annuel mixing coater'!$B:$B),4)):D2391,"N"),IF(D2391="N1",COUNTIF($D$9:D2391,"N1"),""))</f>
        <v/>
      </c>
      <c r="J2391" s="96" t="str">
        <f>IF(D2391="","",COUNTA(D2382:D2391)-(COUNTA(D2391:D2391)-1))</f>
        <v/>
      </c>
    </row>
    <row r="2392" spans="1:10" thickBot="1">
      <c r="A2392" s="117"/>
      <c r="B2392" s="70">
        <f t="shared" si="153"/>
        <v>46184</v>
      </c>
      <c r="C2392" s="82" t="str">
        <f t="shared" si="150"/>
        <v>jeudi</v>
      </c>
      <c r="D2392" s="87"/>
      <c r="E2392" s="115" t="str">
        <f t="shared" si="151"/>
        <v/>
      </c>
      <c r="F2392" s="115" t="str">
        <f t="shared" si="152"/>
        <v/>
      </c>
      <c r="G2392" s="116" t="str">
        <f>IF(ISNONTEXT(D2392),"",E2392-MAX($F$2:F2391))</f>
        <v/>
      </c>
      <c r="H2392" s="97"/>
      <c r="I2392" s="74" t="str">
        <f ca="1">IF(D2392="N",COUNTIF(INDIRECT(ADDRESS(MATCH(Plages!$D$19,'Planning annuel mixing coater'!$B:$B),4)):D2392,"N"),IF(D2392="N1",COUNTIF($D$9:D2392,"N1"),""))</f>
        <v/>
      </c>
      <c r="J2392" s="96" t="str">
        <f>IF(D2392="","",COUNTA(D2382:D2392)-(COUNTA(D2392:D2392)-1))</f>
        <v/>
      </c>
    </row>
    <row r="2393" spans="1:10" thickBot="1">
      <c r="A2393" s="117"/>
      <c r="B2393" s="70">
        <f t="shared" si="153"/>
        <v>46185</v>
      </c>
      <c r="C2393" s="82" t="str">
        <f t="shared" si="150"/>
        <v>vendredi</v>
      </c>
      <c r="D2393" s="87"/>
      <c r="E2393" s="115" t="str">
        <f t="shared" si="151"/>
        <v/>
      </c>
      <c r="F2393" s="115" t="str">
        <f t="shared" si="152"/>
        <v/>
      </c>
      <c r="G2393" s="116" t="str">
        <f>IF(ISNONTEXT(D2393),"",E2393-MAX($F$2:F2392))</f>
        <v/>
      </c>
      <c r="H2393" s="97"/>
      <c r="I2393" s="74" t="str">
        <f ca="1">IF(D2393="N",COUNTIF(INDIRECT(ADDRESS(MATCH(Plages!$D$19,'Planning annuel mixing coater'!$B:$B),4)):D2393,"N"),IF(D2393="N1",COUNTIF($D$9:D2393,"N1"),""))</f>
        <v/>
      </c>
      <c r="J2393" s="96" t="str">
        <f>IF(D2393="","",COUNTA(D2382:D2393)-(COUNTA(D2393:D2393)-1))</f>
        <v/>
      </c>
    </row>
    <row r="2394" spans="1:10" thickBot="1">
      <c r="A2394" s="117"/>
      <c r="B2394" s="70">
        <f t="shared" si="153"/>
        <v>46186</v>
      </c>
      <c r="C2394" s="82" t="str">
        <f t="shared" si="150"/>
        <v>samedi</v>
      </c>
      <c r="D2394" s="87"/>
      <c r="E2394" s="115" t="str">
        <f t="shared" si="151"/>
        <v/>
      </c>
      <c r="F2394" s="115" t="str">
        <f t="shared" si="152"/>
        <v/>
      </c>
      <c r="G2394" s="116" t="str">
        <f>IF(ISNONTEXT(D2394),"",E2394-MAX($F$2:F2393))</f>
        <v/>
      </c>
      <c r="H2394" s="97"/>
      <c r="I2394" s="74" t="str">
        <f ca="1">IF(D2394="N",COUNTIF(INDIRECT(ADDRESS(MATCH(Plages!$D$19,'Planning annuel mixing coater'!$B:$B),4)):D2394,"N"),IF(D2394="N1",COUNTIF($D$9:D2394,"N1"),""))</f>
        <v/>
      </c>
      <c r="J2394" s="96" t="str">
        <f>IF(D2394="","",COUNTA(D2382:D2394)-(COUNTA(D2394:D2394)-1))</f>
        <v/>
      </c>
    </row>
    <row r="2395" spans="1:10" s="77" customFormat="1" thickBot="1">
      <c r="A2395" s="117"/>
      <c r="B2395" s="75">
        <f t="shared" si="153"/>
        <v>46187</v>
      </c>
      <c r="C2395" s="83" t="str">
        <f t="shared" si="150"/>
        <v>dimanche</v>
      </c>
      <c r="D2395" s="88"/>
      <c r="E2395" s="115" t="str">
        <f t="shared" si="151"/>
        <v/>
      </c>
      <c r="F2395" s="115" t="str">
        <f t="shared" si="152"/>
        <v/>
      </c>
      <c r="G2395" s="116" t="str">
        <f>IF(ISNONTEXT(D2395),"",E2395-MAX($F$2:F2394))</f>
        <v/>
      </c>
      <c r="H2395" s="98"/>
      <c r="I2395" s="76" t="str">
        <f ca="1">IF(D2395="N",COUNTIF(INDIRECT(ADDRESS(MATCH(Plages!$D$19,'Planning annuel mixing coater'!$B:$B),4)):D2395,"N"),IF(D2395="N1",COUNTIF($D$9:D2395,"N1"),""))</f>
        <v/>
      </c>
      <c r="J2395" s="99" t="str">
        <f>IF(D2395="","",COUNTA(D2382:D2395)-(COUNTA(D2395:D2395)-1))</f>
        <v/>
      </c>
    </row>
    <row r="2396" spans="1:10" ht="16.5" thickTop="1" thickBot="1">
      <c r="A2396" s="117"/>
      <c r="B2396" s="78">
        <f t="shared" si="153"/>
        <v>46188</v>
      </c>
      <c r="C2396" s="81" t="str">
        <f t="shared" si="150"/>
        <v>lundi</v>
      </c>
      <c r="D2396" s="89"/>
      <c r="E2396" s="115" t="str">
        <f t="shared" si="151"/>
        <v/>
      </c>
      <c r="F2396" s="115" t="str">
        <f t="shared" si="152"/>
        <v/>
      </c>
      <c r="G2396" s="116" t="str">
        <f>IF(ISNONTEXT(D2396),"",E2396-MAX($F$2:F2395))</f>
        <v/>
      </c>
      <c r="H2396" s="100"/>
      <c r="I2396" s="79" t="str">
        <f ca="1">IF(D2396="N",COUNTIF(INDIRECT(ADDRESS(MATCH(Plages!$D$19,'Planning annuel mixing coater'!$B:$B),4)):D2396,"N"),IF(D2396="N1",COUNTIF($D$9:D2396,"N1"),""))</f>
        <v/>
      </c>
      <c r="J2396" s="101" t="str">
        <f>IF(D2396="","",COUNTA(D2396:D2396)-(COUNTA(D2396:D2396)-1))</f>
        <v/>
      </c>
    </row>
    <row r="2397" spans="1:10" thickBot="1">
      <c r="A2397" s="117"/>
      <c r="B2397" s="70">
        <f t="shared" si="153"/>
        <v>46189</v>
      </c>
      <c r="C2397" s="82" t="str">
        <f t="shared" si="150"/>
        <v>mardi</v>
      </c>
      <c r="D2397" s="87"/>
      <c r="E2397" s="115" t="str">
        <f t="shared" si="151"/>
        <v/>
      </c>
      <c r="F2397" s="115" t="str">
        <f t="shared" si="152"/>
        <v/>
      </c>
      <c r="G2397" s="116" t="str">
        <f>IF(ISNONTEXT(D2397),"",E2397-MAX($F$2:F2396))</f>
        <v/>
      </c>
      <c r="H2397" s="97"/>
      <c r="I2397" s="74" t="str">
        <f ca="1">IF(D2397="N",COUNTIF(INDIRECT(ADDRESS(MATCH(Plages!$D$19,'Planning annuel mixing coater'!$B:$B),4)):D2397,"N"),IF(D2397="N1",COUNTIF($D$9:D2397,"N1"),""))</f>
        <v/>
      </c>
      <c r="J2397" s="96" t="str">
        <f>IF(D2397="","",COUNTA(D2396:D2397)-(COUNTA(D2397:D2397)-1))</f>
        <v/>
      </c>
    </row>
    <row r="2398" spans="1:10" thickBot="1">
      <c r="A2398" s="117"/>
      <c r="B2398" s="70">
        <f t="shared" si="153"/>
        <v>46190</v>
      </c>
      <c r="C2398" s="82" t="str">
        <f t="shared" ref="C2398:C2461" si="154">IF(B2398="","",TEXT(B2398,"jjjj"))</f>
        <v>mercredi</v>
      </c>
      <c r="D2398" s="87"/>
      <c r="E2398" s="115" t="str">
        <f t="shared" ref="E2398:E2461" si="155">IF(D2398="","",B2398+VLOOKUP(D2398,Plageh,2,0))</f>
        <v/>
      </c>
      <c r="F2398" s="115" t="str">
        <f t="shared" ref="F2398:F2461" si="156">IF(D2398="","",B2398+VLOOKUP(D2398,Plageh,3,0))</f>
        <v/>
      </c>
      <c r="G2398" s="116" t="str">
        <f>IF(ISNONTEXT(D2398),"",E2398-MAX($F$2:F2397))</f>
        <v/>
      </c>
      <c r="H2398" s="97"/>
      <c r="I2398" s="74" t="str">
        <f ca="1">IF(D2398="N",COUNTIF(INDIRECT(ADDRESS(MATCH(Plages!$D$19,'Planning annuel mixing coater'!$B:$B),4)):D2398,"N"),IF(D2398="N1",COUNTIF($D$9:D2398,"N1"),""))</f>
        <v/>
      </c>
      <c r="J2398" s="96" t="str">
        <f>IF(D2398="","",COUNTA(D2396:D2398)-(COUNTA(D2398:D2398)-1))</f>
        <v/>
      </c>
    </row>
    <row r="2399" spans="1:10" thickBot="1">
      <c r="A2399" s="117"/>
      <c r="B2399" s="70">
        <f t="shared" si="153"/>
        <v>46191</v>
      </c>
      <c r="C2399" s="82" t="str">
        <f t="shared" si="154"/>
        <v>jeudi</v>
      </c>
      <c r="D2399" s="87"/>
      <c r="E2399" s="115" t="str">
        <f t="shared" si="155"/>
        <v/>
      </c>
      <c r="F2399" s="115" t="str">
        <f t="shared" si="156"/>
        <v/>
      </c>
      <c r="G2399" s="116" t="str">
        <f>IF(ISNONTEXT(D2399),"",E2399-MAX($F$2:F2398))</f>
        <v/>
      </c>
      <c r="H2399" s="97"/>
      <c r="I2399" s="74" t="str">
        <f ca="1">IF(D2399="N",COUNTIF(INDIRECT(ADDRESS(MATCH(Plages!$D$19,'Planning annuel mixing coater'!$B:$B),4)):D2399,"N"),IF(D2399="N1",COUNTIF($D$9:D2399,"N1"),""))</f>
        <v/>
      </c>
      <c r="J2399" s="96" t="str">
        <f>IF(D2399="","",COUNTA(D2396:D2399)-(COUNTA(D2399:D2399)-1))</f>
        <v/>
      </c>
    </row>
    <row r="2400" spans="1:10" thickBot="1">
      <c r="A2400" s="117"/>
      <c r="B2400" s="70">
        <f t="shared" si="153"/>
        <v>46192</v>
      </c>
      <c r="C2400" s="82" t="str">
        <f t="shared" si="154"/>
        <v>vendredi</v>
      </c>
      <c r="D2400" s="87"/>
      <c r="E2400" s="115" t="str">
        <f t="shared" si="155"/>
        <v/>
      </c>
      <c r="F2400" s="115" t="str">
        <f t="shared" si="156"/>
        <v/>
      </c>
      <c r="G2400" s="116" t="str">
        <f>IF(ISNONTEXT(D2400),"",E2400-MAX($F$2:F2399))</f>
        <v/>
      </c>
      <c r="H2400" s="97"/>
      <c r="I2400" s="74" t="str">
        <f ca="1">IF(D2400="N",COUNTIF(INDIRECT(ADDRESS(MATCH(Plages!$D$19,'Planning annuel mixing coater'!$B:$B),4)):D2400,"N"),IF(D2400="N1",COUNTIF($D$9:D2400,"N1"),""))</f>
        <v/>
      </c>
      <c r="J2400" s="96" t="str">
        <f>IF(D2400="","",COUNTA(D2396:D2400)-(COUNTA(D2400:D2400)-1))</f>
        <v/>
      </c>
    </row>
    <row r="2401" spans="1:10" thickBot="1">
      <c r="A2401" s="117"/>
      <c r="B2401" s="70">
        <f t="shared" si="153"/>
        <v>46193</v>
      </c>
      <c r="C2401" s="82" t="str">
        <f t="shared" si="154"/>
        <v>samedi</v>
      </c>
      <c r="D2401" s="87"/>
      <c r="E2401" s="115" t="str">
        <f t="shared" si="155"/>
        <v/>
      </c>
      <c r="F2401" s="115" t="str">
        <f t="shared" si="156"/>
        <v/>
      </c>
      <c r="G2401" s="116" t="str">
        <f>IF(ISNONTEXT(D2401),"",E2401-MAX($F$2:F2400))</f>
        <v/>
      </c>
      <c r="H2401" s="97"/>
      <c r="I2401" s="74" t="str">
        <f ca="1">IF(D2401="N",COUNTIF(INDIRECT(ADDRESS(MATCH(Plages!$D$19,'Planning annuel mixing coater'!$B:$B),4)):D2401,"N"),IF(D2401="N1",COUNTIF($D$9:D2401,"N1"),""))</f>
        <v/>
      </c>
      <c r="J2401" s="96" t="str">
        <f>IF(D2401="","",COUNTA(D2396:D2401)-(COUNTA(D2401:D2401)-1))</f>
        <v/>
      </c>
    </row>
    <row r="2402" spans="1:10" thickBot="1">
      <c r="A2402" s="117"/>
      <c r="B2402" s="70">
        <f t="shared" si="153"/>
        <v>46194</v>
      </c>
      <c r="C2402" s="82" t="str">
        <f t="shared" si="154"/>
        <v>dimanche</v>
      </c>
      <c r="D2402" s="87"/>
      <c r="E2402" s="115" t="str">
        <f t="shared" si="155"/>
        <v/>
      </c>
      <c r="F2402" s="115" t="str">
        <f t="shared" si="156"/>
        <v/>
      </c>
      <c r="G2402" s="116" t="str">
        <f>IF(ISNONTEXT(D2402),"",E2402-MAX($F$2:F2401))</f>
        <v/>
      </c>
      <c r="H2402" s="98"/>
      <c r="I2402" s="74" t="str">
        <f ca="1">IF(D2402="N",COUNTIF(INDIRECT(ADDRESS(MATCH(Plages!$D$19,'Planning annuel mixing coater'!$B:$B),4)):D2402,"N"),IF(D2402="N1",COUNTIF($D$9:D2402,"N1"),""))</f>
        <v/>
      </c>
      <c r="J2402" s="96" t="str">
        <f>IF(D2402="","",COUNTA(D2396:D2402)-(COUNTA(D2402:D2402)-1))</f>
        <v/>
      </c>
    </row>
    <row r="2403" spans="1:10" thickBot="1">
      <c r="A2403" s="117"/>
      <c r="B2403" s="70">
        <f t="shared" si="153"/>
        <v>46195</v>
      </c>
      <c r="C2403" s="82" t="str">
        <f t="shared" si="154"/>
        <v>lundi</v>
      </c>
      <c r="D2403" s="87"/>
      <c r="E2403" s="115" t="str">
        <f t="shared" si="155"/>
        <v/>
      </c>
      <c r="F2403" s="115" t="str">
        <f t="shared" si="156"/>
        <v/>
      </c>
      <c r="G2403" s="116" t="str">
        <f>IF(ISNONTEXT(D2403),"",E2403-MAX($F$2:F2402))</f>
        <v/>
      </c>
      <c r="H2403" s="97"/>
      <c r="I2403" s="74" t="str">
        <f ca="1">IF(D2403="N",COUNTIF(INDIRECT(ADDRESS(MATCH(Plages!$D$19,'Planning annuel mixing coater'!$B:$B),4)):D2403,"N"),IF(D2403="N1",COUNTIF($D$9:D2403,"N1"),""))</f>
        <v/>
      </c>
      <c r="J2403" s="96" t="str">
        <f>IF(D2403="","",COUNTA(D2396:D2403)-(COUNTA(D2403:D2403)-1))</f>
        <v/>
      </c>
    </row>
    <row r="2404" spans="1:10" thickBot="1">
      <c r="A2404" s="117"/>
      <c r="B2404" s="70">
        <f t="shared" si="153"/>
        <v>46196</v>
      </c>
      <c r="C2404" s="82" t="str">
        <f t="shared" si="154"/>
        <v>mardi</v>
      </c>
      <c r="D2404" s="87"/>
      <c r="E2404" s="115" t="str">
        <f t="shared" si="155"/>
        <v/>
      </c>
      <c r="F2404" s="115" t="str">
        <f t="shared" si="156"/>
        <v/>
      </c>
      <c r="G2404" s="116" t="str">
        <f>IF(ISNONTEXT(D2404),"",E2404-MAX($F$2:F2403))</f>
        <v/>
      </c>
      <c r="H2404" s="97"/>
      <c r="I2404" s="74" t="str">
        <f ca="1">IF(D2404="N",COUNTIF(INDIRECT(ADDRESS(MATCH(Plages!$D$19,'Planning annuel mixing coater'!$B:$B),4)):D2404,"N"),IF(D2404="N1",COUNTIF($D$9:D2404,"N1"),""))</f>
        <v/>
      </c>
      <c r="J2404" s="96" t="str">
        <f>IF(D2404="","",COUNTA(D2396:D2404)-(COUNTA(D2404:D2404)-1))</f>
        <v/>
      </c>
    </row>
    <row r="2405" spans="1:10" thickBot="1">
      <c r="A2405" s="117"/>
      <c r="B2405" s="70">
        <f t="shared" si="153"/>
        <v>46197</v>
      </c>
      <c r="C2405" s="82" t="str">
        <f t="shared" si="154"/>
        <v>mercredi</v>
      </c>
      <c r="D2405" s="87"/>
      <c r="E2405" s="115" t="str">
        <f t="shared" si="155"/>
        <v/>
      </c>
      <c r="F2405" s="115" t="str">
        <f t="shared" si="156"/>
        <v/>
      </c>
      <c r="G2405" s="116" t="str">
        <f>IF(ISNONTEXT(D2405),"",E2405-MAX($F$2:F2404))</f>
        <v/>
      </c>
      <c r="H2405" s="97"/>
      <c r="I2405" s="74" t="str">
        <f ca="1">IF(D2405="N",COUNTIF(INDIRECT(ADDRESS(MATCH(Plages!$D$19,'Planning annuel mixing coater'!$B:$B),4)):D2405,"N"),IF(D2405="N1",COUNTIF($D$9:D2405,"N1"),""))</f>
        <v/>
      </c>
      <c r="J2405" s="96" t="str">
        <f>IF(D2405="","",COUNTA(D2396:D2405)-(COUNTA(D2405:D2405)-1))</f>
        <v/>
      </c>
    </row>
    <row r="2406" spans="1:10" thickBot="1">
      <c r="A2406" s="117"/>
      <c r="B2406" s="70">
        <f t="shared" si="153"/>
        <v>46198</v>
      </c>
      <c r="C2406" s="82" t="str">
        <f t="shared" si="154"/>
        <v>jeudi</v>
      </c>
      <c r="D2406" s="87"/>
      <c r="E2406" s="115" t="str">
        <f t="shared" si="155"/>
        <v/>
      </c>
      <c r="F2406" s="115" t="str">
        <f t="shared" si="156"/>
        <v/>
      </c>
      <c r="G2406" s="116" t="str">
        <f>IF(ISNONTEXT(D2406),"",E2406-MAX($F$2:F2405))</f>
        <v/>
      </c>
      <c r="H2406" s="97"/>
      <c r="I2406" s="74" t="str">
        <f ca="1">IF(D2406="N",COUNTIF(INDIRECT(ADDRESS(MATCH(Plages!$D$19,'Planning annuel mixing coater'!$B:$B),4)):D2406,"N"),IF(D2406="N1",COUNTIF($D$9:D2406,"N1"),""))</f>
        <v/>
      </c>
      <c r="J2406" s="96" t="str">
        <f>IF(D2406="","",COUNTA(D2396:D2406)-(COUNTA(D2406:D2406)-1))</f>
        <v/>
      </c>
    </row>
    <row r="2407" spans="1:10" thickBot="1">
      <c r="A2407" s="117"/>
      <c r="B2407" s="70">
        <f t="shared" si="153"/>
        <v>46199</v>
      </c>
      <c r="C2407" s="82" t="str">
        <f t="shared" si="154"/>
        <v>vendredi</v>
      </c>
      <c r="D2407" s="87"/>
      <c r="E2407" s="115" t="str">
        <f t="shared" si="155"/>
        <v/>
      </c>
      <c r="F2407" s="115" t="str">
        <f t="shared" si="156"/>
        <v/>
      </c>
      <c r="G2407" s="116" t="str">
        <f>IF(ISNONTEXT(D2407),"",E2407-MAX($F$2:F2406))</f>
        <v/>
      </c>
      <c r="H2407" s="97"/>
      <c r="I2407" s="74" t="str">
        <f ca="1">IF(D2407="N",COUNTIF(INDIRECT(ADDRESS(MATCH(Plages!$D$19,'Planning annuel mixing coater'!$B:$B),4)):D2407,"N"),IF(D2407="N1",COUNTIF($D$9:D2407,"N1"),""))</f>
        <v/>
      </c>
      <c r="J2407" s="96" t="str">
        <f>IF(D2407="","",COUNTA(D2396:D2407)-(COUNTA(D2407:D2407)-1))</f>
        <v/>
      </c>
    </row>
    <row r="2408" spans="1:10" thickBot="1">
      <c r="A2408" s="117"/>
      <c r="B2408" s="70">
        <f t="shared" si="153"/>
        <v>46200</v>
      </c>
      <c r="C2408" s="82" t="str">
        <f t="shared" si="154"/>
        <v>samedi</v>
      </c>
      <c r="D2408" s="87"/>
      <c r="E2408" s="115" t="str">
        <f t="shared" si="155"/>
        <v/>
      </c>
      <c r="F2408" s="115" t="str">
        <f t="shared" si="156"/>
        <v/>
      </c>
      <c r="G2408" s="116" t="str">
        <f>IF(ISNONTEXT(D2408),"",E2408-MAX($F$2:F2407))</f>
        <v/>
      </c>
      <c r="H2408" s="97"/>
      <c r="I2408" s="74" t="str">
        <f ca="1">IF(D2408="N",COUNTIF(INDIRECT(ADDRESS(MATCH(Plages!$D$19,'Planning annuel mixing coater'!$B:$B),4)):D2408,"N"),IF(D2408="N1",COUNTIF($D$9:D2408,"N1"),""))</f>
        <v/>
      </c>
      <c r="J2408" s="96" t="str">
        <f>IF(D2408="","",COUNTA(D2396:D2408)-(COUNTA(D2408:D2408)-1))</f>
        <v/>
      </c>
    </row>
    <row r="2409" spans="1:10" s="77" customFormat="1" thickBot="1">
      <c r="A2409" s="117"/>
      <c r="B2409" s="75">
        <f t="shared" si="153"/>
        <v>46201</v>
      </c>
      <c r="C2409" s="83" t="str">
        <f t="shared" si="154"/>
        <v>dimanche</v>
      </c>
      <c r="D2409" s="88"/>
      <c r="E2409" s="115" t="str">
        <f t="shared" si="155"/>
        <v/>
      </c>
      <c r="F2409" s="115" t="str">
        <f t="shared" si="156"/>
        <v/>
      </c>
      <c r="G2409" s="116" t="str">
        <f>IF(ISNONTEXT(D2409),"",E2409-MAX($F$2:F2408))</f>
        <v/>
      </c>
      <c r="H2409" s="98"/>
      <c r="I2409" s="76" t="str">
        <f ca="1">IF(D2409="N",COUNTIF(INDIRECT(ADDRESS(MATCH(Plages!$D$19,'Planning annuel mixing coater'!$B:$B),4)):D2409,"N"),IF(D2409="N1",COUNTIF($D$9:D2409,"N1"),""))</f>
        <v/>
      </c>
      <c r="J2409" s="99" t="str">
        <f>IF(D2409="","",COUNTA(D2396:D2409)-(COUNTA(D2409:D2409)-1))</f>
        <v/>
      </c>
    </row>
    <row r="2410" spans="1:10" ht="16.5" thickTop="1" thickBot="1">
      <c r="A2410" s="117"/>
      <c r="B2410" s="78">
        <f t="shared" si="153"/>
        <v>46202</v>
      </c>
      <c r="C2410" s="81" t="str">
        <f t="shared" si="154"/>
        <v>lundi</v>
      </c>
      <c r="D2410" s="89"/>
      <c r="E2410" s="115" t="str">
        <f t="shared" si="155"/>
        <v/>
      </c>
      <c r="F2410" s="115" t="str">
        <f t="shared" si="156"/>
        <v/>
      </c>
      <c r="G2410" s="116" t="str">
        <f>IF(ISNONTEXT(D2410),"",E2410-MAX($F$2:F2409))</f>
        <v/>
      </c>
      <c r="H2410" s="100"/>
      <c r="I2410" s="79" t="str">
        <f ca="1">IF(D2410="N",COUNTIF(INDIRECT(ADDRESS(MATCH(Plages!$D$19,'Planning annuel mixing coater'!$B:$B),4)):D2410,"N"),IF(D2410="N1",COUNTIF($D$9:D2410,"N1"),""))</f>
        <v/>
      </c>
      <c r="J2410" s="101" t="str">
        <f>IF(D2410="","",COUNTA(D2410:D2410)-(COUNTA(D2410:D2410)-1))</f>
        <v/>
      </c>
    </row>
    <row r="2411" spans="1:10" thickBot="1">
      <c r="A2411" s="117"/>
      <c r="B2411" s="70">
        <f t="shared" si="153"/>
        <v>46203</v>
      </c>
      <c r="C2411" s="82" t="str">
        <f t="shared" si="154"/>
        <v>mardi</v>
      </c>
      <c r="D2411" s="87"/>
      <c r="E2411" s="115" t="str">
        <f t="shared" si="155"/>
        <v/>
      </c>
      <c r="F2411" s="115" t="str">
        <f t="shared" si="156"/>
        <v/>
      </c>
      <c r="G2411" s="116" t="str">
        <f>IF(ISNONTEXT(D2411),"",E2411-MAX($F$2:F2410))</f>
        <v/>
      </c>
      <c r="H2411" s="97"/>
      <c r="I2411" s="74" t="str">
        <f ca="1">IF(D2411="N",COUNTIF(INDIRECT(ADDRESS(MATCH(Plages!$D$19,'Planning annuel mixing coater'!$B:$B),4)):D2411,"N"),IF(D2411="N1",COUNTIF($D$9:D2411,"N1"),""))</f>
        <v/>
      </c>
      <c r="J2411" s="96" t="str">
        <f>IF(D2411="","",COUNTA(D2410:D2411)-(COUNTA(D2411:D2411)-1))</f>
        <v/>
      </c>
    </row>
    <row r="2412" spans="1:10" thickBot="1">
      <c r="A2412" s="117"/>
      <c r="B2412" s="70">
        <f t="shared" si="153"/>
        <v>46204</v>
      </c>
      <c r="C2412" s="82" t="str">
        <f t="shared" si="154"/>
        <v>mercredi</v>
      </c>
      <c r="D2412" s="87"/>
      <c r="E2412" s="115" t="str">
        <f t="shared" si="155"/>
        <v/>
      </c>
      <c r="F2412" s="115" t="str">
        <f t="shared" si="156"/>
        <v/>
      </c>
      <c r="G2412" s="116" t="str">
        <f>IF(ISNONTEXT(D2412),"",E2412-MAX($F$2:F2411))</f>
        <v/>
      </c>
      <c r="H2412" s="97"/>
      <c r="I2412" s="74" t="str">
        <f ca="1">IF(D2412="N",COUNTIF(INDIRECT(ADDRESS(MATCH(Plages!$D$19,'Planning annuel mixing coater'!$B:$B),4)):D2412,"N"),IF(D2412="N1",COUNTIF($D$9:D2412,"N1"),""))</f>
        <v/>
      </c>
      <c r="J2412" s="96" t="str">
        <f>IF(D2412="","",COUNTA(D2410:D2412)-(COUNTA(D2412:D2412)-1))</f>
        <v/>
      </c>
    </row>
    <row r="2413" spans="1:10" thickBot="1">
      <c r="A2413" s="117"/>
      <c r="B2413" s="70">
        <f t="shared" si="153"/>
        <v>46205</v>
      </c>
      <c r="C2413" s="82" t="str">
        <f t="shared" si="154"/>
        <v>jeudi</v>
      </c>
      <c r="D2413" s="87"/>
      <c r="E2413" s="115" t="str">
        <f t="shared" si="155"/>
        <v/>
      </c>
      <c r="F2413" s="115" t="str">
        <f t="shared" si="156"/>
        <v/>
      </c>
      <c r="G2413" s="116" t="str">
        <f>IF(ISNONTEXT(D2413),"",E2413-MAX($F$2:F2412))</f>
        <v/>
      </c>
      <c r="H2413" s="97"/>
      <c r="I2413" s="74" t="str">
        <f ca="1">IF(D2413="N",COUNTIF(INDIRECT(ADDRESS(MATCH(Plages!$D$19,'Planning annuel mixing coater'!$B:$B),4)):D2413,"N"),IF(D2413="N1",COUNTIF($D$9:D2413,"N1"),""))</f>
        <v/>
      </c>
      <c r="J2413" s="96" t="str">
        <f>IF(D2413="","",COUNTA(D2410:D2413)-(COUNTA(D2413:D2413)-1))</f>
        <v/>
      </c>
    </row>
    <row r="2414" spans="1:10" thickBot="1">
      <c r="A2414" s="117"/>
      <c r="B2414" s="70">
        <f t="shared" si="153"/>
        <v>46206</v>
      </c>
      <c r="C2414" s="82" t="str">
        <f t="shared" si="154"/>
        <v>vendredi</v>
      </c>
      <c r="D2414" s="87"/>
      <c r="E2414" s="115" t="str">
        <f t="shared" si="155"/>
        <v/>
      </c>
      <c r="F2414" s="115" t="str">
        <f t="shared" si="156"/>
        <v/>
      </c>
      <c r="G2414" s="116" t="str">
        <f>IF(ISNONTEXT(D2414),"",E2414-MAX($F$2:F2413))</f>
        <v/>
      </c>
      <c r="H2414" s="97"/>
      <c r="I2414" s="74" t="str">
        <f ca="1">IF(D2414="N",COUNTIF(INDIRECT(ADDRESS(MATCH(Plages!$D$19,'Planning annuel mixing coater'!$B:$B),4)):D2414,"N"),IF(D2414="N1",COUNTIF($D$9:D2414,"N1"),""))</f>
        <v/>
      </c>
      <c r="J2414" s="96" t="str">
        <f>IF(D2414="","",COUNTA(D2410:D2414)-(COUNTA(D2414:D2414)-1))</f>
        <v/>
      </c>
    </row>
    <row r="2415" spans="1:10" thickBot="1">
      <c r="A2415" s="117"/>
      <c r="B2415" s="70">
        <f t="shared" si="153"/>
        <v>46207</v>
      </c>
      <c r="C2415" s="82" t="str">
        <f t="shared" si="154"/>
        <v>samedi</v>
      </c>
      <c r="D2415" s="87"/>
      <c r="E2415" s="115" t="str">
        <f t="shared" si="155"/>
        <v/>
      </c>
      <c r="F2415" s="115" t="str">
        <f t="shared" si="156"/>
        <v/>
      </c>
      <c r="G2415" s="116" t="str">
        <f>IF(ISNONTEXT(D2415),"",E2415-MAX($F$2:F2414))</f>
        <v/>
      </c>
      <c r="H2415" s="97"/>
      <c r="I2415" s="74" t="str">
        <f ca="1">IF(D2415="N",COUNTIF(INDIRECT(ADDRESS(MATCH(Plages!$D$19,'Planning annuel mixing coater'!$B:$B),4)):D2415,"N"),IF(D2415="N1",COUNTIF($D$9:D2415,"N1"),""))</f>
        <v/>
      </c>
      <c r="J2415" s="96" t="str">
        <f>IF(D2415="","",COUNTA(D2410:D2415)-(COUNTA(D2415:D2415)-1))</f>
        <v/>
      </c>
    </row>
    <row r="2416" spans="1:10" thickBot="1">
      <c r="A2416" s="117"/>
      <c r="B2416" s="70">
        <f t="shared" si="153"/>
        <v>46208</v>
      </c>
      <c r="C2416" s="82" t="str">
        <f t="shared" si="154"/>
        <v>dimanche</v>
      </c>
      <c r="D2416" s="87"/>
      <c r="E2416" s="115" t="str">
        <f t="shared" si="155"/>
        <v/>
      </c>
      <c r="F2416" s="115" t="str">
        <f t="shared" si="156"/>
        <v/>
      </c>
      <c r="G2416" s="116" t="str">
        <f>IF(ISNONTEXT(D2416),"",E2416-MAX($F$2:F2415))</f>
        <v/>
      </c>
      <c r="H2416" s="98"/>
      <c r="I2416" s="74" t="str">
        <f ca="1">IF(D2416="N",COUNTIF(INDIRECT(ADDRESS(MATCH(Plages!$D$19,'Planning annuel mixing coater'!$B:$B),4)):D2416,"N"),IF(D2416="N1",COUNTIF($D$9:D2416,"N1"),""))</f>
        <v/>
      </c>
      <c r="J2416" s="96" t="str">
        <f>IF(D2416="","",COUNTA(D2410:D2416)-(COUNTA(D2416:D2416)-1))</f>
        <v/>
      </c>
    </row>
    <row r="2417" spans="1:10" thickBot="1">
      <c r="A2417" s="117"/>
      <c r="B2417" s="70">
        <f t="shared" si="153"/>
        <v>46209</v>
      </c>
      <c r="C2417" s="82" t="str">
        <f t="shared" si="154"/>
        <v>lundi</v>
      </c>
      <c r="D2417" s="87"/>
      <c r="E2417" s="115" t="str">
        <f t="shared" si="155"/>
        <v/>
      </c>
      <c r="F2417" s="115" t="str">
        <f t="shared" si="156"/>
        <v/>
      </c>
      <c r="G2417" s="116" t="str">
        <f>IF(ISNONTEXT(D2417),"",E2417-MAX($F$2:F2416))</f>
        <v/>
      </c>
      <c r="H2417" s="97"/>
      <c r="I2417" s="74" t="str">
        <f ca="1">IF(D2417="N",COUNTIF(INDIRECT(ADDRESS(MATCH(Plages!$D$19,'Planning annuel mixing coater'!$B:$B),4)):D2417,"N"),IF(D2417="N1",COUNTIF($D$9:D2417,"N1"),""))</f>
        <v/>
      </c>
      <c r="J2417" s="96" t="str">
        <f>IF(D2417="","",COUNTA(D2410:D2417)-(COUNTA(D2417:D2417)-1))</f>
        <v/>
      </c>
    </row>
    <row r="2418" spans="1:10" thickBot="1">
      <c r="A2418" s="117"/>
      <c r="B2418" s="70">
        <f t="shared" si="153"/>
        <v>46210</v>
      </c>
      <c r="C2418" s="82" t="str">
        <f t="shared" si="154"/>
        <v>mardi</v>
      </c>
      <c r="D2418" s="87"/>
      <c r="E2418" s="115" t="str">
        <f t="shared" si="155"/>
        <v/>
      </c>
      <c r="F2418" s="115" t="str">
        <f t="shared" si="156"/>
        <v/>
      </c>
      <c r="G2418" s="116" t="str">
        <f>IF(ISNONTEXT(D2418),"",E2418-MAX($F$2:F2417))</f>
        <v/>
      </c>
      <c r="H2418" s="97"/>
      <c r="I2418" s="74" t="str">
        <f ca="1">IF(D2418="N",COUNTIF(INDIRECT(ADDRESS(MATCH(Plages!$D$19,'Planning annuel mixing coater'!$B:$B),4)):D2418,"N"),IF(D2418="N1",COUNTIF($D$9:D2418,"N1"),""))</f>
        <v/>
      </c>
      <c r="J2418" s="96" t="str">
        <f>IF(D2418="","",COUNTA(D2410:D2418)-(COUNTA(D2418:D2418)-1))</f>
        <v/>
      </c>
    </row>
    <row r="2419" spans="1:10" thickBot="1">
      <c r="A2419" s="117"/>
      <c r="B2419" s="70">
        <f t="shared" si="153"/>
        <v>46211</v>
      </c>
      <c r="C2419" s="82" t="str">
        <f t="shared" si="154"/>
        <v>mercredi</v>
      </c>
      <c r="D2419" s="87"/>
      <c r="E2419" s="115" t="str">
        <f t="shared" si="155"/>
        <v/>
      </c>
      <c r="F2419" s="115" t="str">
        <f t="shared" si="156"/>
        <v/>
      </c>
      <c r="G2419" s="116" t="str">
        <f>IF(ISNONTEXT(D2419),"",E2419-MAX($F$2:F2418))</f>
        <v/>
      </c>
      <c r="H2419" s="97"/>
      <c r="I2419" s="74" t="str">
        <f ca="1">IF(D2419="N",COUNTIF(INDIRECT(ADDRESS(MATCH(Plages!$D$19,'Planning annuel mixing coater'!$B:$B),4)):D2419,"N"),IF(D2419="N1",COUNTIF($D$9:D2419,"N1"),""))</f>
        <v/>
      </c>
      <c r="J2419" s="96" t="str">
        <f>IF(D2419="","",COUNTA(D2410:D2419)-(COUNTA(D2419:D2419)-1))</f>
        <v/>
      </c>
    </row>
    <row r="2420" spans="1:10" thickBot="1">
      <c r="A2420" s="117"/>
      <c r="B2420" s="70">
        <f t="shared" si="153"/>
        <v>46212</v>
      </c>
      <c r="C2420" s="82" t="str">
        <f t="shared" si="154"/>
        <v>jeudi</v>
      </c>
      <c r="D2420" s="87"/>
      <c r="E2420" s="115" t="str">
        <f t="shared" si="155"/>
        <v/>
      </c>
      <c r="F2420" s="115" t="str">
        <f t="shared" si="156"/>
        <v/>
      </c>
      <c r="G2420" s="116" t="str">
        <f>IF(ISNONTEXT(D2420),"",E2420-MAX($F$2:F2419))</f>
        <v/>
      </c>
      <c r="H2420" s="97"/>
      <c r="I2420" s="74" t="str">
        <f ca="1">IF(D2420="N",COUNTIF(INDIRECT(ADDRESS(MATCH(Plages!$D$19,'Planning annuel mixing coater'!$B:$B),4)):D2420,"N"),IF(D2420="N1",COUNTIF($D$9:D2420,"N1"),""))</f>
        <v/>
      </c>
      <c r="J2420" s="96" t="str">
        <f>IF(D2420="","",COUNTA(D2410:D2420)-(COUNTA(D2420:D2420)-1))</f>
        <v/>
      </c>
    </row>
    <row r="2421" spans="1:10" thickBot="1">
      <c r="A2421" s="117"/>
      <c r="B2421" s="70">
        <f t="shared" si="153"/>
        <v>46213</v>
      </c>
      <c r="C2421" s="82" t="str">
        <f t="shared" si="154"/>
        <v>vendredi</v>
      </c>
      <c r="D2421" s="87"/>
      <c r="E2421" s="115" t="str">
        <f t="shared" si="155"/>
        <v/>
      </c>
      <c r="F2421" s="115" t="str">
        <f t="shared" si="156"/>
        <v/>
      </c>
      <c r="G2421" s="116" t="str">
        <f>IF(ISNONTEXT(D2421),"",E2421-MAX($F$2:F2420))</f>
        <v/>
      </c>
      <c r="H2421" s="97"/>
      <c r="I2421" s="74" t="str">
        <f ca="1">IF(D2421="N",COUNTIF(INDIRECT(ADDRESS(MATCH(Plages!$D$19,'Planning annuel mixing coater'!$B:$B),4)):D2421,"N"),IF(D2421="N1",COUNTIF($D$9:D2421,"N1"),""))</f>
        <v/>
      </c>
      <c r="J2421" s="96" t="str">
        <f>IF(D2421="","",COUNTA(D2410:D2421)-(COUNTA(D2421:D2421)-1))</f>
        <v/>
      </c>
    </row>
    <row r="2422" spans="1:10" thickBot="1">
      <c r="A2422" s="117"/>
      <c r="B2422" s="70">
        <f t="shared" si="153"/>
        <v>46214</v>
      </c>
      <c r="C2422" s="82" t="str">
        <f t="shared" si="154"/>
        <v>samedi</v>
      </c>
      <c r="D2422" s="87"/>
      <c r="E2422" s="115" t="str">
        <f t="shared" si="155"/>
        <v/>
      </c>
      <c r="F2422" s="115" t="str">
        <f t="shared" si="156"/>
        <v/>
      </c>
      <c r="G2422" s="116" t="str">
        <f>IF(ISNONTEXT(D2422),"",E2422-MAX($F$2:F2421))</f>
        <v/>
      </c>
      <c r="H2422" s="97"/>
      <c r="I2422" s="74" t="str">
        <f ca="1">IF(D2422="N",COUNTIF(INDIRECT(ADDRESS(MATCH(Plages!$D$19,'Planning annuel mixing coater'!$B:$B),4)):D2422,"N"),IF(D2422="N1",COUNTIF($D$9:D2422,"N1"),""))</f>
        <v/>
      </c>
      <c r="J2422" s="96" t="str">
        <f>IF(D2422="","",COUNTA(D2410:D2422)-(COUNTA(D2422:D2422)-1))</f>
        <v/>
      </c>
    </row>
    <row r="2423" spans="1:10" s="77" customFormat="1" thickBot="1">
      <c r="A2423" s="117"/>
      <c r="B2423" s="75">
        <f t="shared" si="153"/>
        <v>46215</v>
      </c>
      <c r="C2423" s="83" t="str">
        <f t="shared" si="154"/>
        <v>dimanche</v>
      </c>
      <c r="D2423" s="88"/>
      <c r="E2423" s="115" t="str">
        <f t="shared" si="155"/>
        <v/>
      </c>
      <c r="F2423" s="115" t="str">
        <f t="shared" si="156"/>
        <v/>
      </c>
      <c r="G2423" s="116" t="str">
        <f>IF(ISNONTEXT(D2423),"",E2423-MAX($F$2:F2422))</f>
        <v/>
      </c>
      <c r="H2423" s="98"/>
      <c r="I2423" s="76" t="str">
        <f ca="1">IF(D2423="N",COUNTIF(INDIRECT(ADDRESS(MATCH(Plages!$D$19,'Planning annuel mixing coater'!$B:$B),4)):D2423,"N"),IF(D2423="N1",COUNTIF($D$9:D2423,"N1"),""))</f>
        <v/>
      </c>
      <c r="J2423" s="99" t="str">
        <f>IF(D2423="","",COUNTA(D2410:D2423)-(COUNTA(D2423:D2423)-1))</f>
        <v/>
      </c>
    </row>
    <row r="2424" spans="1:10" ht="16.5" thickTop="1" thickBot="1">
      <c r="A2424" s="117"/>
      <c r="B2424" s="78">
        <f t="shared" si="153"/>
        <v>46216</v>
      </c>
      <c r="C2424" s="81" t="str">
        <f t="shared" si="154"/>
        <v>lundi</v>
      </c>
      <c r="D2424" s="89"/>
      <c r="E2424" s="115" t="str">
        <f t="shared" si="155"/>
        <v/>
      </c>
      <c r="F2424" s="115" t="str">
        <f t="shared" si="156"/>
        <v/>
      </c>
      <c r="G2424" s="116" t="str">
        <f>IF(ISNONTEXT(D2424),"",E2424-MAX($F$2:F2423))</f>
        <v/>
      </c>
      <c r="H2424" s="100"/>
      <c r="I2424" s="79" t="str">
        <f ca="1">IF(D2424="N",COUNTIF(INDIRECT(ADDRESS(MATCH(Plages!$D$19,'Planning annuel mixing coater'!$B:$B),4)):D2424,"N"),IF(D2424="N1",COUNTIF($D$9:D2424,"N1"),""))</f>
        <v/>
      </c>
      <c r="J2424" s="101" t="str">
        <f>IF(D2424="","",COUNTA(D2424:D2424)-(COUNTA(D2424:D2424)-1))</f>
        <v/>
      </c>
    </row>
    <row r="2425" spans="1:10" thickBot="1">
      <c r="A2425" s="117"/>
      <c r="B2425" s="70">
        <f t="shared" si="153"/>
        <v>46217</v>
      </c>
      <c r="C2425" s="82" t="str">
        <f t="shared" si="154"/>
        <v>mardi</v>
      </c>
      <c r="D2425" s="87"/>
      <c r="E2425" s="115" t="str">
        <f t="shared" si="155"/>
        <v/>
      </c>
      <c r="F2425" s="115" t="str">
        <f t="shared" si="156"/>
        <v/>
      </c>
      <c r="G2425" s="116" t="str">
        <f>IF(ISNONTEXT(D2425),"",E2425-MAX($F$2:F2424))</f>
        <v/>
      </c>
      <c r="H2425" s="97"/>
      <c r="I2425" s="74" t="str">
        <f ca="1">IF(D2425="N",COUNTIF(INDIRECT(ADDRESS(MATCH(Plages!$D$19,'Planning annuel mixing coater'!$B:$B),4)):D2425,"N"),IF(D2425="N1",COUNTIF($D$9:D2425,"N1"),""))</f>
        <v/>
      </c>
      <c r="J2425" s="96" t="str">
        <f>IF(D2425="","",COUNTA(D2424:D2425)-(COUNTA(D2425:D2425)-1))</f>
        <v/>
      </c>
    </row>
    <row r="2426" spans="1:10" thickBot="1">
      <c r="A2426" s="117"/>
      <c r="B2426" s="70">
        <f t="shared" si="153"/>
        <v>46218</v>
      </c>
      <c r="C2426" s="82" t="str">
        <f t="shared" si="154"/>
        <v>mercredi</v>
      </c>
      <c r="D2426" s="87"/>
      <c r="E2426" s="115" t="str">
        <f t="shared" si="155"/>
        <v/>
      </c>
      <c r="F2426" s="115" t="str">
        <f t="shared" si="156"/>
        <v/>
      </c>
      <c r="G2426" s="116" t="str">
        <f>IF(ISNONTEXT(D2426),"",E2426-MAX($F$2:F2425))</f>
        <v/>
      </c>
      <c r="H2426" s="97"/>
      <c r="I2426" s="74" t="str">
        <f ca="1">IF(D2426="N",COUNTIF(INDIRECT(ADDRESS(MATCH(Plages!$D$19,'Planning annuel mixing coater'!$B:$B),4)):D2426,"N"),IF(D2426="N1",COUNTIF($D$9:D2426,"N1"),""))</f>
        <v/>
      </c>
      <c r="J2426" s="96" t="str">
        <f>IF(D2426="","",COUNTA(D2424:D2426)-(COUNTA(D2426:D2426)-1))</f>
        <v/>
      </c>
    </row>
    <row r="2427" spans="1:10" thickBot="1">
      <c r="A2427" s="117"/>
      <c r="B2427" s="70">
        <f t="shared" si="153"/>
        <v>46219</v>
      </c>
      <c r="C2427" s="82" t="str">
        <f t="shared" si="154"/>
        <v>jeudi</v>
      </c>
      <c r="D2427" s="87"/>
      <c r="E2427" s="115" t="str">
        <f t="shared" si="155"/>
        <v/>
      </c>
      <c r="F2427" s="115" t="str">
        <f t="shared" si="156"/>
        <v/>
      </c>
      <c r="G2427" s="116" t="str">
        <f>IF(ISNONTEXT(D2427),"",E2427-MAX($F$2:F2426))</f>
        <v/>
      </c>
      <c r="H2427" s="97"/>
      <c r="I2427" s="74" t="str">
        <f ca="1">IF(D2427="N",COUNTIF(INDIRECT(ADDRESS(MATCH(Plages!$D$19,'Planning annuel mixing coater'!$B:$B),4)):D2427,"N"),IF(D2427="N1",COUNTIF($D$9:D2427,"N1"),""))</f>
        <v/>
      </c>
      <c r="J2427" s="96" t="str">
        <f>IF(D2427="","",COUNTA(D2424:D2427)-(COUNTA(D2427:D2427)-1))</f>
        <v/>
      </c>
    </row>
    <row r="2428" spans="1:10" thickBot="1">
      <c r="A2428" s="117"/>
      <c r="B2428" s="70">
        <f t="shared" si="153"/>
        <v>46220</v>
      </c>
      <c r="C2428" s="82" t="str">
        <f t="shared" si="154"/>
        <v>vendredi</v>
      </c>
      <c r="D2428" s="87"/>
      <c r="E2428" s="115" t="str">
        <f t="shared" si="155"/>
        <v/>
      </c>
      <c r="F2428" s="115" t="str">
        <f t="shared" si="156"/>
        <v/>
      </c>
      <c r="G2428" s="116" t="str">
        <f>IF(ISNONTEXT(D2428),"",E2428-MAX($F$2:F2427))</f>
        <v/>
      </c>
      <c r="H2428" s="97"/>
      <c r="I2428" s="74" t="str">
        <f ca="1">IF(D2428="N",COUNTIF(INDIRECT(ADDRESS(MATCH(Plages!$D$19,'Planning annuel mixing coater'!$B:$B),4)):D2428,"N"),IF(D2428="N1",COUNTIF($D$9:D2428,"N1"),""))</f>
        <v/>
      </c>
      <c r="J2428" s="96" t="str">
        <f>IF(D2428="","",COUNTA(D2424:D2428)-(COUNTA(D2428:D2428)-1))</f>
        <v/>
      </c>
    </row>
    <row r="2429" spans="1:10" thickBot="1">
      <c r="A2429" s="117"/>
      <c r="B2429" s="70">
        <f t="shared" si="153"/>
        <v>46221</v>
      </c>
      <c r="C2429" s="82" t="str">
        <f t="shared" si="154"/>
        <v>samedi</v>
      </c>
      <c r="D2429" s="87"/>
      <c r="E2429" s="115" t="str">
        <f t="shared" si="155"/>
        <v/>
      </c>
      <c r="F2429" s="115" t="str">
        <f t="shared" si="156"/>
        <v/>
      </c>
      <c r="G2429" s="116" t="str">
        <f>IF(ISNONTEXT(D2429),"",E2429-MAX($F$2:F2428))</f>
        <v/>
      </c>
      <c r="H2429" s="97"/>
      <c r="I2429" s="74" t="str">
        <f ca="1">IF(D2429="N",COUNTIF(INDIRECT(ADDRESS(MATCH(Plages!$D$19,'Planning annuel mixing coater'!$B:$B),4)):D2429,"N"),IF(D2429="N1",COUNTIF($D$9:D2429,"N1"),""))</f>
        <v/>
      </c>
      <c r="J2429" s="96" t="str">
        <f>IF(D2429="","",COUNTA(D2424:D2429)-(COUNTA(D2429:D2429)-1))</f>
        <v/>
      </c>
    </row>
    <row r="2430" spans="1:10" thickBot="1">
      <c r="A2430" s="117"/>
      <c r="B2430" s="70">
        <f t="shared" si="153"/>
        <v>46222</v>
      </c>
      <c r="C2430" s="82" t="str">
        <f t="shared" si="154"/>
        <v>dimanche</v>
      </c>
      <c r="D2430" s="87"/>
      <c r="E2430" s="115" t="str">
        <f t="shared" si="155"/>
        <v/>
      </c>
      <c r="F2430" s="115" t="str">
        <f t="shared" si="156"/>
        <v/>
      </c>
      <c r="G2430" s="116" t="str">
        <f>IF(ISNONTEXT(D2430),"",E2430-MAX($F$2:F2429))</f>
        <v/>
      </c>
      <c r="H2430" s="98"/>
      <c r="I2430" s="74" t="str">
        <f ca="1">IF(D2430="N",COUNTIF(INDIRECT(ADDRESS(MATCH(Plages!$D$19,'Planning annuel mixing coater'!$B:$B),4)):D2430,"N"),IF(D2430="N1",COUNTIF($D$9:D2430,"N1"),""))</f>
        <v/>
      </c>
      <c r="J2430" s="96" t="str">
        <f>IF(D2430="","",COUNTA(D2424:D2430)-(COUNTA(D2430:D2430)-1))</f>
        <v/>
      </c>
    </row>
    <row r="2431" spans="1:10" thickBot="1">
      <c r="A2431" s="117"/>
      <c r="B2431" s="70">
        <f t="shared" si="153"/>
        <v>46223</v>
      </c>
      <c r="C2431" s="82" t="str">
        <f t="shared" si="154"/>
        <v>lundi</v>
      </c>
      <c r="D2431" s="87"/>
      <c r="E2431" s="115" t="str">
        <f t="shared" si="155"/>
        <v/>
      </c>
      <c r="F2431" s="115" t="str">
        <f t="shared" si="156"/>
        <v/>
      </c>
      <c r="G2431" s="116" t="str">
        <f>IF(ISNONTEXT(D2431),"",E2431-MAX($F$2:F2430))</f>
        <v/>
      </c>
      <c r="H2431" s="97"/>
      <c r="I2431" s="74" t="str">
        <f ca="1">IF(D2431="N",COUNTIF(INDIRECT(ADDRESS(MATCH(Plages!$D$19,'Planning annuel mixing coater'!$B:$B),4)):D2431,"N"),IF(D2431="N1",COUNTIF($D$9:D2431,"N1"),""))</f>
        <v/>
      </c>
      <c r="J2431" s="96" t="str">
        <f>IF(D2431="","",COUNTA(D2424:D2431)-(COUNTA(D2431:D2431)-1))</f>
        <v/>
      </c>
    </row>
    <row r="2432" spans="1:10" thickBot="1">
      <c r="A2432" s="117"/>
      <c r="B2432" s="70">
        <f t="shared" si="153"/>
        <v>46224</v>
      </c>
      <c r="C2432" s="82" t="str">
        <f t="shared" si="154"/>
        <v>mardi</v>
      </c>
      <c r="D2432" s="87"/>
      <c r="E2432" s="115" t="str">
        <f t="shared" si="155"/>
        <v/>
      </c>
      <c r="F2432" s="115" t="str">
        <f t="shared" si="156"/>
        <v/>
      </c>
      <c r="G2432" s="116" t="str">
        <f>IF(ISNONTEXT(D2432),"",E2432-MAX($F$2:F2431))</f>
        <v/>
      </c>
      <c r="H2432" s="97"/>
      <c r="I2432" s="74" t="str">
        <f ca="1">IF(D2432="N",COUNTIF(INDIRECT(ADDRESS(MATCH(Plages!$D$19,'Planning annuel mixing coater'!$B:$B),4)):D2432,"N"),IF(D2432="N1",COUNTIF($D$9:D2432,"N1"),""))</f>
        <v/>
      </c>
      <c r="J2432" s="96" t="str">
        <f>IF(D2432="","",COUNTA(D2424:D2432)-(COUNTA(D2432:D2432)-1))</f>
        <v/>
      </c>
    </row>
    <row r="2433" spans="1:10" thickBot="1">
      <c r="A2433" s="117"/>
      <c r="B2433" s="70">
        <f t="shared" si="153"/>
        <v>46225</v>
      </c>
      <c r="C2433" s="82" t="str">
        <f t="shared" si="154"/>
        <v>mercredi</v>
      </c>
      <c r="D2433" s="87"/>
      <c r="E2433" s="115" t="str">
        <f t="shared" si="155"/>
        <v/>
      </c>
      <c r="F2433" s="115" t="str">
        <f t="shared" si="156"/>
        <v/>
      </c>
      <c r="G2433" s="116" t="str">
        <f>IF(ISNONTEXT(D2433),"",E2433-MAX($F$2:F2432))</f>
        <v/>
      </c>
      <c r="H2433" s="97"/>
      <c r="I2433" s="74" t="str">
        <f ca="1">IF(D2433="N",COUNTIF(INDIRECT(ADDRESS(MATCH(Plages!$D$19,'Planning annuel mixing coater'!$B:$B),4)):D2433,"N"),IF(D2433="N1",COUNTIF($D$9:D2433,"N1"),""))</f>
        <v/>
      </c>
      <c r="J2433" s="96" t="str">
        <f>IF(D2433="","",COUNTA(D2424:D2433)-(COUNTA(D2433:D2433)-1))</f>
        <v/>
      </c>
    </row>
    <row r="2434" spans="1:10" thickBot="1">
      <c r="A2434" s="117"/>
      <c r="B2434" s="70">
        <f t="shared" si="153"/>
        <v>46226</v>
      </c>
      <c r="C2434" s="82" t="str">
        <f t="shared" si="154"/>
        <v>jeudi</v>
      </c>
      <c r="D2434" s="87"/>
      <c r="E2434" s="115" t="str">
        <f t="shared" si="155"/>
        <v/>
      </c>
      <c r="F2434" s="115" t="str">
        <f t="shared" si="156"/>
        <v/>
      </c>
      <c r="G2434" s="116" t="str">
        <f>IF(ISNONTEXT(D2434),"",E2434-MAX($F$2:F2433))</f>
        <v/>
      </c>
      <c r="H2434" s="97"/>
      <c r="I2434" s="74" t="str">
        <f ca="1">IF(D2434="N",COUNTIF(INDIRECT(ADDRESS(MATCH(Plages!$D$19,'Planning annuel mixing coater'!$B:$B),4)):D2434,"N"),IF(D2434="N1",COUNTIF($D$9:D2434,"N1"),""))</f>
        <v/>
      </c>
      <c r="J2434" s="96" t="str">
        <f>IF(D2434="","",COUNTA(D2424:D2434)-(COUNTA(D2434:D2434)-1))</f>
        <v/>
      </c>
    </row>
    <row r="2435" spans="1:10" thickBot="1">
      <c r="A2435" s="117"/>
      <c r="B2435" s="70">
        <f t="shared" si="153"/>
        <v>46227</v>
      </c>
      <c r="C2435" s="82" t="str">
        <f t="shared" si="154"/>
        <v>vendredi</v>
      </c>
      <c r="D2435" s="87"/>
      <c r="E2435" s="115" t="str">
        <f t="shared" si="155"/>
        <v/>
      </c>
      <c r="F2435" s="115" t="str">
        <f t="shared" si="156"/>
        <v/>
      </c>
      <c r="G2435" s="116" t="str">
        <f>IF(ISNONTEXT(D2435),"",E2435-MAX($F$2:F2434))</f>
        <v/>
      </c>
      <c r="H2435" s="97"/>
      <c r="I2435" s="74" t="str">
        <f ca="1">IF(D2435="N",COUNTIF(INDIRECT(ADDRESS(MATCH(Plages!$D$19,'Planning annuel mixing coater'!$B:$B),4)):D2435,"N"),IF(D2435="N1",COUNTIF($D$9:D2435,"N1"),""))</f>
        <v/>
      </c>
      <c r="J2435" s="96" t="str">
        <f>IF(D2435="","",COUNTA(D2424:D2435)-(COUNTA(D2435:D2435)-1))</f>
        <v/>
      </c>
    </row>
    <row r="2436" spans="1:10" thickBot="1">
      <c r="A2436" s="117"/>
      <c r="B2436" s="70">
        <f t="shared" ref="B2436:B2499" si="157">IF(B2435="","",B2435+1)</f>
        <v>46228</v>
      </c>
      <c r="C2436" s="82" t="str">
        <f t="shared" si="154"/>
        <v>samedi</v>
      </c>
      <c r="D2436" s="87"/>
      <c r="E2436" s="115" t="str">
        <f t="shared" si="155"/>
        <v/>
      </c>
      <c r="F2436" s="115" t="str">
        <f t="shared" si="156"/>
        <v/>
      </c>
      <c r="G2436" s="116" t="str">
        <f>IF(ISNONTEXT(D2436),"",E2436-MAX($F$2:F2435))</f>
        <v/>
      </c>
      <c r="H2436" s="97"/>
      <c r="I2436" s="74" t="str">
        <f ca="1">IF(D2436="N",COUNTIF(INDIRECT(ADDRESS(MATCH(Plages!$D$19,'Planning annuel mixing coater'!$B:$B),4)):D2436,"N"),IF(D2436="N1",COUNTIF($D$9:D2436,"N1"),""))</f>
        <v/>
      </c>
      <c r="J2436" s="96" t="str">
        <f>IF(D2436="","",COUNTA(D2424:D2436)-(COUNTA(D2436:D2436)-1))</f>
        <v/>
      </c>
    </row>
    <row r="2437" spans="1:10" s="77" customFormat="1" thickBot="1">
      <c r="A2437" s="117"/>
      <c r="B2437" s="75">
        <f t="shared" si="157"/>
        <v>46229</v>
      </c>
      <c r="C2437" s="83" t="str">
        <f t="shared" si="154"/>
        <v>dimanche</v>
      </c>
      <c r="D2437" s="88"/>
      <c r="E2437" s="115" t="str">
        <f t="shared" si="155"/>
        <v/>
      </c>
      <c r="F2437" s="115" t="str">
        <f t="shared" si="156"/>
        <v/>
      </c>
      <c r="G2437" s="116" t="str">
        <f>IF(ISNONTEXT(D2437),"",E2437-MAX($F$2:F2436))</f>
        <v/>
      </c>
      <c r="H2437" s="98"/>
      <c r="I2437" s="76" t="str">
        <f ca="1">IF(D2437="N",COUNTIF(INDIRECT(ADDRESS(MATCH(Plages!$D$19,'Planning annuel mixing coater'!$B:$B),4)):D2437,"N"),IF(D2437="N1",COUNTIF($D$9:D2437,"N1"),""))</f>
        <v/>
      </c>
      <c r="J2437" s="99" t="str">
        <f>IF(D2437="","",COUNTA(D2424:D2437)-(COUNTA(D2437:D2437)-1))</f>
        <v/>
      </c>
    </row>
    <row r="2438" spans="1:10" ht="16.5" thickTop="1" thickBot="1">
      <c r="A2438" s="117"/>
      <c r="B2438" s="78">
        <f t="shared" si="157"/>
        <v>46230</v>
      </c>
      <c r="C2438" s="81" t="str">
        <f t="shared" si="154"/>
        <v>lundi</v>
      </c>
      <c r="D2438" s="89"/>
      <c r="E2438" s="115" t="str">
        <f t="shared" si="155"/>
        <v/>
      </c>
      <c r="F2438" s="115" t="str">
        <f t="shared" si="156"/>
        <v/>
      </c>
      <c r="G2438" s="116" t="str">
        <f>IF(ISNONTEXT(D2438),"",E2438-MAX($F$2:F2437))</f>
        <v/>
      </c>
      <c r="H2438" s="100"/>
      <c r="I2438" s="79" t="str">
        <f ca="1">IF(D2438="N",COUNTIF(INDIRECT(ADDRESS(MATCH(Plages!$D$19,'Planning annuel mixing coater'!$B:$B),4)):D2438,"N"),IF(D2438="N1",COUNTIF($D$9:D2438,"N1"),""))</f>
        <v/>
      </c>
      <c r="J2438" s="101" t="str">
        <f>IF(D2438="","",COUNTA(D2438:D2438)-(COUNTA(D2438:D2438)-1))</f>
        <v/>
      </c>
    </row>
    <row r="2439" spans="1:10" thickBot="1">
      <c r="A2439" s="117"/>
      <c r="B2439" s="70">
        <f t="shared" si="157"/>
        <v>46231</v>
      </c>
      <c r="C2439" s="82" t="str">
        <f t="shared" si="154"/>
        <v>mardi</v>
      </c>
      <c r="D2439" s="87"/>
      <c r="E2439" s="115" t="str">
        <f t="shared" si="155"/>
        <v/>
      </c>
      <c r="F2439" s="115" t="str">
        <f t="shared" si="156"/>
        <v/>
      </c>
      <c r="G2439" s="116" t="str">
        <f>IF(ISNONTEXT(D2439),"",E2439-MAX($F$2:F2438))</f>
        <v/>
      </c>
      <c r="H2439" s="97"/>
      <c r="I2439" s="74" t="str">
        <f ca="1">IF(D2439="N",COUNTIF(INDIRECT(ADDRESS(MATCH(Plages!$D$19,'Planning annuel mixing coater'!$B:$B),4)):D2439,"N"),IF(D2439="N1",COUNTIF($D$9:D2439,"N1"),""))</f>
        <v/>
      </c>
      <c r="J2439" s="96" t="str">
        <f>IF(D2439="","",COUNTA(D2438:D2439)-(COUNTA(D2439:D2439)-1))</f>
        <v/>
      </c>
    </row>
    <row r="2440" spans="1:10" thickBot="1">
      <c r="A2440" s="117"/>
      <c r="B2440" s="70">
        <f t="shared" si="157"/>
        <v>46232</v>
      </c>
      <c r="C2440" s="82" t="str">
        <f t="shared" si="154"/>
        <v>mercredi</v>
      </c>
      <c r="D2440" s="87"/>
      <c r="E2440" s="115" t="str">
        <f t="shared" si="155"/>
        <v/>
      </c>
      <c r="F2440" s="115" t="str">
        <f t="shared" si="156"/>
        <v/>
      </c>
      <c r="G2440" s="116" t="str">
        <f>IF(ISNONTEXT(D2440),"",E2440-MAX($F$2:F2439))</f>
        <v/>
      </c>
      <c r="H2440" s="97"/>
      <c r="I2440" s="74" t="str">
        <f ca="1">IF(D2440="N",COUNTIF(INDIRECT(ADDRESS(MATCH(Plages!$D$19,'Planning annuel mixing coater'!$B:$B),4)):D2440,"N"),IF(D2440="N1",COUNTIF($D$9:D2440,"N1"),""))</f>
        <v/>
      </c>
      <c r="J2440" s="96" t="str">
        <f>IF(D2440="","",COUNTA(D2438:D2440)-(COUNTA(D2440:D2440)-1))</f>
        <v/>
      </c>
    </row>
    <row r="2441" spans="1:10" thickBot="1">
      <c r="A2441" s="117"/>
      <c r="B2441" s="70">
        <f t="shared" si="157"/>
        <v>46233</v>
      </c>
      <c r="C2441" s="82" t="str">
        <f t="shared" si="154"/>
        <v>jeudi</v>
      </c>
      <c r="D2441" s="87"/>
      <c r="E2441" s="115" t="str">
        <f t="shared" si="155"/>
        <v/>
      </c>
      <c r="F2441" s="115" t="str">
        <f t="shared" si="156"/>
        <v/>
      </c>
      <c r="G2441" s="116" t="str">
        <f>IF(ISNONTEXT(D2441),"",E2441-MAX($F$2:F2440))</f>
        <v/>
      </c>
      <c r="H2441" s="97"/>
      <c r="I2441" s="74" t="str">
        <f ca="1">IF(D2441="N",COUNTIF(INDIRECT(ADDRESS(MATCH(Plages!$D$19,'Planning annuel mixing coater'!$B:$B),4)):D2441,"N"),IF(D2441="N1",COUNTIF($D$9:D2441,"N1"),""))</f>
        <v/>
      </c>
      <c r="J2441" s="96" t="str">
        <f>IF(D2441="","",COUNTA(D2438:D2441)-(COUNTA(D2441:D2441)-1))</f>
        <v/>
      </c>
    </row>
    <row r="2442" spans="1:10" thickBot="1">
      <c r="A2442" s="117"/>
      <c r="B2442" s="70">
        <f t="shared" si="157"/>
        <v>46234</v>
      </c>
      <c r="C2442" s="82" t="str">
        <f t="shared" si="154"/>
        <v>vendredi</v>
      </c>
      <c r="D2442" s="87"/>
      <c r="E2442" s="115" t="str">
        <f t="shared" si="155"/>
        <v/>
      </c>
      <c r="F2442" s="115" t="str">
        <f t="shared" si="156"/>
        <v/>
      </c>
      <c r="G2442" s="116" t="str">
        <f>IF(ISNONTEXT(D2442),"",E2442-MAX($F$2:F2441))</f>
        <v/>
      </c>
      <c r="H2442" s="97"/>
      <c r="I2442" s="74" t="str">
        <f ca="1">IF(D2442="N",COUNTIF(INDIRECT(ADDRESS(MATCH(Plages!$D$19,'Planning annuel mixing coater'!$B:$B),4)):D2442,"N"),IF(D2442="N1",COUNTIF($D$9:D2442,"N1"),""))</f>
        <v/>
      </c>
      <c r="J2442" s="96" t="str">
        <f>IF(D2442="","",COUNTA(D2438:D2442)-(COUNTA(D2442:D2442)-1))</f>
        <v/>
      </c>
    </row>
    <row r="2443" spans="1:10" thickBot="1">
      <c r="A2443" s="117"/>
      <c r="B2443" s="70">
        <f t="shared" si="157"/>
        <v>46235</v>
      </c>
      <c r="C2443" s="82" t="str">
        <f t="shared" si="154"/>
        <v>samedi</v>
      </c>
      <c r="D2443" s="87"/>
      <c r="E2443" s="115" t="str">
        <f t="shared" si="155"/>
        <v/>
      </c>
      <c r="F2443" s="115" t="str">
        <f t="shared" si="156"/>
        <v/>
      </c>
      <c r="G2443" s="116" t="str">
        <f>IF(ISNONTEXT(D2443),"",E2443-MAX($F$2:F2442))</f>
        <v/>
      </c>
      <c r="H2443" s="97"/>
      <c r="I2443" s="74" t="str">
        <f ca="1">IF(D2443="N",COUNTIF(INDIRECT(ADDRESS(MATCH(Plages!$D$19,'Planning annuel mixing coater'!$B:$B),4)):D2443,"N"),IF(D2443="N1",COUNTIF($D$9:D2443,"N1"),""))</f>
        <v/>
      </c>
      <c r="J2443" s="96" t="str">
        <f>IF(D2443="","",COUNTA(D2438:D2443)-(COUNTA(D2443:D2443)-1))</f>
        <v/>
      </c>
    </row>
    <row r="2444" spans="1:10" thickBot="1">
      <c r="A2444" s="117"/>
      <c r="B2444" s="70">
        <f t="shared" si="157"/>
        <v>46236</v>
      </c>
      <c r="C2444" s="82" t="str">
        <f t="shared" si="154"/>
        <v>dimanche</v>
      </c>
      <c r="D2444" s="87"/>
      <c r="E2444" s="115" t="str">
        <f t="shared" si="155"/>
        <v/>
      </c>
      <c r="F2444" s="115" t="str">
        <f t="shared" si="156"/>
        <v/>
      </c>
      <c r="G2444" s="116" t="str">
        <f>IF(ISNONTEXT(D2444),"",E2444-MAX($F$2:F2443))</f>
        <v/>
      </c>
      <c r="H2444" s="98"/>
      <c r="I2444" s="74" t="str">
        <f ca="1">IF(D2444="N",COUNTIF(INDIRECT(ADDRESS(MATCH(Plages!$D$19,'Planning annuel mixing coater'!$B:$B),4)):D2444,"N"),IF(D2444="N1",COUNTIF($D$9:D2444,"N1"),""))</f>
        <v/>
      </c>
      <c r="J2444" s="96" t="str">
        <f>IF(D2444="","",COUNTA(D2438:D2444)-(COUNTA(D2444:D2444)-1))</f>
        <v/>
      </c>
    </row>
    <row r="2445" spans="1:10" thickBot="1">
      <c r="A2445" s="117"/>
      <c r="B2445" s="70">
        <f t="shared" si="157"/>
        <v>46237</v>
      </c>
      <c r="C2445" s="82" t="str">
        <f t="shared" si="154"/>
        <v>lundi</v>
      </c>
      <c r="D2445" s="87"/>
      <c r="E2445" s="115" t="str">
        <f t="shared" si="155"/>
        <v/>
      </c>
      <c r="F2445" s="115" t="str">
        <f t="shared" si="156"/>
        <v/>
      </c>
      <c r="G2445" s="116" t="str">
        <f>IF(ISNONTEXT(D2445),"",E2445-MAX($F$2:F2444))</f>
        <v/>
      </c>
      <c r="H2445" s="97"/>
      <c r="I2445" s="74" t="str">
        <f ca="1">IF(D2445="N",COUNTIF(INDIRECT(ADDRESS(MATCH(Plages!$D$19,'Planning annuel mixing coater'!$B:$B),4)):D2445,"N"),IF(D2445="N1",COUNTIF($D$9:D2445,"N1"),""))</f>
        <v/>
      </c>
      <c r="J2445" s="96" t="str">
        <f>IF(D2445="","",COUNTA(D2438:D2445)-(COUNTA(D2445:D2445)-1))</f>
        <v/>
      </c>
    </row>
    <row r="2446" spans="1:10" thickBot="1">
      <c r="A2446" s="117"/>
      <c r="B2446" s="70">
        <f t="shared" si="157"/>
        <v>46238</v>
      </c>
      <c r="C2446" s="82" t="str">
        <f t="shared" si="154"/>
        <v>mardi</v>
      </c>
      <c r="D2446" s="87"/>
      <c r="E2446" s="115" t="str">
        <f t="shared" si="155"/>
        <v/>
      </c>
      <c r="F2446" s="115" t="str">
        <f t="shared" si="156"/>
        <v/>
      </c>
      <c r="G2446" s="116" t="str">
        <f>IF(ISNONTEXT(D2446),"",E2446-MAX($F$2:F2445))</f>
        <v/>
      </c>
      <c r="H2446" s="97"/>
      <c r="I2446" s="74" t="str">
        <f ca="1">IF(D2446="N",COUNTIF(INDIRECT(ADDRESS(MATCH(Plages!$D$19,'Planning annuel mixing coater'!$B:$B),4)):D2446,"N"),IF(D2446="N1",COUNTIF($D$9:D2446,"N1"),""))</f>
        <v/>
      </c>
      <c r="J2446" s="96" t="str">
        <f>IF(D2446="","",COUNTA(D2438:D2446)-(COUNTA(D2446:D2446)-1))</f>
        <v/>
      </c>
    </row>
    <row r="2447" spans="1:10" thickBot="1">
      <c r="A2447" s="117"/>
      <c r="B2447" s="70">
        <f t="shared" si="157"/>
        <v>46239</v>
      </c>
      <c r="C2447" s="82" t="str">
        <f t="shared" si="154"/>
        <v>mercredi</v>
      </c>
      <c r="D2447" s="87"/>
      <c r="E2447" s="115" t="str">
        <f t="shared" si="155"/>
        <v/>
      </c>
      <c r="F2447" s="115" t="str">
        <f t="shared" si="156"/>
        <v/>
      </c>
      <c r="G2447" s="116" t="str">
        <f>IF(ISNONTEXT(D2447),"",E2447-MAX($F$2:F2446))</f>
        <v/>
      </c>
      <c r="H2447" s="97"/>
      <c r="I2447" s="74" t="str">
        <f ca="1">IF(D2447="N",COUNTIF(INDIRECT(ADDRESS(MATCH(Plages!$D$19,'Planning annuel mixing coater'!$B:$B),4)):D2447,"N"),IF(D2447="N1",COUNTIF($D$9:D2447,"N1"),""))</f>
        <v/>
      </c>
      <c r="J2447" s="96" t="str">
        <f>IF(D2447="","",COUNTA(D2438:D2447)-(COUNTA(D2447:D2447)-1))</f>
        <v/>
      </c>
    </row>
    <row r="2448" spans="1:10" thickBot="1">
      <c r="A2448" s="117"/>
      <c r="B2448" s="70">
        <f t="shared" si="157"/>
        <v>46240</v>
      </c>
      <c r="C2448" s="82" t="str">
        <f t="shared" si="154"/>
        <v>jeudi</v>
      </c>
      <c r="D2448" s="87"/>
      <c r="E2448" s="115" t="str">
        <f t="shared" si="155"/>
        <v/>
      </c>
      <c r="F2448" s="115" t="str">
        <f t="shared" si="156"/>
        <v/>
      </c>
      <c r="G2448" s="116" t="str">
        <f>IF(ISNONTEXT(D2448),"",E2448-MAX($F$2:F2447))</f>
        <v/>
      </c>
      <c r="H2448" s="97"/>
      <c r="I2448" s="74" t="str">
        <f ca="1">IF(D2448="N",COUNTIF(INDIRECT(ADDRESS(MATCH(Plages!$D$19,'Planning annuel mixing coater'!$B:$B),4)):D2448,"N"),IF(D2448="N1",COUNTIF($D$9:D2448,"N1"),""))</f>
        <v/>
      </c>
      <c r="J2448" s="96" t="str">
        <f>IF(D2448="","",COUNTA(D2438:D2448)-(COUNTA(D2448:D2448)-1))</f>
        <v/>
      </c>
    </row>
    <row r="2449" spans="1:10" thickBot="1">
      <c r="A2449" s="117"/>
      <c r="B2449" s="70">
        <f t="shared" si="157"/>
        <v>46241</v>
      </c>
      <c r="C2449" s="82" t="str">
        <f t="shared" si="154"/>
        <v>vendredi</v>
      </c>
      <c r="D2449" s="87"/>
      <c r="E2449" s="115" t="str">
        <f t="shared" si="155"/>
        <v/>
      </c>
      <c r="F2449" s="115" t="str">
        <f t="shared" si="156"/>
        <v/>
      </c>
      <c r="G2449" s="116" t="str">
        <f>IF(ISNONTEXT(D2449),"",E2449-MAX($F$2:F2448))</f>
        <v/>
      </c>
      <c r="H2449" s="97"/>
      <c r="I2449" s="74" t="str">
        <f ca="1">IF(D2449="N",COUNTIF(INDIRECT(ADDRESS(MATCH(Plages!$D$19,'Planning annuel mixing coater'!$B:$B),4)):D2449,"N"),IF(D2449="N1",COUNTIF($D$9:D2449,"N1"),""))</f>
        <v/>
      </c>
      <c r="J2449" s="96" t="str">
        <f>IF(D2449="","",COUNTA(D2438:D2449)-(COUNTA(D2449:D2449)-1))</f>
        <v/>
      </c>
    </row>
    <row r="2450" spans="1:10" thickBot="1">
      <c r="A2450" s="117"/>
      <c r="B2450" s="70">
        <f t="shared" si="157"/>
        <v>46242</v>
      </c>
      <c r="C2450" s="82" t="str">
        <f t="shared" si="154"/>
        <v>samedi</v>
      </c>
      <c r="D2450" s="87"/>
      <c r="E2450" s="115" t="str">
        <f t="shared" si="155"/>
        <v/>
      </c>
      <c r="F2450" s="115" t="str">
        <f t="shared" si="156"/>
        <v/>
      </c>
      <c r="G2450" s="116" t="str">
        <f>IF(ISNONTEXT(D2450),"",E2450-MAX($F$2:F2449))</f>
        <v/>
      </c>
      <c r="H2450" s="97"/>
      <c r="I2450" s="74" t="str">
        <f ca="1">IF(D2450="N",COUNTIF(INDIRECT(ADDRESS(MATCH(Plages!$D$19,'Planning annuel mixing coater'!$B:$B),4)):D2450,"N"),IF(D2450="N1",COUNTIF($D$9:D2450,"N1"),""))</f>
        <v/>
      </c>
      <c r="J2450" s="96" t="str">
        <f>IF(D2450="","",COUNTA(D2438:D2450)-(COUNTA(D2450:D2450)-1))</f>
        <v/>
      </c>
    </row>
    <row r="2451" spans="1:10" s="77" customFormat="1" thickBot="1">
      <c r="A2451" s="117"/>
      <c r="B2451" s="75">
        <f t="shared" si="157"/>
        <v>46243</v>
      </c>
      <c r="C2451" s="83" t="str">
        <f t="shared" si="154"/>
        <v>dimanche</v>
      </c>
      <c r="D2451" s="88"/>
      <c r="E2451" s="115" t="str">
        <f t="shared" si="155"/>
        <v/>
      </c>
      <c r="F2451" s="115" t="str">
        <f t="shared" si="156"/>
        <v/>
      </c>
      <c r="G2451" s="116" t="str">
        <f>IF(ISNONTEXT(D2451),"",E2451-MAX($F$2:F2450))</f>
        <v/>
      </c>
      <c r="H2451" s="98"/>
      <c r="I2451" s="76" t="str">
        <f ca="1">IF(D2451="N",COUNTIF(INDIRECT(ADDRESS(MATCH(Plages!$D$19,'Planning annuel mixing coater'!$B:$B),4)):D2451,"N"),IF(D2451="N1",COUNTIF($D$9:D2451,"N1"),""))</f>
        <v/>
      </c>
      <c r="J2451" s="99" t="str">
        <f>IF(D2451="","",COUNTA(D2438:D2451)-(COUNTA(D2451:D2451)-1))</f>
        <v/>
      </c>
    </row>
    <row r="2452" spans="1:10" ht="16.5" thickTop="1" thickBot="1">
      <c r="A2452" s="117"/>
      <c r="B2452" s="78">
        <f t="shared" si="157"/>
        <v>46244</v>
      </c>
      <c r="C2452" s="81" t="str">
        <f t="shared" si="154"/>
        <v>lundi</v>
      </c>
      <c r="D2452" s="89"/>
      <c r="E2452" s="115" t="str">
        <f t="shared" si="155"/>
        <v/>
      </c>
      <c r="F2452" s="115" t="str">
        <f t="shared" si="156"/>
        <v/>
      </c>
      <c r="G2452" s="116" t="str">
        <f>IF(ISNONTEXT(D2452),"",E2452-MAX($F$2:F2451))</f>
        <v/>
      </c>
      <c r="H2452" s="100"/>
      <c r="I2452" s="79" t="str">
        <f ca="1">IF(D2452="N",COUNTIF(INDIRECT(ADDRESS(MATCH(Plages!$D$19,'Planning annuel mixing coater'!$B:$B),4)):D2452,"N"),IF(D2452="N1",COUNTIF($D$9:D2452,"N1"),""))</f>
        <v/>
      </c>
      <c r="J2452" s="101" t="str">
        <f>IF(D2452="","",COUNTA(D2452:D2452)-(COUNTA(D2452:D2452)-1))</f>
        <v/>
      </c>
    </row>
    <row r="2453" spans="1:10" thickBot="1">
      <c r="A2453" s="117"/>
      <c r="B2453" s="70">
        <f t="shared" si="157"/>
        <v>46245</v>
      </c>
      <c r="C2453" s="82" t="str">
        <f t="shared" si="154"/>
        <v>mardi</v>
      </c>
      <c r="D2453" s="87"/>
      <c r="E2453" s="115" t="str">
        <f t="shared" si="155"/>
        <v/>
      </c>
      <c r="F2453" s="115" t="str">
        <f t="shared" si="156"/>
        <v/>
      </c>
      <c r="G2453" s="116" t="str">
        <f>IF(ISNONTEXT(D2453),"",E2453-MAX($F$2:F2452))</f>
        <v/>
      </c>
      <c r="H2453" s="97"/>
      <c r="I2453" s="74" t="str">
        <f ca="1">IF(D2453="N",COUNTIF(INDIRECT(ADDRESS(MATCH(Plages!$D$19,'Planning annuel mixing coater'!$B:$B),4)):D2453,"N"),IF(D2453="N1",COUNTIF($D$9:D2453,"N1"),""))</f>
        <v/>
      </c>
      <c r="J2453" s="96" t="str">
        <f>IF(D2453="","",COUNTA(D2452:D2453)-(COUNTA(D2453:D2453)-1))</f>
        <v/>
      </c>
    </row>
    <row r="2454" spans="1:10" thickBot="1">
      <c r="A2454" s="117"/>
      <c r="B2454" s="70">
        <f t="shared" si="157"/>
        <v>46246</v>
      </c>
      <c r="C2454" s="82" t="str">
        <f t="shared" si="154"/>
        <v>mercredi</v>
      </c>
      <c r="D2454" s="87"/>
      <c r="E2454" s="115" t="str">
        <f t="shared" si="155"/>
        <v/>
      </c>
      <c r="F2454" s="115" t="str">
        <f t="shared" si="156"/>
        <v/>
      </c>
      <c r="G2454" s="116" t="str">
        <f>IF(ISNONTEXT(D2454),"",E2454-MAX($F$2:F2453))</f>
        <v/>
      </c>
      <c r="H2454" s="97"/>
      <c r="I2454" s="74" t="str">
        <f ca="1">IF(D2454="N",COUNTIF(INDIRECT(ADDRESS(MATCH(Plages!$D$19,'Planning annuel mixing coater'!$B:$B),4)):D2454,"N"),IF(D2454="N1",COUNTIF($D$9:D2454,"N1"),""))</f>
        <v/>
      </c>
      <c r="J2454" s="96" t="str">
        <f>IF(D2454="","",COUNTA(D2452:D2454)-(COUNTA(D2454:D2454)-1))</f>
        <v/>
      </c>
    </row>
    <row r="2455" spans="1:10" thickBot="1">
      <c r="A2455" s="117"/>
      <c r="B2455" s="70">
        <f t="shared" si="157"/>
        <v>46247</v>
      </c>
      <c r="C2455" s="82" t="str">
        <f t="shared" si="154"/>
        <v>jeudi</v>
      </c>
      <c r="D2455" s="87"/>
      <c r="E2455" s="115" t="str">
        <f t="shared" si="155"/>
        <v/>
      </c>
      <c r="F2455" s="115" t="str">
        <f t="shared" si="156"/>
        <v/>
      </c>
      <c r="G2455" s="116" t="str">
        <f>IF(ISNONTEXT(D2455),"",E2455-MAX($F$2:F2454))</f>
        <v/>
      </c>
      <c r="H2455" s="97"/>
      <c r="I2455" s="74" t="str">
        <f ca="1">IF(D2455="N",COUNTIF(INDIRECT(ADDRESS(MATCH(Plages!$D$19,'Planning annuel mixing coater'!$B:$B),4)):D2455,"N"),IF(D2455="N1",COUNTIF($D$9:D2455,"N1"),""))</f>
        <v/>
      </c>
      <c r="J2455" s="96" t="str">
        <f>IF(D2455="","",COUNTA(D2452:D2455)-(COUNTA(D2455:D2455)-1))</f>
        <v/>
      </c>
    </row>
    <row r="2456" spans="1:10" thickBot="1">
      <c r="A2456" s="117"/>
      <c r="B2456" s="70">
        <f t="shared" si="157"/>
        <v>46248</v>
      </c>
      <c r="C2456" s="82" t="str">
        <f t="shared" si="154"/>
        <v>vendredi</v>
      </c>
      <c r="D2456" s="87"/>
      <c r="E2456" s="115" t="str">
        <f t="shared" si="155"/>
        <v/>
      </c>
      <c r="F2456" s="115" t="str">
        <f t="shared" si="156"/>
        <v/>
      </c>
      <c r="G2456" s="116" t="str">
        <f>IF(ISNONTEXT(D2456),"",E2456-MAX($F$2:F2455))</f>
        <v/>
      </c>
      <c r="H2456" s="97"/>
      <c r="I2456" s="74" t="str">
        <f ca="1">IF(D2456="N",COUNTIF(INDIRECT(ADDRESS(MATCH(Plages!$D$19,'Planning annuel mixing coater'!$B:$B),4)):D2456,"N"),IF(D2456="N1",COUNTIF($D$9:D2456,"N1"),""))</f>
        <v/>
      </c>
      <c r="J2456" s="96" t="str">
        <f>IF(D2456="","",COUNTA(D2452:D2456)-(COUNTA(D2456:D2456)-1))</f>
        <v/>
      </c>
    </row>
    <row r="2457" spans="1:10" thickBot="1">
      <c r="A2457" s="117"/>
      <c r="B2457" s="70">
        <f t="shared" si="157"/>
        <v>46249</v>
      </c>
      <c r="C2457" s="82" t="str">
        <f t="shared" si="154"/>
        <v>samedi</v>
      </c>
      <c r="D2457" s="87"/>
      <c r="E2457" s="115" t="str">
        <f t="shared" si="155"/>
        <v/>
      </c>
      <c r="F2457" s="115" t="str">
        <f t="shared" si="156"/>
        <v/>
      </c>
      <c r="G2457" s="116" t="str">
        <f>IF(ISNONTEXT(D2457),"",E2457-MAX($F$2:F2456))</f>
        <v/>
      </c>
      <c r="H2457" s="97"/>
      <c r="I2457" s="74" t="str">
        <f ca="1">IF(D2457="N",COUNTIF(INDIRECT(ADDRESS(MATCH(Plages!$D$19,'Planning annuel mixing coater'!$B:$B),4)):D2457,"N"),IF(D2457="N1",COUNTIF($D$9:D2457,"N1"),""))</f>
        <v/>
      </c>
      <c r="J2457" s="96" t="str">
        <f>IF(D2457="","",COUNTA(D2452:D2457)-(COUNTA(D2457:D2457)-1))</f>
        <v/>
      </c>
    </row>
    <row r="2458" spans="1:10" thickBot="1">
      <c r="A2458" s="117"/>
      <c r="B2458" s="70">
        <f t="shared" si="157"/>
        <v>46250</v>
      </c>
      <c r="C2458" s="82" t="str">
        <f t="shared" si="154"/>
        <v>dimanche</v>
      </c>
      <c r="D2458" s="87"/>
      <c r="E2458" s="115" t="str">
        <f t="shared" si="155"/>
        <v/>
      </c>
      <c r="F2458" s="115" t="str">
        <f t="shared" si="156"/>
        <v/>
      </c>
      <c r="G2458" s="116" t="str">
        <f>IF(ISNONTEXT(D2458),"",E2458-MAX($F$2:F2457))</f>
        <v/>
      </c>
      <c r="H2458" s="98"/>
      <c r="I2458" s="74" t="str">
        <f ca="1">IF(D2458="N",COUNTIF(INDIRECT(ADDRESS(MATCH(Plages!$D$19,'Planning annuel mixing coater'!$B:$B),4)):D2458,"N"),IF(D2458="N1",COUNTIF($D$9:D2458,"N1"),""))</f>
        <v/>
      </c>
      <c r="J2458" s="96" t="str">
        <f>IF(D2458="","",COUNTA(D2452:D2458)-(COUNTA(D2458:D2458)-1))</f>
        <v/>
      </c>
    </row>
    <row r="2459" spans="1:10" thickBot="1">
      <c r="A2459" s="117"/>
      <c r="B2459" s="70">
        <f t="shared" si="157"/>
        <v>46251</v>
      </c>
      <c r="C2459" s="82" t="str">
        <f t="shared" si="154"/>
        <v>lundi</v>
      </c>
      <c r="D2459" s="87"/>
      <c r="E2459" s="115" t="str">
        <f t="shared" si="155"/>
        <v/>
      </c>
      <c r="F2459" s="115" t="str">
        <f t="shared" si="156"/>
        <v/>
      </c>
      <c r="G2459" s="116" t="str">
        <f>IF(ISNONTEXT(D2459),"",E2459-MAX($F$2:F2458))</f>
        <v/>
      </c>
      <c r="H2459" s="97"/>
      <c r="I2459" s="74" t="str">
        <f ca="1">IF(D2459="N",COUNTIF(INDIRECT(ADDRESS(MATCH(Plages!$D$19,'Planning annuel mixing coater'!$B:$B),4)):D2459,"N"),IF(D2459="N1",COUNTIF($D$9:D2459,"N1"),""))</f>
        <v/>
      </c>
      <c r="J2459" s="96" t="str">
        <f>IF(D2459="","",COUNTA(D2452:D2459)-(COUNTA(D2459:D2459)-1))</f>
        <v/>
      </c>
    </row>
    <row r="2460" spans="1:10" thickBot="1">
      <c r="A2460" s="117"/>
      <c r="B2460" s="70">
        <f t="shared" si="157"/>
        <v>46252</v>
      </c>
      <c r="C2460" s="82" t="str">
        <f t="shared" si="154"/>
        <v>mardi</v>
      </c>
      <c r="D2460" s="87"/>
      <c r="E2460" s="115" t="str">
        <f t="shared" si="155"/>
        <v/>
      </c>
      <c r="F2460" s="115" t="str">
        <f t="shared" si="156"/>
        <v/>
      </c>
      <c r="G2460" s="116" t="str">
        <f>IF(ISNONTEXT(D2460),"",E2460-MAX($F$2:F2459))</f>
        <v/>
      </c>
      <c r="H2460" s="97"/>
      <c r="I2460" s="74" t="str">
        <f ca="1">IF(D2460="N",COUNTIF(INDIRECT(ADDRESS(MATCH(Plages!$D$19,'Planning annuel mixing coater'!$B:$B),4)):D2460,"N"),IF(D2460="N1",COUNTIF($D$9:D2460,"N1"),""))</f>
        <v/>
      </c>
      <c r="J2460" s="96" t="str">
        <f>IF(D2460="","",COUNTA(D2452:D2460)-(COUNTA(D2460:D2460)-1))</f>
        <v/>
      </c>
    </row>
    <row r="2461" spans="1:10" thickBot="1">
      <c r="A2461" s="117"/>
      <c r="B2461" s="70">
        <f t="shared" si="157"/>
        <v>46253</v>
      </c>
      <c r="C2461" s="82" t="str">
        <f t="shared" si="154"/>
        <v>mercredi</v>
      </c>
      <c r="D2461" s="87"/>
      <c r="E2461" s="115" t="str">
        <f t="shared" si="155"/>
        <v/>
      </c>
      <c r="F2461" s="115" t="str">
        <f t="shared" si="156"/>
        <v/>
      </c>
      <c r="G2461" s="116" t="str">
        <f>IF(ISNONTEXT(D2461),"",E2461-MAX($F$2:F2460))</f>
        <v/>
      </c>
      <c r="H2461" s="97"/>
      <c r="I2461" s="74" t="str">
        <f ca="1">IF(D2461="N",COUNTIF(INDIRECT(ADDRESS(MATCH(Plages!$D$19,'Planning annuel mixing coater'!$B:$B),4)):D2461,"N"),IF(D2461="N1",COUNTIF($D$9:D2461,"N1"),""))</f>
        <v/>
      </c>
      <c r="J2461" s="96" t="str">
        <f>IF(D2461="","",COUNTA(D2452:D2461)-(COUNTA(D2461:D2461)-1))</f>
        <v/>
      </c>
    </row>
    <row r="2462" spans="1:10" thickBot="1">
      <c r="A2462" s="117"/>
      <c r="B2462" s="70">
        <f t="shared" si="157"/>
        <v>46254</v>
      </c>
      <c r="C2462" s="82" t="str">
        <f t="shared" ref="C2462:C2525" si="158">IF(B2462="","",TEXT(B2462,"jjjj"))</f>
        <v>jeudi</v>
      </c>
      <c r="D2462" s="87"/>
      <c r="E2462" s="115" t="str">
        <f t="shared" ref="E2462:E2525" si="159">IF(D2462="","",B2462+VLOOKUP(D2462,Plageh,2,0))</f>
        <v/>
      </c>
      <c r="F2462" s="115" t="str">
        <f t="shared" ref="F2462:F2525" si="160">IF(D2462="","",B2462+VLOOKUP(D2462,Plageh,3,0))</f>
        <v/>
      </c>
      <c r="G2462" s="116" t="str">
        <f>IF(ISNONTEXT(D2462),"",E2462-MAX($F$2:F2461))</f>
        <v/>
      </c>
      <c r="H2462" s="97"/>
      <c r="I2462" s="74" t="str">
        <f ca="1">IF(D2462="N",COUNTIF(INDIRECT(ADDRESS(MATCH(Plages!$D$19,'Planning annuel mixing coater'!$B:$B),4)):D2462,"N"),IF(D2462="N1",COUNTIF($D$9:D2462,"N1"),""))</f>
        <v/>
      </c>
      <c r="J2462" s="96" t="str">
        <f>IF(D2462="","",COUNTA(D2452:D2462)-(COUNTA(D2462:D2462)-1))</f>
        <v/>
      </c>
    </row>
    <row r="2463" spans="1:10" thickBot="1">
      <c r="A2463" s="117"/>
      <c r="B2463" s="70">
        <f t="shared" si="157"/>
        <v>46255</v>
      </c>
      <c r="C2463" s="82" t="str">
        <f t="shared" si="158"/>
        <v>vendredi</v>
      </c>
      <c r="D2463" s="87"/>
      <c r="E2463" s="115" t="str">
        <f t="shared" si="159"/>
        <v/>
      </c>
      <c r="F2463" s="115" t="str">
        <f t="shared" si="160"/>
        <v/>
      </c>
      <c r="G2463" s="116" t="str">
        <f>IF(ISNONTEXT(D2463),"",E2463-MAX($F$2:F2462))</f>
        <v/>
      </c>
      <c r="H2463" s="97"/>
      <c r="I2463" s="74" t="str">
        <f ca="1">IF(D2463="N",COUNTIF(INDIRECT(ADDRESS(MATCH(Plages!$D$19,'Planning annuel mixing coater'!$B:$B),4)):D2463,"N"),IF(D2463="N1",COUNTIF($D$9:D2463,"N1"),""))</f>
        <v/>
      </c>
      <c r="J2463" s="96" t="str">
        <f>IF(D2463="","",COUNTA(D2452:D2463)-(COUNTA(D2463:D2463)-1))</f>
        <v/>
      </c>
    </row>
    <row r="2464" spans="1:10" thickBot="1">
      <c r="A2464" s="117"/>
      <c r="B2464" s="70">
        <f t="shared" si="157"/>
        <v>46256</v>
      </c>
      <c r="C2464" s="82" t="str">
        <f t="shared" si="158"/>
        <v>samedi</v>
      </c>
      <c r="D2464" s="87"/>
      <c r="E2464" s="115" t="str">
        <f t="shared" si="159"/>
        <v/>
      </c>
      <c r="F2464" s="115" t="str">
        <f t="shared" si="160"/>
        <v/>
      </c>
      <c r="G2464" s="116" t="str">
        <f>IF(ISNONTEXT(D2464),"",E2464-MAX($F$2:F2463))</f>
        <v/>
      </c>
      <c r="H2464" s="97"/>
      <c r="I2464" s="74" t="str">
        <f ca="1">IF(D2464="N",COUNTIF(INDIRECT(ADDRESS(MATCH(Plages!$D$19,'Planning annuel mixing coater'!$B:$B),4)):D2464,"N"),IF(D2464="N1",COUNTIF($D$9:D2464,"N1"),""))</f>
        <v/>
      </c>
      <c r="J2464" s="96" t="str">
        <f>IF(D2464="","",COUNTA(D2452:D2464)-(COUNTA(D2464:D2464)-1))</f>
        <v/>
      </c>
    </row>
    <row r="2465" spans="1:10" s="77" customFormat="1" thickBot="1">
      <c r="A2465" s="117"/>
      <c r="B2465" s="75">
        <f t="shared" si="157"/>
        <v>46257</v>
      </c>
      <c r="C2465" s="83" t="str">
        <f t="shared" si="158"/>
        <v>dimanche</v>
      </c>
      <c r="D2465" s="88"/>
      <c r="E2465" s="115" t="str">
        <f t="shared" si="159"/>
        <v/>
      </c>
      <c r="F2465" s="115" t="str">
        <f t="shared" si="160"/>
        <v/>
      </c>
      <c r="G2465" s="116" t="str">
        <f>IF(ISNONTEXT(D2465),"",E2465-MAX($F$2:F2464))</f>
        <v/>
      </c>
      <c r="H2465" s="98"/>
      <c r="I2465" s="76" t="str">
        <f ca="1">IF(D2465="N",COUNTIF(INDIRECT(ADDRESS(MATCH(Plages!$D$19,'Planning annuel mixing coater'!$B:$B),4)):D2465,"N"),IF(D2465="N1",COUNTIF($D$9:D2465,"N1"),""))</f>
        <v/>
      </c>
      <c r="J2465" s="99" t="str">
        <f>IF(D2465="","",COUNTA(D2452:D2465)-(COUNTA(D2465:D2465)-1))</f>
        <v/>
      </c>
    </row>
    <row r="2466" spans="1:10" ht="16.5" thickTop="1" thickBot="1">
      <c r="A2466" s="117"/>
      <c r="B2466" s="78">
        <f t="shared" si="157"/>
        <v>46258</v>
      </c>
      <c r="C2466" s="81" t="str">
        <f t="shared" si="158"/>
        <v>lundi</v>
      </c>
      <c r="D2466" s="89"/>
      <c r="E2466" s="115" t="str">
        <f t="shared" si="159"/>
        <v/>
      </c>
      <c r="F2466" s="115" t="str">
        <f t="shared" si="160"/>
        <v/>
      </c>
      <c r="G2466" s="116" t="str">
        <f>IF(ISNONTEXT(D2466),"",E2466-MAX($F$2:F2465))</f>
        <v/>
      </c>
      <c r="H2466" s="100"/>
      <c r="I2466" s="79" t="str">
        <f ca="1">IF(D2466="N",COUNTIF(INDIRECT(ADDRESS(MATCH(Plages!$D$19,'Planning annuel mixing coater'!$B:$B),4)):D2466,"N"),IF(D2466="N1",COUNTIF($D$9:D2466,"N1"),""))</f>
        <v/>
      </c>
      <c r="J2466" s="101" t="str">
        <f>IF(D2466="","",COUNTA(D2466:D2466)-(COUNTA(D2466:D2466)-1))</f>
        <v/>
      </c>
    </row>
    <row r="2467" spans="1:10" thickBot="1">
      <c r="A2467" s="117"/>
      <c r="B2467" s="70">
        <f t="shared" si="157"/>
        <v>46259</v>
      </c>
      <c r="C2467" s="82" t="str">
        <f t="shared" si="158"/>
        <v>mardi</v>
      </c>
      <c r="D2467" s="87"/>
      <c r="E2467" s="115" t="str">
        <f t="shared" si="159"/>
        <v/>
      </c>
      <c r="F2467" s="115" t="str">
        <f t="shared" si="160"/>
        <v/>
      </c>
      <c r="G2467" s="116" t="str">
        <f>IF(ISNONTEXT(D2467),"",E2467-MAX($F$2:F2466))</f>
        <v/>
      </c>
      <c r="H2467" s="97"/>
      <c r="I2467" s="74" t="str">
        <f ca="1">IF(D2467="N",COUNTIF(INDIRECT(ADDRESS(MATCH(Plages!$D$19,'Planning annuel mixing coater'!$B:$B),4)):D2467,"N"),IF(D2467="N1",COUNTIF($D$9:D2467,"N1"),""))</f>
        <v/>
      </c>
      <c r="J2467" s="96" t="str">
        <f>IF(D2467="","",COUNTA(D2466:D2467)-(COUNTA(D2467:D2467)-1))</f>
        <v/>
      </c>
    </row>
    <row r="2468" spans="1:10" thickBot="1">
      <c r="A2468" s="117"/>
      <c r="B2468" s="70">
        <f t="shared" si="157"/>
        <v>46260</v>
      </c>
      <c r="C2468" s="82" t="str">
        <f t="shared" si="158"/>
        <v>mercredi</v>
      </c>
      <c r="D2468" s="87"/>
      <c r="E2468" s="115" t="str">
        <f t="shared" si="159"/>
        <v/>
      </c>
      <c r="F2468" s="115" t="str">
        <f t="shared" si="160"/>
        <v/>
      </c>
      <c r="G2468" s="116" t="str">
        <f>IF(ISNONTEXT(D2468),"",E2468-MAX($F$2:F2467))</f>
        <v/>
      </c>
      <c r="H2468" s="97"/>
      <c r="I2468" s="74" t="str">
        <f ca="1">IF(D2468="N",COUNTIF(INDIRECT(ADDRESS(MATCH(Plages!$D$19,'Planning annuel mixing coater'!$B:$B),4)):D2468,"N"),IF(D2468="N1",COUNTIF($D$9:D2468,"N1"),""))</f>
        <v/>
      </c>
      <c r="J2468" s="96" t="str">
        <f>IF(D2468="","",COUNTA(D2466:D2468)-(COUNTA(D2468:D2468)-1))</f>
        <v/>
      </c>
    </row>
    <row r="2469" spans="1:10" thickBot="1">
      <c r="A2469" s="117"/>
      <c r="B2469" s="70">
        <f t="shared" si="157"/>
        <v>46261</v>
      </c>
      <c r="C2469" s="82" t="str">
        <f t="shared" si="158"/>
        <v>jeudi</v>
      </c>
      <c r="D2469" s="87"/>
      <c r="E2469" s="115" t="str">
        <f t="shared" si="159"/>
        <v/>
      </c>
      <c r="F2469" s="115" t="str">
        <f t="shared" si="160"/>
        <v/>
      </c>
      <c r="G2469" s="116" t="str">
        <f>IF(ISNONTEXT(D2469),"",E2469-MAX($F$2:F2468))</f>
        <v/>
      </c>
      <c r="H2469" s="97"/>
      <c r="I2469" s="74" t="str">
        <f ca="1">IF(D2469="N",COUNTIF(INDIRECT(ADDRESS(MATCH(Plages!$D$19,'Planning annuel mixing coater'!$B:$B),4)):D2469,"N"),IF(D2469="N1",COUNTIF($D$9:D2469,"N1"),""))</f>
        <v/>
      </c>
      <c r="J2469" s="96" t="str">
        <f>IF(D2469="","",COUNTA(D2466:D2469)-(COUNTA(D2469:D2469)-1))</f>
        <v/>
      </c>
    </row>
    <row r="2470" spans="1:10" thickBot="1">
      <c r="A2470" s="117"/>
      <c r="B2470" s="70">
        <f t="shared" si="157"/>
        <v>46262</v>
      </c>
      <c r="C2470" s="82" t="str">
        <f t="shared" si="158"/>
        <v>vendredi</v>
      </c>
      <c r="D2470" s="87"/>
      <c r="E2470" s="115" t="str">
        <f t="shared" si="159"/>
        <v/>
      </c>
      <c r="F2470" s="115" t="str">
        <f t="shared" si="160"/>
        <v/>
      </c>
      <c r="G2470" s="116" t="str">
        <f>IF(ISNONTEXT(D2470),"",E2470-MAX($F$2:F2469))</f>
        <v/>
      </c>
      <c r="H2470" s="97"/>
      <c r="I2470" s="74" t="str">
        <f ca="1">IF(D2470="N",COUNTIF(INDIRECT(ADDRESS(MATCH(Plages!$D$19,'Planning annuel mixing coater'!$B:$B),4)):D2470,"N"),IF(D2470="N1",COUNTIF($D$9:D2470,"N1"),""))</f>
        <v/>
      </c>
      <c r="J2470" s="96" t="str">
        <f>IF(D2470="","",COUNTA(D2466:D2470)-(COUNTA(D2470:D2470)-1))</f>
        <v/>
      </c>
    </row>
    <row r="2471" spans="1:10" thickBot="1">
      <c r="A2471" s="117"/>
      <c r="B2471" s="70">
        <f t="shared" si="157"/>
        <v>46263</v>
      </c>
      <c r="C2471" s="82" t="str">
        <f t="shared" si="158"/>
        <v>samedi</v>
      </c>
      <c r="D2471" s="87"/>
      <c r="E2471" s="115" t="str">
        <f t="shared" si="159"/>
        <v/>
      </c>
      <c r="F2471" s="115" t="str">
        <f t="shared" si="160"/>
        <v/>
      </c>
      <c r="G2471" s="116" t="str">
        <f>IF(ISNONTEXT(D2471),"",E2471-MAX($F$2:F2470))</f>
        <v/>
      </c>
      <c r="H2471" s="97"/>
      <c r="I2471" s="74" t="str">
        <f ca="1">IF(D2471="N",COUNTIF(INDIRECT(ADDRESS(MATCH(Plages!$D$19,'Planning annuel mixing coater'!$B:$B),4)):D2471,"N"),IF(D2471="N1",COUNTIF($D$9:D2471,"N1"),""))</f>
        <v/>
      </c>
      <c r="J2471" s="96" t="str">
        <f>IF(D2471="","",COUNTA(D2466:D2471)-(COUNTA(D2471:D2471)-1))</f>
        <v/>
      </c>
    </row>
    <row r="2472" spans="1:10" thickBot="1">
      <c r="A2472" s="117"/>
      <c r="B2472" s="70">
        <f t="shared" si="157"/>
        <v>46264</v>
      </c>
      <c r="C2472" s="82" t="str">
        <f t="shared" si="158"/>
        <v>dimanche</v>
      </c>
      <c r="D2472" s="87"/>
      <c r="E2472" s="115" t="str">
        <f t="shared" si="159"/>
        <v/>
      </c>
      <c r="F2472" s="115" t="str">
        <f t="shared" si="160"/>
        <v/>
      </c>
      <c r="G2472" s="116" t="str">
        <f>IF(ISNONTEXT(D2472),"",E2472-MAX($F$2:F2471))</f>
        <v/>
      </c>
      <c r="H2472" s="98"/>
      <c r="I2472" s="74" t="str">
        <f ca="1">IF(D2472="N",COUNTIF(INDIRECT(ADDRESS(MATCH(Plages!$D$19,'Planning annuel mixing coater'!$B:$B),4)):D2472,"N"),IF(D2472="N1",COUNTIF($D$9:D2472,"N1"),""))</f>
        <v/>
      </c>
      <c r="J2472" s="96" t="str">
        <f>IF(D2472="","",COUNTA(D2466:D2472)-(COUNTA(D2472:D2472)-1))</f>
        <v/>
      </c>
    </row>
    <row r="2473" spans="1:10" thickBot="1">
      <c r="A2473" s="117"/>
      <c r="B2473" s="70">
        <f t="shared" si="157"/>
        <v>46265</v>
      </c>
      <c r="C2473" s="82" t="str">
        <f t="shared" si="158"/>
        <v>lundi</v>
      </c>
      <c r="D2473" s="87"/>
      <c r="E2473" s="115" t="str">
        <f t="shared" si="159"/>
        <v/>
      </c>
      <c r="F2473" s="115" t="str">
        <f t="shared" si="160"/>
        <v/>
      </c>
      <c r="G2473" s="116" t="str">
        <f>IF(ISNONTEXT(D2473),"",E2473-MAX($F$2:F2472))</f>
        <v/>
      </c>
      <c r="H2473" s="97"/>
      <c r="I2473" s="74" t="str">
        <f ca="1">IF(D2473="N",COUNTIF(INDIRECT(ADDRESS(MATCH(Plages!$D$19,'Planning annuel mixing coater'!$B:$B),4)):D2473,"N"),IF(D2473="N1",COUNTIF($D$9:D2473,"N1"),""))</f>
        <v/>
      </c>
      <c r="J2473" s="96" t="str">
        <f>IF(D2473="","",COUNTA(D2466:D2473)-(COUNTA(D2473:D2473)-1))</f>
        <v/>
      </c>
    </row>
    <row r="2474" spans="1:10" thickBot="1">
      <c r="A2474" s="117"/>
      <c r="B2474" s="70">
        <f t="shared" si="157"/>
        <v>46266</v>
      </c>
      <c r="C2474" s="82" t="str">
        <f t="shared" si="158"/>
        <v>mardi</v>
      </c>
      <c r="D2474" s="87"/>
      <c r="E2474" s="115" t="str">
        <f t="shared" si="159"/>
        <v/>
      </c>
      <c r="F2474" s="115" t="str">
        <f t="shared" si="160"/>
        <v/>
      </c>
      <c r="G2474" s="116" t="str">
        <f>IF(ISNONTEXT(D2474),"",E2474-MAX($F$2:F2473))</f>
        <v/>
      </c>
      <c r="H2474" s="97"/>
      <c r="I2474" s="74" t="str">
        <f ca="1">IF(D2474="N",COUNTIF(INDIRECT(ADDRESS(MATCH(Plages!$D$19,'Planning annuel mixing coater'!$B:$B),4)):D2474,"N"),IF(D2474="N1",COUNTIF($D$9:D2474,"N1"),""))</f>
        <v/>
      </c>
      <c r="J2474" s="96" t="str">
        <f>IF(D2474="","",COUNTA(D2466:D2474)-(COUNTA(D2474:D2474)-1))</f>
        <v/>
      </c>
    </row>
    <row r="2475" spans="1:10" thickBot="1">
      <c r="A2475" s="117"/>
      <c r="B2475" s="70">
        <f t="shared" si="157"/>
        <v>46267</v>
      </c>
      <c r="C2475" s="82" t="str">
        <f t="shared" si="158"/>
        <v>mercredi</v>
      </c>
      <c r="D2475" s="87"/>
      <c r="E2475" s="115" t="str">
        <f t="shared" si="159"/>
        <v/>
      </c>
      <c r="F2475" s="115" t="str">
        <f t="shared" si="160"/>
        <v/>
      </c>
      <c r="G2475" s="116" t="str">
        <f>IF(ISNONTEXT(D2475),"",E2475-MAX($F$2:F2474))</f>
        <v/>
      </c>
      <c r="H2475" s="97"/>
      <c r="I2475" s="74" t="str">
        <f ca="1">IF(D2475="N",COUNTIF(INDIRECT(ADDRESS(MATCH(Plages!$D$19,'Planning annuel mixing coater'!$B:$B),4)):D2475,"N"),IF(D2475="N1",COUNTIF($D$9:D2475,"N1"),""))</f>
        <v/>
      </c>
      <c r="J2475" s="96" t="str">
        <f>IF(D2475="","",COUNTA(D2466:D2475)-(COUNTA(D2475:D2475)-1))</f>
        <v/>
      </c>
    </row>
    <row r="2476" spans="1:10" thickBot="1">
      <c r="A2476" s="117"/>
      <c r="B2476" s="70">
        <f t="shared" si="157"/>
        <v>46268</v>
      </c>
      <c r="C2476" s="82" t="str">
        <f t="shared" si="158"/>
        <v>jeudi</v>
      </c>
      <c r="D2476" s="87"/>
      <c r="E2476" s="115" t="str">
        <f t="shared" si="159"/>
        <v/>
      </c>
      <c r="F2476" s="115" t="str">
        <f t="shared" si="160"/>
        <v/>
      </c>
      <c r="G2476" s="116" t="str">
        <f>IF(ISNONTEXT(D2476),"",E2476-MAX($F$2:F2475))</f>
        <v/>
      </c>
      <c r="H2476" s="97"/>
      <c r="I2476" s="74" t="str">
        <f ca="1">IF(D2476="N",COUNTIF(INDIRECT(ADDRESS(MATCH(Plages!$D$19,'Planning annuel mixing coater'!$B:$B),4)):D2476,"N"),IF(D2476="N1",COUNTIF($D$9:D2476,"N1"),""))</f>
        <v/>
      </c>
      <c r="J2476" s="96" t="str">
        <f>IF(D2476="","",COUNTA(D2466:D2476)-(COUNTA(D2476:D2476)-1))</f>
        <v/>
      </c>
    </row>
    <row r="2477" spans="1:10" thickBot="1">
      <c r="A2477" s="117"/>
      <c r="B2477" s="70">
        <f t="shared" si="157"/>
        <v>46269</v>
      </c>
      <c r="C2477" s="82" t="str">
        <f t="shared" si="158"/>
        <v>vendredi</v>
      </c>
      <c r="D2477" s="87"/>
      <c r="E2477" s="115" t="str">
        <f t="shared" si="159"/>
        <v/>
      </c>
      <c r="F2477" s="115" t="str">
        <f t="shared" si="160"/>
        <v/>
      </c>
      <c r="G2477" s="116" t="str">
        <f>IF(ISNONTEXT(D2477),"",E2477-MAX($F$2:F2476))</f>
        <v/>
      </c>
      <c r="H2477" s="97"/>
      <c r="I2477" s="74" t="str">
        <f ca="1">IF(D2477="N",COUNTIF(INDIRECT(ADDRESS(MATCH(Plages!$D$19,'Planning annuel mixing coater'!$B:$B),4)):D2477,"N"),IF(D2477="N1",COUNTIF($D$9:D2477,"N1"),""))</f>
        <v/>
      </c>
      <c r="J2477" s="96" t="str">
        <f>IF(D2477="","",COUNTA(D2466:D2477)-(COUNTA(D2477:D2477)-1))</f>
        <v/>
      </c>
    </row>
    <row r="2478" spans="1:10" thickBot="1">
      <c r="A2478" s="117"/>
      <c r="B2478" s="70">
        <f t="shared" si="157"/>
        <v>46270</v>
      </c>
      <c r="C2478" s="82" t="str">
        <f t="shared" si="158"/>
        <v>samedi</v>
      </c>
      <c r="D2478" s="87"/>
      <c r="E2478" s="115" t="str">
        <f t="shared" si="159"/>
        <v/>
      </c>
      <c r="F2478" s="115" t="str">
        <f t="shared" si="160"/>
        <v/>
      </c>
      <c r="G2478" s="116" t="str">
        <f>IF(ISNONTEXT(D2478),"",E2478-MAX($F$2:F2477))</f>
        <v/>
      </c>
      <c r="H2478" s="97"/>
      <c r="I2478" s="74" t="str">
        <f ca="1">IF(D2478="N",COUNTIF(INDIRECT(ADDRESS(MATCH(Plages!$D$19,'Planning annuel mixing coater'!$B:$B),4)):D2478,"N"),IF(D2478="N1",COUNTIF($D$9:D2478,"N1"),""))</f>
        <v/>
      </c>
      <c r="J2478" s="96" t="str">
        <f>IF(D2478="","",COUNTA(D2466:D2478)-(COUNTA(D2478:D2478)-1))</f>
        <v/>
      </c>
    </row>
    <row r="2479" spans="1:10" s="77" customFormat="1" thickBot="1">
      <c r="A2479" s="117"/>
      <c r="B2479" s="75">
        <f t="shared" si="157"/>
        <v>46271</v>
      </c>
      <c r="C2479" s="83" t="str">
        <f t="shared" si="158"/>
        <v>dimanche</v>
      </c>
      <c r="D2479" s="88"/>
      <c r="E2479" s="115" t="str">
        <f t="shared" si="159"/>
        <v/>
      </c>
      <c r="F2479" s="115" t="str">
        <f t="shared" si="160"/>
        <v/>
      </c>
      <c r="G2479" s="116" t="str">
        <f>IF(ISNONTEXT(D2479),"",E2479-MAX($F$2:F2478))</f>
        <v/>
      </c>
      <c r="H2479" s="98"/>
      <c r="I2479" s="76" t="str">
        <f ca="1">IF(D2479="N",COUNTIF(INDIRECT(ADDRESS(MATCH(Plages!$D$19,'Planning annuel mixing coater'!$B:$B),4)):D2479,"N"),IF(D2479="N1",COUNTIF($D$9:D2479,"N1"),""))</f>
        <v/>
      </c>
      <c r="J2479" s="99" t="str">
        <f>IF(D2479="","",COUNTA(D2466:D2479)-(COUNTA(D2479:D2479)-1))</f>
        <v/>
      </c>
    </row>
    <row r="2480" spans="1:10" ht="16.5" thickTop="1" thickBot="1">
      <c r="A2480" s="117"/>
      <c r="B2480" s="78">
        <f t="shared" si="157"/>
        <v>46272</v>
      </c>
      <c r="C2480" s="81" t="str">
        <f t="shared" si="158"/>
        <v>lundi</v>
      </c>
      <c r="D2480" s="89"/>
      <c r="E2480" s="115" t="str">
        <f t="shared" si="159"/>
        <v/>
      </c>
      <c r="F2480" s="115" t="str">
        <f t="shared" si="160"/>
        <v/>
      </c>
      <c r="G2480" s="116" t="str">
        <f>IF(ISNONTEXT(D2480),"",E2480-MAX($F$2:F2479))</f>
        <v/>
      </c>
      <c r="H2480" s="100"/>
      <c r="I2480" s="79" t="str">
        <f ca="1">IF(D2480="N",COUNTIF(INDIRECT(ADDRESS(MATCH(Plages!$D$19,'Planning annuel mixing coater'!$B:$B),4)):D2480,"N"),IF(D2480="N1",COUNTIF($D$9:D2480,"N1"),""))</f>
        <v/>
      </c>
      <c r="J2480" s="101" t="str">
        <f>IF(D2480="","",COUNTA(D2480:D2480)-(COUNTA(D2480:D2480)-1))</f>
        <v/>
      </c>
    </row>
    <row r="2481" spans="1:10" thickBot="1">
      <c r="A2481" s="117"/>
      <c r="B2481" s="70">
        <f t="shared" si="157"/>
        <v>46273</v>
      </c>
      <c r="C2481" s="82" t="str">
        <f t="shared" si="158"/>
        <v>mardi</v>
      </c>
      <c r="D2481" s="87"/>
      <c r="E2481" s="115" t="str">
        <f t="shared" si="159"/>
        <v/>
      </c>
      <c r="F2481" s="115" t="str">
        <f t="shared" si="160"/>
        <v/>
      </c>
      <c r="G2481" s="116" t="str">
        <f>IF(ISNONTEXT(D2481),"",E2481-MAX($F$2:F2480))</f>
        <v/>
      </c>
      <c r="H2481" s="97"/>
      <c r="I2481" s="74" t="str">
        <f ca="1">IF(D2481="N",COUNTIF(INDIRECT(ADDRESS(MATCH(Plages!$D$19,'Planning annuel mixing coater'!$B:$B),4)):D2481,"N"),IF(D2481="N1",COUNTIF($D$9:D2481,"N1"),""))</f>
        <v/>
      </c>
      <c r="J2481" s="96" t="str">
        <f>IF(D2481="","",COUNTA(D2480:D2481)-(COUNTA(D2481:D2481)-1))</f>
        <v/>
      </c>
    </row>
    <row r="2482" spans="1:10" thickBot="1">
      <c r="A2482" s="117"/>
      <c r="B2482" s="70">
        <f t="shared" si="157"/>
        <v>46274</v>
      </c>
      <c r="C2482" s="82" t="str">
        <f t="shared" si="158"/>
        <v>mercredi</v>
      </c>
      <c r="D2482" s="87"/>
      <c r="E2482" s="115" t="str">
        <f t="shared" si="159"/>
        <v/>
      </c>
      <c r="F2482" s="115" t="str">
        <f t="shared" si="160"/>
        <v/>
      </c>
      <c r="G2482" s="116" t="str">
        <f>IF(ISNONTEXT(D2482),"",E2482-MAX($F$2:F2481))</f>
        <v/>
      </c>
      <c r="H2482" s="97"/>
      <c r="I2482" s="74" t="str">
        <f ca="1">IF(D2482="N",COUNTIF(INDIRECT(ADDRESS(MATCH(Plages!$D$19,'Planning annuel mixing coater'!$B:$B),4)):D2482,"N"),IF(D2482="N1",COUNTIF($D$9:D2482,"N1"),""))</f>
        <v/>
      </c>
      <c r="J2482" s="96" t="str">
        <f>IF(D2482="","",COUNTA(D2480:D2482)-(COUNTA(D2482:D2482)-1))</f>
        <v/>
      </c>
    </row>
    <row r="2483" spans="1:10" thickBot="1">
      <c r="A2483" s="117"/>
      <c r="B2483" s="70">
        <f t="shared" si="157"/>
        <v>46275</v>
      </c>
      <c r="C2483" s="82" t="str">
        <f t="shared" si="158"/>
        <v>jeudi</v>
      </c>
      <c r="D2483" s="87"/>
      <c r="E2483" s="115" t="str">
        <f t="shared" si="159"/>
        <v/>
      </c>
      <c r="F2483" s="115" t="str">
        <f t="shared" si="160"/>
        <v/>
      </c>
      <c r="G2483" s="116" t="str">
        <f>IF(ISNONTEXT(D2483),"",E2483-MAX($F$2:F2482))</f>
        <v/>
      </c>
      <c r="H2483" s="97"/>
      <c r="I2483" s="74" t="str">
        <f ca="1">IF(D2483="N",COUNTIF(INDIRECT(ADDRESS(MATCH(Plages!$D$19,'Planning annuel mixing coater'!$B:$B),4)):D2483,"N"),IF(D2483="N1",COUNTIF($D$9:D2483,"N1"),""))</f>
        <v/>
      </c>
      <c r="J2483" s="96" t="str">
        <f>IF(D2483="","",COUNTA(D2480:D2483)-(COUNTA(D2483:D2483)-1))</f>
        <v/>
      </c>
    </row>
    <row r="2484" spans="1:10" thickBot="1">
      <c r="A2484" s="117"/>
      <c r="B2484" s="70">
        <f t="shared" si="157"/>
        <v>46276</v>
      </c>
      <c r="C2484" s="82" t="str">
        <f t="shared" si="158"/>
        <v>vendredi</v>
      </c>
      <c r="D2484" s="87"/>
      <c r="E2484" s="115" t="str">
        <f t="shared" si="159"/>
        <v/>
      </c>
      <c r="F2484" s="115" t="str">
        <f t="shared" si="160"/>
        <v/>
      </c>
      <c r="G2484" s="116" t="str">
        <f>IF(ISNONTEXT(D2484),"",E2484-MAX($F$2:F2483))</f>
        <v/>
      </c>
      <c r="H2484" s="97"/>
      <c r="I2484" s="74" t="str">
        <f ca="1">IF(D2484="N",COUNTIF(INDIRECT(ADDRESS(MATCH(Plages!$D$19,'Planning annuel mixing coater'!$B:$B),4)):D2484,"N"),IF(D2484="N1",COUNTIF($D$9:D2484,"N1"),""))</f>
        <v/>
      </c>
      <c r="J2484" s="96" t="str">
        <f>IF(D2484="","",COUNTA(D2480:D2484)-(COUNTA(D2484:D2484)-1))</f>
        <v/>
      </c>
    </row>
    <row r="2485" spans="1:10" thickBot="1">
      <c r="A2485" s="117"/>
      <c r="B2485" s="70">
        <f t="shared" si="157"/>
        <v>46277</v>
      </c>
      <c r="C2485" s="82" t="str">
        <f t="shared" si="158"/>
        <v>samedi</v>
      </c>
      <c r="D2485" s="87"/>
      <c r="E2485" s="115" t="str">
        <f t="shared" si="159"/>
        <v/>
      </c>
      <c r="F2485" s="115" t="str">
        <f t="shared" si="160"/>
        <v/>
      </c>
      <c r="G2485" s="116" t="str">
        <f>IF(ISNONTEXT(D2485),"",E2485-MAX($F$2:F2484))</f>
        <v/>
      </c>
      <c r="H2485" s="97"/>
      <c r="I2485" s="74" t="str">
        <f ca="1">IF(D2485="N",COUNTIF(INDIRECT(ADDRESS(MATCH(Plages!$D$19,'Planning annuel mixing coater'!$B:$B),4)):D2485,"N"),IF(D2485="N1",COUNTIF($D$9:D2485,"N1"),""))</f>
        <v/>
      </c>
      <c r="J2485" s="96" t="str">
        <f>IF(D2485="","",COUNTA(D2480:D2485)-(COUNTA(D2485:D2485)-1))</f>
        <v/>
      </c>
    </row>
    <row r="2486" spans="1:10" thickBot="1">
      <c r="A2486" s="117"/>
      <c r="B2486" s="70">
        <f t="shared" si="157"/>
        <v>46278</v>
      </c>
      <c r="C2486" s="82" t="str">
        <f t="shared" si="158"/>
        <v>dimanche</v>
      </c>
      <c r="D2486" s="87"/>
      <c r="E2486" s="115" t="str">
        <f t="shared" si="159"/>
        <v/>
      </c>
      <c r="F2486" s="115" t="str">
        <f t="shared" si="160"/>
        <v/>
      </c>
      <c r="G2486" s="116" t="str">
        <f>IF(ISNONTEXT(D2486),"",E2486-MAX($F$2:F2485))</f>
        <v/>
      </c>
      <c r="H2486" s="98"/>
      <c r="I2486" s="74" t="str">
        <f ca="1">IF(D2486="N",COUNTIF(INDIRECT(ADDRESS(MATCH(Plages!$D$19,'Planning annuel mixing coater'!$B:$B),4)):D2486,"N"),IF(D2486="N1",COUNTIF($D$9:D2486,"N1"),""))</f>
        <v/>
      </c>
      <c r="J2486" s="96" t="str">
        <f>IF(D2486="","",COUNTA(D2480:D2486)-(COUNTA(D2486:D2486)-1))</f>
        <v/>
      </c>
    </row>
    <row r="2487" spans="1:10" thickBot="1">
      <c r="A2487" s="117"/>
      <c r="B2487" s="70">
        <f t="shared" si="157"/>
        <v>46279</v>
      </c>
      <c r="C2487" s="82" t="str">
        <f t="shared" si="158"/>
        <v>lundi</v>
      </c>
      <c r="D2487" s="87"/>
      <c r="E2487" s="115" t="str">
        <f t="shared" si="159"/>
        <v/>
      </c>
      <c r="F2487" s="115" t="str">
        <f t="shared" si="160"/>
        <v/>
      </c>
      <c r="G2487" s="116" t="str">
        <f>IF(ISNONTEXT(D2487),"",E2487-MAX($F$2:F2486))</f>
        <v/>
      </c>
      <c r="H2487" s="97"/>
      <c r="I2487" s="74" t="str">
        <f ca="1">IF(D2487="N",COUNTIF(INDIRECT(ADDRESS(MATCH(Plages!$D$19,'Planning annuel mixing coater'!$B:$B),4)):D2487,"N"),IF(D2487="N1",COUNTIF($D$9:D2487,"N1"),""))</f>
        <v/>
      </c>
      <c r="J2487" s="96" t="str">
        <f>IF(D2487="","",COUNTA(D2480:D2487)-(COUNTA(D2487:D2487)-1))</f>
        <v/>
      </c>
    </row>
    <row r="2488" spans="1:10" thickBot="1">
      <c r="A2488" s="117"/>
      <c r="B2488" s="70">
        <f t="shared" si="157"/>
        <v>46280</v>
      </c>
      <c r="C2488" s="82" t="str">
        <f t="shared" si="158"/>
        <v>mardi</v>
      </c>
      <c r="D2488" s="87"/>
      <c r="E2488" s="115" t="str">
        <f t="shared" si="159"/>
        <v/>
      </c>
      <c r="F2488" s="115" t="str">
        <f t="shared" si="160"/>
        <v/>
      </c>
      <c r="G2488" s="116" t="str">
        <f>IF(ISNONTEXT(D2488),"",E2488-MAX($F$2:F2487))</f>
        <v/>
      </c>
      <c r="H2488" s="97"/>
      <c r="I2488" s="74" t="str">
        <f ca="1">IF(D2488="N",COUNTIF(INDIRECT(ADDRESS(MATCH(Plages!$D$19,'Planning annuel mixing coater'!$B:$B),4)):D2488,"N"),IF(D2488="N1",COUNTIF($D$9:D2488,"N1"),""))</f>
        <v/>
      </c>
      <c r="J2488" s="96" t="str">
        <f>IF(D2488="","",COUNTA(D2480:D2488)-(COUNTA(D2488:D2488)-1))</f>
        <v/>
      </c>
    </row>
    <row r="2489" spans="1:10" thickBot="1">
      <c r="A2489" s="117"/>
      <c r="B2489" s="70">
        <f t="shared" si="157"/>
        <v>46281</v>
      </c>
      <c r="C2489" s="82" t="str">
        <f t="shared" si="158"/>
        <v>mercredi</v>
      </c>
      <c r="D2489" s="87"/>
      <c r="E2489" s="115" t="str">
        <f t="shared" si="159"/>
        <v/>
      </c>
      <c r="F2489" s="115" t="str">
        <f t="shared" si="160"/>
        <v/>
      </c>
      <c r="G2489" s="116" t="str">
        <f>IF(ISNONTEXT(D2489),"",E2489-MAX($F$2:F2488))</f>
        <v/>
      </c>
      <c r="H2489" s="97"/>
      <c r="I2489" s="74" t="str">
        <f ca="1">IF(D2489="N",COUNTIF(INDIRECT(ADDRESS(MATCH(Plages!$D$19,'Planning annuel mixing coater'!$B:$B),4)):D2489,"N"),IF(D2489="N1",COUNTIF($D$9:D2489,"N1"),""))</f>
        <v/>
      </c>
      <c r="J2489" s="96" t="str">
        <f>IF(D2489="","",COUNTA(D2480:D2489)-(COUNTA(D2489:D2489)-1))</f>
        <v/>
      </c>
    </row>
    <row r="2490" spans="1:10" thickBot="1">
      <c r="A2490" s="117"/>
      <c r="B2490" s="70">
        <f t="shared" si="157"/>
        <v>46282</v>
      </c>
      <c r="C2490" s="82" t="str">
        <f t="shared" si="158"/>
        <v>jeudi</v>
      </c>
      <c r="D2490" s="87"/>
      <c r="E2490" s="115" t="str">
        <f t="shared" si="159"/>
        <v/>
      </c>
      <c r="F2490" s="115" t="str">
        <f t="shared" si="160"/>
        <v/>
      </c>
      <c r="G2490" s="116" t="str">
        <f>IF(ISNONTEXT(D2490),"",E2490-MAX($F$2:F2489))</f>
        <v/>
      </c>
      <c r="H2490" s="97"/>
      <c r="I2490" s="74" t="str">
        <f ca="1">IF(D2490="N",COUNTIF(INDIRECT(ADDRESS(MATCH(Plages!$D$19,'Planning annuel mixing coater'!$B:$B),4)):D2490,"N"),IF(D2490="N1",COUNTIF($D$9:D2490,"N1"),""))</f>
        <v/>
      </c>
      <c r="J2490" s="96" t="str">
        <f>IF(D2490="","",COUNTA(D2480:D2490)-(COUNTA(D2490:D2490)-1))</f>
        <v/>
      </c>
    </row>
    <row r="2491" spans="1:10" thickBot="1">
      <c r="A2491" s="117"/>
      <c r="B2491" s="70">
        <f t="shared" si="157"/>
        <v>46283</v>
      </c>
      <c r="C2491" s="82" t="str">
        <f t="shared" si="158"/>
        <v>vendredi</v>
      </c>
      <c r="D2491" s="87"/>
      <c r="E2491" s="115" t="str">
        <f t="shared" si="159"/>
        <v/>
      </c>
      <c r="F2491" s="115" t="str">
        <f t="shared" si="160"/>
        <v/>
      </c>
      <c r="G2491" s="116" t="str">
        <f>IF(ISNONTEXT(D2491),"",E2491-MAX($F$2:F2490))</f>
        <v/>
      </c>
      <c r="H2491" s="97"/>
      <c r="I2491" s="74" t="str">
        <f ca="1">IF(D2491="N",COUNTIF(INDIRECT(ADDRESS(MATCH(Plages!$D$19,'Planning annuel mixing coater'!$B:$B),4)):D2491,"N"),IF(D2491="N1",COUNTIF($D$9:D2491,"N1"),""))</f>
        <v/>
      </c>
      <c r="J2491" s="96" t="str">
        <f>IF(D2491="","",COUNTA(D2480:D2491)-(COUNTA(D2491:D2491)-1))</f>
        <v/>
      </c>
    </row>
    <row r="2492" spans="1:10" thickBot="1">
      <c r="A2492" s="117"/>
      <c r="B2492" s="70">
        <f t="shared" si="157"/>
        <v>46284</v>
      </c>
      <c r="C2492" s="82" t="str">
        <f t="shared" si="158"/>
        <v>samedi</v>
      </c>
      <c r="D2492" s="87"/>
      <c r="E2492" s="115" t="str">
        <f t="shared" si="159"/>
        <v/>
      </c>
      <c r="F2492" s="115" t="str">
        <f t="shared" si="160"/>
        <v/>
      </c>
      <c r="G2492" s="116" t="str">
        <f>IF(ISNONTEXT(D2492),"",E2492-MAX($F$2:F2491))</f>
        <v/>
      </c>
      <c r="H2492" s="97"/>
      <c r="I2492" s="74" t="str">
        <f ca="1">IF(D2492="N",COUNTIF(INDIRECT(ADDRESS(MATCH(Plages!$D$19,'Planning annuel mixing coater'!$B:$B),4)):D2492,"N"),IF(D2492="N1",COUNTIF($D$9:D2492,"N1"),""))</f>
        <v/>
      </c>
      <c r="J2492" s="96" t="str">
        <f>IF(D2492="","",COUNTA(D2480:D2492)-(COUNTA(D2492:D2492)-1))</f>
        <v/>
      </c>
    </row>
    <row r="2493" spans="1:10" s="77" customFormat="1" thickBot="1">
      <c r="A2493" s="117"/>
      <c r="B2493" s="75">
        <f t="shared" si="157"/>
        <v>46285</v>
      </c>
      <c r="C2493" s="83" t="str">
        <f t="shared" si="158"/>
        <v>dimanche</v>
      </c>
      <c r="D2493" s="88"/>
      <c r="E2493" s="115" t="str">
        <f t="shared" si="159"/>
        <v/>
      </c>
      <c r="F2493" s="115" t="str">
        <f t="shared" si="160"/>
        <v/>
      </c>
      <c r="G2493" s="116" t="str">
        <f>IF(ISNONTEXT(D2493),"",E2493-MAX($F$2:F2492))</f>
        <v/>
      </c>
      <c r="H2493" s="98"/>
      <c r="I2493" s="76" t="str">
        <f ca="1">IF(D2493="N",COUNTIF(INDIRECT(ADDRESS(MATCH(Plages!$D$19,'Planning annuel mixing coater'!$B:$B),4)):D2493,"N"),IF(D2493="N1",COUNTIF($D$9:D2493,"N1"),""))</f>
        <v/>
      </c>
      <c r="J2493" s="99" t="str">
        <f>IF(D2493="","",COUNTA(D2480:D2493)-(COUNTA(D2493:D2493)-1))</f>
        <v/>
      </c>
    </row>
    <row r="2494" spans="1:10" ht="16.5" thickTop="1" thickBot="1">
      <c r="A2494" s="117"/>
      <c r="B2494" s="78">
        <f t="shared" si="157"/>
        <v>46286</v>
      </c>
      <c r="C2494" s="81" t="str">
        <f t="shared" si="158"/>
        <v>lundi</v>
      </c>
      <c r="D2494" s="89"/>
      <c r="E2494" s="115" t="str">
        <f t="shared" si="159"/>
        <v/>
      </c>
      <c r="F2494" s="115" t="str">
        <f t="shared" si="160"/>
        <v/>
      </c>
      <c r="G2494" s="116" t="str">
        <f>IF(ISNONTEXT(D2494),"",E2494-MAX($F$2:F2493))</f>
        <v/>
      </c>
      <c r="H2494" s="100"/>
      <c r="I2494" s="79" t="str">
        <f ca="1">IF(D2494="N",COUNTIF(INDIRECT(ADDRESS(MATCH(Plages!$D$19,'Planning annuel mixing coater'!$B:$B),4)):D2494,"N"),IF(D2494="N1",COUNTIF($D$9:D2494,"N1"),""))</f>
        <v/>
      </c>
      <c r="J2494" s="101" t="str">
        <f>IF(D2494="","",COUNTA(D2494:D2494)-(COUNTA(D2494:D2494)-1))</f>
        <v/>
      </c>
    </row>
    <row r="2495" spans="1:10" thickBot="1">
      <c r="A2495" s="117"/>
      <c r="B2495" s="70">
        <f t="shared" si="157"/>
        <v>46287</v>
      </c>
      <c r="C2495" s="82" t="str">
        <f t="shared" si="158"/>
        <v>mardi</v>
      </c>
      <c r="D2495" s="87"/>
      <c r="E2495" s="115" t="str">
        <f t="shared" si="159"/>
        <v/>
      </c>
      <c r="F2495" s="115" t="str">
        <f t="shared" si="160"/>
        <v/>
      </c>
      <c r="G2495" s="116" t="str">
        <f>IF(ISNONTEXT(D2495),"",E2495-MAX($F$2:F2494))</f>
        <v/>
      </c>
      <c r="H2495" s="97"/>
      <c r="I2495" s="74" t="str">
        <f ca="1">IF(D2495="N",COUNTIF(INDIRECT(ADDRESS(MATCH(Plages!$D$19,'Planning annuel mixing coater'!$B:$B),4)):D2495,"N"),IF(D2495="N1",COUNTIF($D$9:D2495,"N1"),""))</f>
        <v/>
      </c>
      <c r="J2495" s="96" t="str">
        <f>IF(D2495="","",COUNTA(D2494:D2495)-(COUNTA(D2495:D2495)-1))</f>
        <v/>
      </c>
    </row>
    <row r="2496" spans="1:10" thickBot="1">
      <c r="A2496" s="117"/>
      <c r="B2496" s="70">
        <f t="shared" si="157"/>
        <v>46288</v>
      </c>
      <c r="C2496" s="82" t="str">
        <f t="shared" si="158"/>
        <v>mercredi</v>
      </c>
      <c r="D2496" s="87"/>
      <c r="E2496" s="115" t="str">
        <f t="shared" si="159"/>
        <v/>
      </c>
      <c r="F2496" s="115" t="str">
        <f t="shared" si="160"/>
        <v/>
      </c>
      <c r="G2496" s="116" t="str">
        <f>IF(ISNONTEXT(D2496),"",E2496-MAX($F$2:F2495))</f>
        <v/>
      </c>
      <c r="H2496" s="97"/>
      <c r="I2496" s="74" t="str">
        <f ca="1">IF(D2496="N",COUNTIF(INDIRECT(ADDRESS(MATCH(Plages!$D$19,'Planning annuel mixing coater'!$B:$B),4)):D2496,"N"),IF(D2496="N1",COUNTIF($D$9:D2496,"N1"),""))</f>
        <v/>
      </c>
      <c r="J2496" s="96" t="str">
        <f>IF(D2496="","",COUNTA(D2494:D2496)-(COUNTA(D2496:D2496)-1))</f>
        <v/>
      </c>
    </row>
    <row r="2497" spans="1:10" thickBot="1">
      <c r="A2497" s="117"/>
      <c r="B2497" s="70">
        <f t="shared" si="157"/>
        <v>46289</v>
      </c>
      <c r="C2497" s="82" t="str">
        <f t="shared" si="158"/>
        <v>jeudi</v>
      </c>
      <c r="D2497" s="87"/>
      <c r="E2497" s="115" t="str">
        <f t="shared" si="159"/>
        <v/>
      </c>
      <c r="F2497" s="115" t="str">
        <f t="shared" si="160"/>
        <v/>
      </c>
      <c r="G2497" s="116" t="str">
        <f>IF(ISNONTEXT(D2497),"",E2497-MAX($F$2:F2496))</f>
        <v/>
      </c>
      <c r="H2497" s="97"/>
      <c r="I2497" s="74" t="str">
        <f ca="1">IF(D2497="N",COUNTIF(INDIRECT(ADDRESS(MATCH(Plages!$D$19,'Planning annuel mixing coater'!$B:$B),4)):D2497,"N"),IF(D2497="N1",COUNTIF($D$9:D2497,"N1"),""))</f>
        <v/>
      </c>
      <c r="J2497" s="96" t="str">
        <f>IF(D2497="","",COUNTA(D2494:D2497)-(COUNTA(D2497:D2497)-1))</f>
        <v/>
      </c>
    </row>
    <row r="2498" spans="1:10" thickBot="1">
      <c r="A2498" s="117"/>
      <c r="B2498" s="70">
        <f t="shared" si="157"/>
        <v>46290</v>
      </c>
      <c r="C2498" s="82" t="str">
        <f t="shared" si="158"/>
        <v>vendredi</v>
      </c>
      <c r="D2498" s="87"/>
      <c r="E2498" s="115" t="str">
        <f t="shared" si="159"/>
        <v/>
      </c>
      <c r="F2498" s="115" t="str">
        <f t="shared" si="160"/>
        <v/>
      </c>
      <c r="G2498" s="116" t="str">
        <f>IF(ISNONTEXT(D2498),"",E2498-MAX($F$2:F2497))</f>
        <v/>
      </c>
      <c r="H2498" s="97"/>
      <c r="I2498" s="74" t="str">
        <f ca="1">IF(D2498="N",COUNTIF(INDIRECT(ADDRESS(MATCH(Plages!$D$19,'Planning annuel mixing coater'!$B:$B),4)):D2498,"N"),IF(D2498="N1",COUNTIF($D$9:D2498,"N1"),""))</f>
        <v/>
      </c>
      <c r="J2498" s="96" t="str">
        <f>IF(D2498="","",COUNTA(D2494:D2498)-(COUNTA(D2498:D2498)-1))</f>
        <v/>
      </c>
    </row>
    <row r="2499" spans="1:10" thickBot="1">
      <c r="A2499" s="117"/>
      <c r="B2499" s="70">
        <f t="shared" si="157"/>
        <v>46291</v>
      </c>
      <c r="C2499" s="82" t="str">
        <f t="shared" si="158"/>
        <v>samedi</v>
      </c>
      <c r="D2499" s="87"/>
      <c r="E2499" s="115" t="str">
        <f t="shared" si="159"/>
        <v/>
      </c>
      <c r="F2499" s="115" t="str">
        <f t="shared" si="160"/>
        <v/>
      </c>
      <c r="G2499" s="116" t="str">
        <f>IF(ISNONTEXT(D2499),"",E2499-MAX($F$2:F2498))</f>
        <v/>
      </c>
      <c r="H2499" s="97"/>
      <c r="I2499" s="74" t="str">
        <f ca="1">IF(D2499="N",COUNTIF(INDIRECT(ADDRESS(MATCH(Plages!$D$19,'Planning annuel mixing coater'!$B:$B),4)):D2499,"N"),IF(D2499="N1",COUNTIF($D$9:D2499,"N1"),""))</f>
        <v/>
      </c>
      <c r="J2499" s="96" t="str">
        <f>IF(D2499="","",COUNTA(D2494:D2499)-(COUNTA(D2499:D2499)-1))</f>
        <v/>
      </c>
    </row>
    <row r="2500" spans="1:10" thickBot="1">
      <c r="A2500" s="117"/>
      <c r="B2500" s="70">
        <f t="shared" ref="B2500:B2563" si="161">IF(B2499="","",B2499+1)</f>
        <v>46292</v>
      </c>
      <c r="C2500" s="82" t="str">
        <f t="shared" si="158"/>
        <v>dimanche</v>
      </c>
      <c r="D2500" s="87"/>
      <c r="E2500" s="115" t="str">
        <f t="shared" si="159"/>
        <v/>
      </c>
      <c r="F2500" s="115" t="str">
        <f t="shared" si="160"/>
        <v/>
      </c>
      <c r="G2500" s="116" t="str">
        <f>IF(ISNONTEXT(D2500),"",E2500-MAX($F$2:F2499))</f>
        <v/>
      </c>
      <c r="H2500" s="98"/>
      <c r="I2500" s="74" t="str">
        <f ca="1">IF(D2500="N",COUNTIF(INDIRECT(ADDRESS(MATCH(Plages!$D$19,'Planning annuel mixing coater'!$B:$B),4)):D2500,"N"),IF(D2500="N1",COUNTIF($D$9:D2500,"N1"),""))</f>
        <v/>
      </c>
      <c r="J2500" s="96" t="str">
        <f>IF(D2500="","",COUNTA(D2494:D2500)-(COUNTA(D2500:D2500)-1))</f>
        <v/>
      </c>
    </row>
    <row r="2501" spans="1:10" thickBot="1">
      <c r="A2501" s="117"/>
      <c r="B2501" s="70">
        <f t="shared" si="161"/>
        <v>46293</v>
      </c>
      <c r="C2501" s="82" t="str">
        <f t="shared" si="158"/>
        <v>lundi</v>
      </c>
      <c r="D2501" s="87"/>
      <c r="E2501" s="115" t="str">
        <f t="shared" si="159"/>
        <v/>
      </c>
      <c r="F2501" s="115" t="str">
        <f t="shared" si="160"/>
        <v/>
      </c>
      <c r="G2501" s="116" t="str">
        <f>IF(ISNONTEXT(D2501),"",E2501-MAX($F$2:F2500))</f>
        <v/>
      </c>
      <c r="H2501" s="97"/>
      <c r="I2501" s="74" t="str">
        <f ca="1">IF(D2501="N",COUNTIF(INDIRECT(ADDRESS(MATCH(Plages!$D$19,'Planning annuel mixing coater'!$B:$B),4)):D2501,"N"),IF(D2501="N1",COUNTIF($D$9:D2501,"N1"),""))</f>
        <v/>
      </c>
      <c r="J2501" s="96" t="str">
        <f>IF(D2501="","",COUNTA(D2494:D2501)-(COUNTA(D2501:D2501)-1))</f>
        <v/>
      </c>
    </row>
    <row r="2502" spans="1:10" thickBot="1">
      <c r="A2502" s="117"/>
      <c r="B2502" s="70">
        <f t="shared" si="161"/>
        <v>46294</v>
      </c>
      <c r="C2502" s="82" t="str">
        <f t="shared" si="158"/>
        <v>mardi</v>
      </c>
      <c r="D2502" s="87"/>
      <c r="E2502" s="115" t="str">
        <f t="shared" si="159"/>
        <v/>
      </c>
      <c r="F2502" s="115" t="str">
        <f t="shared" si="160"/>
        <v/>
      </c>
      <c r="G2502" s="116" t="str">
        <f>IF(ISNONTEXT(D2502),"",E2502-MAX($F$2:F2501))</f>
        <v/>
      </c>
      <c r="H2502" s="97"/>
      <c r="I2502" s="74" t="str">
        <f ca="1">IF(D2502="N",COUNTIF(INDIRECT(ADDRESS(MATCH(Plages!$D$19,'Planning annuel mixing coater'!$B:$B),4)):D2502,"N"),IF(D2502="N1",COUNTIF($D$9:D2502,"N1"),""))</f>
        <v/>
      </c>
      <c r="J2502" s="96" t="str">
        <f>IF(D2502="","",COUNTA(D2494:D2502)-(COUNTA(D2502:D2502)-1))</f>
        <v/>
      </c>
    </row>
    <row r="2503" spans="1:10" thickBot="1">
      <c r="A2503" s="117"/>
      <c r="B2503" s="70">
        <f t="shared" si="161"/>
        <v>46295</v>
      </c>
      <c r="C2503" s="82" t="str">
        <f t="shared" si="158"/>
        <v>mercredi</v>
      </c>
      <c r="D2503" s="87"/>
      <c r="E2503" s="115" t="str">
        <f t="shared" si="159"/>
        <v/>
      </c>
      <c r="F2503" s="115" t="str">
        <f t="shared" si="160"/>
        <v/>
      </c>
      <c r="G2503" s="116" t="str">
        <f>IF(ISNONTEXT(D2503),"",E2503-MAX($F$2:F2502))</f>
        <v/>
      </c>
      <c r="H2503" s="97"/>
      <c r="I2503" s="74" t="str">
        <f ca="1">IF(D2503="N",COUNTIF(INDIRECT(ADDRESS(MATCH(Plages!$D$19,'Planning annuel mixing coater'!$B:$B),4)):D2503,"N"),IF(D2503="N1",COUNTIF($D$9:D2503,"N1"),""))</f>
        <v/>
      </c>
      <c r="J2503" s="96" t="str">
        <f>IF(D2503="","",COUNTA(D2494:D2503)-(COUNTA(D2503:D2503)-1))</f>
        <v/>
      </c>
    </row>
    <row r="2504" spans="1:10" thickBot="1">
      <c r="A2504" s="117"/>
      <c r="B2504" s="70">
        <f t="shared" si="161"/>
        <v>46296</v>
      </c>
      <c r="C2504" s="82" t="str">
        <f t="shared" si="158"/>
        <v>jeudi</v>
      </c>
      <c r="D2504" s="87"/>
      <c r="E2504" s="115" t="str">
        <f t="shared" si="159"/>
        <v/>
      </c>
      <c r="F2504" s="115" t="str">
        <f t="shared" si="160"/>
        <v/>
      </c>
      <c r="G2504" s="116" t="str">
        <f>IF(ISNONTEXT(D2504),"",E2504-MAX($F$2:F2503))</f>
        <v/>
      </c>
      <c r="H2504" s="97"/>
      <c r="I2504" s="74" t="str">
        <f ca="1">IF(D2504="N",COUNTIF(INDIRECT(ADDRESS(MATCH(Plages!$D$19,'Planning annuel mixing coater'!$B:$B),4)):D2504,"N"),IF(D2504="N1",COUNTIF($D$9:D2504,"N1"),""))</f>
        <v/>
      </c>
      <c r="J2504" s="96" t="str">
        <f>IF(D2504="","",COUNTA(D2494:D2504)-(COUNTA(D2504:D2504)-1))</f>
        <v/>
      </c>
    </row>
    <row r="2505" spans="1:10" thickBot="1">
      <c r="A2505" s="117"/>
      <c r="B2505" s="70">
        <f t="shared" si="161"/>
        <v>46297</v>
      </c>
      <c r="C2505" s="82" t="str">
        <f t="shared" si="158"/>
        <v>vendredi</v>
      </c>
      <c r="D2505" s="87"/>
      <c r="E2505" s="115" t="str">
        <f t="shared" si="159"/>
        <v/>
      </c>
      <c r="F2505" s="115" t="str">
        <f t="shared" si="160"/>
        <v/>
      </c>
      <c r="G2505" s="116" t="str">
        <f>IF(ISNONTEXT(D2505),"",E2505-MAX($F$2:F2504))</f>
        <v/>
      </c>
      <c r="H2505" s="97"/>
      <c r="I2505" s="74" t="str">
        <f ca="1">IF(D2505="N",COUNTIF(INDIRECT(ADDRESS(MATCH(Plages!$D$19,'Planning annuel mixing coater'!$B:$B),4)):D2505,"N"),IF(D2505="N1",COUNTIF($D$9:D2505,"N1"),""))</f>
        <v/>
      </c>
      <c r="J2505" s="96" t="str">
        <f>IF(D2505="","",COUNTA(D2494:D2505)-(COUNTA(D2505:D2505)-1))</f>
        <v/>
      </c>
    </row>
    <row r="2506" spans="1:10" thickBot="1">
      <c r="A2506" s="117"/>
      <c r="B2506" s="70">
        <f t="shared" si="161"/>
        <v>46298</v>
      </c>
      <c r="C2506" s="82" t="str">
        <f t="shared" si="158"/>
        <v>samedi</v>
      </c>
      <c r="D2506" s="87"/>
      <c r="E2506" s="115" t="str">
        <f t="shared" si="159"/>
        <v/>
      </c>
      <c r="F2506" s="115" t="str">
        <f t="shared" si="160"/>
        <v/>
      </c>
      <c r="G2506" s="116" t="str">
        <f>IF(ISNONTEXT(D2506),"",E2506-MAX($F$2:F2505))</f>
        <v/>
      </c>
      <c r="H2506" s="97"/>
      <c r="I2506" s="74" t="str">
        <f ca="1">IF(D2506="N",COUNTIF(INDIRECT(ADDRESS(MATCH(Plages!$D$19,'Planning annuel mixing coater'!$B:$B),4)):D2506,"N"),IF(D2506="N1",COUNTIF($D$9:D2506,"N1"),""))</f>
        <v/>
      </c>
      <c r="J2506" s="96" t="str">
        <f>IF(D2506="","",COUNTA(D2494:D2506)-(COUNTA(D2506:D2506)-1))</f>
        <v/>
      </c>
    </row>
    <row r="2507" spans="1:10" s="77" customFormat="1" thickBot="1">
      <c r="A2507" s="117"/>
      <c r="B2507" s="75">
        <f t="shared" si="161"/>
        <v>46299</v>
      </c>
      <c r="C2507" s="83" t="str">
        <f t="shared" si="158"/>
        <v>dimanche</v>
      </c>
      <c r="D2507" s="88"/>
      <c r="E2507" s="115" t="str">
        <f t="shared" si="159"/>
        <v/>
      </c>
      <c r="F2507" s="115" t="str">
        <f t="shared" si="160"/>
        <v/>
      </c>
      <c r="G2507" s="116" t="str">
        <f>IF(ISNONTEXT(D2507),"",E2507-MAX($F$2:F2506))</f>
        <v/>
      </c>
      <c r="H2507" s="98"/>
      <c r="I2507" s="76" t="str">
        <f ca="1">IF(D2507="N",COUNTIF(INDIRECT(ADDRESS(MATCH(Plages!$D$19,'Planning annuel mixing coater'!$B:$B),4)):D2507,"N"),IF(D2507="N1",COUNTIF($D$9:D2507,"N1"),""))</f>
        <v/>
      </c>
      <c r="J2507" s="99" t="str">
        <f>IF(D2507="","",COUNTA(D2494:D2507)-(COUNTA(D2507:D2507)-1))</f>
        <v/>
      </c>
    </row>
    <row r="2508" spans="1:10" ht="16.5" thickTop="1" thickBot="1">
      <c r="A2508" s="117"/>
      <c r="B2508" s="78">
        <f t="shared" si="161"/>
        <v>46300</v>
      </c>
      <c r="C2508" s="81" t="str">
        <f t="shared" si="158"/>
        <v>lundi</v>
      </c>
      <c r="D2508" s="89"/>
      <c r="E2508" s="115" t="str">
        <f t="shared" si="159"/>
        <v/>
      </c>
      <c r="F2508" s="115" t="str">
        <f t="shared" si="160"/>
        <v/>
      </c>
      <c r="G2508" s="116" t="str">
        <f>IF(ISNONTEXT(D2508),"",E2508-MAX($F$2:F2507))</f>
        <v/>
      </c>
      <c r="H2508" s="100"/>
      <c r="I2508" s="79" t="str">
        <f ca="1">IF(D2508="N",COUNTIF(INDIRECT(ADDRESS(MATCH(Plages!$D$19,'Planning annuel mixing coater'!$B:$B),4)):D2508,"N"),IF(D2508="N1",COUNTIF($D$9:D2508,"N1"),""))</f>
        <v/>
      </c>
      <c r="J2508" s="101" t="str">
        <f>IF(D2508="","",COUNTA(D2508:D2508)-(COUNTA(D2508:D2508)-1))</f>
        <v/>
      </c>
    </row>
    <row r="2509" spans="1:10" thickBot="1">
      <c r="A2509" s="117"/>
      <c r="B2509" s="70">
        <f t="shared" si="161"/>
        <v>46301</v>
      </c>
      <c r="C2509" s="82" t="str">
        <f t="shared" si="158"/>
        <v>mardi</v>
      </c>
      <c r="D2509" s="87"/>
      <c r="E2509" s="115" t="str">
        <f t="shared" si="159"/>
        <v/>
      </c>
      <c r="F2509" s="115" t="str">
        <f t="shared" si="160"/>
        <v/>
      </c>
      <c r="G2509" s="116" t="str">
        <f>IF(ISNONTEXT(D2509),"",E2509-MAX($F$2:F2508))</f>
        <v/>
      </c>
      <c r="H2509" s="97"/>
      <c r="I2509" s="74" t="str">
        <f ca="1">IF(D2509="N",COUNTIF(INDIRECT(ADDRESS(MATCH(Plages!$D$19,'Planning annuel mixing coater'!$B:$B),4)):D2509,"N"),IF(D2509="N1",COUNTIF($D$9:D2509,"N1"),""))</f>
        <v/>
      </c>
      <c r="J2509" s="96" t="str">
        <f>IF(D2509="","",COUNTA(D2508:D2509)-(COUNTA(D2509:D2509)-1))</f>
        <v/>
      </c>
    </row>
    <row r="2510" spans="1:10" thickBot="1">
      <c r="A2510" s="117"/>
      <c r="B2510" s="70">
        <f t="shared" si="161"/>
        <v>46302</v>
      </c>
      <c r="C2510" s="82" t="str">
        <f t="shared" si="158"/>
        <v>mercredi</v>
      </c>
      <c r="D2510" s="87"/>
      <c r="E2510" s="115" t="str">
        <f t="shared" si="159"/>
        <v/>
      </c>
      <c r="F2510" s="115" t="str">
        <f t="shared" si="160"/>
        <v/>
      </c>
      <c r="G2510" s="116" t="str">
        <f>IF(ISNONTEXT(D2510),"",E2510-MAX($F$2:F2509))</f>
        <v/>
      </c>
      <c r="H2510" s="97"/>
      <c r="I2510" s="74" t="str">
        <f ca="1">IF(D2510="N",COUNTIF(INDIRECT(ADDRESS(MATCH(Plages!$D$19,'Planning annuel mixing coater'!$B:$B),4)):D2510,"N"),IF(D2510="N1",COUNTIF($D$9:D2510,"N1"),""))</f>
        <v/>
      </c>
      <c r="J2510" s="96" t="str">
        <f>IF(D2510="","",COUNTA(D2508:D2510)-(COUNTA(D2510:D2510)-1))</f>
        <v/>
      </c>
    </row>
    <row r="2511" spans="1:10" thickBot="1">
      <c r="A2511" s="117"/>
      <c r="B2511" s="70">
        <f t="shared" si="161"/>
        <v>46303</v>
      </c>
      <c r="C2511" s="82" t="str">
        <f t="shared" si="158"/>
        <v>jeudi</v>
      </c>
      <c r="D2511" s="87"/>
      <c r="E2511" s="115" t="str">
        <f t="shared" si="159"/>
        <v/>
      </c>
      <c r="F2511" s="115" t="str">
        <f t="shared" si="160"/>
        <v/>
      </c>
      <c r="G2511" s="116" t="str">
        <f>IF(ISNONTEXT(D2511),"",E2511-MAX($F$2:F2510))</f>
        <v/>
      </c>
      <c r="H2511" s="97"/>
      <c r="I2511" s="74" t="str">
        <f ca="1">IF(D2511="N",COUNTIF(INDIRECT(ADDRESS(MATCH(Plages!$D$19,'Planning annuel mixing coater'!$B:$B),4)):D2511,"N"),IF(D2511="N1",COUNTIF($D$9:D2511,"N1"),""))</f>
        <v/>
      </c>
      <c r="J2511" s="96" t="str">
        <f>IF(D2511="","",COUNTA(D2508:D2511)-(COUNTA(D2511:D2511)-1))</f>
        <v/>
      </c>
    </row>
    <row r="2512" spans="1:10" thickBot="1">
      <c r="A2512" s="117"/>
      <c r="B2512" s="70">
        <f t="shared" si="161"/>
        <v>46304</v>
      </c>
      <c r="C2512" s="82" t="str">
        <f t="shared" si="158"/>
        <v>vendredi</v>
      </c>
      <c r="D2512" s="87"/>
      <c r="E2512" s="115" t="str">
        <f t="shared" si="159"/>
        <v/>
      </c>
      <c r="F2512" s="115" t="str">
        <f t="shared" si="160"/>
        <v/>
      </c>
      <c r="G2512" s="116" t="str">
        <f>IF(ISNONTEXT(D2512),"",E2512-MAX($F$2:F2511))</f>
        <v/>
      </c>
      <c r="H2512" s="97"/>
      <c r="I2512" s="74" t="str">
        <f ca="1">IF(D2512="N",COUNTIF(INDIRECT(ADDRESS(MATCH(Plages!$D$19,'Planning annuel mixing coater'!$B:$B),4)):D2512,"N"),IF(D2512="N1",COUNTIF($D$9:D2512,"N1"),""))</f>
        <v/>
      </c>
      <c r="J2512" s="96" t="str">
        <f>IF(D2512="","",COUNTA(D2508:D2512)-(COUNTA(D2512:D2512)-1))</f>
        <v/>
      </c>
    </row>
    <row r="2513" spans="1:10" thickBot="1">
      <c r="A2513" s="117"/>
      <c r="B2513" s="70">
        <f t="shared" si="161"/>
        <v>46305</v>
      </c>
      <c r="C2513" s="82" t="str">
        <f t="shared" si="158"/>
        <v>samedi</v>
      </c>
      <c r="D2513" s="87"/>
      <c r="E2513" s="115" t="str">
        <f t="shared" si="159"/>
        <v/>
      </c>
      <c r="F2513" s="115" t="str">
        <f t="shared" si="160"/>
        <v/>
      </c>
      <c r="G2513" s="116" t="str">
        <f>IF(ISNONTEXT(D2513),"",E2513-MAX($F$2:F2512))</f>
        <v/>
      </c>
      <c r="H2513" s="97"/>
      <c r="I2513" s="74" t="str">
        <f ca="1">IF(D2513="N",COUNTIF(INDIRECT(ADDRESS(MATCH(Plages!$D$19,'Planning annuel mixing coater'!$B:$B),4)):D2513,"N"),IF(D2513="N1",COUNTIF($D$9:D2513,"N1"),""))</f>
        <v/>
      </c>
      <c r="J2513" s="96" t="str">
        <f>IF(D2513="","",COUNTA(D2508:D2513)-(COUNTA(D2513:D2513)-1))</f>
        <v/>
      </c>
    </row>
    <row r="2514" spans="1:10" thickBot="1">
      <c r="A2514" s="117"/>
      <c r="B2514" s="70">
        <f t="shared" si="161"/>
        <v>46306</v>
      </c>
      <c r="C2514" s="82" t="str">
        <f t="shared" si="158"/>
        <v>dimanche</v>
      </c>
      <c r="D2514" s="87"/>
      <c r="E2514" s="115" t="str">
        <f t="shared" si="159"/>
        <v/>
      </c>
      <c r="F2514" s="115" t="str">
        <f t="shared" si="160"/>
        <v/>
      </c>
      <c r="G2514" s="116" t="str">
        <f>IF(ISNONTEXT(D2514),"",E2514-MAX($F$2:F2513))</f>
        <v/>
      </c>
      <c r="H2514" s="98"/>
      <c r="I2514" s="74" t="str">
        <f ca="1">IF(D2514="N",COUNTIF(INDIRECT(ADDRESS(MATCH(Plages!$D$19,'Planning annuel mixing coater'!$B:$B),4)):D2514,"N"),IF(D2514="N1",COUNTIF($D$9:D2514,"N1"),""))</f>
        <v/>
      </c>
      <c r="J2514" s="96" t="str">
        <f>IF(D2514="","",COUNTA(D2508:D2514)-(COUNTA(D2514:D2514)-1))</f>
        <v/>
      </c>
    </row>
    <row r="2515" spans="1:10" thickBot="1">
      <c r="A2515" s="117"/>
      <c r="B2515" s="70">
        <f t="shared" si="161"/>
        <v>46307</v>
      </c>
      <c r="C2515" s="82" t="str">
        <f t="shared" si="158"/>
        <v>lundi</v>
      </c>
      <c r="D2515" s="87"/>
      <c r="E2515" s="115" t="str">
        <f t="shared" si="159"/>
        <v/>
      </c>
      <c r="F2515" s="115" t="str">
        <f t="shared" si="160"/>
        <v/>
      </c>
      <c r="G2515" s="116" t="str">
        <f>IF(ISNONTEXT(D2515),"",E2515-MAX($F$2:F2514))</f>
        <v/>
      </c>
      <c r="H2515" s="97"/>
      <c r="I2515" s="74" t="str">
        <f ca="1">IF(D2515="N",COUNTIF(INDIRECT(ADDRESS(MATCH(Plages!$D$19,'Planning annuel mixing coater'!$B:$B),4)):D2515,"N"),IF(D2515="N1",COUNTIF($D$9:D2515,"N1"),""))</f>
        <v/>
      </c>
      <c r="J2515" s="96" t="str">
        <f>IF(D2515="","",COUNTA(D2508:D2515)-(COUNTA(D2515:D2515)-1))</f>
        <v/>
      </c>
    </row>
    <row r="2516" spans="1:10" thickBot="1">
      <c r="A2516" s="117"/>
      <c r="B2516" s="70">
        <f t="shared" si="161"/>
        <v>46308</v>
      </c>
      <c r="C2516" s="82" t="str">
        <f t="shared" si="158"/>
        <v>mardi</v>
      </c>
      <c r="D2516" s="87"/>
      <c r="E2516" s="115" t="str">
        <f t="shared" si="159"/>
        <v/>
      </c>
      <c r="F2516" s="115" t="str">
        <f t="shared" si="160"/>
        <v/>
      </c>
      <c r="G2516" s="116" t="str">
        <f>IF(ISNONTEXT(D2516),"",E2516-MAX($F$2:F2515))</f>
        <v/>
      </c>
      <c r="H2516" s="97"/>
      <c r="I2516" s="74" t="str">
        <f ca="1">IF(D2516="N",COUNTIF(INDIRECT(ADDRESS(MATCH(Plages!$D$19,'Planning annuel mixing coater'!$B:$B),4)):D2516,"N"),IF(D2516="N1",COUNTIF($D$9:D2516,"N1"),""))</f>
        <v/>
      </c>
      <c r="J2516" s="96" t="str">
        <f>IF(D2516="","",COUNTA(D2508:D2516)-(COUNTA(D2516:D2516)-1))</f>
        <v/>
      </c>
    </row>
    <row r="2517" spans="1:10" thickBot="1">
      <c r="A2517" s="117"/>
      <c r="B2517" s="70">
        <f t="shared" si="161"/>
        <v>46309</v>
      </c>
      <c r="C2517" s="82" t="str">
        <f t="shared" si="158"/>
        <v>mercredi</v>
      </c>
      <c r="D2517" s="87"/>
      <c r="E2517" s="115" t="str">
        <f t="shared" si="159"/>
        <v/>
      </c>
      <c r="F2517" s="115" t="str">
        <f t="shared" si="160"/>
        <v/>
      </c>
      <c r="G2517" s="116" t="str">
        <f>IF(ISNONTEXT(D2517),"",E2517-MAX($F$2:F2516))</f>
        <v/>
      </c>
      <c r="H2517" s="97"/>
      <c r="I2517" s="74" t="str">
        <f ca="1">IF(D2517="N",COUNTIF(INDIRECT(ADDRESS(MATCH(Plages!$D$19,'Planning annuel mixing coater'!$B:$B),4)):D2517,"N"),IF(D2517="N1",COUNTIF($D$9:D2517,"N1"),""))</f>
        <v/>
      </c>
      <c r="J2517" s="96" t="str">
        <f>IF(D2517="","",COUNTA(D2508:D2517)-(COUNTA(D2517:D2517)-1))</f>
        <v/>
      </c>
    </row>
    <row r="2518" spans="1:10" thickBot="1">
      <c r="A2518" s="117"/>
      <c r="B2518" s="70">
        <f t="shared" si="161"/>
        <v>46310</v>
      </c>
      <c r="C2518" s="82" t="str">
        <f t="shared" si="158"/>
        <v>jeudi</v>
      </c>
      <c r="D2518" s="87"/>
      <c r="E2518" s="115" t="str">
        <f t="shared" si="159"/>
        <v/>
      </c>
      <c r="F2518" s="115" t="str">
        <f t="shared" si="160"/>
        <v/>
      </c>
      <c r="G2518" s="116" t="str">
        <f>IF(ISNONTEXT(D2518),"",E2518-MAX($F$2:F2517))</f>
        <v/>
      </c>
      <c r="H2518" s="97"/>
      <c r="I2518" s="74" t="str">
        <f ca="1">IF(D2518="N",COUNTIF(INDIRECT(ADDRESS(MATCH(Plages!$D$19,'Planning annuel mixing coater'!$B:$B),4)):D2518,"N"),IF(D2518="N1",COUNTIF($D$9:D2518,"N1"),""))</f>
        <v/>
      </c>
      <c r="J2518" s="96" t="str">
        <f>IF(D2518="","",COUNTA(D2508:D2518)-(COUNTA(D2518:D2518)-1))</f>
        <v/>
      </c>
    </row>
    <row r="2519" spans="1:10" thickBot="1">
      <c r="A2519" s="117"/>
      <c r="B2519" s="70">
        <f t="shared" si="161"/>
        <v>46311</v>
      </c>
      <c r="C2519" s="82" t="str">
        <f t="shared" si="158"/>
        <v>vendredi</v>
      </c>
      <c r="D2519" s="87"/>
      <c r="E2519" s="115" t="str">
        <f t="shared" si="159"/>
        <v/>
      </c>
      <c r="F2519" s="115" t="str">
        <f t="shared" si="160"/>
        <v/>
      </c>
      <c r="G2519" s="116" t="str">
        <f>IF(ISNONTEXT(D2519),"",E2519-MAX($F$2:F2518))</f>
        <v/>
      </c>
      <c r="H2519" s="97"/>
      <c r="I2519" s="74" t="str">
        <f ca="1">IF(D2519="N",COUNTIF(INDIRECT(ADDRESS(MATCH(Plages!$D$19,'Planning annuel mixing coater'!$B:$B),4)):D2519,"N"),IF(D2519="N1",COUNTIF($D$9:D2519,"N1"),""))</f>
        <v/>
      </c>
      <c r="J2519" s="96" t="str">
        <f>IF(D2519="","",COUNTA(D2508:D2519)-(COUNTA(D2519:D2519)-1))</f>
        <v/>
      </c>
    </row>
    <row r="2520" spans="1:10" thickBot="1">
      <c r="A2520" s="117"/>
      <c r="B2520" s="70">
        <f t="shared" si="161"/>
        <v>46312</v>
      </c>
      <c r="C2520" s="82" t="str">
        <f t="shared" si="158"/>
        <v>samedi</v>
      </c>
      <c r="D2520" s="87"/>
      <c r="E2520" s="115" t="str">
        <f t="shared" si="159"/>
        <v/>
      </c>
      <c r="F2520" s="115" t="str">
        <f t="shared" si="160"/>
        <v/>
      </c>
      <c r="G2520" s="116" t="str">
        <f>IF(ISNONTEXT(D2520),"",E2520-MAX($F$2:F2519))</f>
        <v/>
      </c>
      <c r="H2520" s="97"/>
      <c r="I2520" s="74" t="str">
        <f ca="1">IF(D2520="N",COUNTIF(INDIRECT(ADDRESS(MATCH(Plages!$D$19,'Planning annuel mixing coater'!$B:$B),4)):D2520,"N"),IF(D2520="N1",COUNTIF($D$9:D2520,"N1"),""))</f>
        <v/>
      </c>
      <c r="J2520" s="96" t="str">
        <f>IF(D2520="","",COUNTA(D2508:D2520)-(COUNTA(D2520:D2520)-1))</f>
        <v/>
      </c>
    </row>
    <row r="2521" spans="1:10" s="77" customFormat="1" thickBot="1">
      <c r="A2521" s="117"/>
      <c r="B2521" s="75">
        <f t="shared" si="161"/>
        <v>46313</v>
      </c>
      <c r="C2521" s="83" t="str">
        <f t="shared" si="158"/>
        <v>dimanche</v>
      </c>
      <c r="D2521" s="88"/>
      <c r="E2521" s="115" t="str">
        <f t="shared" si="159"/>
        <v/>
      </c>
      <c r="F2521" s="115" t="str">
        <f t="shared" si="160"/>
        <v/>
      </c>
      <c r="G2521" s="116" t="str">
        <f>IF(ISNONTEXT(D2521),"",E2521-MAX($F$2:F2520))</f>
        <v/>
      </c>
      <c r="H2521" s="98"/>
      <c r="I2521" s="76" t="str">
        <f ca="1">IF(D2521="N",COUNTIF(INDIRECT(ADDRESS(MATCH(Plages!$D$19,'Planning annuel mixing coater'!$B:$B),4)):D2521,"N"),IF(D2521="N1",COUNTIF($D$9:D2521,"N1"),""))</f>
        <v/>
      </c>
      <c r="J2521" s="99" t="str">
        <f>IF(D2521="","",COUNTA(D2508:D2521)-(COUNTA(D2521:D2521)-1))</f>
        <v/>
      </c>
    </row>
    <row r="2522" spans="1:10" ht="16.5" thickTop="1" thickBot="1">
      <c r="A2522" s="117"/>
      <c r="B2522" s="78">
        <f t="shared" si="161"/>
        <v>46314</v>
      </c>
      <c r="C2522" s="81" t="str">
        <f t="shared" si="158"/>
        <v>lundi</v>
      </c>
      <c r="D2522" s="89"/>
      <c r="E2522" s="115" t="str">
        <f t="shared" si="159"/>
        <v/>
      </c>
      <c r="F2522" s="115" t="str">
        <f t="shared" si="160"/>
        <v/>
      </c>
      <c r="G2522" s="116" t="str">
        <f>IF(ISNONTEXT(D2522),"",E2522-MAX($F$2:F2521))</f>
        <v/>
      </c>
      <c r="H2522" s="100"/>
      <c r="I2522" s="79" t="str">
        <f ca="1">IF(D2522="N",COUNTIF(INDIRECT(ADDRESS(MATCH(Plages!$D$19,'Planning annuel mixing coater'!$B:$B),4)):D2522,"N"),IF(D2522="N1",COUNTIF($D$9:D2522,"N1"),""))</f>
        <v/>
      </c>
      <c r="J2522" s="101" t="str">
        <f>IF(D2522="","",COUNTA(D2522:D2522)-(COUNTA(D2522:D2522)-1))</f>
        <v/>
      </c>
    </row>
    <row r="2523" spans="1:10" thickBot="1">
      <c r="A2523" s="117"/>
      <c r="B2523" s="70">
        <f t="shared" si="161"/>
        <v>46315</v>
      </c>
      <c r="C2523" s="82" t="str">
        <f t="shared" si="158"/>
        <v>mardi</v>
      </c>
      <c r="D2523" s="87"/>
      <c r="E2523" s="115" t="str">
        <f t="shared" si="159"/>
        <v/>
      </c>
      <c r="F2523" s="115" t="str">
        <f t="shared" si="160"/>
        <v/>
      </c>
      <c r="G2523" s="116" t="str">
        <f>IF(ISNONTEXT(D2523),"",E2523-MAX($F$2:F2522))</f>
        <v/>
      </c>
      <c r="H2523" s="97"/>
      <c r="I2523" s="74" t="str">
        <f ca="1">IF(D2523="N",COUNTIF(INDIRECT(ADDRESS(MATCH(Plages!$D$19,'Planning annuel mixing coater'!$B:$B),4)):D2523,"N"),IF(D2523="N1",COUNTIF($D$9:D2523,"N1"),""))</f>
        <v/>
      </c>
      <c r="J2523" s="96" t="str">
        <f>IF(D2523="","",COUNTA(D2522:D2523)-(COUNTA(D2523:D2523)-1))</f>
        <v/>
      </c>
    </row>
    <row r="2524" spans="1:10" thickBot="1">
      <c r="A2524" s="117"/>
      <c r="B2524" s="70">
        <f t="shared" si="161"/>
        <v>46316</v>
      </c>
      <c r="C2524" s="82" t="str">
        <f t="shared" si="158"/>
        <v>mercredi</v>
      </c>
      <c r="D2524" s="87"/>
      <c r="E2524" s="115" t="str">
        <f t="shared" si="159"/>
        <v/>
      </c>
      <c r="F2524" s="115" t="str">
        <f t="shared" si="160"/>
        <v/>
      </c>
      <c r="G2524" s="116" t="str">
        <f>IF(ISNONTEXT(D2524),"",E2524-MAX($F$2:F2523))</f>
        <v/>
      </c>
      <c r="H2524" s="97"/>
      <c r="I2524" s="74" t="str">
        <f ca="1">IF(D2524="N",COUNTIF(INDIRECT(ADDRESS(MATCH(Plages!$D$19,'Planning annuel mixing coater'!$B:$B),4)):D2524,"N"),IF(D2524="N1",COUNTIF($D$9:D2524,"N1"),""))</f>
        <v/>
      </c>
      <c r="J2524" s="96" t="str">
        <f>IF(D2524="","",COUNTA(D2522:D2524)-(COUNTA(D2524:D2524)-1))</f>
        <v/>
      </c>
    </row>
    <row r="2525" spans="1:10" thickBot="1">
      <c r="A2525" s="117"/>
      <c r="B2525" s="70">
        <f t="shared" si="161"/>
        <v>46317</v>
      </c>
      <c r="C2525" s="82" t="str">
        <f t="shared" si="158"/>
        <v>jeudi</v>
      </c>
      <c r="D2525" s="87"/>
      <c r="E2525" s="115" t="str">
        <f t="shared" si="159"/>
        <v/>
      </c>
      <c r="F2525" s="115" t="str">
        <f t="shared" si="160"/>
        <v/>
      </c>
      <c r="G2525" s="116" t="str">
        <f>IF(ISNONTEXT(D2525),"",E2525-MAX($F$2:F2524))</f>
        <v/>
      </c>
      <c r="H2525" s="97"/>
      <c r="I2525" s="74" t="str">
        <f ca="1">IF(D2525="N",COUNTIF(INDIRECT(ADDRESS(MATCH(Plages!$D$19,'Planning annuel mixing coater'!$B:$B),4)):D2525,"N"),IF(D2525="N1",COUNTIF($D$9:D2525,"N1"),""))</f>
        <v/>
      </c>
      <c r="J2525" s="96" t="str">
        <f>IF(D2525="","",COUNTA(D2522:D2525)-(COUNTA(D2525:D2525)-1))</f>
        <v/>
      </c>
    </row>
    <row r="2526" spans="1:10" thickBot="1">
      <c r="A2526" s="117"/>
      <c r="B2526" s="70">
        <f t="shared" si="161"/>
        <v>46318</v>
      </c>
      <c r="C2526" s="82" t="str">
        <f t="shared" ref="C2526:C2589" si="162">IF(B2526="","",TEXT(B2526,"jjjj"))</f>
        <v>vendredi</v>
      </c>
      <c r="D2526" s="87"/>
      <c r="E2526" s="115" t="str">
        <f t="shared" ref="E2526:E2589" si="163">IF(D2526="","",B2526+VLOOKUP(D2526,Plageh,2,0))</f>
        <v/>
      </c>
      <c r="F2526" s="115" t="str">
        <f t="shared" ref="F2526:F2589" si="164">IF(D2526="","",B2526+VLOOKUP(D2526,Plageh,3,0))</f>
        <v/>
      </c>
      <c r="G2526" s="116" t="str">
        <f>IF(ISNONTEXT(D2526),"",E2526-MAX($F$2:F2525))</f>
        <v/>
      </c>
      <c r="H2526" s="97"/>
      <c r="I2526" s="74" t="str">
        <f ca="1">IF(D2526="N",COUNTIF(INDIRECT(ADDRESS(MATCH(Plages!$D$19,'Planning annuel mixing coater'!$B:$B),4)):D2526,"N"),IF(D2526="N1",COUNTIF($D$9:D2526,"N1"),""))</f>
        <v/>
      </c>
      <c r="J2526" s="96" t="str">
        <f>IF(D2526="","",COUNTA(D2522:D2526)-(COUNTA(D2526:D2526)-1))</f>
        <v/>
      </c>
    </row>
    <row r="2527" spans="1:10" thickBot="1">
      <c r="A2527" s="117"/>
      <c r="B2527" s="70">
        <f t="shared" si="161"/>
        <v>46319</v>
      </c>
      <c r="C2527" s="82" t="str">
        <f t="shared" si="162"/>
        <v>samedi</v>
      </c>
      <c r="D2527" s="87"/>
      <c r="E2527" s="115" t="str">
        <f t="shared" si="163"/>
        <v/>
      </c>
      <c r="F2527" s="115" t="str">
        <f t="shared" si="164"/>
        <v/>
      </c>
      <c r="G2527" s="116" t="str">
        <f>IF(ISNONTEXT(D2527),"",E2527-MAX($F$2:F2526))</f>
        <v/>
      </c>
      <c r="H2527" s="97"/>
      <c r="I2527" s="74" t="str">
        <f ca="1">IF(D2527="N",COUNTIF(INDIRECT(ADDRESS(MATCH(Plages!$D$19,'Planning annuel mixing coater'!$B:$B),4)):D2527,"N"),IF(D2527="N1",COUNTIF($D$9:D2527,"N1"),""))</f>
        <v/>
      </c>
      <c r="J2527" s="96" t="str">
        <f>IF(D2527="","",COUNTA(D2522:D2527)-(COUNTA(D2527:D2527)-1))</f>
        <v/>
      </c>
    </row>
    <row r="2528" spans="1:10" thickBot="1">
      <c r="A2528" s="117"/>
      <c r="B2528" s="70">
        <f t="shared" si="161"/>
        <v>46320</v>
      </c>
      <c r="C2528" s="82" t="str">
        <f t="shared" si="162"/>
        <v>dimanche</v>
      </c>
      <c r="D2528" s="87"/>
      <c r="E2528" s="115" t="str">
        <f t="shared" si="163"/>
        <v/>
      </c>
      <c r="F2528" s="115" t="str">
        <f t="shared" si="164"/>
        <v/>
      </c>
      <c r="G2528" s="116" t="str">
        <f>IF(ISNONTEXT(D2528),"",E2528-MAX($F$2:F2527))</f>
        <v/>
      </c>
      <c r="H2528" s="98"/>
      <c r="I2528" s="74" t="str">
        <f ca="1">IF(D2528="N",COUNTIF(INDIRECT(ADDRESS(MATCH(Plages!$D$19,'Planning annuel mixing coater'!$B:$B),4)):D2528,"N"),IF(D2528="N1",COUNTIF($D$9:D2528,"N1"),""))</f>
        <v/>
      </c>
      <c r="J2528" s="96" t="str">
        <f>IF(D2528="","",COUNTA(D2522:D2528)-(COUNTA(D2528:D2528)-1))</f>
        <v/>
      </c>
    </row>
    <row r="2529" spans="1:10" thickBot="1">
      <c r="A2529" s="117"/>
      <c r="B2529" s="70">
        <f t="shared" si="161"/>
        <v>46321</v>
      </c>
      <c r="C2529" s="82" t="str">
        <f t="shared" si="162"/>
        <v>lundi</v>
      </c>
      <c r="D2529" s="87"/>
      <c r="E2529" s="115" t="str">
        <f t="shared" si="163"/>
        <v/>
      </c>
      <c r="F2529" s="115" t="str">
        <f t="shared" si="164"/>
        <v/>
      </c>
      <c r="G2529" s="116" t="str">
        <f>IF(ISNONTEXT(D2529),"",E2529-MAX($F$2:F2528))</f>
        <v/>
      </c>
      <c r="H2529" s="97"/>
      <c r="I2529" s="74" t="str">
        <f ca="1">IF(D2529="N",COUNTIF(INDIRECT(ADDRESS(MATCH(Plages!$D$19,'Planning annuel mixing coater'!$B:$B),4)):D2529,"N"),IF(D2529="N1",COUNTIF($D$9:D2529,"N1"),""))</f>
        <v/>
      </c>
      <c r="J2529" s="96" t="str">
        <f>IF(D2529="","",COUNTA(D2522:D2529)-(COUNTA(D2529:D2529)-1))</f>
        <v/>
      </c>
    </row>
    <row r="2530" spans="1:10" thickBot="1">
      <c r="A2530" s="117"/>
      <c r="B2530" s="70">
        <f t="shared" si="161"/>
        <v>46322</v>
      </c>
      <c r="C2530" s="82" t="str">
        <f t="shared" si="162"/>
        <v>mardi</v>
      </c>
      <c r="D2530" s="87"/>
      <c r="E2530" s="115" t="str">
        <f t="shared" si="163"/>
        <v/>
      </c>
      <c r="F2530" s="115" t="str">
        <f t="shared" si="164"/>
        <v/>
      </c>
      <c r="G2530" s="116" t="str">
        <f>IF(ISNONTEXT(D2530),"",E2530-MAX($F$2:F2529))</f>
        <v/>
      </c>
      <c r="H2530" s="97"/>
      <c r="I2530" s="74" t="str">
        <f ca="1">IF(D2530="N",COUNTIF(INDIRECT(ADDRESS(MATCH(Plages!$D$19,'Planning annuel mixing coater'!$B:$B),4)):D2530,"N"),IF(D2530="N1",COUNTIF($D$9:D2530,"N1"),""))</f>
        <v/>
      </c>
      <c r="J2530" s="96" t="str">
        <f>IF(D2530="","",COUNTA(D2522:D2530)-(COUNTA(D2530:D2530)-1))</f>
        <v/>
      </c>
    </row>
    <row r="2531" spans="1:10" thickBot="1">
      <c r="A2531" s="117"/>
      <c r="B2531" s="70">
        <f t="shared" si="161"/>
        <v>46323</v>
      </c>
      <c r="C2531" s="82" t="str">
        <f t="shared" si="162"/>
        <v>mercredi</v>
      </c>
      <c r="D2531" s="87"/>
      <c r="E2531" s="115" t="str">
        <f t="shared" si="163"/>
        <v/>
      </c>
      <c r="F2531" s="115" t="str">
        <f t="shared" si="164"/>
        <v/>
      </c>
      <c r="G2531" s="116" t="str">
        <f>IF(ISNONTEXT(D2531),"",E2531-MAX($F$2:F2530))</f>
        <v/>
      </c>
      <c r="H2531" s="97"/>
      <c r="I2531" s="74" t="str">
        <f ca="1">IF(D2531="N",COUNTIF(INDIRECT(ADDRESS(MATCH(Plages!$D$19,'Planning annuel mixing coater'!$B:$B),4)):D2531,"N"),IF(D2531="N1",COUNTIF($D$9:D2531,"N1"),""))</f>
        <v/>
      </c>
      <c r="J2531" s="96" t="str">
        <f>IF(D2531="","",COUNTA(D2522:D2531)-(COUNTA(D2531:D2531)-1))</f>
        <v/>
      </c>
    </row>
    <row r="2532" spans="1:10" thickBot="1">
      <c r="A2532" s="117"/>
      <c r="B2532" s="70">
        <f t="shared" si="161"/>
        <v>46324</v>
      </c>
      <c r="C2532" s="82" t="str">
        <f t="shared" si="162"/>
        <v>jeudi</v>
      </c>
      <c r="D2532" s="87"/>
      <c r="E2532" s="115" t="str">
        <f t="shared" si="163"/>
        <v/>
      </c>
      <c r="F2532" s="115" t="str">
        <f t="shared" si="164"/>
        <v/>
      </c>
      <c r="G2532" s="116" t="str">
        <f>IF(ISNONTEXT(D2532),"",E2532-MAX($F$2:F2531))</f>
        <v/>
      </c>
      <c r="H2532" s="97"/>
      <c r="I2532" s="74" t="str">
        <f ca="1">IF(D2532="N",COUNTIF(INDIRECT(ADDRESS(MATCH(Plages!$D$19,'Planning annuel mixing coater'!$B:$B),4)):D2532,"N"),IF(D2532="N1",COUNTIF($D$9:D2532,"N1"),""))</f>
        <v/>
      </c>
      <c r="J2532" s="96" t="str">
        <f>IF(D2532="","",COUNTA(D2522:D2532)-(COUNTA(D2532:D2532)-1))</f>
        <v/>
      </c>
    </row>
    <row r="2533" spans="1:10" thickBot="1">
      <c r="A2533" s="117"/>
      <c r="B2533" s="70">
        <f t="shared" si="161"/>
        <v>46325</v>
      </c>
      <c r="C2533" s="82" t="str">
        <f t="shared" si="162"/>
        <v>vendredi</v>
      </c>
      <c r="D2533" s="87"/>
      <c r="E2533" s="115" t="str">
        <f t="shared" si="163"/>
        <v/>
      </c>
      <c r="F2533" s="115" t="str">
        <f t="shared" si="164"/>
        <v/>
      </c>
      <c r="G2533" s="116" t="str">
        <f>IF(ISNONTEXT(D2533),"",E2533-MAX($F$2:F2532))</f>
        <v/>
      </c>
      <c r="H2533" s="97"/>
      <c r="I2533" s="74" t="str">
        <f ca="1">IF(D2533="N",COUNTIF(INDIRECT(ADDRESS(MATCH(Plages!$D$19,'Planning annuel mixing coater'!$B:$B),4)):D2533,"N"),IF(D2533="N1",COUNTIF($D$9:D2533,"N1"),""))</f>
        <v/>
      </c>
      <c r="J2533" s="96" t="str">
        <f>IF(D2533="","",COUNTA(D2522:D2533)-(COUNTA(D2533:D2533)-1))</f>
        <v/>
      </c>
    </row>
    <row r="2534" spans="1:10" thickBot="1">
      <c r="A2534" s="117"/>
      <c r="B2534" s="70">
        <f t="shared" si="161"/>
        <v>46326</v>
      </c>
      <c r="C2534" s="82" t="str">
        <f t="shared" si="162"/>
        <v>samedi</v>
      </c>
      <c r="D2534" s="87"/>
      <c r="E2534" s="115" t="str">
        <f t="shared" si="163"/>
        <v/>
      </c>
      <c r="F2534" s="115" t="str">
        <f t="shared" si="164"/>
        <v/>
      </c>
      <c r="G2534" s="116" t="str">
        <f>IF(ISNONTEXT(D2534),"",E2534-MAX($F$2:F2533))</f>
        <v/>
      </c>
      <c r="H2534" s="97"/>
      <c r="I2534" s="74" t="str">
        <f ca="1">IF(D2534="N",COUNTIF(INDIRECT(ADDRESS(MATCH(Plages!$D$19,'Planning annuel mixing coater'!$B:$B),4)):D2534,"N"),IF(D2534="N1",COUNTIF($D$9:D2534,"N1"),""))</f>
        <v/>
      </c>
      <c r="J2534" s="96" t="str">
        <f>IF(D2534="","",COUNTA(D2522:D2534)-(COUNTA(D2534:D2534)-1))</f>
        <v/>
      </c>
    </row>
    <row r="2535" spans="1:10" s="77" customFormat="1" thickBot="1">
      <c r="A2535" s="117"/>
      <c r="B2535" s="75">
        <f t="shared" si="161"/>
        <v>46327</v>
      </c>
      <c r="C2535" s="83" t="str">
        <f t="shared" si="162"/>
        <v>dimanche</v>
      </c>
      <c r="D2535" s="88"/>
      <c r="E2535" s="115" t="str">
        <f t="shared" si="163"/>
        <v/>
      </c>
      <c r="F2535" s="115" t="str">
        <f t="shared" si="164"/>
        <v/>
      </c>
      <c r="G2535" s="116" t="str">
        <f>IF(ISNONTEXT(D2535),"",E2535-MAX($F$2:F2534))</f>
        <v/>
      </c>
      <c r="H2535" s="98"/>
      <c r="I2535" s="76" t="str">
        <f ca="1">IF(D2535="N",COUNTIF(INDIRECT(ADDRESS(MATCH(Plages!$D$19,'Planning annuel mixing coater'!$B:$B),4)):D2535,"N"),IF(D2535="N1",COUNTIF($D$9:D2535,"N1"),""))</f>
        <v/>
      </c>
      <c r="J2535" s="99" t="str">
        <f>IF(D2535="","",COUNTA(D2522:D2535)-(COUNTA(D2535:D2535)-1))</f>
        <v/>
      </c>
    </row>
    <row r="2536" spans="1:10" ht="16.5" thickTop="1" thickBot="1">
      <c r="A2536" s="117"/>
      <c r="B2536" s="78">
        <f t="shared" si="161"/>
        <v>46328</v>
      </c>
      <c r="C2536" s="81" t="str">
        <f t="shared" si="162"/>
        <v>lundi</v>
      </c>
      <c r="D2536" s="89"/>
      <c r="E2536" s="115" t="str">
        <f t="shared" si="163"/>
        <v/>
      </c>
      <c r="F2536" s="115" t="str">
        <f t="shared" si="164"/>
        <v/>
      </c>
      <c r="G2536" s="116" t="str">
        <f>IF(ISNONTEXT(D2536),"",E2536-MAX($F$2:F2535))</f>
        <v/>
      </c>
      <c r="H2536" s="100"/>
      <c r="I2536" s="79" t="str">
        <f ca="1">IF(D2536="N",COUNTIF(INDIRECT(ADDRESS(MATCH(Plages!$D$19,'Planning annuel mixing coater'!$B:$B),4)):D2536,"N"),IF(D2536="N1",COUNTIF($D$9:D2536,"N1"),""))</f>
        <v/>
      </c>
      <c r="J2536" s="101" t="str">
        <f>IF(D2536="","",COUNTA(D2536:D2536)-(COUNTA(D2536:D2536)-1))</f>
        <v/>
      </c>
    </row>
    <row r="2537" spans="1:10" thickBot="1">
      <c r="A2537" s="117"/>
      <c r="B2537" s="70">
        <f t="shared" si="161"/>
        <v>46329</v>
      </c>
      <c r="C2537" s="82" t="str">
        <f t="shared" si="162"/>
        <v>mardi</v>
      </c>
      <c r="D2537" s="87"/>
      <c r="E2537" s="115" t="str">
        <f t="shared" si="163"/>
        <v/>
      </c>
      <c r="F2537" s="115" t="str">
        <f t="shared" si="164"/>
        <v/>
      </c>
      <c r="G2537" s="116" t="str">
        <f>IF(ISNONTEXT(D2537),"",E2537-MAX($F$2:F2536))</f>
        <v/>
      </c>
      <c r="H2537" s="97"/>
      <c r="I2537" s="74" t="str">
        <f ca="1">IF(D2537="N",COUNTIF(INDIRECT(ADDRESS(MATCH(Plages!$D$19,'Planning annuel mixing coater'!$B:$B),4)):D2537,"N"),IF(D2537="N1",COUNTIF($D$9:D2537,"N1"),""))</f>
        <v/>
      </c>
      <c r="J2537" s="96" t="str">
        <f>IF(D2537="","",COUNTA(D2536:D2537)-(COUNTA(D2537:D2537)-1))</f>
        <v/>
      </c>
    </row>
    <row r="2538" spans="1:10" thickBot="1">
      <c r="A2538" s="117"/>
      <c r="B2538" s="70">
        <f t="shared" si="161"/>
        <v>46330</v>
      </c>
      <c r="C2538" s="82" t="str">
        <f t="shared" si="162"/>
        <v>mercredi</v>
      </c>
      <c r="D2538" s="87"/>
      <c r="E2538" s="115" t="str">
        <f t="shared" si="163"/>
        <v/>
      </c>
      <c r="F2538" s="115" t="str">
        <f t="shared" si="164"/>
        <v/>
      </c>
      <c r="G2538" s="116" t="str">
        <f>IF(ISNONTEXT(D2538),"",E2538-MAX($F$2:F2537))</f>
        <v/>
      </c>
      <c r="H2538" s="97"/>
      <c r="I2538" s="74" t="str">
        <f ca="1">IF(D2538="N",COUNTIF(INDIRECT(ADDRESS(MATCH(Plages!$D$19,'Planning annuel mixing coater'!$B:$B),4)):D2538,"N"),IF(D2538="N1",COUNTIF($D$9:D2538,"N1"),""))</f>
        <v/>
      </c>
      <c r="J2538" s="96" t="str">
        <f>IF(D2538="","",COUNTA(D2536:D2538)-(COUNTA(D2538:D2538)-1))</f>
        <v/>
      </c>
    </row>
    <row r="2539" spans="1:10" thickBot="1">
      <c r="A2539" s="117"/>
      <c r="B2539" s="70">
        <f t="shared" si="161"/>
        <v>46331</v>
      </c>
      <c r="C2539" s="82" t="str">
        <f t="shared" si="162"/>
        <v>jeudi</v>
      </c>
      <c r="D2539" s="87"/>
      <c r="E2539" s="115" t="str">
        <f t="shared" si="163"/>
        <v/>
      </c>
      <c r="F2539" s="115" t="str">
        <f t="shared" si="164"/>
        <v/>
      </c>
      <c r="G2539" s="116" t="str">
        <f>IF(ISNONTEXT(D2539),"",E2539-MAX($F$2:F2538))</f>
        <v/>
      </c>
      <c r="H2539" s="97"/>
      <c r="I2539" s="74" t="str">
        <f ca="1">IF(D2539="N",COUNTIF(INDIRECT(ADDRESS(MATCH(Plages!$D$19,'Planning annuel mixing coater'!$B:$B),4)):D2539,"N"),IF(D2539="N1",COUNTIF($D$9:D2539,"N1"),""))</f>
        <v/>
      </c>
      <c r="J2539" s="96" t="str">
        <f>IF(D2539="","",COUNTA(D2536:D2539)-(COUNTA(D2539:D2539)-1))</f>
        <v/>
      </c>
    </row>
    <row r="2540" spans="1:10" thickBot="1">
      <c r="A2540" s="117"/>
      <c r="B2540" s="70">
        <f t="shared" si="161"/>
        <v>46332</v>
      </c>
      <c r="C2540" s="82" t="str">
        <f t="shared" si="162"/>
        <v>vendredi</v>
      </c>
      <c r="D2540" s="87"/>
      <c r="E2540" s="115" t="str">
        <f t="shared" si="163"/>
        <v/>
      </c>
      <c r="F2540" s="115" t="str">
        <f t="shared" si="164"/>
        <v/>
      </c>
      <c r="G2540" s="116" t="str">
        <f>IF(ISNONTEXT(D2540),"",E2540-MAX($F$2:F2539))</f>
        <v/>
      </c>
      <c r="H2540" s="97"/>
      <c r="I2540" s="74" t="str">
        <f ca="1">IF(D2540="N",COUNTIF(INDIRECT(ADDRESS(MATCH(Plages!$D$19,'Planning annuel mixing coater'!$B:$B),4)):D2540,"N"),IF(D2540="N1",COUNTIF($D$9:D2540,"N1"),""))</f>
        <v/>
      </c>
      <c r="J2540" s="96" t="str">
        <f>IF(D2540="","",COUNTA(D2536:D2540)-(COUNTA(D2540:D2540)-1))</f>
        <v/>
      </c>
    </row>
    <row r="2541" spans="1:10" thickBot="1">
      <c r="A2541" s="117"/>
      <c r="B2541" s="70">
        <f t="shared" si="161"/>
        <v>46333</v>
      </c>
      <c r="C2541" s="82" t="str">
        <f t="shared" si="162"/>
        <v>samedi</v>
      </c>
      <c r="D2541" s="87"/>
      <c r="E2541" s="115" t="str">
        <f t="shared" si="163"/>
        <v/>
      </c>
      <c r="F2541" s="115" t="str">
        <f t="shared" si="164"/>
        <v/>
      </c>
      <c r="G2541" s="116" t="str">
        <f>IF(ISNONTEXT(D2541),"",E2541-MAX($F$2:F2540))</f>
        <v/>
      </c>
      <c r="H2541" s="97"/>
      <c r="I2541" s="74" t="str">
        <f ca="1">IF(D2541="N",COUNTIF(INDIRECT(ADDRESS(MATCH(Plages!$D$19,'Planning annuel mixing coater'!$B:$B),4)):D2541,"N"),IF(D2541="N1",COUNTIF($D$9:D2541,"N1"),""))</f>
        <v/>
      </c>
      <c r="J2541" s="96" t="str">
        <f>IF(D2541="","",COUNTA(D2536:D2541)-(COUNTA(D2541:D2541)-1))</f>
        <v/>
      </c>
    </row>
    <row r="2542" spans="1:10" thickBot="1">
      <c r="A2542" s="117"/>
      <c r="B2542" s="70">
        <f t="shared" si="161"/>
        <v>46334</v>
      </c>
      <c r="C2542" s="82" t="str">
        <f t="shared" si="162"/>
        <v>dimanche</v>
      </c>
      <c r="D2542" s="87"/>
      <c r="E2542" s="115" t="str">
        <f t="shared" si="163"/>
        <v/>
      </c>
      <c r="F2542" s="115" t="str">
        <f t="shared" si="164"/>
        <v/>
      </c>
      <c r="G2542" s="116" t="str">
        <f>IF(ISNONTEXT(D2542),"",E2542-MAX($F$2:F2541))</f>
        <v/>
      </c>
      <c r="H2542" s="98"/>
      <c r="I2542" s="74" t="str">
        <f ca="1">IF(D2542="N",COUNTIF(INDIRECT(ADDRESS(MATCH(Plages!$D$19,'Planning annuel mixing coater'!$B:$B),4)):D2542,"N"),IF(D2542="N1",COUNTIF($D$9:D2542,"N1"),""))</f>
        <v/>
      </c>
      <c r="J2542" s="96" t="str">
        <f>IF(D2542="","",COUNTA(D2536:D2542)-(COUNTA(D2542:D2542)-1))</f>
        <v/>
      </c>
    </row>
    <row r="2543" spans="1:10" thickBot="1">
      <c r="A2543" s="117"/>
      <c r="B2543" s="70">
        <f t="shared" si="161"/>
        <v>46335</v>
      </c>
      <c r="C2543" s="82" t="str">
        <f t="shared" si="162"/>
        <v>lundi</v>
      </c>
      <c r="D2543" s="87"/>
      <c r="E2543" s="115" t="str">
        <f t="shared" si="163"/>
        <v/>
      </c>
      <c r="F2543" s="115" t="str">
        <f t="shared" si="164"/>
        <v/>
      </c>
      <c r="G2543" s="116" t="str">
        <f>IF(ISNONTEXT(D2543),"",E2543-MAX($F$2:F2542))</f>
        <v/>
      </c>
      <c r="H2543" s="97"/>
      <c r="I2543" s="74" t="str">
        <f ca="1">IF(D2543="N",COUNTIF(INDIRECT(ADDRESS(MATCH(Plages!$D$19,'Planning annuel mixing coater'!$B:$B),4)):D2543,"N"),IF(D2543="N1",COUNTIF($D$9:D2543,"N1"),""))</f>
        <v/>
      </c>
      <c r="J2543" s="96" t="str">
        <f>IF(D2543="","",COUNTA(D2536:D2543)-(COUNTA(D2543:D2543)-1))</f>
        <v/>
      </c>
    </row>
    <row r="2544" spans="1:10" thickBot="1">
      <c r="A2544" s="117"/>
      <c r="B2544" s="70">
        <f t="shared" si="161"/>
        <v>46336</v>
      </c>
      <c r="C2544" s="82" t="str">
        <f t="shared" si="162"/>
        <v>mardi</v>
      </c>
      <c r="D2544" s="87"/>
      <c r="E2544" s="115" t="str">
        <f t="shared" si="163"/>
        <v/>
      </c>
      <c r="F2544" s="115" t="str">
        <f t="shared" si="164"/>
        <v/>
      </c>
      <c r="G2544" s="116" t="str">
        <f>IF(ISNONTEXT(D2544),"",E2544-MAX($F$2:F2543))</f>
        <v/>
      </c>
      <c r="H2544" s="97"/>
      <c r="I2544" s="74" t="str">
        <f ca="1">IF(D2544="N",COUNTIF(INDIRECT(ADDRESS(MATCH(Plages!$D$19,'Planning annuel mixing coater'!$B:$B),4)):D2544,"N"),IF(D2544="N1",COUNTIF($D$9:D2544,"N1"),""))</f>
        <v/>
      </c>
      <c r="J2544" s="96" t="str">
        <f>IF(D2544="","",COUNTA(D2536:D2544)-(COUNTA(D2544:D2544)-1))</f>
        <v/>
      </c>
    </row>
    <row r="2545" spans="1:10" thickBot="1">
      <c r="A2545" s="117"/>
      <c r="B2545" s="70">
        <f t="shared" si="161"/>
        <v>46337</v>
      </c>
      <c r="C2545" s="82" t="str">
        <f t="shared" si="162"/>
        <v>mercredi</v>
      </c>
      <c r="D2545" s="87"/>
      <c r="E2545" s="115" t="str">
        <f t="shared" si="163"/>
        <v/>
      </c>
      <c r="F2545" s="115" t="str">
        <f t="shared" si="164"/>
        <v/>
      </c>
      <c r="G2545" s="116" t="str">
        <f>IF(ISNONTEXT(D2545),"",E2545-MAX($F$2:F2544))</f>
        <v/>
      </c>
      <c r="H2545" s="97"/>
      <c r="I2545" s="74" t="str">
        <f ca="1">IF(D2545="N",COUNTIF(INDIRECT(ADDRESS(MATCH(Plages!$D$19,'Planning annuel mixing coater'!$B:$B),4)):D2545,"N"),IF(D2545="N1",COUNTIF($D$9:D2545,"N1"),""))</f>
        <v/>
      </c>
      <c r="J2545" s="96" t="str">
        <f>IF(D2545="","",COUNTA(D2536:D2545)-(COUNTA(D2545:D2545)-1))</f>
        <v/>
      </c>
    </row>
    <row r="2546" spans="1:10" thickBot="1">
      <c r="A2546" s="117"/>
      <c r="B2546" s="70">
        <f t="shared" si="161"/>
        <v>46338</v>
      </c>
      <c r="C2546" s="82" t="str">
        <f t="shared" si="162"/>
        <v>jeudi</v>
      </c>
      <c r="D2546" s="87"/>
      <c r="E2546" s="115" t="str">
        <f t="shared" si="163"/>
        <v/>
      </c>
      <c r="F2546" s="115" t="str">
        <f t="shared" si="164"/>
        <v/>
      </c>
      <c r="G2546" s="116" t="str">
        <f>IF(ISNONTEXT(D2546),"",E2546-MAX($F$2:F2545))</f>
        <v/>
      </c>
      <c r="H2546" s="97"/>
      <c r="I2546" s="74" t="str">
        <f ca="1">IF(D2546="N",COUNTIF(INDIRECT(ADDRESS(MATCH(Plages!$D$19,'Planning annuel mixing coater'!$B:$B),4)):D2546,"N"),IF(D2546="N1",COUNTIF($D$9:D2546,"N1"),""))</f>
        <v/>
      </c>
      <c r="J2546" s="96" t="str">
        <f>IF(D2546="","",COUNTA(D2536:D2546)-(COUNTA(D2546:D2546)-1))</f>
        <v/>
      </c>
    </row>
    <row r="2547" spans="1:10" thickBot="1">
      <c r="A2547" s="117"/>
      <c r="B2547" s="70">
        <f t="shared" si="161"/>
        <v>46339</v>
      </c>
      <c r="C2547" s="82" t="str">
        <f t="shared" si="162"/>
        <v>vendredi</v>
      </c>
      <c r="D2547" s="87"/>
      <c r="E2547" s="115" t="str">
        <f t="shared" si="163"/>
        <v/>
      </c>
      <c r="F2547" s="115" t="str">
        <f t="shared" si="164"/>
        <v/>
      </c>
      <c r="G2547" s="116" t="str">
        <f>IF(ISNONTEXT(D2547),"",E2547-MAX($F$2:F2546))</f>
        <v/>
      </c>
      <c r="H2547" s="97"/>
      <c r="I2547" s="74" t="str">
        <f ca="1">IF(D2547="N",COUNTIF(INDIRECT(ADDRESS(MATCH(Plages!$D$19,'Planning annuel mixing coater'!$B:$B),4)):D2547,"N"),IF(D2547="N1",COUNTIF($D$9:D2547,"N1"),""))</f>
        <v/>
      </c>
      <c r="J2547" s="96" t="str">
        <f>IF(D2547="","",COUNTA(D2536:D2547)-(COUNTA(D2547:D2547)-1))</f>
        <v/>
      </c>
    </row>
    <row r="2548" spans="1:10" thickBot="1">
      <c r="A2548" s="117"/>
      <c r="B2548" s="70">
        <f t="shared" si="161"/>
        <v>46340</v>
      </c>
      <c r="C2548" s="82" t="str">
        <f t="shared" si="162"/>
        <v>samedi</v>
      </c>
      <c r="D2548" s="87"/>
      <c r="E2548" s="115" t="str">
        <f t="shared" si="163"/>
        <v/>
      </c>
      <c r="F2548" s="115" t="str">
        <f t="shared" si="164"/>
        <v/>
      </c>
      <c r="G2548" s="116" t="str">
        <f>IF(ISNONTEXT(D2548),"",E2548-MAX($F$2:F2547))</f>
        <v/>
      </c>
      <c r="H2548" s="97"/>
      <c r="I2548" s="74" t="str">
        <f ca="1">IF(D2548="N",COUNTIF(INDIRECT(ADDRESS(MATCH(Plages!$D$19,'Planning annuel mixing coater'!$B:$B),4)):D2548,"N"),IF(D2548="N1",COUNTIF($D$9:D2548,"N1"),""))</f>
        <v/>
      </c>
      <c r="J2548" s="96" t="str">
        <f>IF(D2548="","",COUNTA(D2536:D2548)-(COUNTA(D2548:D2548)-1))</f>
        <v/>
      </c>
    </row>
    <row r="2549" spans="1:10" s="77" customFormat="1" thickBot="1">
      <c r="A2549" s="117"/>
      <c r="B2549" s="75">
        <f t="shared" si="161"/>
        <v>46341</v>
      </c>
      <c r="C2549" s="83" t="str">
        <f t="shared" si="162"/>
        <v>dimanche</v>
      </c>
      <c r="D2549" s="88"/>
      <c r="E2549" s="115" t="str">
        <f t="shared" si="163"/>
        <v/>
      </c>
      <c r="F2549" s="115" t="str">
        <f t="shared" si="164"/>
        <v/>
      </c>
      <c r="G2549" s="116" t="str">
        <f>IF(ISNONTEXT(D2549),"",E2549-MAX($F$2:F2548))</f>
        <v/>
      </c>
      <c r="H2549" s="98"/>
      <c r="I2549" s="76" t="str">
        <f ca="1">IF(D2549="N",COUNTIF(INDIRECT(ADDRESS(MATCH(Plages!$D$19,'Planning annuel mixing coater'!$B:$B),4)):D2549,"N"),IF(D2549="N1",COUNTIF($D$9:D2549,"N1"),""))</f>
        <v/>
      </c>
      <c r="J2549" s="99" t="str">
        <f>IF(D2549="","",COUNTA(D2536:D2549)-(COUNTA(D2549:D2549)-1))</f>
        <v/>
      </c>
    </row>
    <row r="2550" spans="1:10" ht="16.5" thickTop="1" thickBot="1">
      <c r="A2550" s="117"/>
      <c r="B2550" s="78">
        <f t="shared" si="161"/>
        <v>46342</v>
      </c>
      <c r="C2550" s="81" t="str">
        <f t="shared" si="162"/>
        <v>lundi</v>
      </c>
      <c r="D2550" s="89"/>
      <c r="E2550" s="115" t="str">
        <f t="shared" si="163"/>
        <v/>
      </c>
      <c r="F2550" s="115" t="str">
        <f t="shared" si="164"/>
        <v/>
      </c>
      <c r="G2550" s="116" t="str">
        <f>IF(ISNONTEXT(D2550),"",E2550-MAX($F$2:F2549))</f>
        <v/>
      </c>
      <c r="H2550" s="100"/>
      <c r="I2550" s="79" t="str">
        <f ca="1">IF(D2550="N",COUNTIF(INDIRECT(ADDRESS(MATCH(Plages!$D$19,'Planning annuel mixing coater'!$B:$B),4)):D2550,"N"),IF(D2550="N1",COUNTIF($D$9:D2550,"N1"),""))</f>
        <v/>
      </c>
      <c r="J2550" s="101" t="str">
        <f>IF(D2550="","",COUNTA(D2550:D2550)-(COUNTA(D2550:D2550)-1))</f>
        <v/>
      </c>
    </row>
    <row r="2551" spans="1:10" thickBot="1">
      <c r="A2551" s="117"/>
      <c r="B2551" s="70">
        <f t="shared" si="161"/>
        <v>46343</v>
      </c>
      <c r="C2551" s="82" t="str">
        <f t="shared" si="162"/>
        <v>mardi</v>
      </c>
      <c r="D2551" s="87"/>
      <c r="E2551" s="115" t="str">
        <f t="shared" si="163"/>
        <v/>
      </c>
      <c r="F2551" s="115" t="str">
        <f t="shared" si="164"/>
        <v/>
      </c>
      <c r="G2551" s="116" t="str">
        <f>IF(ISNONTEXT(D2551),"",E2551-MAX($F$2:F2550))</f>
        <v/>
      </c>
      <c r="H2551" s="97"/>
      <c r="I2551" s="74" t="str">
        <f ca="1">IF(D2551="N",COUNTIF(INDIRECT(ADDRESS(MATCH(Plages!$D$19,'Planning annuel mixing coater'!$B:$B),4)):D2551,"N"),IF(D2551="N1",COUNTIF($D$9:D2551,"N1"),""))</f>
        <v/>
      </c>
      <c r="J2551" s="96" t="str">
        <f>IF(D2551="","",COUNTA(D2550:D2551)-(COUNTA(D2551:D2551)-1))</f>
        <v/>
      </c>
    </row>
    <row r="2552" spans="1:10" thickBot="1">
      <c r="A2552" s="117"/>
      <c r="B2552" s="70">
        <f t="shared" si="161"/>
        <v>46344</v>
      </c>
      <c r="C2552" s="82" t="str">
        <f t="shared" si="162"/>
        <v>mercredi</v>
      </c>
      <c r="D2552" s="87"/>
      <c r="E2552" s="115" t="str">
        <f t="shared" si="163"/>
        <v/>
      </c>
      <c r="F2552" s="115" t="str">
        <f t="shared" si="164"/>
        <v/>
      </c>
      <c r="G2552" s="116" t="str">
        <f>IF(ISNONTEXT(D2552),"",E2552-MAX($F$2:F2551))</f>
        <v/>
      </c>
      <c r="H2552" s="97"/>
      <c r="I2552" s="74" t="str">
        <f ca="1">IF(D2552="N",COUNTIF(INDIRECT(ADDRESS(MATCH(Plages!$D$19,'Planning annuel mixing coater'!$B:$B),4)):D2552,"N"),IF(D2552="N1",COUNTIF($D$9:D2552,"N1"),""))</f>
        <v/>
      </c>
      <c r="J2552" s="96" t="str">
        <f>IF(D2552="","",COUNTA(D2550:D2552)-(COUNTA(D2552:D2552)-1))</f>
        <v/>
      </c>
    </row>
    <row r="2553" spans="1:10" thickBot="1">
      <c r="A2553" s="117"/>
      <c r="B2553" s="70">
        <f t="shared" si="161"/>
        <v>46345</v>
      </c>
      <c r="C2553" s="82" t="str">
        <f t="shared" si="162"/>
        <v>jeudi</v>
      </c>
      <c r="D2553" s="87"/>
      <c r="E2553" s="115" t="str">
        <f t="shared" si="163"/>
        <v/>
      </c>
      <c r="F2553" s="115" t="str">
        <f t="shared" si="164"/>
        <v/>
      </c>
      <c r="G2553" s="116" t="str">
        <f>IF(ISNONTEXT(D2553),"",E2553-MAX($F$2:F2552))</f>
        <v/>
      </c>
      <c r="H2553" s="97"/>
      <c r="I2553" s="74" t="str">
        <f ca="1">IF(D2553="N",COUNTIF(INDIRECT(ADDRESS(MATCH(Plages!$D$19,'Planning annuel mixing coater'!$B:$B),4)):D2553,"N"),IF(D2553="N1",COUNTIF($D$9:D2553,"N1"),""))</f>
        <v/>
      </c>
      <c r="J2553" s="96" t="str">
        <f>IF(D2553="","",COUNTA(D2550:D2553)-(COUNTA(D2553:D2553)-1))</f>
        <v/>
      </c>
    </row>
    <row r="2554" spans="1:10" thickBot="1">
      <c r="A2554" s="117"/>
      <c r="B2554" s="70">
        <f t="shared" si="161"/>
        <v>46346</v>
      </c>
      <c r="C2554" s="82" t="str">
        <f t="shared" si="162"/>
        <v>vendredi</v>
      </c>
      <c r="D2554" s="87"/>
      <c r="E2554" s="115" t="str">
        <f t="shared" si="163"/>
        <v/>
      </c>
      <c r="F2554" s="115" t="str">
        <f t="shared" si="164"/>
        <v/>
      </c>
      <c r="G2554" s="116" t="str">
        <f>IF(ISNONTEXT(D2554),"",E2554-MAX($F$2:F2553))</f>
        <v/>
      </c>
      <c r="H2554" s="97"/>
      <c r="I2554" s="74" t="str">
        <f ca="1">IF(D2554="N",COUNTIF(INDIRECT(ADDRESS(MATCH(Plages!$D$19,'Planning annuel mixing coater'!$B:$B),4)):D2554,"N"),IF(D2554="N1",COUNTIF($D$9:D2554,"N1"),""))</f>
        <v/>
      </c>
      <c r="J2554" s="96" t="str">
        <f>IF(D2554="","",COUNTA(D2550:D2554)-(COUNTA(D2554:D2554)-1))</f>
        <v/>
      </c>
    </row>
    <row r="2555" spans="1:10" thickBot="1">
      <c r="A2555" s="117"/>
      <c r="B2555" s="70">
        <f t="shared" si="161"/>
        <v>46347</v>
      </c>
      <c r="C2555" s="82" t="str">
        <f t="shared" si="162"/>
        <v>samedi</v>
      </c>
      <c r="D2555" s="87"/>
      <c r="E2555" s="115" t="str">
        <f t="shared" si="163"/>
        <v/>
      </c>
      <c r="F2555" s="115" t="str">
        <f t="shared" si="164"/>
        <v/>
      </c>
      <c r="G2555" s="116" t="str">
        <f>IF(ISNONTEXT(D2555),"",E2555-MAX($F$2:F2554))</f>
        <v/>
      </c>
      <c r="H2555" s="97"/>
      <c r="I2555" s="74" t="str">
        <f ca="1">IF(D2555="N",COUNTIF(INDIRECT(ADDRESS(MATCH(Plages!$D$19,'Planning annuel mixing coater'!$B:$B),4)):D2555,"N"),IF(D2555="N1",COUNTIF($D$9:D2555,"N1"),""))</f>
        <v/>
      </c>
      <c r="J2555" s="96" t="str">
        <f>IF(D2555="","",COUNTA(D2550:D2555)-(COUNTA(D2555:D2555)-1))</f>
        <v/>
      </c>
    </row>
    <row r="2556" spans="1:10" thickBot="1">
      <c r="A2556" s="117"/>
      <c r="B2556" s="70">
        <f t="shared" si="161"/>
        <v>46348</v>
      </c>
      <c r="C2556" s="82" t="str">
        <f t="shared" si="162"/>
        <v>dimanche</v>
      </c>
      <c r="D2556" s="87"/>
      <c r="E2556" s="115" t="str">
        <f t="shared" si="163"/>
        <v/>
      </c>
      <c r="F2556" s="115" t="str">
        <f t="shared" si="164"/>
        <v/>
      </c>
      <c r="G2556" s="116" t="str">
        <f>IF(ISNONTEXT(D2556),"",E2556-MAX($F$2:F2555))</f>
        <v/>
      </c>
      <c r="H2556" s="98"/>
      <c r="I2556" s="74" t="str">
        <f ca="1">IF(D2556="N",COUNTIF(INDIRECT(ADDRESS(MATCH(Plages!$D$19,'Planning annuel mixing coater'!$B:$B),4)):D2556,"N"),IF(D2556="N1",COUNTIF($D$9:D2556,"N1"),""))</f>
        <v/>
      </c>
      <c r="J2556" s="96" t="str">
        <f>IF(D2556="","",COUNTA(D2550:D2556)-(COUNTA(D2556:D2556)-1))</f>
        <v/>
      </c>
    </row>
    <row r="2557" spans="1:10" thickBot="1">
      <c r="A2557" s="117"/>
      <c r="B2557" s="70">
        <f t="shared" si="161"/>
        <v>46349</v>
      </c>
      <c r="C2557" s="82" t="str">
        <f t="shared" si="162"/>
        <v>lundi</v>
      </c>
      <c r="D2557" s="87"/>
      <c r="E2557" s="115" t="str">
        <f t="shared" si="163"/>
        <v/>
      </c>
      <c r="F2557" s="115" t="str">
        <f t="shared" si="164"/>
        <v/>
      </c>
      <c r="G2557" s="116" t="str">
        <f>IF(ISNONTEXT(D2557),"",E2557-MAX($F$2:F2556))</f>
        <v/>
      </c>
      <c r="H2557" s="97"/>
      <c r="I2557" s="74" t="str">
        <f ca="1">IF(D2557="N",COUNTIF(INDIRECT(ADDRESS(MATCH(Plages!$D$19,'Planning annuel mixing coater'!$B:$B),4)):D2557,"N"),IF(D2557="N1",COUNTIF($D$9:D2557,"N1"),""))</f>
        <v/>
      </c>
      <c r="J2557" s="96" t="str">
        <f>IF(D2557="","",COUNTA(D2550:D2557)-(COUNTA(D2557:D2557)-1))</f>
        <v/>
      </c>
    </row>
    <row r="2558" spans="1:10" thickBot="1">
      <c r="A2558" s="117"/>
      <c r="B2558" s="70">
        <f t="shared" si="161"/>
        <v>46350</v>
      </c>
      <c r="C2558" s="82" t="str">
        <f t="shared" si="162"/>
        <v>mardi</v>
      </c>
      <c r="D2558" s="87"/>
      <c r="E2558" s="115" t="str">
        <f t="shared" si="163"/>
        <v/>
      </c>
      <c r="F2558" s="115" t="str">
        <f t="shared" si="164"/>
        <v/>
      </c>
      <c r="G2558" s="116" t="str">
        <f>IF(ISNONTEXT(D2558),"",E2558-MAX($F$2:F2557))</f>
        <v/>
      </c>
      <c r="H2558" s="97"/>
      <c r="I2558" s="74" t="str">
        <f ca="1">IF(D2558="N",COUNTIF(INDIRECT(ADDRESS(MATCH(Plages!$D$19,'Planning annuel mixing coater'!$B:$B),4)):D2558,"N"),IF(D2558="N1",COUNTIF($D$9:D2558,"N1"),""))</f>
        <v/>
      </c>
      <c r="J2558" s="96" t="str">
        <f>IF(D2558="","",COUNTA(D2550:D2558)-(COUNTA(D2558:D2558)-1))</f>
        <v/>
      </c>
    </row>
    <row r="2559" spans="1:10" thickBot="1">
      <c r="A2559" s="117"/>
      <c r="B2559" s="70">
        <f t="shared" si="161"/>
        <v>46351</v>
      </c>
      <c r="C2559" s="82" t="str">
        <f t="shared" si="162"/>
        <v>mercredi</v>
      </c>
      <c r="D2559" s="87"/>
      <c r="E2559" s="115" t="str">
        <f t="shared" si="163"/>
        <v/>
      </c>
      <c r="F2559" s="115" t="str">
        <f t="shared" si="164"/>
        <v/>
      </c>
      <c r="G2559" s="116" t="str">
        <f>IF(ISNONTEXT(D2559),"",E2559-MAX($F$2:F2558))</f>
        <v/>
      </c>
      <c r="H2559" s="97"/>
      <c r="I2559" s="74" t="str">
        <f ca="1">IF(D2559="N",COUNTIF(INDIRECT(ADDRESS(MATCH(Plages!$D$19,'Planning annuel mixing coater'!$B:$B),4)):D2559,"N"),IF(D2559="N1",COUNTIF($D$9:D2559,"N1"),""))</f>
        <v/>
      </c>
      <c r="J2559" s="96" t="str">
        <f>IF(D2559="","",COUNTA(D2550:D2559)-(COUNTA(D2559:D2559)-1))</f>
        <v/>
      </c>
    </row>
    <row r="2560" spans="1:10" thickBot="1">
      <c r="A2560" s="117"/>
      <c r="B2560" s="70">
        <f t="shared" si="161"/>
        <v>46352</v>
      </c>
      <c r="C2560" s="82" t="str">
        <f t="shared" si="162"/>
        <v>jeudi</v>
      </c>
      <c r="D2560" s="87"/>
      <c r="E2560" s="115" t="str">
        <f t="shared" si="163"/>
        <v/>
      </c>
      <c r="F2560" s="115" t="str">
        <f t="shared" si="164"/>
        <v/>
      </c>
      <c r="G2560" s="116" t="str">
        <f>IF(ISNONTEXT(D2560),"",E2560-MAX($F$2:F2559))</f>
        <v/>
      </c>
      <c r="H2560" s="97"/>
      <c r="I2560" s="74" t="str">
        <f ca="1">IF(D2560="N",COUNTIF(INDIRECT(ADDRESS(MATCH(Plages!$D$19,'Planning annuel mixing coater'!$B:$B),4)):D2560,"N"),IF(D2560="N1",COUNTIF($D$9:D2560,"N1"),""))</f>
        <v/>
      </c>
      <c r="J2560" s="96" t="str">
        <f>IF(D2560="","",COUNTA(D2550:D2560)-(COUNTA(D2560:D2560)-1))</f>
        <v/>
      </c>
    </row>
    <row r="2561" spans="1:10" thickBot="1">
      <c r="A2561" s="117"/>
      <c r="B2561" s="70">
        <f t="shared" si="161"/>
        <v>46353</v>
      </c>
      <c r="C2561" s="82" t="str">
        <f t="shared" si="162"/>
        <v>vendredi</v>
      </c>
      <c r="D2561" s="87"/>
      <c r="E2561" s="115" t="str">
        <f t="shared" si="163"/>
        <v/>
      </c>
      <c r="F2561" s="115" t="str">
        <f t="shared" si="164"/>
        <v/>
      </c>
      <c r="G2561" s="116" t="str">
        <f>IF(ISNONTEXT(D2561),"",E2561-MAX($F$2:F2560))</f>
        <v/>
      </c>
      <c r="H2561" s="97"/>
      <c r="I2561" s="74" t="str">
        <f ca="1">IF(D2561="N",COUNTIF(INDIRECT(ADDRESS(MATCH(Plages!$D$19,'Planning annuel mixing coater'!$B:$B),4)):D2561,"N"),IF(D2561="N1",COUNTIF($D$9:D2561,"N1"),""))</f>
        <v/>
      </c>
      <c r="J2561" s="96" t="str">
        <f>IF(D2561="","",COUNTA(D2550:D2561)-(COUNTA(D2561:D2561)-1))</f>
        <v/>
      </c>
    </row>
    <row r="2562" spans="1:10" thickBot="1">
      <c r="A2562" s="117"/>
      <c r="B2562" s="70">
        <f t="shared" si="161"/>
        <v>46354</v>
      </c>
      <c r="C2562" s="82" t="str">
        <f t="shared" si="162"/>
        <v>samedi</v>
      </c>
      <c r="D2562" s="87"/>
      <c r="E2562" s="115" t="str">
        <f t="shared" si="163"/>
        <v/>
      </c>
      <c r="F2562" s="115" t="str">
        <f t="shared" si="164"/>
        <v/>
      </c>
      <c r="G2562" s="116" t="str">
        <f>IF(ISNONTEXT(D2562),"",E2562-MAX($F$2:F2561))</f>
        <v/>
      </c>
      <c r="H2562" s="97"/>
      <c r="I2562" s="74" t="str">
        <f ca="1">IF(D2562="N",COUNTIF(INDIRECT(ADDRESS(MATCH(Plages!$D$19,'Planning annuel mixing coater'!$B:$B),4)):D2562,"N"),IF(D2562="N1",COUNTIF($D$9:D2562,"N1"),""))</f>
        <v/>
      </c>
      <c r="J2562" s="96" t="str">
        <f>IF(D2562="","",COUNTA(D2550:D2562)-(COUNTA(D2562:D2562)-1))</f>
        <v/>
      </c>
    </row>
    <row r="2563" spans="1:10" s="77" customFormat="1" thickBot="1">
      <c r="A2563" s="117"/>
      <c r="B2563" s="75">
        <f t="shared" si="161"/>
        <v>46355</v>
      </c>
      <c r="C2563" s="83" t="str">
        <f t="shared" si="162"/>
        <v>dimanche</v>
      </c>
      <c r="D2563" s="88"/>
      <c r="E2563" s="115" t="str">
        <f t="shared" si="163"/>
        <v/>
      </c>
      <c r="F2563" s="115" t="str">
        <f t="shared" si="164"/>
        <v/>
      </c>
      <c r="G2563" s="116" t="str">
        <f>IF(ISNONTEXT(D2563),"",E2563-MAX($F$2:F2562))</f>
        <v/>
      </c>
      <c r="H2563" s="98"/>
      <c r="I2563" s="76" t="str">
        <f ca="1">IF(D2563="N",COUNTIF(INDIRECT(ADDRESS(MATCH(Plages!$D$19,'Planning annuel mixing coater'!$B:$B),4)):D2563,"N"),IF(D2563="N1",COUNTIF($D$9:D2563,"N1"),""))</f>
        <v/>
      </c>
      <c r="J2563" s="99" t="str">
        <f>IF(D2563="","",COUNTA(D2550:D2563)-(COUNTA(D2563:D2563)-1))</f>
        <v/>
      </c>
    </row>
    <row r="2564" spans="1:10" ht="16.5" thickTop="1" thickBot="1">
      <c r="A2564" s="117"/>
      <c r="B2564" s="78">
        <f t="shared" ref="B2564:B2627" si="165">IF(B2563="","",B2563+1)</f>
        <v>46356</v>
      </c>
      <c r="C2564" s="81" t="str">
        <f t="shared" si="162"/>
        <v>lundi</v>
      </c>
      <c r="D2564" s="89"/>
      <c r="E2564" s="115" t="str">
        <f t="shared" si="163"/>
        <v/>
      </c>
      <c r="F2564" s="115" t="str">
        <f t="shared" si="164"/>
        <v/>
      </c>
      <c r="G2564" s="116" t="str">
        <f>IF(ISNONTEXT(D2564),"",E2564-MAX($F$2:F2563))</f>
        <v/>
      </c>
      <c r="H2564" s="100"/>
      <c r="I2564" s="79" t="str">
        <f ca="1">IF(D2564="N",COUNTIF(INDIRECT(ADDRESS(MATCH(Plages!$D$19,'Planning annuel mixing coater'!$B:$B),4)):D2564,"N"),IF(D2564="N1",COUNTIF($D$9:D2564,"N1"),""))</f>
        <v/>
      </c>
      <c r="J2564" s="101" t="str">
        <f>IF(D2564="","",COUNTA(D2564:D2564)-(COUNTA(D2564:D2564)-1))</f>
        <v/>
      </c>
    </row>
    <row r="2565" spans="1:10" thickBot="1">
      <c r="A2565" s="117"/>
      <c r="B2565" s="70">
        <f t="shared" si="165"/>
        <v>46357</v>
      </c>
      <c r="C2565" s="82" t="str">
        <f t="shared" si="162"/>
        <v>mardi</v>
      </c>
      <c r="D2565" s="87"/>
      <c r="E2565" s="115" t="str">
        <f t="shared" si="163"/>
        <v/>
      </c>
      <c r="F2565" s="115" t="str">
        <f t="shared" si="164"/>
        <v/>
      </c>
      <c r="G2565" s="116" t="str">
        <f>IF(ISNONTEXT(D2565),"",E2565-MAX($F$2:F2564))</f>
        <v/>
      </c>
      <c r="H2565" s="97"/>
      <c r="I2565" s="74" t="str">
        <f ca="1">IF(D2565="N",COUNTIF(INDIRECT(ADDRESS(MATCH(Plages!$D$19,'Planning annuel mixing coater'!$B:$B),4)):D2565,"N"),IF(D2565="N1",COUNTIF($D$9:D2565,"N1"),""))</f>
        <v/>
      </c>
      <c r="J2565" s="96" t="str">
        <f>IF(D2565="","",COUNTA(D2564:D2565)-(COUNTA(D2565:D2565)-1))</f>
        <v/>
      </c>
    </row>
    <row r="2566" spans="1:10" thickBot="1">
      <c r="A2566" s="117"/>
      <c r="B2566" s="70">
        <f t="shared" si="165"/>
        <v>46358</v>
      </c>
      <c r="C2566" s="82" t="str">
        <f t="shared" si="162"/>
        <v>mercredi</v>
      </c>
      <c r="D2566" s="87"/>
      <c r="E2566" s="115" t="str">
        <f t="shared" si="163"/>
        <v/>
      </c>
      <c r="F2566" s="115" t="str">
        <f t="shared" si="164"/>
        <v/>
      </c>
      <c r="G2566" s="116" t="str">
        <f>IF(ISNONTEXT(D2566),"",E2566-MAX($F$2:F2565))</f>
        <v/>
      </c>
      <c r="H2566" s="97"/>
      <c r="I2566" s="74" t="str">
        <f ca="1">IF(D2566="N",COUNTIF(INDIRECT(ADDRESS(MATCH(Plages!$D$19,'Planning annuel mixing coater'!$B:$B),4)):D2566,"N"),IF(D2566="N1",COUNTIF($D$9:D2566,"N1"),""))</f>
        <v/>
      </c>
      <c r="J2566" s="96" t="str">
        <f>IF(D2566="","",COUNTA(D2564:D2566)-(COUNTA(D2566:D2566)-1))</f>
        <v/>
      </c>
    </row>
    <row r="2567" spans="1:10" thickBot="1">
      <c r="A2567" s="117"/>
      <c r="B2567" s="70">
        <f t="shared" si="165"/>
        <v>46359</v>
      </c>
      <c r="C2567" s="82" t="str">
        <f t="shared" si="162"/>
        <v>jeudi</v>
      </c>
      <c r="D2567" s="87"/>
      <c r="E2567" s="115" t="str">
        <f t="shared" si="163"/>
        <v/>
      </c>
      <c r="F2567" s="115" t="str">
        <f t="shared" si="164"/>
        <v/>
      </c>
      <c r="G2567" s="116" t="str">
        <f>IF(ISNONTEXT(D2567),"",E2567-MAX($F$2:F2566))</f>
        <v/>
      </c>
      <c r="H2567" s="97"/>
      <c r="I2567" s="74" t="str">
        <f ca="1">IF(D2567="N",COUNTIF(INDIRECT(ADDRESS(MATCH(Plages!$D$19,'Planning annuel mixing coater'!$B:$B),4)):D2567,"N"),IF(D2567="N1",COUNTIF($D$9:D2567,"N1"),""))</f>
        <v/>
      </c>
      <c r="J2567" s="96" t="str">
        <f>IF(D2567="","",COUNTA(D2564:D2567)-(COUNTA(D2567:D2567)-1))</f>
        <v/>
      </c>
    </row>
    <row r="2568" spans="1:10" thickBot="1">
      <c r="A2568" s="117"/>
      <c r="B2568" s="70">
        <f t="shared" si="165"/>
        <v>46360</v>
      </c>
      <c r="C2568" s="82" t="str">
        <f t="shared" si="162"/>
        <v>vendredi</v>
      </c>
      <c r="D2568" s="87"/>
      <c r="E2568" s="115" t="str">
        <f t="shared" si="163"/>
        <v/>
      </c>
      <c r="F2568" s="115" t="str">
        <f t="shared" si="164"/>
        <v/>
      </c>
      <c r="G2568" s="116" t="str">
        <f>IF(ISNONTEXT(D2568),"",E2568-MAX($F$2:F2567))</f>
        <v/>
      </c>
      <c r="H2568" s="97"/>
      <c r="I2568" s="74" t="str">
        <f ca="1">IF(D2568="N",COUNTIF(INDIRECT(ADDRESS(MATCH(Plages!$D$19,'Planning annuel mixing coater'!$B:$B),4)):D2568,"N"),IF(D2568="N1",COUNTIF($D$9:D2568,"N1"),""))</f>
        <v/>
      </c>
      <c r="J2568" s="96" t="str">
        <f>IF(D2568="","",COUNTA(D2564:D2568)-(COUNTA(D2568:D2568)-1))</f>
        <v/>
      </c>
    </row>
    <row r="2569" spans="1:10" thickBot="1">
      <c r="A2569" s="117"/>
      <c r="B2569" s="70">
        <f t="shared" si="165"/>
        <v>46361</v>
      </c>
      <c r="C2569" s="82" t="str">
        <f t="shared" si="162"/>
        <v>samedi</v>
      </c>
      <c r="D2569" s="87"/>
      <c r="E2569" s="115" t="str">
        <f t="shared" si="163"/>
        <v/>
      </c>
      <c r="F2569" s="115" t="str">
        <f t="shared" si="164"/>
        <v/>
      </c>
      <c r="G2569" s="116" t="str">
        <f>IF(ISNONTEXT(D2569),"",E2569-MAX($F$2:F2568))</f>
        <v/>
      </c>
      <c r="H2569" s="97"/>
      <c r="I2569" s="74" t="str">
        <f ca="1">IF(D2569="N",COUNTIF(INDIRECT(ADDRESS(MATCH(Plages!$D$19,'Planning annuel mixing coater'!$B:$B),4)):D2569,"N"),IF(D2569="N1",COUNTIF($D$9:D2569,"N1"),""))</f>
        <v/>
      </c>
      <c r="J2569" s="96" t="str">
        <f>IF(D2569="","",COUNTA(D2564:D2569)-(COUNTA(D2569:D2569)-1))</f>
        <v/>
      </c>
    </row>
    <row r="2570" spans="1:10" thickBot="1">
      <c r="A2570" s="117"/>
      <c r="B2570" s="70">
        <f t="shared" si="165"/>
        <v>46362</v>
      </c>
      <c r="C2570" s="82" t="str">
        <f t="shared" si="162"/>
        <v>dimanche</v>
      </c>
      <c r="D2570" s="87"/>
      <c r="E2570" s="115" t="str">
        <f t="shared" si="163"/>
        <v/>
      </c>
      <c r="F2570" s="115" t="str">
        <f t="shared" si="164"/>
        <v/>
      </c>
      <c r="G2570" s="116" t="str">
        <f>IF(ISNONTEXT(D2570),"",E2570-MAX($F$2:F2569))</f>
        <v/>
      </c>
      <c r="H2570" s="98"/>
      <c r="I2570" s="74" t="str">
        <f ca="1">IF(D2570="N",COUNTIF(INDIRECT(ADDRESS(MATCH(Plages!$D$19,'Planning annuel mixing coater'!$B:$B),4)):D2570,"N"),IF(D2570="N1",COUNTIF($D$9:D2570,"N1"),""))</f>
        <v/>
      </c>
      <c r="J2570" s="96" t="str">
        <f>IF(D2570="","",COUNTA(D2564:D2570)-(COUNTA(D2570:D2570)-1))</f>
        <v/>
      </c>
    </row>
    <row r="2571" spans="1:10" thickBot="1">
      <c r="A2571" s="117"/>
      <c r="B2571" s="70">
        <f t="shared" si="165"/>
        <v>46363</v>
      </c>
      <c r="C2571" s="82" t="str">
        <f t="shared" si="162"/>
        <v>lundi</v>
      </c>
      <c r="D2571" s="87"/>
      <c r="E2571" s="115" t="str">
        <f t="shared" si="163"/>
        <v/>
      </c>
      <c r="F2571" s="115" t="str">
        <f t="shared" si="164"/>
        <v/>
      </c>
      <c r="G2571" s="116" t="str">
        <f>IF(ISNONTEXT(D2571),"",E2571-MAX($F$2:F2570))</f>
        <v/>
      </c>
      <c r="H2571" s="97"/>
      <c r="I2571" s="74" t="str">
        <f ca="1">IF(D2571="N",COUNTIF(INDIRECT(ADDRESS(MATCH(Plages!$D$19,'Planning annuel mixing coater'!$B:$B),4)):D2571,"N"),IF(D2571="N1",COUNTIF($D$9:D2571,"N1"),""))</f>
        <v/>
      </c>
      <c r="J2571" s="96" t="str">
        <f>IF(D2571="","",COUNTA(D2564:D2571)-(COUNTA(D2571:D2571)-1))</f>
        <v/>
      </c>
    </row>
    <row r="2572" spans="1:10" thickBot="1">
      <c r="A2572" s="117"/>
      <c r="B2572" s="70">
        <f t="shared" si="165"/>
        <v>46364</v>
      </c>
      <c r="C2572" s="82" t="str">
        <f t="shared" si="162"/>
        <v>mardi</v>
      </c>
      <c r="D2572" s="87"/>
      <c r="E2572" s="115" t="str">
        <f t="shared" si="163"/>
        <v/>
      </c>
      <c r="F2572" s="115" t="str">
        <f t="shared" si="164"/>
        <v/>
      </c>
      <c r="G2572" s="116" t="str">
        <f>IF(ISNONTEXT(D2572),"",E2572-MAX($F$2:F2571))</f>
        <v/>
      </c>
      <c r="H2572" s="97"/>
      <c r="I2572" s="74" t="str">
        <f ca="1">IF(D2572="N",COUNTIF(INDIRECT(ADDRESS(MATCH(Plages!$D$19,'Planning annuel mixing coater'!$B:$B),4)):D2572,"N"),IF(D2572="N1",COUNTIF($D$9:D2572,"N1"),""))</f>
        <v/>
      </c>
      <c r="J2572" s="96" t="str">
        <f>IF(D2572="","",COUNTA(D2564:D2572)-(COUNTA(D2572:D2572)-1))</f>
        <v/>
      </c>
    </row>
    <row r="2573" spans="1:10" thickBot="1">
      <c r="A2573" s="117"/>
      <c r="B2573" s="70">
        <f t="shared" si="165"/>
        <v>46365</v>
      </c>
      <c r="C2573" s="82" t="str">
        <f t="shared" si="162"/>
        <v>mercredi</v>
      </c>
      <c r="D2573" s="87"/>
      <c r="E2573" s="115" t="str">
        <f t="shared" si="163"/>
        <v/>
      </c>
      <c r="F2573" s="115" t="str">
        <f t="shared" si="164"/>
        <v/>
      </c>
      <c r="G2573" s="116" t="str">
        <f>IF(ISNONTEXT(D2573),"",E2573-MAX($F$2:F2572))</f>
        <v/>
      </c>
      <c r="H2573" s="97"/>
      <c r="I2573" s="74" t="str">
        <f ca="1">IF(D2573="N",COUNTIF(INDIRECT(ADDRESS(MATCH(Plages!$D$19,'Planning annuel mixing coater'!$B:$B),4)):D2573,"N"),IF(D2573="N1",COUNTIF($D$9:D2573,"N1"),""))</f>
        <v/>
      </c>
      <c r="J2573" s="96" t="str">
        <f>IF(D2573="","",COUNTA(D2564:D2573)-(COUNTA(D2573:D2573)-1))</f>
        <v/>
      </c>
    </row>
    <row r="2574" spans="1:10" thickBot="1">
      <c r="A2574" s="117"/>
      <c r="B2574" s="70">
        <f t="shared" si="165"/>
        <v>46366</v>
      </c>
      <c r="C2574" s="82" t="str">
        <f t="shared" si="162"/>
        <v>jeudi</v>
      </c>
      <c r="D2574" s="87"/>
      <c r="E2574" s="115" t="str">
        <f t="shared" si="163"/>
        <v/>
      </c>
      <c r="F2574" s="115" t="str">
        <f t="shared" si="164"/>
        <v/>
      </c>
      <c r="G2574" s="116" t="str">
        <f>IF(ISNONTEXT(D2574),"",E2574-MAX($F$2:F2573))</f>
        <v/>
      </c>
      <c r="H2574" s="97"/>
      <c r="I2574" s="74" t="str">
        <f ca="1">IF(D2574="N",COUNTIF(INDIRECT(ADDRESS(MATCH(Plages!$D$19,'Planning annuel mixing coater'!$B:$B),4)):D2574,"N"),IF(D2574="N1",COUNTIF($D$9:D2574,"N1"),""))</f>
        <v/>
      </c>
      <c r="J2574" s="96" t="str">
        <f>IF(D2574="","",COUNTA(D2564:D2574)-(COUNTA(D2574:D2574)-1))</f>
        <v/>
      </c>
    </row>
    <row r="2575" spans="1:10" thickBot="1">
      <c r="A2575" s="117"/>
      <c r="B2575" s="70">
        <f t="shared" si="165"/>
        <v>46367</v>
      </c>
      <c r="C2575" s="82" t="str">
        <f t="shared" si="162"/>
        <v>vendredi</v>
      </c>
      <c r="D2575" s="87"/>
      <c r="E2575" s="115" t="str">
        <f t="shared" si="163"/>
        <v/>
      </c>
      <c r="F2575" s="115" t="str">
        <f t="shared" si="164"/>
        <v/>
      </c>
      <c r="G2575" s="116" t="str">
        <f>IF(ISNONTEXT(D2575),"",E2575-MAX($F$2:F2574))</f>
        <v/>
      </c>
      <c r="H2575" s="97"/>
      <c r="I2575" s="74" t="str">
        <f ca="1">IF(D2575="N",COUNTIF(INDIRECT(ADDRESS(MATCH(Plages!$D$19,'Planning annuel mixing coater'!$B:$B),4)):D2575,"N"),IF(D2575="N1",COUNTIF($D$9:D2575,"N1"),""))</f>
        <v/>
      </c>
      <c r="J2575" s="96" t="str">
        <f>IF(D2575="","",COUNTA(D2564:D2575)-(COUNTA(D2575:D2575)-1))</f>
        <v/>
      </c>
    </row>
    <row r="2576" spans="1:10" thickBot="1">
      <c r="A2576" s="117"/>
      <c r="B2576" s="70">
        <f t="shared" si="165"/>
        <v>46368</v>
      </c>
      <c r="C2576" s="82" t="str">
        <f t="shared" si="162"/>
        <v>samedi</v>
      </c>
      <c r="D2576" s="87"/>
      <c r="E2576" s="115" t="str">
        <f t="shared" si="163"/>
        <v/>
      </c>
      <c r="F2576" s="115" t="str">
        <f t="shared" si="164"/>
        <v/>
      </c>
      <c r="G2576" s="116" t="str">
        <f>IF(ISNONTEXT(D2576),"",E2576-MAX($F$2:F2575))</f>
        <v/>
      </c>
      <c r="H2576" s="97"/>
      <c r="I2576" s="74" t="str">
        <f ca="1">IF(D2576="N",COUNTIF(INDIRECT(ADDRESS(MATCH(Plages!$D$19,'Planning annuel mixing coater'!$B:$B),4)):D2576,"N"),IF(D2576="N1",COUNTIF($D$9:D2576,"N1"),""))</f>
        <v/>
      </c>
      <c r="J2576" s="96" t="str">
        <f>IF(D2576="","",COUNTA(D2564:D2576)-(COUNTA(D2576:D2576)-1))</f>
        <v/>
      </c>
    </row>
    <row r="2577" spans="1:10" s="77" customFormat="1" thickBot="1">
      <c r="A2577" s="117"/>
      <c r="B2577" s="75">
        <f t="shared" si="165"/>
        <v>46369</v>
      </c>
      <c r="C2577" s="83" t="str">
        <f t="shared" si="162"/>
        <v>dimanche</v>
      </c>
      <c r="D2577" s="88"/>
      <c r="E2577" s="115" t="str">
        <f t="shared" si="163"/>
        <v/>
      </c>
      <c r="F2577" s="115" t="str">
        <f t="shared" si="164"/>
        <v/>
      </c>
      <c r="G2577" s="116" t="str">
        <f>IF(ISNONTEXT(D2577),"",E2577-MAX($F$2:F2576))</f>
        <v/>
      </c>
      <c r="H2577" s="98"/>
      <c r="I2577" s="76" t="str">
        <f ca="1">IF(D2577="N",COUNTIF(INDIRECT(ADDRESS(MATCH(Plages!$D$19,'Planning annuel mixing coater'!$B:$B),4)):D2577,"N"),IF(D2577="N1",COUNTIF($D$9:D2577,"N1"),""))</f>
        <v/>
      </c>
      <c r="J2577" s="99" t="str">
        <f>IF(D2577="","",COUNTA(D2564:D2577)-(COUNTA(D2577:D2577)-1))</f>
        <v/>
      </c>
    </row>
    <row r="2578" spans="1:10" ht="16.5" thickTop="1" thickBot="1">
      <c r="A2578" s="117"/>
      <c r="B2578" s="78">
        <f t="shared" si="165"/>
        <v>46370</v>
      </c>
      <c r="C2578" s="81" t="str">
        <f t="shared" si="162"/>
        <v>lundi</v>
      </c>
      <c r="D2578" s="89"/>
      <c r="E2578" s="115" t="str">
        <f t="shared" si="163"/>
        <v/>
      </c>
      <c r="F2578" s="115" t="str">
        <f t="shared" si="164"/>
        <v/>
      </c>
      <c r="G2578" s="116" t="str">
        <f>IF(ISNONTEXT(D2578),"",E2578-MAX($F$2:F2577))</f>
        <v/>
      </c>
      <c r="H2578" s="100"/>
      <c r="I2578" s="79" t="str">
        <f ca="1">IF(D2578="N",COUNTIF(INDIRECT(ADDRESS(MATCH(Plages!$D$19,'Planning annuel mixing coater'!$B:$B),4)):D2578,"N"),IF(D2578="N1",COUNTIF($D$9:D2578,"N1"),""))</f>
        <v/>
      </c>
      <c r="J2578" s="101" t="str">
        <f>IF(D2578="","",COUNTA(D2578:D2578)-(COUNTA(D2578:D2578)-1))</f>
        <v/>
      </c>
    </row>
    <row r="2579" spans="1:10" thickBot="1">
      <c r="A2579" s="117"/>
      <c r="B2579" s="70">
        <f t="shared" si="165"/>
        <v>46371</v>
      </c>
      <c r="C2579" s="82" t="str">
        <f t="shared" si="162"/>
        <v>mardi</v>
      </c>
      <c r="D2579" s="87"/>
      <c r="E2579" s="115" t="str">
        <f t="shared" si="163"/>
        <v/>
      </c>
      <c r="F2579" s="115" t="str">
        <f t="shared" si="164"/>
        <v/>
      </c>
      <c r="G2579" s="116" t="str">
        <f>IF(ISNONTEXT(D2579),"",E2579-MAX($F$2:F2578))</f>
        <v/>
      </c>
      <c r="H2579" s="97"/>
      <c r="I2579" s="74" t="str">
        <f ca="1">IF(D2579="N",COUNTIF(INDIRECT(ADDRESS(MATCH(Plages!$D$19,'Planning annuel mixing coater'!$B:$B),4)):D2579,"N"),IF(D2579="N1",COUNTIF($D$9:D2579,"N1"),""))</f>
        <v/>
      </c>
      <c r="J2579" s="96" t="str">
        <f>IF(D2579="","",COUNTA(D2578:D2579)-(COUNTA(D2579:D2579)-1))</f>
        <v/>
      </c>
    </row>
    <row r="2580" spans="1:10" thickBot="1">
      <c r="A2580" s="117"/>
      <c r="B2580" s="70">
        <f t="shared" si="165"/>
        <v>46372</v>
      </c>
      <c r="C2580" s="82" t="str">
        <f t="shared" si="162"/>
        <v>mercredi</v>
      </c>
      <c r="D2580" s="87"/>
      <c r="E2580" s="115" t="str">
        <f t="shared" si="163"/>
        <v/>
      </c>
      <c r="F2580" s="115" t="str">
        <f t="shared" si="164"/>
        <v/>
      </c>
      <c r="G2580" s="116" t="str">
        <f>IF(ISNONTEXT(D2580),"",E2580-MAX($F$2:F2579))</f>
        <v/>
      </c>
      <c r="H2580" s="97"/>
      <c r="I2580" s="74" t="str">
        <f ca="1">IF(D2580="N",COUNTIF(INDIRECT(ADDRESS(MATCH(Plages!$D$19,'Planning annuel mixing coater'!$B:$B),4)):D2580,"N"),IF(D2580="N1",COUNTIF($D$9:D2580,"N1"),""))</f>
        <v/>
      </c>
      <c r="J2580" s="96" t="str">
        <f>IF(D2580="","",COUNTA(D2578:D2580)-(COUNTA(D2580:D2580)-1))</f>
        <v/>
      </c>
    </row>
    <row r="2581" spans="1:10" thickBot="1">
      <c r="A2581" s="117"/>
      <c r="B2581" s="70">
        <f t="shared" si="165"/>
        <v>46373</v>
      </c>
      <c r="C2581" s="82" t="str">
        <f t="shared" si="162"/>
        <v>jeudi</v>
      </c>
      <c r="D2581" s="87"/>
      <c r="E2581" s="115" t="str">
        <f t="shared" si="163"/>
        <v/>
      </c>
      <c r="F2581" s="115" t="str">
        <f t="shared" si="164"/>
        <v/>
      </c>
      <c r="G2581" s="116" t="str">
        <f>IF(ISNONTEXT(D2581),"",E2581-MAX($F$2:F2580))</f>
        <v/>
      </c>
      <c r="H2581" s="97"/>
      <c r="I2581" s="74" t="str">
        <f ca="1">IF(D2581="N",COUNTIF(INDIRECT(ADDRESS(MATCH(Plages!$D$19,'Planning annuel mixing coater'!$B:$B),4)):D2581,"N"),IF(D2581="N1",COUNTIF($D$9:D2581,"N1"),""))</f>
        <v/>
      </c>
      <c r="J2581" s="96" t="str">
        <f>IF(D2581="","",COUNTA(D2578:D2581)-(COUNTA(D2581:D2581)-1))</f>
        <v/>
      </c>
    </row>
    <row r="2582" spans="1:10" thickBot="1">
      <c r="A2582" s="117"/>
      <c r="B2582" s="70">
        <f t="shared" si="165"/>
        <v>46374</v>
      </c>
      <c r="C2582" s="82" t="str">
        <f t="shared" si="162"/>
        <v>vendredi</v>
      </c>
      <c r="D2582" s="87"/>
      <c r="E2582" s="115" t="str">
        <f t="shared" si="163"/>
        <v/>
      </c>
      <c r="F2582" s="115" t="str">
        <f t="shared" si="164"/>
        <v/>
      </c>
      <c r="G2582" s="116" t="str">
        <f>IF(ISNONTEXT(D2582),"",E2582-MAX($F$2:F2581))</f>
        <v/>
      </c>
      <c r="H2582" s="97"/>
      <c r="I2582" s="74" t="str">
        <f ca="1">IF(D2582="N",COUNTIF(INDIRECT(ADDRESS(MATCH(Plages!$D$19,'Planning annuel mixing coater'!$B:$B),4)):D2582,"N"),IF(D2582="N1",COUNTIF($D$9:D2582,"N1"),""))</f>
        <v/>
      </c>
      <c r="J2582" s="96" t="str">
        <f>IF(D2582="","",COUNTA(D2578:D2582)-(COUNTA(D2582:D2582)-1))</f>
        <v/>
      </c>
    </row>
    <row r="2583" spans="1:10" thickBot="1">
      <c r="A2583" s="117"/>
      <c r="B2583" s="70">
        <f t="shared" si="165"/>
        <v>46375</v>
      </c>
      <c r="C2583" s="82" t="str">
        <f t="shared" si="162"/>
        <v>samedi</v>
      </c>
      <c r="D2583" s="87"/>
      <c r="E2583" s="115" t="str">
        <f t="shared" si="163"/>
        <v/>
      </c>
      <c r="F2583" s="115" t="str">
        <f t="shared" si="164"/>
        <v/>
      </c>
      <c r="G2583" s="116" t="str">
        <f>IF(ISNONTEXT(D2583),"",E2583-MAX($F$2:F2582))</f>
        <v/>
      </c>
      <c r="H2583" s="97"/>
      <c r="I2583" s="74" t="str">
        <f ca="1">IF(D2583="N",COUNTIF(INDIRECT(ADDRESS(MATCH(Plages!$D$19,'Planning annuel mixing coater'!$B:$B),4)):D2583,"N"),IF(D2583="N1",COUNTIF($D$9:D2583,"N1"),""))</f>
        <v/>
      </c>
      <c r="J2583" s="96" t="str">
        <f>IF(D2583="","",COUNTA(D2578:D2583)-(COUNTA(D2583:D2583)-1))</f>
        <v/>
      </c>
    </row>
    <row r="2584" spans="1:10" thickBot="1">
      <c r="A2584" s="117"/>
      <c r="B2584" s="70">
        <f t="shared" si="165"/>
        <v>46376</v>
      </c>
      <c r="C2584" s="82" t="str">
        <f t="shared" si="162"/>
        <v>dimanche</v>
      </c>
      <c r="D2584" s="87"/>
      <c r="E2584" s="115" t="str">
        <f t="shared" si="163"/>
        <v/>
      </c>
      <c r="F2584" s="115" t="str">
        <f t="shared" si="164"/>
        <v/>
      </c>
      <c r="G2584" s="116" t="str">
        <f>IF(ISNONTEXT(D2584),"",E2584-MAX($F$2:F2583))</f>
        <v/>
      </c>
      <c r="H2584" s="98"/>
      <c r="I2584" s="74" t="str">
        <f ca="1">IF(D2584="N",COUNTIF(INDIRECT(ADDRESS(MATCH(Plages!$D$19,'Planning annuel mixing coater'!$B:$B),4)):D2584,"N"),IF(D2584="N1",COUNTIF($D$9:D2584,"N1"),""))</f>
        <v/>
      </c>
      <c r="J2584" s="96" t="str">
        <f>IF(D2584="","",COUNTA(D2578:D2584)-(COUNTA(D2584:D2584)-1))</f>
        <v/>
      </c>
    </row>
    <row r="2585" spans="1:10" thickBot="1">
      <c r="A2585" s="117"/>
      <c r="B2585" s="70">
        <f t="shared" si="165"/>
        <v>46377</v>
      </c>
      <c r="C2585" s="82" t="str">
        <f t="shared" si="162"/>
        <v>lundi</v>
      </c>
      <c r="D2585" s="87"/>
      <c r="E2585" s="115" t="str">
        <f t="shared" si="163"/>
        <v/>
      </c>
      <c r="F2585" s="115" t="str">
        <f t="shared" si="164"/>
        <v/>
      </c>
      <c r="G2585" s="116" t="str">
        <f>IF(ISNONTEXT(D2585),"",E2585-MAX($F$2:F2584))</f>
        <v/>
      </c>
      <c r="H2585" s="97"/>
      <c r="I2585" s="74" t="str">
        <f ca="1">IF(D2585="N",COUNTIF(INDIRECT(ADDRESS(MATCH(Plages!$D$19,'Planning annuel mixing coater'!$B:$B),4)):D2585,"N"),IF(D2585="N1",COUNTIF($D$9:D2585,"N1"),""))</f>
        <v/>
      </c>
      <c r="J2585" s="96" t="str">
        <f>IF(D2585="","",COUNTA(D2578:D2585)-(COUNTA(D2585:D2585)-1))</f>
        <v/>
      </c>
    </row>
    <row r="2586" spans="1:10" thickBot="1">
      <c r="A2586" s="117"/>
      <c r="B2586" s="70">
        <f t="shared" si="165"/>
        <v>46378</v>
      </c>
      <c r="C2586" s="82" t="str">
        <f t="shared" si="162"/>
        <v>mardi</v>
      </c>
      <c r="D2586" s="87"/>
      <c r="E2586" s="115" t="str">
        <f t="shared" si="163"/>
        <v/>
      </c>
      <c r="F2586" s="115" t="str">
        <f t="shared" si="164"/>
        <v/>
      </c>
      <c r="G2586" s="116" t="str">
        <f>IF(ISNONTEXT(D2586),"",E2586-MAX($F$2:F2585))</f>
        <v/>
      </c>
      <c r="H2586" s="97"/>
      <c r="I2586" s="74" t="str">
        <f ca="1">IF(D2586="N",COUNTIF(INDIRECT(ADDRESS(MATCH(Plages!$D$19,'Planning annuel mixing coater'!$B:$B),4)):D2586,"N"),IF(D2586="N1",COUNTIF($D$9:D2586,"N1"),""))</f>
        <v/>
      </c>
      <c r="J2586" s="96" t="str">
        <f>IF(D2586="","",COUNTA(D2578:D2586)-(COUNTA(D2586:D2586)-1))</f>
        <v/>
      </c>
    </row>
    <row r="2587" spans="1:10" thickBot="1">
      <c r="A2587" s="117"/>
      <c r="B2587" s="70">
        <f t="shared" si="165"/>
        <v>46379</v>
      </c>
      <c r="C2587" s="82" t="str">
        <f t="shared" si="162"/>
        <v>mercredi</v>
      </c>
      <c r="D2587" s="87"/>
      <c r="E2587" s="115" t="str">
        <f t="shared" si="163"/>
        <v/>
      </c>
      <c r="F2587" s="115" t="str">
        <f t="shared" si="164"/>
        <v/>
      </c>
      <c r="G2587" s="116" t="str">
        <f>IF(ISNONTEXT(D2587),"",E2587-MAX($F$2:F2586))</f>
        <v/>
      </c>
      <c r="H2587" s="97"/>
      <c r="I2587" s="74" t="str">
        <f ca="1">IF(D2587="N",COUNTIF(INDIRECT(ADDRESS(MATCH(Plages!$D$19,'Planning annuel mixing coater'!$B:$B),4)):D2587,"N"),IF(D2587="N1",COUNTIF($D$9:D2587,"N1"),""))</f>
        <v/>
      </c>
      <c r="J2587" s="96" t="str">
        <f>IF(D2587="","",COUNTA(D2578:D2587)-(COUNTA(D2587:D2587)-1))</f>
        <v/>
      </c>
    </row>
    <row r="2588" spans="1:10" thickBot="1">
      <c r="A2588" s="117"/>
      <c r="B2588" s="70">
        <f t="shared" si="165"/>
        <v>46380</v>
      </c>
      <c r="C2588" s="82" t="str">
        <f t="shared" si="162"/>
        <v>jeudi</v>
      </c>
      <c r="D2588" s="87"/>
      <c r="E2588" s="115" t="str">
        <f t="shared" si="163"/>
        <v/>
      </c>
      <c r="F2588" s="115" t="str">
        <f t="shared" si="164"/>
        <v/>
      </c>
      <c r="G2588" s="116" t="str">
        <f>IF(ISNONTEXT(D2588),"",E2588-MAX($F$2:F2587))</f>
        <v/>
      </c>
      <c r="H2588" s="97"/>
      <c r="I2588" s="74" t="str">
        <f ca="1">IF(D2588="N",COUNTIF(INDIRECT(ADDRESS(MATCH(Plages!$D$19,'Planning annuel mixing coater'!$B:$B),4)):D2588,"N"),IF(D2588="N1",COUNTIF($D$9:D2588,"N1"),""))</f>
        <v/>
      </c>
      <c r="J2588" s="96" t="str">
        <f>IF(D2588="","",COUNTA(D2578:D2588)-(COUNTA(D2588:D2588)-1))</f>
        <v/>
      </c>
    </row>
    <row r="2589" spans="1:10" thickBot="1">
      <c r="A2589" s="117"/>
      <c r="B2589" s="70">
        <f t="shared" si="165"/>
        <v>46381</v>
      </c>
      <c r="C2589" s="82" t="str">
        <f t="shared" si="162"/>
        <v>vendredi</v>
      </c>
      <c r="D2589" s="87"/>
      <c r="E2589" s="115" t="str">
        <f t="shared" si="163"/>
        <v/>
      </c>
      <c r="F2589" s="115" t="str">
        <f t="shared" si="164"/>
        <v/>
      </c>
      <c r="G2589" s="116" t="str">
        <f>IF(ISNONTEXT(D2589),"",E2589-MAX($F$2:F2588))</f>
        <v/>
      </c>
      <c r="H2589" s="97"/>
      <c r="I2589" s="74" t="str">
        <f ca="1">IF(D2589="N",COUNTIF(INDIRECT(ADDRESS(MATCH(Plages!$D$19,'Planning annuel mixing coater'!$B:$B),4)):D2589,"N"),IF(D2589="N1",COUNTIF($D$9:D2589,"N1"),""))</f>
        <v/>
      </c>
      <c r="J2589" s="96" t="str">
        <f>IF(D2589="","",COUNTA(D2578:D2589)-(COUNTA(D2589:D2589)-1))</f>
        <v/>
      </c>
    </row>
    <row r="2590" spans="1:10" thickBot="1">
      <c r="A2590" s="117"/>
      <c r="B2590" s="70">
        <f t="shared" si="165"/>
        <v>46382</v>
      </c>
      <c r="C2590" s="82" t="str">
        <f t="shared" ref="C2590:C2653" si="166">IF(B2590="","",TEXT(B2590,"jjjj"))</f>
        <v>samedi</v>
      </c>
      <c r="D2590" s="87"/>
      <c r="E2590" s="115" t="str">
        <f t="shared" ref="E2590:E2653" si="167">IF(D2590="","",B2590+VLOOKUP(D2590,Plageh,2,0))</f>
        <v/>
      </c>
      <c r="F2590" s="115" t="str">
        <f t="shared" ref="F2590:F2653" si="168">IF(D2590="","",B2590+VLOOKUP(D2590,Plageh,3,0))</f>
        <v/>
      </c>
      <c r="G2590" s="116" t="str">
        <f>IF(ISNONTEXT(D2590),"",E2590-MAX($F$2:F2589))</f>
        <v/>
      </c>
      <c r="H2590" s="97"/>
      <c r="I2590" s="74" t="str">
        <f ca="1">IF(D2590="N",COUNTIF(INDIRECT(ADDRESS(MATCH(Plages!$D$19,'Planning annuel mixing coater'!$B:$B),4)):D2590,"N"),IF(D2590="N1",COUNTIF($D$9:D2590,"N1"),""))</f>
        <v/>
      </c>
      <c r="J2590" s="96" t="str">
        <f>IF(D2590="","",COUNTA(D2578:D2590)-(COUNTA(D2590:D2590)-1))</f>
        <v/>
      </c>
    </row>
    <row r="2591" spans="1:10" s="77" customFormat="1" thickBot="1">
      <c r="A2591" s="117"/>
      <c r="B2591" s="75">
        <f t="shared" si="165"/>
        <v>46383</v>
      </c>
      <c r="C2591" s="83" t="str">
        <f t="shared" si="166"/>
        <v>dimanche</v>
      </c>
      <c r="D2591" s="88"/>
      <c r="E2591" s="115" t="str">
        <f t="shared" si="167"/>
        <v/>
      </c>
      <c r="F2591" s="115" t="str">
        <f t="shared" si="168"/>
        <v/>
      </c>
      <c r="G2591" s="116" t="str">
        <f>IF(ISNONTEXT(D2591),"",E2591-MAX($F$2:F2590))</f>
        <v/>
      </c>
      <c r="H2591" s="98"/>
      <c r="I2591" s="76" t="str">
        <f ca="1">IF(D2591="N",COUNTIF(INDIRECT(ADDRESS(MATCH(Plages!$D$19,'Planning annuel mixing coater'!$B:$B),4)):D2591,"N"),IF(D2591="N1",COUNTIF($D$9:D2591,"N1"),""))</f>
        <v/>
      </c>
      <c r="J2591" s="99" t="str">
        <f>IF(D2591="","",COUNTA(D2578:D2591)-(COUNTA(D2591:D2591)-1))</f>
        <v/>
      </c>
    </row>
    <row r="2592" spans="1:10" ht="16.5" thickTop="1" thickBot="1">
      <c r="A2592" s="117"/>
      <c r="B2592" s="78">
        <f t="shared" si="165"/>
        <v>46384</v>
      </c>
      <c r="C2592" s="81" t="str">
        <f t="shared" si="166"/>
        <v>lundi</v>
      </c>
      <c r="D2592" s="89"/>
      <c r="E2592" s="115" t="str">
        <f t="shared" si="167"/>
        <v/>
      </c>
      <c r="F2592" s="115" t="str">
        <f t="shared" si="168"/>
        <v/>
      </c>
      <c r="G2592" s="116" t="str">
        <f>IF(ISNONTEXT(D2592),"",E2592-MAX($F$2:F2591))</f>
        <v/>
      </c>
      <c r="H2592" s="100"/>
      <c r="I2592" s="79" t="str">
        <f ca="1">IF(D2592="N",COUNTIF(INDIRECT(ADDRESS(MATCH(Plages!$D$19,'Planning annuel mixing coater'!$B:$B),4)):D2592,"N"),IF(D2592="N1",COUNTIF($D$9:D2592,"N1"),""))</f>
        <v/>
      </c>
      <c r="J2592" s="101" t="str">
        <f>IF(D2592="","",COUNTA(D2592:D2592)-(COUNTA(D2592:D2592)-1))</f>
        <v/>
      </c>
    </row>
    <row r="2593" spans="1:10" thickBot="1">
      <c r="A2593" s="117"/>
      <c r="B2593" s="70">
        <f t="shared" si="165"/>
        <v>46385</v>
      </c>
      <c r="C2593" s="82" t="str">
        <f t="shared" si="166"/>
        <v>mardi</v>
      </c>
      <c r="D2593" s="87"/>
      <c r="E2593" s="115" t="str">
        <f t="shared" si="167"/>
        <v/>
      </c>
      <c r="F2593" s="115" t="str">
        <f t="shared" si="168"/>
        <v/>
      </c>
      <c r="G2593" s="116" t="str">
        <f>IF(ISNONTEXT(D2593),"",E2593-MAX($F$2:F2592))</f>
        <v/>
      </c>
      <c r="H2593" s="97"/>
      <c r="I2593" s="74" t="str">
        <f ca="1">IF(D2593="N",COUNTIF(INDIRECT(ADDRESS(MATCH(Plages!$D$19,'Planning annuel mixing coater'!$B:$B),4)):D2593,"N"),IF(D2593="N1",COUNTIF($D$9:D2593,"N1"),""))</f>
        <v/>
      </c>
      <c r="J2593" s="96" t="str">
        <f>IF(D2593="","",COUNTA(D2592:D2593)-(COUNTA(D2593:D2593)-1))</f>
        <v/>
      </c>
    </row>
    <row r="2594" spans="1:10" thickBot="1">
      <c r="A2594" s="117"/>
      <c r="B2594" s="70">
        <f t="shared" si="165"/>
        <v>46386</v>
      </c>
      <c r="C2594" s="82" t="str">
        <f t="shared" si="166"/>
        <v>mercredi</v>
      </c>
      <c r="D2594" s="87"/>
      <c r="E2594" s="115" t="str">
        <f t="shared" si="167"/>
        <v/>
      </c>
      <c r="F2594" s="115" t="str">
        <f t="shared" si="168"/>
        <v/>
      </c>
      <c r="G2594" s="116" t="str">
        <f>IF(ISNONTEXT(D2594),"",E2594-MAX($F$2:F2593))</f>
        <v/>
      </c>
      <c r="H2594" s="97"/>
      <c r="I2594" s="74" t="str">
        <f ca="1">IF(D2594="N",COUNTIF(INDIRECT(ADDRESS(MATCH(Plages!$D$19,'Planning annuel mixing coater'!$B:$B),4)):D2594,"N"),IF(D2594="N1",COUNTIF($D$9:D2594,"N1"),""))</f>
        <v/>
      </c>
      <c r="J2594" s="96" t="str">
        <f>IF(D2594="","",COUNTA(D2592:D2594)-(COUNTA(D2594:D2594)-1))</f>
        <v/>
      </c>
    </row>
    <row r="2595" spans="1:10" thickBot="1">
      <c r="A2595" s="117"/>
      <c r="B2595" s="70">
        <f t="shared" si="165"/>
        <v>46387</v>
      </c>
      <c r="C2595" s="82" t="str">
        <f t="shared" si="166"/>
        <v>jeudi</v>
      </c>
      <c r="D2595" s="87"/>
      <c r="E2595" s="115" t="str">
        <f t="shared" si="167"/>
        <v/>
      </c>
      <c r="F2595" s="115" t="str">
        <f t="shared" si="168"/>
        <v/>
      </c>
      <c r="G2595" s="116" t="str">
        <f>IF(ISNONTEXT(D2595),"",E2595-MAX($F$2:F2594))</f>
        <v/>
      </c>
      <c r="H2595" s="97"/>
      <c r="I2595" s="74" t="str">
        <f ca="1">IF(D2595="N",COUNTIF(INDIRECT(ADDRESS(MATCH(Plages!$D$19,'Planning annuel mixing coater'!$B:$B),4)):D2595,"N"),IF(D2595="N1",COUNTIF($D$9:D2595,"N1"),""))</f>
        <v/>
      </c>
      <c r="J2595" s="96" t="str">
        <f>IF(D2595="","",COUNTA(D2592:D2595)-(COUNTA(D2595:D2595)-1))</f>
        <v/>
      </c>
    </row>
    <row r="2596" spans="1:10" thickBot="1">
      <c r="A2596" s="117"/>
      <c r="B2596" s="70">
        <f t="shared" si="165"/>
        <v>46388</v>
      </c>
      <c r="C2596" s="82" t="str">
        <f t="shared" si="166"/>
        <v>vendredi</v>
      </c>
      <c r="D2596" s="87"/>
      <c r="E2596" s="115" t="str">
        <f t="shared" si="167"/>
        <v/>
      </c>
      <c r="F2596" s="115" t="str">
        <f t="shared" si="168"/>
        <v/>
      </c>
      <c r="G2596" s="116" t="str">
        <f>IF(ISNONTEXT(D2596),"",E2596-MAX($F$2:F2595))</f>
        <v/>
      </c>
      <c r="H2596" s="97"/>
      <c r="I2596" s="74" t="str">
        <f ca="1">IF(D2596="N",COUNTIF(INDIRECT(ADDRESS(MATCH(Plages!$D$19,'Planning annuel mixing coater'!$B:$B),4)):D2596,"N"),IF(D2596="N1",COUNTIF($D$9:D2596,"N1"),""))</f>
        <v/>
      </c>
      <c r="J2596" s="96" t="str">
        <f>IF(D2596="","",COUNTA(D2592:D2596)-(COUNTA(D2596:D2596)-1))</f>
        <v/>
      </c>
    </row>
    <row r="2597" spans="1:10" thickBot="1">
      <c r="A2597" s="117"/>
      <c r="B2597" s="70">
        <f t="shared" si="165"/>
        <v>46389</v>
      </c>
      <c r="C2597" s="82" t="str">
        <f t="shared" si="166"/>
        <v>samedi</v>
      </c>
      <c r="D2597" s="87"/>
      <c r="E2597" s="115" t="str">
        <f t="shared" si="167"/>
        <v/>
      </c>
      <c r="F2597" s="115" t="str">
        <f t="shared" si="168"/>
        <v/>
      </c>
      <c r="G2597" s="116" t="str">
        <f>IF(ISNONTEXT(D2597),"",E2597-MAX($F$2:F2596))</f>
        <v/>
      </c>
      <c r="H2597" s="97"/>
      <c r="I2597" s="74" t="str">
        <f ca="1">IF(D2597="N",COUNTIF(INDIRECT(ADDRESS(MATCH(Plages!$D$19,'Planning annuel mixing coater'!$B:$B),4)):D2597,"N"),IF(D2597="N1",COUNTIF($D$9:D2597,"N1"),""))</f>
        <v/>
      </c>
      <c r="J2597" s="96" t="str">
        <f>IF(D2597="","",COUNTA(D2592:D2597)-(COUNTA(D2597:D2597)-1))</f>
        <v/>
      </c>
    </row>
    <row r="2598" spans="1:10" thickBot="1">
      <c r="A2598" s="117"/>
      <c r="B2598" s="70">
        <f t="shared" si="165"/>
        <v>46390</v>
      </c>
      <c r="C2598" s="82" t="str">
        <f t="shared" si="166"/>
        <v>dimanche</v>
      </c>
      <c r="D2598" s="87"/>
      <c r="E2598" s="115" t="str">
        <f t="shared" si="167"/>
        <v/>
      </c>
      <c r="F2598" s="115" t="str">
        <f t="shared" si="168"/>
        <v/>
      </c>
      <c r="G2598" s="116" t="str">
        <f>IF(ISNONTEXT(D2598),"",E2598-MAX($F$2:F2597))</f>
        <v/>
      </c>
      <c r="H2598" s="98"/>
      <c r="I2598" s="74" t="str">
        <f ca="1">IF(D2598="N",COUNTIF(INDIRECT(ADDRESS(MATCH(Plages!$D$19,'Planning annuel mixing coater'!$B:$B),4)):D2598,"N"),IF(D2598="N1",COUNTIF($D$9:D2598,"N1"),""))</f>
        <v/>
      </c>
      <c r="J2598" s="96" t="str">
        <f>IF(D2598="","",COUNTA(D2592:D2598)-(COUNTA(D2598:D2598)-1))</f>
        <v/>
      </c>
    </row>
    <row r="2599" spans="1:10" thickBot="1">
      <c r="A2599" s="117"/>
      <c r="B2599" s="70">
        <f t="shared" si="165"/>
        <v>46391</v>
      </c>
      <c r="C2599" s="82" t="str">
        <f t="shared" si="166"/>
        <v>lundi</v>
      </c>
      <c r="D2599" s="87"/>
      <c r="E2599" s="115" t="str">
        <f t="shared" si="167"/>
        <v/>
      </c>
      <c r="F2599" s="115" t="str">
        <f t="shared" si="168"/>
        <v/>
      </c>
      <c r="G2599" s="116" t="str">
        <f>IF(ISNONTEXT(D2599),"",E2599-MAX($F$2:F2598))</f>
        <v/>
      </c>
      <c r="H2599" s="97"/>
      <c r="I2599" s="74" t="str">
        <f ca="1">IF(D2599="N",COUNTIF(INDIRECT(ADDRESS(MATCH(Plages!$D$19,'Planning annuel mixing coater'!$B:$B),4)):D2599,"N"),IF(D2599="N1",COUNTIF($D$9:D2599,"N1"),""))</f>
        <v/>
      </c>
      <c r="J2599" s="96" t="str">
        <f>IF(D2599="","",COUNTA(D2592:D2599)-(COUNTA(D2599:D2599)-1))</f>
        <v/>
      </c>
    </row>
    <row r="2600" spans="1:10" thickBot="1">
      <c r="A2600" s="117"/>
      <c r="B2600" s="70">
        <f t="shared" si="165"/>
        <v>46392</v>
      </c>
      <c r="C2600" s="82" t="str">
        <f t="shared" si="166"/>
        <v>mardi</v>
      </c>
      <c r="D2600" s="87"/>
      <c r="E2600" s="115" t="str">
        <f t="shared" si="167"/>
        <v/>
      </c>
      <c r="F2600" s="115" t="str">
        <f t="shared" si="168"/>
        <v/>
      </c>
      <c r="G2600" s="116" t="str">
        <f>IF(ISNONTEXT(D2600),"",E2600-MAX($F$2:F2599))</f>
        <v/>
      </c>
      <c r="H2600" s="97"/>
      <c r="I2600" s="74" t="str">
        <f ca="1">IF(D2600="N",COUNTIF(INDIRECT(ADDRESS(MATCH(Plages!$D$19,'Planning annuel mixing coater'!$B:$B),4)):D2600,"N"),IF(D2600="N1",COUNTIF($D$9:D2600,"N1"),""))</f>
        <v/>
      </c>
      <c r="J2600" s="96" t="str">
        <f>IF(D2600="","",COUNTA(D2592:D2600)-(COUNTA(D2600:D2600)-1))</f>
        <v/>
      </c>
    </row>
    <row r="2601" spans="1:10" thickBot="1">
      <c r="A2601" s="117"/>
      <c r="B2601" s="70">
        <f t="shared" si="165"/>
        <v>46393</v>
      </c>
      <c r="C2601" s="82" t="str">
        <f t="shared" si="166"/>
        <v>mercredi</v>
      </c>
      <c r="D2601" s="87"/>
      <c r="E2601" s="115" t="str">
        <f t="shared" si="167"/>
        <v/>
      </c>
      <c r="F2601" s="115" t="str">
        <f t="shared" si="168"/>
        <v/>
      </c>
      <c r="G2601" s="116" t="str">
        <f>IF(ISNONTEXT(D2601),"",E2601-MAX($F$2:F2600))</f>
        <v/>
      </c>
      <c r="H2601" s="97"/>
      <c r="I2601" s="74" t="str">
        <f ca="1">IF(D2601="N",COUNTIF(INDIRECT(ADDRESS(MATCH(Plages!$D$19,'Planning annuel mixing coater'!$B:$B),4)):D2601,"N"),IF(D2601="N1",COUNTIF($D$9:D2601,"N1"),""))</f>
        <v/>
      </c>
      <c r="J2601" s="96" t="str">
        <f>IF(D2601="","",COUNTA(D2592:D2601)-(COUNTA(D2601:D2601)-1))</f>
        <v/>
      </c>
    </row>
    <row r="2602" spans="1:10" thickBot="1">
      <c r="A2602" s="117"/>
      <c r="B2602" s="70">
        <f t="shared" si="165"/>
        <v>46394</v>
      </c>
      <c r="C2602" s="82" t="str">
        <f t="shared" si="166"/>
        <v>jeudi</v>
      </c>
      <c r="D2602" s="87"/>
      <c r="E2602" s="115" t="str">
        <f t="shared" si="167"/>
        <v/>
      </c>
      <c r="F2602" s="115" t="str">
        <f t="shared" si="168"/>
        <v/>
      </c>
      <c r="G2602" s="116" t="str">
        <f>IF(ISNONTEXT(D2602),"",E2602-MAX($F$2:F2601))</f>
        <v/>
      </c>
      <c r="H2602" s="97"/>
      <c r="I2602" s="74" t="str">
        <f ca="1">IF(D2602="N",COUNTIF(INDIRECT(ADDRESS(MATCH(Plages!$D$19,'Planning annuel mixing coater'!$B:$B),4)):D2602,"N"),IF(D2602="N1",COUNTIF($D$9:D2602,"N1"),""))</f>
        <v/>
      </c>
      <c r="J2602" s="96" t="str">
        <f>IF(D2602="","",COUNTA(D2592:D2602)-(COUNTA(D2602:D2602)-1))</f>
        <v/>
      </c>
    </row>
    <row r="2603" spans="1:10" thickBot="1">
      <c r="A2603" s="117"/>
      <c r="B2603" s="70">
        <f t="shared" si="165"/>
        <v>46395</v>
      </c>
      <c r="C2603" s="82" t="str">
        <f t="shared" si="166"/>
        <v>vendredi</v>
      </c>
      <c r="D2603" s="87"/>
      <c r="E2603" s="115" t="str">
        <f t="shared" si="167"/>
        <v/>
      </c>
      <c r="F2603" s="115" t="str">
        <f t="shared" si="168"/>
        <v/>
      </c>
      <c r="G2603" s="116" t="str">
        <f>IF(ISNONTEXT(D2603),"",E2603-MAX($F$2:F2602))</f>
        <v/>
      </c>
      <c r="H2603" s="97"/>
      <c r="I2603" s="74" t="str">
        <f ca="1">IF(D2603="N",COUNTIF(INDIRECT(ADDRESS(MATCH(Plages!$D$19,'Planning annuel mixing coater'!$B:$B),4)):D2603,"N"),IF(D2603="N1",COUNTIF($D$9:D2603,"N1"),""))</f>
        <v/>
      </c>
      <c r="J2603" s="96" t="str">
        <f>IF(D2603="","",COUNTA(D2592:D2603)-(COUNTA(D2603:D2603)-1))</f>
        <v/>
      </c>
    </row>
    <row r="2604" spans="1:10" thickBot="1">
      <c r="A2604" s="117"/>
      <c r="B2604" s="70">
        <f t="shared" si="165"/>
        <v>46396</v>
      </c>
      <c r="C2604" s="82" t="str">
        <f t="shared" si="166"/>
        <v>samedi</v>
      </c>
      <c r="D2604" s="87"/>
      <c r="E2604" s="115" t="str">
        <f t="shared" si="167"/>
        <v/>
      </c>
      <c r="F2604" s="115" t="str">
        <f t="shared" si="168"/>
        <v/>
      </c>
      <c r="G2604" s="116" t="str">
        <f>IF(ISNONTEXT(D2604),"",E2604-MAX($F$2:F2603))</f>
        <v/>
      </c>
      <c r="H2604" s="97"/>
      <c r="I2604" s="74" t="str">
        <f ca="1">IF(D2604="N",COUNTIF(INDIRECT(ADDRESS(MATCH(Plages!$D$19,'Planning annuel mixing coater'!$B:$B),4)):D2604,"N"),IF(D2604="N1",COUNTIF($D$9:D2604,"N1"),""))</f>
        <v/>
      </c>
      <c r="J2604" s="96" t="str">
        <f>IF(D2604="","",COUNTA(D2592:D2604)-(COUNTA(D2604:D2604)-1))</f>
        <v/>
      </c>
    </row>
    <row r="2605" spans="1:10" s="77" customFormat="1" thickBot="1">
      <c r="A2605" s="117"/>
      <c r="B2605" s="75">
        <f t="shared" si="165"/>
        <v>46397</v>
      </c>
      <c r="C2605" s="83" t="str">
        <f t="shared" si="166"/>
        <v>dimanche</v>
      </c>
      <c r="D2605" s="88"/>
      <c r="E2605" s="115" t="str">
        <f t="shared" si="167"/>
        <v/>
      </c>
      <c r="F2605" s="115" t="str">
        <f t="shared" si="168"/>
        <v/>
      </c>
      <c r="G2605" s="116" t="str">
        <f>IF(ISNONTEXT(D2605),"",E2605-MAX($F$2:F2604))</f>
        <v/>
      </c>
      <c r="H2605" s="98"/>
      <c r="I2605" s="76" t="str">
        <f ca="1">IF(D2605="N",COUNTIF(INDIRECT(ADDRESS(MATCH(Plages!$D$19,'Planning annuel mixing coater'!$B:$B),4)):D2605,"N"),IF(D2605="N1",COUNTIF($D$9:D2605,"N1"),""))</f>
        <v/>
      </c>
      <c r="J2605" s="99" t="str">
        <f>IF(D2605="","",COUNTA(D2592:D2605)-(COUNTA(D2605:D2605)-1))</f>
        <v/>
      </c>
    </row>
    <row r="2606" spans="1:10" ht="16.5" thickTop="1" thickBot="1">
      <c r="A2606" s="117"/>
      <c r="B2606" s="78">
        <f t="shared" si="165"/>
        <v>46398</v>
      </c>
      <c r="C2606" s="81" t="str">
        <f t="shared" si="166"/>
        <v>lundi</v>
      </c>
      <c r="D2606" s="89"/>
      <c r="E2606" s="115" t="str">
        <f t="shared" si="167"/>
        <v/>
      </c>
      <c r="F2606" s="115" t="str">
        <f t="shared" si="168"/>
        <v/>
      </c>
      <c r="G2606" s="116" t="str">
        <f>IF(ISNONTEXT(D2606),"",E2606-MAX($F$2:F2605))</f>
        <v/>
      </c>
      <c r="H2606" s="100"/>
      <c r="I2606" s="79" t="str">
        <f ca="1">IF(D2606="N",COUNTIF(INDIRECT(ADDRESS(MATCH(Plages!$D$19,'Planning annuel mixing coater'!$B:$B),4)):D2606,"N"),IF(D2606="N1",COUNTIF($D$9:D2606,"N1"),""))</f>
        <v/>
      </c>
      <c r="J2606" s="101" t="str">
        <f>IF(D2606="","",COUNTA(D2606:D2606)-(COUNTA(D2606:D2606)-1))</f>
        <v/>
      </c>
    </row>
    <row r="2607" spans="1:10" thickBot="1">
      <c r="A2607" s="117"/>
      <c r="B2607" s="70">
        <f t="shared" si="165"/>
        <v>46399</v>
      </c>
      <c r="C2607" s="82" t="str">
        <f t="shared" si="166"/>
        <v>mardi</v>
      </c>
      <c r="D2607" s="87"/>
      <c r="E2607" s="115" t="str">
        <f t="shared" si="167"/>
        <v/>
      </c>
      <c r="F2607" s="115" t="str">
        <f t="shared" si="168"/>
        <v/>
      </c>
      <c r="G2607" s="116" t="str">
        <f>IF(ISNONTEXT(D2607),"",E2607-MAX($F$2:F2606))</f>
        <v/>
      </c>
      <c r="H2607" s="97"/>
      <c r="I2607" s="74" t="str">
        <f ca="1">IF(D2607="N",COUNTIF(INDIRECT(ADDRESS(MATCH(Plages!$D$19,'Planning annuel mixing coater'!$B:$B),4)):D2607,"N"),IF(D2607="N1",COUNTIF($D$9:D2607,"N1"),""))</f>
        <v/>
      </c>
      <c r="J2607" s="96" t="str">
        <f>IF(D2607="","",COUNTA(D2606:D2607)-(COUNTA(D2607:D2607)-1))</f>
        <v/>
      </c>
    </row>
    <row r="2608" spans="1:10" thickBot="1">
      <c r="A2608" s="117"/>
      <c r="B2608" s="70">
        <f t="shared" si="165"/>
        <v>46400</v>
      </c>
      <c r="C2608" s="82" t="str">
        <f t="shared" si="166"/>
        <v>mercredi</v>
      </c>
      <c r="D2608" s="87"/>
      <c r="E2608" s="115" t="str">
        <f t="shared" si="167"/>
        <v/>
      </c>
      <c r="F2608" s="115" t="str">
        <f t="shared" si="168"/>
        <v/>
      </c>
      <c r="G2608" s="116" t="str">
        <f>IF(ISNONTEXT(D2608),"",E2608-MAX($F$2:F2607))</f>
        <v/>
      </c>
      <c r="H2608" s="97"/>
      <c r="I2608" s="74" t="str">
        <f ca="1">IF(D2608="N",COUNTIF(INDIRECT(ADDRESS(MATCH(Plages!$D$19,'Planning annuel mixing coater'!$B:$B),4)):D2608,"N"),IF(D2608="N1",COUNTIF($D$9:D2608,"N1"),""))</f>
        <v/>
      </c>
      <c r="J2608" s="96" t="str">
        <f>IF(D2608="","",COUNTA(D2606:D2608)-(COUNTA(D2608:D2608)-1))</f>
        <v/>
      </c>
    </row>
    <row r="2609" spans="1:10" thickBot="1">
      <c r="A2609" s="117"/>
      <c r="B2609" s="70">
        <f t="shared" si="165"/>
        <v>46401</v>
      </c>
      <c r="C2609" s="82" t="str">
        <f t="shared" si="166"/>
        <v>jeudi</v>
      </c>
      <c r="D2609" s="87"/>
      <c r="E2609" s="115" t="str">
        <f t="shared" si="167"/>
        <v/>
      </c>
      <c r="F2609" s="115" t="str">
        <f t="shared" si="168"/>
        <v/>
      </c>
      <c r="G2609" s="116" t="str">
        <f>IF(ISNONTEXT(D2609),"",E2609-MAX($F$2:F2608))</f>
        <v/>
      </c>
      <c r="H2609" s="97"/>
      <c r="I2609" s="74" t="str">
        <f ca="1">IF(D2609="N",COUNTIF(INDIRECT(ADDRESS(MATCH(Plages!$D$19,'Planning annuel mixing coater'!$B:$B),4)):D2609,"N"),IF(D2609="N1",COUNTIF($D$9:D2609,"N1"),""))</f>
        <v/>
      </c>
      <c r="J2609" s="96" t="str">
        <f>IF(D2609="","",COUNTA(D2606:D2609)-(COUNTA(D2609:D2609)-1))</f>
        <v/>
      </c>
    </row>
    <row r="2610" spans="1:10" thickBot="1">
      <c r="A2610" s="117"/>
      <c r="B2610" s="70">
        <f t="shared" si="165"/>
        <v>46402</v>
      </c>
      <c r="C2610" s="82" t="str">
        <f t="shared" si="166"/>
        <v>vendredi</v>
      </c>
      <c r="D2610" s="87"/>
      <c r="E2610" s="115" t="str">
        <f t="shared" si="167"/>
        <v/>
      </c>
      <c r="F2610" s="115" t="str">
        <f t="shared" si="168"/>
        <v/>
      </c>
      <c r="G2610" s="116" t="str">
        <f>IF(ISNONTEXT(D2610),"",E2610-MAX($F$2:F2609))</f>
        <v/>
      </c>
      <c r="H2610" s="97"/>
      <c r="I2610" s="74" t="str">
        <f ca="1">IF(D2610="N",COUNTIF(INDIRECT(ADDRESS(MATCH(Plages!$D$19,'Planning annuel mixing coater'!$B:$B),4)):D2610,"N"),IF(D2610="N1",COUNTIF($D$9:D2610,"N1"),""))</f>
        <v/>
      </c>
      <c r="J2610" s="96" t="str">
        <f>IF(D2610="","",COUNTA(D2606:D2610)-(COUNTA(D2610:D2610)-1))</f>
        <v/>
      </c>
    </row>
    <row r="2611" spans="1:10" thickBot="1">
      <c r="A2611" s="117"/>
      <c r="B2611" s="70">
        <f t="shared" si="165"/>
        <v>46403</v>
      </c>
      <c r="C2611" s="82" t="str">
        <f t="shared" si="166"/>
        <v>samedi</v>
      </c>
      <c r="D2611" s="87"/>
      <c r="E2611" s="115" t="str">
        <f t="shared" si="167"/>
        <v/>
      </c>
      <c r="F2611" s="115" t="str">
        <f t="shared" si="168"/>
        <v/>
      </c>
      <c r="G2611" s="116" t="str">
        <f>IF(ISNONTEXT(D2611),"",E2611-MAX($F$2:F2610))</f>
        <v/>
      </c>
      <c r="H2611" s="97"/>
      <c r="I2611" s="74" t="str">
        <f ca="1">IF(D2611="N",COUNTIF(INDIRECT(ADDRESS(MATCH(Plages!$D$19,'Planning annuel mixing coater'!$B:$B),4)):D2611,"N"),IF(D2611="N1",COUNTIF($D$9:D2611,"N1"),""))</f>
        <v/>
      </c>
      <c r="J2611" s="96" t="str">
        <f>IF(D2611="","",COUNTA(D2606:D2611)-(COUNTA(D2611:D2611)-1))</f>
        <v/>
      </c>
    </row>
    <row r="2612" spans="1:10" thickBot="1">
      <c r="A2612" s="117"/>
      <c r="B2612" s="70">
        <f t="shared" si="165"/>
        <v>46404</v>
      </c>
      <c r="C2612" s="82" t="str">
        <f t="shared" si="166"/>
        <v>dimanche</v>
      </c>
      <c r="D2612" s="87"/>
      <c r="E2612" s="115" t="str">
        <f t="shared" si="167"/>
        <v/>
      </c>
      <c r="F2612" s="115" t="str">
        <f t="shared" si="168"/>
        <v/>
      </c>
      <c r="G2612" s="116" t="str">
        <f>IF(ISNONTEXT(D2612),"",E2612-MAX($F$2:F2611))</f>
        <v/>
      </c>
      <c r="H2612" s="98"/>
      <c r="I2612" s="74" t="str">
        <f ca="1">IF(D2612="N",COUNTIF(INDIRECT(ADDRESS(MATCH(Plages!$D$19,'Planning annuel mixing coater'!$B:$B),4)):D2612,"N"),IF(D2612="N1",COUNTIF($D$9:D2612,"N1"),""))</f>
        <v/>
      </c>
      <c r="J2612" s="96" t="str">
        <f>IF(D2612="","",COUNTA(D2606:D2612)-(COUNTA(D2612:D2612)-1))</f>
        <v/>
      </c>
    </row>
    <row r="2613" spans="1:10" thickBot="1">
      <c r="A2613" s="117"/>
      <c r="B2613" s="70">
        <f t="shared" si="165"/>
        <v>46405</v>
      </c>
      <c r="C2613" s="82" t="str">
        <f t="shared" si="166"/>
        <v>lundi</v>
      </c>
      <c r="D2613" s="87"/>
      <c r="E2613" s="115" t="str">
        <f t="shared" si="167"/>
        <v/>
      </c>
      <c r="F2613" s="115" t="str">
        <f t="shared" si="168"/>
        <v/>
      </c>
      <c r="G2613" s="116" t="str">
        <f>IF(ISNONTEXT(D2613),"",E2613-MAX($F$2:F2612))</f>
        <v/>
      </c>
      <c r="H2613" s="97"/>
      <c r="I2613" s="74" t="str">
        <f ca="1">IF(D2613="N",COUNTIF(INDIRECT(ADDRESS(MATCH(Plages!$D$19,'Planning annuel mixing coater'!$B:$B),4)):D2613,"N"),IF(D2613="N1",COUNTIF($D$9:D2613,"N1"),""))</f>
        <v/>
      </c>
      <c r="J2613" s="96" t="str">
        <f>IF(D2613="","",COUNTA(D2606:D2613)-(COUNTA(D2613:D2613)-1))</f>
        <v/>
      </c>
    </row>
    <row r="2614" spans="1:10" thickBot="1">
      <c r="A2614" s="117"/>
      <c r="B2614" s="70">
        <f t="shared" si="165"/>
        <v>46406</v>
      </c>
      <c r="C2614" s="82" t="str">
        <f t="shared" si="166"/>
        <v>mardi</v>
      </c>
      <c r="D2614" s="87"/>
      <c r="E2614" s="115" t="str">
        <f t="shared" si="167"/>
        <v/>
      </c>
      <c r="F2614" s="115" t="str">
        <f t="shared" si="168"/>
        <v/>
      </c>
      <c r="G2614" s="116" t="str">
        <f>IF(ISNONTEXT(D2614),"",E2614-MAX($F$2:F2613))</f>
        <v/>
      </c>
      <c r="H2614" s="97"/>
      <c r="I2614" s="74" t="str">
        <f ca="1">IF(D2614="N",COUNTIF(INDIRECT(ADDRESS(MATCH(Plages!$D$19,'Planning annuel mixing coater'!$B:$B),4)):D2614,"N"),IF(D2614="N1",COUNTIF($D$9:D2614,"N1"),""))</f>
        <v/>
      </c>
      <c r="J2614" s="96" t="str">
        <f>IF(D2614="","",COUNTA(D2606:D2614)-(COUNTA(D2614:D2614)-1))</f>
        <v/>
      </c>
    </row>
    <row r="2615" spans="1:10" thickBot="1">
      <c r="A2615" s="117"/>
      <c r="B2615" s="70">
        <f t="shared" si="165"/>
        <v>46407</v>
      </c>
      <c r="C2615" s="82" t="str">
        <f t="shared" si="166"/>
        <v>mercredi</v>
      </c>
      <c r="D2615" s="87"/>
      <c r="E2615" s="115" t="str">
        <f t="shared" si="167"/>
        <v/>
      </c>
      <c r="F2615" s="115" t="str">
        <f t="shared" si="168"/>
        <v/>
      </c>
      <c r="G2615" s="116" t="str">
        <f>IF(ISNONTEXT(D2615),"",E2615-MAX($F$2:F2614))</f>
        <v/>
      </c>
      <c r="H2615" s="97"/>
      <c r="I2615" s="74" t="str">
        <f ca="1">IF(D2615="N",COUNTIF(INDIRECT(ADDRESS(MATCH(Plages!$D$19,'Planning annuel mixing coater'!$B:$B),4)):D2615,"N"),IF(D2615="N1",COUNTIF($D$9:D2615,"N1"),""))</f>
        <v/>
      </c>
      <c r="J2615" s="96" t="str">
        <f>IF(D2615="","",COUNTA(D2606:D2615)-(COUNTA(D2615:D2615)-1))</f>
        <v/>
      </c>
    </row>
    <row r="2616" spans="1:10" thickBot="1">
      <c r="A2616" s="117"/>
      <c r="B2616" s="70">
        <f t="shared" si="165"/>
        <v>46408</v>
      </c>
      <c r="C2616" s="82" t="str">
        <f t="shared" si="166"/>
        <v>jeudi</v>
      </c>
      <c r="D2616" s="87"/>
      <c r="E2616" s="115" t="str">
        <f t="shared" si="167"/>
        <v/>
      </c>
      <c r="F2616" s="115" t="str">
        <f t="shared" si="168"/>
        <v/>
      </c>
      <c r="G2616" s="116" t="str">
        <f>IF(ISNONTEXT(D2616),"",E2616-MAX($F$2:F2615))</f>
        <v/>
      </c>
      <c r="H2616" s="97"/>
      <c r="I2616" s="74" t="str">
        <f ca="1">IF(D2616="N",COUNTIF(INDIRECT(ADDRESS(MATCH(Plages!$D$19,'Planning annuel mixing coater'!$B:$B),4)):D2616,"N"),IF(D2616="N1",COUNTIF($D$9:D2616,"N1"),""))</f>
        <v/>
      </c>
      <c r="J2616" s="96" t="str">
        <f>IF(D2616="","",COUNTA(D2606:D2616)-(COUNTA(D2616:D2616)-1))</f>
        <v/>
      </c>
    </row>
    <row r="2617" spans="1:10" thickBot="1">
      <c r="A2617" s="117"/>
      <c r="B2617" s="70">
        <f t="shared" si="165"/>
        <v>46409</v>
      </c>
      <c r="C2617" s="82" t="str">
        <f t="shared" si="166"/>
        <v>vendredi</v>
      </c>
      <c r="D2617" s="87"/>
      <c r="E2617" s="115" t="str">
        <f t="shared" si="167"/>
        <v/>
      </c>
      <c r="F2617" s="115" t="str">
        <f t="shared" si="168"/>
        <v/>
      </c>
      <c r="G2617" s="116" t="str">
        <f>IF(ISNONTEXT(D2617),"",E2617-MAX($F$2:F2616))</f>
        <v/>
      </c>
      <c r="H2617" s="97"/>
      <c r="I2617" s="74" t="str">
        <f ca="1">IF(D2617="N",COUNTIF(INDIRECT(ADDRESS(MATCH(Plages!$D$19,'Planning annuel mixing coater'!$B:$B),4)):D2617,"N"),IF(D2617="N1",COUNTIF($D$9:D2617,"N1"),""))</f>
        <v/>
      </c>
      <c r="J2617" s="96" t="str">
        <f>IF(D2617="","",COUNTA(D2606:D2617)-(COUNTA(D2617:D2617)-1))</f>
        <v/>
      </c>
    </row>
    <row r="2618" spans="1:10" thickBot="1">
      <c r="A2618" s="117"/>
      <c r="B2618" s="70">
        <f t="shared" si="165"/>
        <v>46410</v>
      </c>
      <c r="C2618" s="82" t="str">
        <f t="shared" si="166"/>
        <v>samedi</v>
      </c>
      <c r="D2618" s="87"/>
      <c r="E2618" s="115" t="str">
        <f t="shared" si="167"/>
        <v/>
      </c>
      <c r="F2618" s="115" t="str">
        <f t="shared" si="168"/>
        <v/>
      </c>
      <c r="G2618" s="116" t="str">
        <f>IF(ISNONTEXT(D2618),"",E2618-MAX($F$2:F2617))</f>
        <v/>
      </c>
      <c r="H2618" s="97"/>
      <c r="I2618" s="74" t="str">
        <f ca="1">IF(D2618="N",COUNTIF(INDIRECT(ADDRESS(MATCH(Plages!$D$19,'Planning annuel mixing coater'!$B:$B),4)):D2618,"N"),IF(D2618="N1",COUNTIF($D$9:D2618,"N1"),""))</f>
        <v/>
      </c>
      <c r="J2618" s="96" t="str">
        <f>IF(D2618="","",COUNTA(D2606:D2618)-(COUNTA(D2618:D2618)-1))</f>
        <v/>
      </c>
    </row>
    <row r="2619" spans="1:10" s="77" customFormat="1" thickBot="1">
      <c r="A2619" s="117"/>
      <c r="B2619" s="75">
        <f t="shared" si="165"/>
        <v>46411</v>
      </c>
      <c r="C2619" s="83" t="str">
        <f t="shared" si="166"/>
        <v>dimanche</v>
      </c>
      <c r="D2619" s="88"/>
      <c r="E2619" s="115" t="str">
        <f t="shared" si="167"/>
        <v/>
      </c>
      <c r="F2619" s="115" t="str">
        <f t="shared" si="168"/>
        <v/>
      </c>
      <c r="G2619" s="116" t="str">
        <f>IF(ISNONTEXT(D2619),"",E2619-MAX($F$2:F2618))</f>
        <v/>
      </c>
      <c r="H2619" s="98"/>
      <c r="I2619" s="76" t="str">
        <f ca="1">IF(D2619="N",COUNTIF(INDIRECT(ADDRESS(MATCH(Plages!$D$19,'Planning annuel mixing coater'!$B:$B),4)):D2619,"N"),IF(D2619="N1",COUNTIF($D$9:D2619,"N1"),""))</f>
        <v/>
      </c>
      <c r="J2619" s="99" t="str">
        <f>IF(D2619="","",COUNTA(D2606:D2619)-(COUNTA(D2619:D2619)-1))</f>
        <v/>
      </c>
    </row>
    <row r="2620" spans="1:10" ht="16.5" thickTop="1" thickBot="1">
      <c r="A2620" s="117"/>
      <c r="B2620" s="78">
        <f t="shared" si="165"/>
        <v>46412</v>
      </c>
      <c r="C2620" s="81" t="str">
        <f t="shared" si="166"/>
        <v>lundi</v>
      </c>
      <c r="D2620" s="89"/>
      <c r="E2620" s="115" t="str">
        <f t="shared" si="167"/>
        <v/>
      </c>
      <c r="F2620" s="115" t="str">
        <f t="shared" si="168"/>
        <v/>
      </c>
      <c r="G2620" s="116" t="str">
        <f>IF(ISNONTEXT(D2620),"",E2620-MAX($F$2:F2619))</f>
        <v/>
      </c>
      <c r="H2620" s="100"/>
      <c r="I2620" s="79" t="str">
        <f ca="1">IF(D2620="N",COUNTIF(INDIRECT(ADDRESS(MATCH(Plages!$D$19,'Planning annuel mixing coater'!$B:$B),4)):D2620,"N"),IF(D2620="N1",COUNTIF($D$9:D2620,"N1"),""))</f>
        <v/>
      </c>
      <c r="J2620" s="101" t="str">
        <f>IF(D2620="","",COUNTA(D2620:D2620)-(COUNTA(D2620:D2620)-1))</f>
        <v/>
      </c>
    </row>
    <row r="2621" spans="1:10" thickBot="1">
      <c r="A2621" s="117"/>
      <c r="B2621" s="70">
        <f t="shared" si="165"/>
        <v>46413</v>
      </c>
      <c r="C2621" s="82" t="str">
        <f t="shared" si="166"/>
        <v>mardi</v>
      </c>
      <c r="D2621" s="87"/>
      <c r="E2621" s="115" t="str">
        <f t="shared" si="167"/>
        <v/>
      </c>
      <c r="F2621" s="115" t="str">
        <f t="shared" si="168"/>
        <v/>
      </c>
      <c r="G2621" s="116" t="str">
        <f>IF(ISNONTEXT(D2621),"",E2621-MAX($F$2:F2620))</f>
        <v/>
      </c>
      <c r="H2621" s="97"/>
      <c r="I2621" s="74" t="str">
        <f ca="1">IF(D2621="N",COUNTIF(INDIRECT(ADDRESS(MATCH(Plages!$D$19,'Planning annuel mixing coater'!$B:$B),4)):D2621,"N"),IF(D2621="N1",COUNTIF($D$9:D2621,"N1"),""))</f>
        <v/>
      </c>
      <c r="J2621" s="96" t="str">
        <f>IF(D2621="","",COUNTA(D2620:D2621)-(COUNTA(D2621:D2621)-1))</f>
        <v/>
      </c>
    </row>
    <row r="2622" spans="1:10" thickBot="1">
      <c r="A2622" s="117"/>
      <c r="B2622" s="70">
        <f t="shared" si="165"/>
        <v>46414</v>
      </c>
      <c r="C2622" s="82" t="str">
        <f t="shared" si="166"/>
        <v>mercredi</v>
      </c>
      <c r="D2622" s="87"/>
      <c r="E2622" s="115" t="str">
        <f t="shared" si="167"/>
        <v/>
      </c>
      <c r="F2622" s="115" t="str">
        <f t="shared" si="168"/>
        <v/>
      </c>
      <c r="G2622" s="116" t="str">
        <f>IF(ISNONTEXT(D2622),"",E2622-MAX($F$2:F2621))</f>
        <v/>
      </c>
      <c r="H2622" s="97"/>
      <c r="I2622" s="74" t="str">
        <f ca="1">IF(D2622="N",COUNTIF(INDIRECT(ADDRESS(MATCH(Plages!$D$19,'Planning annuel mixing coater'!$B:$B),4)):D2622,"N"),IF(D2622="N1",COUNTIF($D$9:D2622,"N1"),""))</f>
        <v/>
      </c>
      <c r="J2622" s="96" t="str">
        <f>IF(D2622="","",COUNTA(D2620:D2622)-(COUNTA(D2622:D2622)-1))</f>
        <v/>
      </c>
    </row>
    <row r="2623" spans="1:10" thickBot="1">
      <c r="A2623" s="117"/>
      <c r="B2623" s="70">
        <f t="shared" si="165"/>
        <v>46415</v>
      </c>
      <c r="C2623" s="82" t="str">
        <f t="shared" si="166"/>
        <v>jeudi</v>
      </c>
      <c r="D2623" s="87"/>
      <c r="E2623" s="115" t="str">
        <f t="shared" si="167"/>
        <v/>
      </c>
      <c r="F2623" s="115" t="str">
        <f t="shared" si="168"/>
        <v/>
      </c>
      <c r="G2623" s="116" t="str">
        <f>IF(ISNONTEXT(D2623),"",E2623-MAX($F$2:F2622))</f>
        <v/>
      </c>
      <c r="H2623" s="97"/>
      <c r="I2623" s="74" t="str">
        <f ca="1">IF(D2623="N",COUNTIF(INDIRECT(ADDRESS(MATCH(Plages!$D$19,'Planning annuel mixing coater'!$B:$B),4)):D2623,"N"),IF(D2623="N1",COUNTIF($D$9:D2623,"N1"),""))</f>
        <v/>
      </c>
      <c r="J2623" s="96" t="str">
        <f>IF(D2623="","",COUNTA(D2620:D2623)-(COUNTA(D2623:D2623)-1))</f>
        <v/>
      </c>
    </row>
    <row r="2624" spans="1:10" thickBot="1">
      <c r="A2624" s="117"/>
      <c r="B2624" s="70">
        <f t="shared" si="165"/>
        <v>46416</v>
      </c>
      <c r="C2624" s="82" t="str">
        <f t="shared" si="166"/>
        <v>vendredi</v>
      </c>
      <c r="D2624" s="87"/>
      <c r="E2624" s="115" t="str">
        <f t="shared" si="167"/>
        <v/>
      </c>
      <c r="F2624" s="115" t="str">
        <f t="shared" si="168"/>
        <v/>
      </c>
      <c r="G2624" s="116" t="str">
        <f>IF(ISNONTEXT(D2624),"",E2624-MAX($F$2:F2623))</f>
        <v/>
      </c>
      <c r="H2624" s="97"/>
      <c r="I2624" s="74" t="str">
        <f ca="1">IF(D2624="N",COUNTIF(INDIRECT(ADDRESS(MATCH(Plages!$D$19,'Planning annuel mixing coater'!$B:$B),4)):D2624,"N"),IF(D2624="N1",COUNTIF($D$9:D2624,"N1"),""))</f>
        <v/>
      </c>
      <c r="J2624" s="96" t="str">
        <f>IF(D2624="","",COUNTA(D2620:D2624)-(COUNTA(D2624:D2624)-1))</f>
        <v/>
      </c>
    </row>
    <row r="2625" spans="1:10" thickBot="1">
      <c r="A2625" s="117"/>
      <c r="B2625" s="70">
        <f t="shared" si="165"/>
        <v>46417</v>
      </c>
      <c r="C2625" s="82" t="str">
        <f t="shared" si="166"/>
        <v>samedi</v>
      </c>
      <c r="D2625" s="87"/>
      <c r="E2625" s="115" t="str">
        <f t="shared" si="167"/>
        <v/>
      </c>
      <c r="F2625" s="115" t="str">
        <f t="shared" si="168"/>
        <v/>
      </c>
      <c r="G2625" s="116" t="str">
        <f>IF(ISNONTEXT(D2625),"",E2625-MAX($F$2:F2624))</f>
        <v/>
      </c>
      <c r="H2625" s="97"/>
      <c r="I2625" s="74" t="str">
        <f ca="1">IF(D2625="N",COUNTIF(INDIRECT(ADDRESS(MATCH(Plages!$D$19,'Planning annuel mixing coater'!$B:$B),4)):D2625,"N"),IF(D2625="N1",COUNTIF($D$9:D2625,"N1"),""))</f>
        <v/>
      </c>
      <c r="J2625" s="96" t="str">
        <f>IF(D2625="","",COUNTA(D2620:D2625)-(COUNTA(D2625:D2625)-1))</f>
        <v/>
      </c>
    </row>
    <row r="2626" spans="1:10" thickBot="1">
      <c r="A2626" s="117"/>
      <c r="B2626" s="70">
        <f t="shared" si="165"/>
        <v>46418</v>
      </c>
      <c r="C2626" s="82" t="str">
        <f t="shared" si="166"/>
        <v>dimanche</v>
      </c>
      <c r="D2626" s="87"/>
      <c r="E2626" s="115" t="str">
        <f t="shared" si="167"/>
        <v/>
      </c>
      <c r="F2626" s="115" t="str">
        <f t="shared" si="168"/>
        <v/>
      </c>
      <c r="G2626" s="116" t="str">
        <f>IF(ISNONTEXT(D2626),"",E2626-MAX($F$2:F2625))</f>
        <v/>
      </c>
      <c r="H2626" s="98"/>
      <c r="I2626" s="74" t="str">
        <f ca="1">IF(D2626="N",COUNTIF(INDIRECT(ADDRESS(MATCH(Plages!$D$19,'Planning annuel mixing coater'!$B:$B),4)):D2626,"N"),IF(D2626="N1",COUNTIF($D$9:D2626,"N1"),""))</f>
        <v/>
      </c>
      <c r="J2626" s="96" t="str">
        <f>IF(D2626="","",COUNTA(D2620:D2626)-(COUNTA(D2626:D2626)-1))</f>
        <v/>
      </c>
    </row>
    <row r="2627" spans="1:10" thickBot="1">
      <c r="A2627" s="117"/>
      <c r="B2627" s="70">
        <f t="shared" si="165"/>
        <v>46419</v>
      </c>
      <c r="C2627" s="82" t="str">
        <f t="shared" si="166"/>
        <v>lundi</v>
      </c>
      <c r="D2627" s="87"/>
      <c r="E2627" s="115" t="str">
        <f t="shared" si="167"/>
        <v/>
      </c>
      <c r="F2627" s="115" t="str">
        <f t="shared" si="168"/>
        <v/>
      </c>
      <c r="G2627" s="116" t="str">
        <f>IF(ISNONTEXT(D2627),"",E2627-MAX($F$2:F2626))</f>
        <v/>
      </c>
      <c r="H2627" s="97"/>
      <c r="I2627" s="74" t="str">
        <f ca="1">IF(D2627="N",COUNTIF(INDIRECT(ADDRESS(MATCH(Plages!$D$19,'Planning annuel mixing coater'!$B:$B),4)):D2627,"N"),IF(D2627="N1",COUNTIF($D$9:D2627,"N1"),""))</f>
        <v/>
      </c>
      <c r="J2627" s="96" t="str">
        <f>IF(D2627="","",COUNTA(D2620:D2627)-(COUNTA(D2627:D2627)-1))</f>
        <v/>
      </c>
    </row>
    <row r="2628" spans="1:10" thickBot="1">
      <c r="A2628" s="117"/>
      <c r="B2628" s="70">
        <f t="shared" ref="B2628:B2691" si="169">IF(B2627="","",B2627+1)</f>
        <v>46420</v>
      </c>
      <c r="C2628" s="82" t="str">
        <f t="shared" si="166"/>
        <v>mardi</v>
      </c>
      <c r="D2628" s="87"/>
      <c r="E2628" s="115" t="str">
        <f t="shared" si="167"/>
        <v/>
      </c>
      <c r="F2628" s="115" t="str">
        <f t="shared" si="168"/>
        <v/>
      </c>
      <c r="G2628" s="116" t="str">
        <f>IF(ISNONTEXT(D2628),"",E2628-MAX($F$2:F2627))</f>
        <v/>
      </c>
      <c r="H2628" s="97"/>
      <c r="I2628" s="74" t="str">
        <f ca="1">IF(D2628="N",COUNTIF(INDIRECT(ADDRESS(MATCH(Plages!$D$19,'Planning annuel mixing coater'!$B:$B),4)):D2628,"N"),IF(D2628="N1",COUNTIF($D$9:D2628,"N1"),""))</f>
        <v/>
      </c>
      <c r="J2628" s="96" t="str">
        <f>IF(D2628="","",COUNTA(D2620:D2628)-(COUNTA(D2628:D2628)-1))</f>
        <v/>
      </c>
    </row>
    <row r="2629" spans="1:10" thickBot="1">
      <c r="A2629" s="117"/>
      <c r="B2629" s="70">
        <f t="shared" si="169"/>
        <v>46421</v>
      </c>
      <c r="C2629" s="82" t="str">
        <f t="shared" si="166"/>
        <v>mercredi</v>
      </c>
      <c r="D2629" s="87"/>
      <c r="E2629" s="115" t="str">
        <f t="shared" si="167"/>
        <v/>
      </c>
      <c r="F2629" s="115" t="str">
        <f t="shared" si="168"/>
        <v/>
      </c>
      <c r="G2629" s="116" t="str">
        <f>IF(ISNONTEXT(D2629),"",E2629-MAX($F$2:F2628))</f>
        <v/>
      </c>
      <c r="H2629" s="97"/>
      <c r="I2629" s="74" t="str">
        <f ca="1">IF(D2629="N",COUNTIF(INDIRECT(ADDRESS(MATCH(Plages!$D$19,'Planning annuel mixing coater'!$B:$B),4)):D2629,"N"),IF(D2629="N1",COUNTIF($D$9:D2629,"N1"),""))</f>
        <v/>
      </c>
      <c r="J2629" s="96" t="str">
        <f>IF(D2629="","",COUNTA(D2620:D2629)-(COUNTA(D2629:D2629)-1))</f>
        <v/>
      </c>
    </row>
    <row r="2630" spans="1:10" thickBot="1">
      <c r="A2630" s="117"/>
      <c r="B2630" s="70">
        <f t="shared" si="169"/>
        <v>46422</v>
      </c>
      <c r="C2630" s="82" t="str">
        <f t="shared" si="166"/>
        <v>jeudi</v>
      </c>
      <c r="D2630" s="87"/>
      <c r="E2630" s="115" t="str">
        <f t="shared" si="167"/>
        <v/>
      </c>
      <c r="F2630" s="115" t="str">
        <f t="shared" si="168"/>
        <v/>
      </c>
      <c r="G2630" s="116" t="str">
        <f>IF(ISNONTEXT(D2630),"",E2630-MAX($F$2:F2629))</f>
        <v/>
      </c>
      <c r="H2630" s="97"/>
      <c r="I2630" s="74" t="str">
        <f ca="1">IF(D2630="N",COUNTIF(INDIRECT(ADDRESS(MATCH(Plages!$D$19,'Planning annuel mixing coater'!$B:$B),4)):D2630,"N"),IF(D2630="N1",COUNTIF($D$9:D2630,"N1"),""))</f>
        <v/>
      </c>
      <c r="J2630" s="96" t="str">
        <f>IF(D2630="","",COUNTA(D2620:D2630)-(COUNTA(D2630:D2630)-1))</f>
        <v/>
      </c>
    </row>
    <row r="2631" spans="1:10" thickBot="1">
      <c r="A2631" s="117"/>
      <c r="B2631" s="70">
        <f t="shared" si="169"/>
        <v>46423</v>
      </c>
      <c r="C2631" s="82" t="str">
        <f t="shared" si="166"/>
        <v>vendredi</v>
      </c>
      <c r="D2631" s="87"/>
      <c r="E2631" s="115" t="str">
        <f t="shared" si="167"/>
        <v/>
      </c>
      <c r="F2631" s="115" t="str">
        <f t="shared" si="168"/>
        <v/>
      </c>
      <c r="G2631" s="116" t="str">
        <f>IF(ISNONTEXT(D2631),"",E2631-MAX($F$2:F2630))</f>
        <v/>
      </c>
      <c r="H2631" s="97"/>
      <c r="I2631" s="74" t="str">
        <f ca="1">IF(D2631="N",COUNTIF(INDIRECT(ADDRESS(MATCH(Plages!$D$19,'Planning annuel mixing coater'!$B:$B),4)):D2631,"N"),IF(D2631="N1",COUNTIF($D$9:D2631,"N1"),""))</f>
        <v/>
      </c>
      <c r="J2631" s="96" t="str">
        <f>IF(D2631="","",COUNTA(D2620:D2631)-(COUNTA(D2631:D2631)-1))</f>
        <v/>
      </c>
    </row>
    <row r="2632" spans="1:10" thickBot="1">
      <c r="A2632" s="117"/>
      <c r="B2632" s="70">
        <f t="shared" si="169"/>
        <v>46424</v>
      </c>
      <c r="C2632" s="82" t="str">
        <f t="shared" si="166"/>
        <v>samedi</v>
      </c>
      <c r="D2632" s="87"/>
      <c r="E2632" s="115" t="str">
        <f t="shared" si="167"/>
        <v/>
      </c>
      <c r="F2632" s="115" t="str">
        <f t="shared" si="168"/>
        <v/>
      </c>
      <c r="G2632" s="116" t="str">
        <f>IF(ISNONTEXT(D2632),"",E2632-MAX($F$2:F2631))</f>
        <v/>
      </c>
      <c r="H2632" s="97"/>
      <c r="I2632" s="74" t="str">
        <f ca="1">IF(D2632="N",COUNTIF(INDIRECT(ADDRESS(MATCH(Plages!$D$19,'Planning annuel mixing coater'!$B:$B),4)):D2632,"N"),IF(D2632="N1",COUNTIF($D$9:D2632,"N1"),""))</f>
        <v/>
      </c>
      <c r="J2632" s="96" t="str">
        <f>IF(D2632="","",COUNTA(D2620:D2632)-(COUNTA(D2632:D2632)-1))</f>
        <v/>
      </c>
    </row>
    <row r="2633" spans="1:10" s="77" customFormat="1" thickBot="1">
      <c r="A2633" s="117"/>
      <c r="B2633" s="75">
        <f t="shared" si="169"/>
        <v>46425</v>
      </c>
      <c r="C2633" s="83" t="str">
        <f t="shared" si="166"/>
        <v>dimanche</v>
      </c>
      <c r="D2633" s="88"/>
      <c r="E2633" s="115" t="str">
        <f t="shared" si="167"/>
        <v/>
      </c>
      <c r="F2633" s="115" t="str">
        <f t="shared" si="168"/>
        <v/>
      </c>
      <c r="G2633" s="116" t="str">
        <f>IF(ISNONTEXT(D2633),"",E2633-MAX($F$2:F2632))</f>
        <v/>
      </c>
      <c r="H2633" s="98"/>
      <c r="I2633" s="76" t="str">
        <f ca="1">IF(D2633="N",COUNTIF(INDIRECT(ADDRESS(MATCH(Plages!$D$19,'Planning annuel mixing coater'!$B:$B),4)):D2633,"N"),IF(D2633="N1",COUNTIF($D$9:D2633,"N1"),""))</f>
        <v/>
      </c>
      <c r="J2633" s="99" t="str">
        <f>IF(D2633="","",COUNTA(D2620:D2633)-(COUNTA(D2633:D2633)-1))</f>
        <v/>
      </c>
    </row>
    <row r="2634" spans="1:10" ht="16.5" thickTop="1" thickBot="1">
      <c r="A2634" s="117"/>
      <c r="B2634" s="78">
        <f t="shared" si="169"/>
        <v>46426</v>
      </c>
      <c r="C2634" s="81" t="str">
        <f t="shared" si="166"/>
        <v>lundi</v>
      </c>
      <c r="D2634" s="89"/>
      <c r="E2634" s="115" t="str">
        <f t="shared" si="167"/>
        <v/>
      </c>
      <c r="F2634" s="115" t="str">
        <f t="shared" si="168"/>
        <v/>
      </c>
      <c r="G2634" s="116" t="str">
        <f>IF(ISNONTEXT(D2634),"",E2634-MAX($F$2:F2633))</f>
        <v/>
      </c>
      <c r="H2634" s="100"/>
      <c r="I2634" s="79" t="str">
        <f ca="1">IF(D2634="N",COUNTIF(INDIRECT(ADDRESS(MATCH(Plages!$D$19,'Planning annuel mixing coater'!$B:$B),4)):D2634,"N"),IF(D2634="N1",COUNTIF($D$9:D2634,"N1"),""))</f>
        <v/>
      </c>
      <c r="J2634" s="101" t="str">
        <f>IF(D2634="","",COUNTA(D2634:D2634)-(COUNTA(D2634:D2634)-1))</f>
        <v/>
      </c>
    </row>
    <row r="2635" spans="1:10" thickBot="1">
      <c r="A2635" s="117"/>
      <c r="B2635" s="70">
        <f t="shared" si="169"/>
        <v>46427</v>
      </c>
      <c r="C2635" s="82" t="str">
        <f t="shared" si="166"/>
        <v>mardi</v>
      </c>
      <c r="D2635" s="87"/>
      <c r="E2635" s="115" t="str">
        <f t="shared" si="167"/>
        <v/>
      </c>
      <c r="F2635" s="115" t="str">
        <f t="shared" si="168"/>
        <v/>
      </c>
      <c r="G2635" s="116" t="str">
        <f>IF(ISNONTEXT(D2635),"",E2635-MAX($F$2:F2634))</f>
        <v/>
      </c>
      <c r="H2635" s="97"/>
      <c r="I2635" s="74" t="str">
        <f ca="1">IF(D2635="N",COUNTIF(INDIRECT(ADDRESS(MATCH(Plages!$D$19,'Planning annuel mixing coater'!$B:$B),4)):D2635,"N"),IF(D2635="N1",COUNTIF($D$9:D2635,"N1"),""))</f>
        <v/>
      </c>
      <c r="J2635" s="96" t="str">
        <f>IF(D2635="","",COUNTA(D2634:D2635)-(COUNTA(D2635:D2635)-1))</f>
        <v/>
      </c>
    </row>
    <row r="2636" spans="1:10" thickBot="1">
      <c r="A2636" s="117"/>
      <c r="B2636" s="70">
        <f t="shared" si="169"/>
        <v>46428</v>
      </c>
      <c r="C2636" s="82" t="str">
        <f t="shared" si="166"/>
        <v>mercredi</v>
      </c>
      <c r="D2636" s="87"/>
      <c r="E2636" s="115" t="str">
        <f t="shared" si="167"/>
        <v/>
      </c>
      <c r="F2636" s="115" t="str">
        <f t="shared" si="168"/>
        <v/>
      </c>
      <c r="G2636" s="116" t="str">
        <f>IF(ISNONTEXT(D2636),"",E2636-MAX($F$2:F2635))</f>
        <v/>
      </c>
      <c r="H2636" s="97"/>
      <c r="I2636" s="74" t="str">
        <f ca="1">IF(D2636="N",COUNTIF(INDIRECT(ADDRESS(MATCH(Plages!$D$19,'Planning annuel mixing coater'!$B:$B),4)):D2636,"N"),IF(D2636="N1",COUNTIF($D$9:D2636,"N1"),""))</f>
        <v/>
      </c>
      <c r="J2636" s="96" t="str">
        <f>IF(D2636="","",COUNTA(D2634:D2636)-(COUNTA(D2636:D2636)-1))</f>
        <v/>
      </c>
    </row>
    <row r="2637" spans="1:10" thickBot="1">
      <c r="A2637" s="117"/>
      <c r="B2637" s="70">
        <f t="shared" si="169"/>
        <v>46429</v>
      </c>
      <c r="C2637" s="82" t="str">
        <f t="shared" si="166"/>
        <v>jeudi</v>
      </c>
      <c r="D2637" s="87"/>
      <c r="E2637" s="115" t="str">
        <f t="shared" si="167"/>
        <v/>
      </c>
      <c r="F2637" s="115" t="str">
        <f t="shared" si="168"/>
        <v/>
      </c>
      <c r="G2637" s="116" t="str">
        <f>IF(ISNONTEXT(D2637),"",E2637-MAX($F$2:F2636))</f>
        <v/>
      </c>
      <c r="H2637" s="97"/>
      <c r="I2637" s="74" t="str">
        <f ca="1">IF(D2637="N",COUNTIF(INDIRECT(ADDRESS(MATCH(Plages!$D$19,'Planning annuel mixing coater'!$B:$B),4)):D2637,"N"),IF(D2637="N1",COUNTIF($D$9:D2637,"N1"),""))</f>
        <v/>
      </c>
      <c r="J2637" s="96" t="str">
        <f>IF(D2637="","",COUNTA(D2634:D2637)-(COUNTA(D2637:D2637)-1))</f>
        <v/>
      </c>
    </row>
    <row r="2638" spans="1:10" thickBot="1">
      <c r="A2638" s="117"/>
      <c r="B2638" s="70">
        <f t="shared" si="169"/>
        <v>46430</v>
      </c>
      <c r="C2638" s="82" t="str">
        <f t="shared" si="166"/>
        <v>vendredi</v>
      </c>
      <c r="D2638" s="87"/>
      <c r="E2638" s="115" t="str">
        <f t="shared" si="167"/>
        <v/>
      </c>
      <c r="F2638" s="115" t="str">
        <f t="shared" si="168"/>
        <v/>
      </c>
      <c r="G2638" s="116" t="str">
        <f>IF(ISNONTEXT(D2638),"",E2638-MAX($F$2:F2637))</f>
        <v/>
      </c>
      <c r="H2638" s="97"/>
      <c r="I2638" s="74" t="str">
        <f ca="1">IF(D2638="N",COUNTIF(INDIRECT(ADDRESS(MATCH(Plages!$D$19,'Planning annuel mixing coater'!$B:$B),4)):D2638,"N"),IF(D2638="N1",COUNTIF($D$9:D2638,"N1"),""))</f>
        <v/>
      </c>
      <c r="J2638" s="96" t="str">
        <f>IF(D2638="","",COUNTA(D2634:D2638)-(COUNTA(D2638:D2638)-1))</f>
        <v/>
      </c>
    </row>
    <row r="2639" spans="1:10" thickBot="1">
      <c r="A2639" s="117"/>
      <c r="B2639" s="70">
        <f t="shared" si="169"/>
        <v>46431</v>
      </c>
      <c r="C2639" s="82" t="str">
        <f t="shared" si="166"/>
        <v>samedi</v>
      </c>
      <c r="D2639" s="87"/>
      <c r="E2639" s="115" t="str">
        <f t="shared" si="167"/>
        <v/>
      </c>
      <c r="F2639" s="115" t="str">
        <f t="shared" si="168"/>
        <v/>
      </c>
      <c r="G2639" s="116" t="str">
        <f>IF(ISNONTEXT(D2639),"",E2639-MAX($F$2:F2638))</f>
        <v/>
      </c>
      <c r="H2639" s="97"/>
      <c r="I2639" s="74" t="str">
        <f ca="1">IF(D2639="N",COUNTIF(INDIRECT(ADDRESS(MATCH(Plages!$D$19,'Planning annuel mixing coater'!$B:$B),4)):D2639,"N"),IF(D2639="N1",COUNTIF($D$9:D2639,"N1"),""))</f>
        <v/>
      </c>
      <c r="J2639" s="96" t="str">
        <f>IF(D2639="","",COUNTA(D2634:D2639)-(COUNTA(D2639:D2639)-1))</f>
        <v/>
      </c>
    </row>
    <row r="2640" spans="1:10" thickBot="1">
      <c r="A2640" s="117"/>
      <c r="B2640" s="70">
        <f t="shared" si="169"/>
        <v>46432</v>
      </c>
      <c r="C2640" s="82" t="str">
        <f t="shared" si="166"/>
        <v>dimanche</v>
      </c>
      <c r="D2640" s="87"/>
      <c r="E2640" s="115" t="str">
        <f t="shared" si="167"/>
        <v/>
      </c>
      <c r="F2640" s="115" t="str">
        <f t="shared" si="168"/>
        <v/>
      </c>
      <c r="G2640" s="116" t="str">
        <f>IF(ISNONTEXT(D2640),"",E2640-MAX($F$2:F2639))</f>
        <v/>
      </c>
      <c r="H2640" s="98"/>
      <c r="I2640" s="74" t="str">
        <f ca="1">IF(D2640="N",COUNTIF(INDIRECT(ADDRESS(MATCH(Plages!$D$19,'Planning annuel mixing coater'!$B:$B),4)):D2640,"N"),IF(D2640="N1",COUNTIF($D$9:D2640,"N1"),""))</f>
        <v/>
      </c>
      <c r="J2640" s="96" t="str">
        <f>IF(D2640="","",COUNTA(D2634:D2640)-(COUNTA(D2640:D2640)-1))</f>
        <v/>
      </c>
    </row>
    <row r="2641" spans="1:10" thickBot="1">
      <c r="A2641" s="117"/>
      <c r="B2641" s="70">
        <f t="shared" si="169"/>
        <v>46433</v>
      </c>
      <c r="C2641" s="82" t="str">
        <f t="shared" si="166"/>
        <v>lundi</v>
      </c>
      <c r="D2641" s="87"/>
      <c r="E2641" s="115" t="str">
        <f t="shared" si="167"/>
        <v/>
      </c>
      <c r="F2641" s="115" t="str">
        <f t="shared" si="168"/>
        <v/>
      </c>
      <c r="G2641" s="116" t="str">
        <f>IF(ISNONTEXT(D2641),"",E2641-MAX($F$2:F2640))</f>
        <v/>
      </c>
      <c r="H2641" s="97"/>
      <c r="I2641" s="74" t="str">
        <f ca="1">IF(D2641="N",COUNTIF(INDIRECT(ADDRESS(MATCH(Plages!$D$19,'Planning annuel mixing coater'!$B:$B),4)):D2641,"N"),IF(D2641="N1",COUNTIF($D$9:D2641,"N1"),""))</f>
        <v/>
      </c>
      <c r="J2641" s="96" t="str">
        <f>IF(D2641="","",COUNTA(D2634:D2641)-(COUNTA(D2641:D2641)-1))</f>
        <v/>
      </c>
    </row>
    <row r="2642" spans="1:10" thickBot="1">
      <c r="A2642" s="117"/>
      <c r="B2642" s="70">
        <f t="shared" si="169"/>
        <v>46434</v>
      </c>
      <c r="C2642" s="82" t="str">
        <f t="shared" si="166"/>
        <v>mardi</v>
      </c>
      <c r="D2642" s="87"/>
      <c r="E2642" s="115" t="str">
        <f t="shared" si="167"/>
        <v/>
      </c>
      <c r="F2642" s="115" t="str">
        <f t="shared" si="168"/>
        <v/>
      </c>
      <c r="G2642" s="116" t="str">
        <f>IF(ISNONTEXT(D2642),"",E2642-MAX($F$2:F2641))</f>
        <v/>
      </c>
      <c r="H2642" s="97"/>
      <c r="I2642" s="74" t="str">
        <f ca="1">IF(D2642="N",COUNTIF(INDIRECT(ADDRESS(MATCH(Plages!$D$19,'Planning annuel mixing coater'!$B:$B),4)):D2642,"N"),IF(D2642="N1",COUNTIF($D$9:D2642,"N1"),""))</f>
        <v/>
      </c>
      <c r="J2642" s="96" t="str">
        <f>IF(D2642="","",COUNTA(D2634:D2642)-(COUNTA(D2642:D2642)-1))</f>
        <v/>
      </c>
    </row>
    <row r="2643" spans="1:10" thickBot="1">
      <c r="A2643" s="117"/>
      <c r="B2643" s="70">
        <f t="shared" si="169"/>
        <v>46435</v>
      </c>
      <c r="C2643" s="82" t="str">
        <f t="shared" si="166"/>
        <v>mercredi</v>
      </c>
      <c r="D2643" s="87"/>
      <c r="E2643" s="115" t="str">
        <f t="shared" si="167"/>
        <v/>
      </c>
      <c r="F2643" s="115" t="str">
        <f t="shared" si="168"/>
        <v/>
      </c>
      <c r="G2643" s="116" t="str">
        <f>IF(ISNONTEXT(D2643),"",E2643-MAX($F$2:F2642))</f>
        <v/>
      </c>
      <c r="H2643" s="97"/>
      <c r="I2643" s="74" t="str">
        <f ca="1">IF(D2643="N",COUNTIF(INDIRECT(ADDRESS(MATCH(Plages!$D$19,'Planning annuel mixing coater'!$B:$B),4)):D2643,"N"),IF(D2643="N1",COUNTIF($D$9:D2643,"N1"),""))</f>
        <v/>
      </c>
      <c r="J2643" s="96" t="str">
        <f>IF(D2643="","",COUNTA(D2634:D2643)-(COUNTA(D2643:D2643)-1))</f>
        <v/>
      </c>
    </row>
    <row r="2644" spans="1:10" thickBot="1">
      <c r="A2644" s="117"/>
      <c r="B2644" s="70">
        <f t="shared" si="169"/>
        <v>46436</v>
      </c>
      <c r="C2644" s="82" t="str">
        <f t="shared" si="166"/>
        <v>jeudi</v>
      </c>
      <c r="D2644" s="87"/>
      <c r="E2644" s="115" t="str">
        <f t="shared" si="167"/>
        <v/>
      </c>
      <c r="F2644" s="115" t="str">
        <f t="shared" si="168"/>
        <v/>
      </c>
      <c r="G2644" s="116" t="str">
        <f>IF(ISNONTEXT(D2644),"",E2644-MAX($F$2:F2643))</f>
        <v/>
      </c>
      <c r="H2644" s="97"/>
      <c r="I2644" s="74" t="str">
        <f ca="1">IF(D2644="N",COUNTIF(INDIRECT(ADDRESS(MATCH(Plages!$D$19,'Planning annuel mixing coater'!$B:$B),4)):D2644,"N"),IF(D2644="N1",COUNTIF($D$9:D2644,"N1"),""))</f>
        <v/>
      </c>
      <c r="J2644" s="96" t="str">
        <f>IF(D2644="","",COUNTA(D2634:D2644)-(COUNTA(D2644:D2644)-1))</f>
        <v/>
      </c>
    </row>
    <row r="2645" spans="1:10" thickBot="1">
      <c r="A2645" s="117"/>
      <c r="B2645" s="70">
        <f t="shared" si="169"/>
        <v>46437</v>
      </c>
      <c r="C2645" s="82" t="str">
        <f t="shared" si="166"/>
        <v>vendredi</v>
      </c>
      <c r="D2645" s="87"/>
      <c r="E2645" s="115" t="str">
        <f t="shared" si="167"/>
        <v/>
      </c>
      <c r="F2645" s="115" t="str">
        <f t="shared" si="168"/>
        <v/>
      </c>
      <c r="G2645" s="116" t="str">
        <f>IF(ISNONTEXT(D2645),"",E2645-MAX($F$2:F2644))</f>
        <v/>
      </c>
      <c r="H2645" s="97"/>
      <c r="I2645" s="74" t="str">
        <f ca="1">IF(D2645="N",COUNTIF(INDIRECT(ADDRESS(MATCH(Plages!$D$19,'Planning annuel mixing coater'!$B:$B),4)):D2645,"N"),IF(D2645="N1",COUNTIF($D$9:D2645,"N1"),""))</f>
        <v/>
      </c>
      <c r="J2645" s="96" t="str">
        <f>IF(D2645="","",COUNTA(D2634:D2645)-(COUNTA(D2645:D2645)-1))</f>
        <v/>
      </c>
    </row>
    <row r="2646" spans="1:10" thickBot="1">
      <c r="A2646" s="117"/>
      <c r="B2646" s="70">
        <f t="shared" si="169"/>
        <v>46438</v>
      </c>
      <c r="C2646" s="82" t="str">
        <f t="shared" si="166"/>
        <v>samedi</v>
      </c>
      <c r="D2646" s="87"/>
      <c r="E2646" s="115" t="str">
        <f t="shared" si="167"/>
        <v/>
      </c>
      <c r="F2646" s="115" t="str">
        <f t="shared" si="168"/>
        <v/>
      </c>
      <c r="G2646" s="116" t="str">
        <f>IF(ISNONTEXT(D2646),"",E2646-MAX($F$2:F2645))</f>
        <v/>
      </c>
      <c r="H2646" s="97"/>
      <c r="I2646" s="74" t="str">
        <f ca="1">IF(D2646="N",COUNTIF(INDIRECT(ADDRESS(MATCH(Plages!$D$19,'Planning annuel mixing coater'!$B:$B),4)):D2646,"N"),IF(D2646="N1",COUNTIF($D$9:D2646,"N1"),""))</f>
        <v/>
      </c>
      <c r="J2646" s="96" t="str">
        <f>IF(D2646="","",COUNTA(D2634:D2646)-(COUNTA(D2646:D2646)-1))</f>
        <v/>
      </c>
    </row>
    <row r="2647" spans="1:10" s="77" customFormat="1" thickBot="1">
      <c r="A2647" s="117"/>
      <c r="B2647" s="75">
        <f t="shared" si="169"/>
        <v>46439</v>
      </c>
      <c r="C2647" s="83" t="str">
        <f t="shared" si="166"/>
        <v>dimanche</v>
      </c>
      <c r="D2647" s="88"/>
      <c r="E2647" s="115" t="str">
        <f t="shared" si="167"/>
        <v/>
      </c>
      <c r="F2647" s="115" t="str">
        <f t="shared" si="168"/>
        <v/>
      </c>
      <c r="G2647" s="116" t="str">
        <f>IF(ISNONTEXT(D2647),"",E2647-MAX($F$2:F2646))</f>
        <v/>
      </c>
      <c r="H2647" s="98"/>
      <c r="I2647" s="76" t="str">
        <f ca="1">IF(D2647="N",COUNTIF(INDIRECT(ADDRESS(MATCH(Plages!$D$19,'Planning annuel mixing coater'!$B:$B),4)):D2647,"N"),IF(D2647="N1",COUNTIF($D$9:D2647,"N1"),""))</f>
        <v/>
      </c>
      <c r="J2647" s="99" t="str">
        <f>IF(D2647="","",COUNTA(D2634:D2647)-(COUNTA(D2647:D2647)-1))</f>
        <v/>
      </c>
    </row>
    <row r="2648" spans="1:10" ht="16.5" thickTop="1" thickBot="1">
      <c r="A2648" s="117"/>
      <c r="B2648" s="78">
        <f t="shared" si="169"/>
        <v>46440</v>
      </c>
      <c r="C2648" s="81" t="str">
        <f t="shared" si="166"/>
        <v>lundi</v>
      </c>
      <c r="D2648" s="89"/>
      <c r="E2648" s="115" t="str">
        <f t="shared" si="167"/>
        <v/>
      </c>
      <c r="F2648" s="115" t="str">
        <f t="shared" si="168"/>
        <v/>
      </c>
      <c r="G2648" s="116" t="str">
        <f>IF(ISNONTEXT(D2648),"",E2648-MAX($F$2:F2647))</f>
        <v/>
      </c>
      <c r="H2648" s="100"/>
      <c r="I2648" s="79" t="str">
        <f ca="1">IF(D2648="N",COUNTIF(INDIRECT(ADDRESS(MATCH(Plages!$D$19,'Planning annuel mixing coater'!$B:$B),4)):D2648,"N"),IF(D2648="N1",COUNTIF($D$9:D2648,"N1"),""))</f>
        <v/>
      </c>
      <c r="J2648" s="101" t="str">
        <f>IF(D2648="","",COUNTA(D2648:D2648)-(COUNTA(D2648:D2648)-1))</f>
        <v/>
      </c>
    </row>
    <row r="2649" spans="1:10" thickBot="1">
      <c r="A2649" s="117"/>
      <c r="B2649" s="70">
        <f t="shared" si="169"/>
        <v>46441</v>
      </c>
      <c r="C2649" s="82" t="str">
        <f t="shared" si="166"/>
        <v>mardi</v>
      </c>
      <c r="D2649" s="87"/>
      <c r="E2649" s="115" t="str">
        <f t="shared" si="167"/>
        <v/>
      </c>
      <c r="F2649" s="115" t="str">
        <f t="shared" si="168"/>
        <v/>
      </c>
      <c r="G2649" s="116" t="str">
        <f>IF(ISNONTEXT(D2649),"",E2649-MAX($F$2:F2648))</f>
        <v/>
      </c>
      <c r="H2649" s="97"/>
      <c r="I2649" s="74" t="str">
        <f ca="1">IF(D2649="N",COUNTIF(INDIRECT(ADDRESS(MATCH(Plages!$D$19,'Planning annuel mixing coater'!$B:$B),4)):D2649,"N"),IF(D2649="N1",COUNTIF($D$9:D2649,"N1"),""))</f>
        <v/>
      </c>
      <c r="J2649" s="96" t="str">
        <f>IF(D2649="","",COUNTA(D2648:D2649)-(COUNTA(D2649:D2649)-1))</f>
        <v/>
      </c>
    </row>
    <row r="2650" spans="1:10" thickBot="1">
      <c r="A2650" s="117"/>
      <c r="B2650" s="70">
        <f t="shared" si="169"/>
        <v>46442</v>
      </c>
      <c r="C2650" s="82" t="str">
        <f t="shared" si="166"/>
        <v>mercredi</v>
      </c>
      <c r="D2650" s="87"/>
      <c r="E2650" s="115" t="str">
        <f t="shared" si="167"/>
        <v/>
      </c>
      <c r="F2650" s="115" t="str">
        <f t="shared" si="168"/>
        <v/>
      </c>
      <c r="G2650" s="116" t="str">
        <f>IF(ISNONTEXT(D2650),"",E2650-MAX($F$2:F2649))</f>
        <v/>
      </c>
      <c r="H2650" s="97"/>
      <c r="I2650" s="74" t="str">
        <f ca="1">IF(D2650="N",COUNTIF(INDIRECT(ADDRESS(MATCH(Plages!$D$19,'Planning annuel mixing coater'!$B:$B),4)):D2650,"N"),IF(D2650="N1",COUNTIF($D$9:D2650,"N1"),""))</f>
        <v/>
      </c>
      <c r="J2650" s="96" t="str">
        <f>IF(D2650="","",COUNTA(D2648:D2650)-(COUNTA(D2650:D2650)-1))</f>
        <v/>
      </c>
    </row>
    <row r="2651" spans="1:10" thickBot="1">
      <c r="A2651" s="117"/>
      <c r="B2651" s="70">
        <f t="shared" si="169"/>
        <v>46443</v>
      </c>
      <c r="C2651" s="82" t="str">
        <f t="shared" si="166"/>
        <v>jeudi</v>
      </c>
      <c r="D2651" s="87"/>
      <c r="E2651" s="115" t="str">
        <f t="shared" si="167"/>
        <v/>
      </c>
      <c r="F2651" s="115" t="str">
        <f t="shared" si="168"/>
        <v/>
      </c>
      <c r="G2651" s="116" t="str">
        <f>IF(ISNONTEXT(D2651),"",E2651-MAX($F$2:F2650))</f>
        <v/>
      </c>
      <c r="H2651" s="97"/>
      <c r="I2651" s="74" t="str">
        <f ca="1">IF(D2651="N",COUNTIF(INDIRECT(ADDRESS(MATCH(Plages!$D$19,'Planning annuel mixing coater'!$B:$B),4)):D2651,"N"),IF(D2651="N1",COUNTIF($D$9:D2651,"N1"),""))</f>
        <v/>
      </c>
      <c r="J2651" s="96" t="str">
        <f>IF(D2651="","",COUNTA(D2648:D2651)-(COUNTA(D2651:D2651)-1))</f>
        <v/>
      </c>
    </row>
    <row r="2652" spans="1:10" thickBot="1">
      <c r="A2652" s="117"/>
      <c r="B2652" s="70">
        <f t="shared" si="169"/>
        <v>46444</v>
      </c>
      <c r="C2652" s="82" t="str">
        <f t="shared" si="166"/>
        <v>vendredi</v>
      </c>
      <c r="D2652" s="87"/>
      <c r="E2652" s="115" t="str">
        <f t="shared" si="167"/>
        <v/>
      </c>
      <c r="F2652" s="115" t="str">
        <f t="shared" si="168"/>
        <v/>
      </c>
      <c r="G2652" s="116" t="str">
        <f>IF(ISNONTEXT(D2652),"",E2652-MAX($F$2:F2651))</f>
        <v/>
      </c>
      <c r="H2652" s="97"/>
      <c r="I2652" s="74" t="str">
        <f ca="1">IF(D2652="N",COUNTIF(INDIRECT(ADDRESS(MATCH(Plages!$D$19,'Planning annuel mixing coater'!$B:$B),4)):D2652,"N"),IF(D2652="N1",COUNTIF($D$9:D2652,"N1"),""))</f>
        <v/>
      </c>
      <c r="J2652" s="96" t="str">
        <f>IF(D2652="","",COUNTA(D2648:D2652)-(COUNTA(D2652:D2652)-1))</f>
        <v/>
      </c>
    </row>
    <row r="2653" spans="1:10" thickBot="1">
      <c r="A2653" s="117"/>
      <c r="B2653" s="70">
        <f t="shared" si="169"/>
        <v>46445</v>
      </c>
      <c r="C2653" s="82" t="str">
        <f t="shared" si="166"/>
        <v>samedi</v>
      </c>
      <c r="D2653" s="87"/>
      <c r="E2653" s="115" t="str">
        <f t="shared" si="167"/>
        <v/>
      </c>
      <c r="F2653" s="115" t="str">
        <f t="shared" si="168"/>
        <v/>
      </c>
      <c r="G2653" s="116" t="str">
        <f>IF(ISNONTEXT(D2653),"",E2653-MAX($F$2:F2652))</f>
        <v/>
      </c>
      <c r="H2653" s="97"/>
      <c r="I2653" s="74" t="str">
        <f ca="1">IF(D2653="N",COUNTIF(INDIRECT(ADDRESS(MATCH(Plages!$D$19,'Planning annuel mixing coater'!$B:$B),4)):D2653,"N"),IF(D2653="N1",COUNTIF($D$9:D2653,"N1"),""))</f>
        <v/>
      </c>
      <c r="J2653" s="96" t="str">
        <f>IF(D2653="","",COUNTA(D2648:D2653)-(COUNTA(D2653:D2653)-1))</f>
        <v/>
      </c>
    </row>
    <row r="2654" spans="1:10" thickBot="1">
      <c r="A2654" s="117"/>
      <c r="B2654" s="70">
        <f t="shared" si="169"/>
        <v>46446</v>
      </c>
      <c r="C2654" s="82" t="str">
        <f t="shared" ref="C2654:C2717" si="170">IF(B2654="","",TEXT(B2654,"jjjj"))</f>
        <v>dimanche</v>
      </c>
      <c r="D2654" s="87"/>
      <c r="E2654" s="115" t="str">
        <f t="shared" ref="E2654:E2717" si="171">IF(D2654="","",B2654+VLOOKUP(D2654,Plageh,2,0))</f>
        <v/>
      </c>
      <c r="F2654" s="115" t="str">
        <f t="shared" ref="F2654:F2717" si="172">IF(D2654="","",B2654+VLOOKUP(D2654,Plageh,3,0))</f>
        <v/>
      </c>
      <c r="G2654" s="116" t="str">
        <f>IF(ISNONTEXT(D2654),"",E2654-MAX($F$2:F2653))</f>
        <v/>
      </c>
      <c r="H2654" s="98"/>
      <c r="I2654" s="74" t="str">
        <f ca="1">IF(D2654="N",COUNTIF(INDIRECT(ADDRESS(MATCH(Plages!$D$19,'Planning annuel mixing coater'!$B:$B),4)):D2654,"N"),IF(D2654="N1",COUNTIF($D$9:D2654,"N1"),""))</f>
        <v/>
      </c>
      <c r="J2654" s="96" t="str">
        <f>IF(D2654="","",COUNTA(D2648:D2654)-(COUNTA(D2654:D2654)-1))</f>
        <v/>
      </c>
    </row>
    <row r="2655" spans="1:10" thickBot="1">
      <c r="A2655" s="117"/>
      <c r="B2655" s="70">
        <f t="shared" si="169"/>
        <v>46447</v>
      </c>
      <c r="C2655" s="82" t="str">
        <f t="shared" si="170"/>
        <v>lundi</v>
      </c>
      <c r="D2655" s="87"/>
      <c r="E2655" s="115" t="str">
        <f t="shared" si="171"/>
        <v/>
      </c>
      <c r="F2655" s="115" t="str">
        <f t="shared" si="172"/>
        <v/>
      </c>
      <c r="G2655" s="116" t="str">
        <f>IF(ISNONTEXT(D2655),"",E2655-MAX($F$2:F2654))</f>
        <v/>
      </c>
      <c r="H2655" s="97"/>
      <c r="I2655" s="74" t="str">
        <f ca="1">IF(D2655="N",COUNTIF(INDIRECT(ADDRESS(MATCH(Plages!$D$19,'Planning annuel mixing coater'!$B:$B),4)):D2655,"N"),IF(D2655="N1",COUNTIF($D$9:D2655,"N1"),""))</f>
        <v/>
      </c>
      <c r="J2655" s="96" t="str">
        <f>IF(D2655="","",COUNTA(D2648:D2655)-(COUNTA(D2655:D2655)-1))</f>
        <v/>
      </c>
    </row>
    <row r="2656" spans="1:10" thickBot="1">
      <c r="A2656" s="117"/>
      <c r="B2656" s="70">
        <f t="shared" si="169"/>
        <v>46448</v>
      </c>
      <c r="C2656" s="82" t="str">
        <f t="shared" si="170"/>
        <v>mardi</v>
      </c>
      <c r="D2656" s="87"/>
      <c r="E2656" s="115" t="str">
        <f t="shared" si="171"/>
        <v/>
      </c>
      <c r="F2656" s="115" t="str">
        <f t="shared" si="172"/>
        <v/>
      </c>
      <c r="G2656" s="116" t="str">
        <f>IF(ISNONTEXT(D2656),"",E2656-MAX($F$2:F2655))</f>
        <v/>
      </c>
      <c r="H2656" s="97"/>
      <c r="I2656" s="74" t="str">
        <f ca="1">IF(D2656="N",COUNTIF(INDIRECT(ADDRESS(MATCH(Plages!$D$19,'Planning annuel mixing coater'!$B:$B),4)):D2656,"N"),IF(D2656="N1",COUNTIF($D$9:D2656,"N1"),""))</f>
        <v/>
      </c>
      <c r="J2656" s="96" t="str">
        <f>IF(D2656="","",COUNTA(D2648:D2656)-(COUNTA(D2656:D2656)-1))</f>
        <v/>
      </c>
    </row>
    <row r="2657" spans="1:10" thickBot="1">
      <c r="A2657" s="117"/>
      <c r="B2657" s="70">
        <f t="shared" si="169"/>
        <v>46449</v>
      </c>
      <c r="C2657" s="82" t="str">
        <f t="shared" si="170"/>
        <v>mercredi</v>
      </c>
      <c r="D2657" s="87"/>
      <c r="E2657" s="115" t="str">
        <f t="shared" si="171"/>
        <v/>
      </c>
      <c r="F2657" s="115" t="str">
        <f t="shared" si="172"/>
        <v/>
      </c>
      <c r="G2657" s="116" t="str">
        <f>IF(ISNONTEXT(D2657),"",E2657-MAX($F$2:F2656))</f>
        <v/>
      </c>
      <c r="H2657" s="97"/>
      <c r="I2657" s="74" t="str">
        <f ca="1">IF(D2657="N",COUNTIF(INDIRECT(ADDRESS(MATCH(Plages!$D$19,'Planning annuel mixing coater'!$B:$B),4)):D2657,"N"),IF(D2657="N1",COUNTIF($D$9:D2657,"N1"),""))</f>
        <v/>
      </c>
      <c r="J2657" s="96" t="str">
        <f>IF(D2657="","",COUNTA(D2648:D2657)-(COUNTA(D2657:D2657)-1))</f>
        <v/>
      </c>
    </row>
    <row r="2658" spans="1:10" thickBot="1">
      <c r="A2658" s="117"/>
      <c r="B2658" s="70">
        <f t="shared" si="169"/>
        <v>46450</v>
      </c>
      <c r="C2658" s="82" t="str">
        <f t="shared" si="170"/>
        <v>jeudi</v>
      </c>
      <c r="D2658" s="87"/>
      <c r="E2658" s="115" t="str">
        <f t="shared" si="171"/>
        <v/>
      </c>
      <c r="F2658" s="115" t="str">
        <f t="shared" si="172"/>
        <v/>
      </c>
      <c r="G2658" s="116" t="str">
        <f>IF(ISNONTEXT(D2658),"",E2658-MAX($F$2:F2657))</f>
        <v/>
      </c>
      <c r="H2658" s="97"/>
      <c r="I2658" s="74" t="str">
        <f ca="1">IF(D2658="N",COUNTIF(INDIRECT(ADDRESS(MATCH(Plages!$D$19,'Planning annuel mixing coater'!$B:$B),4)):D2658,"N"),IF(D2658="N1",COUNTIF($D$9:D2658,"N1"),""))</f>
        <v/>
      </c>
      <c r="J2658" s="96" t="str">
        <f>IF(D2658="","",COUNTA(D2648:D2658)-(COUNTA(D2658:D2658)-1))</f>
        <v/>
      </c>
    </row>
    <row r="2659" spans="1:10" thickBot="1">
      <c r="A2659" s="117"/>
      <c r="B2659" s="70">
        <f t="shared" si="169"/>
        <v>46451</v>
      </c>
      <c r="C2659" s="82" t="str">
        <f t="shared" si="170"/>
        <v>vendredi</v>
      </c>
      <c r="D2659" s="87"/>
      <c r="E2659" s="115" t="str">
        <f t="shared" si="171"/>
        <v/>
      </c>
      <c r="F2659" s="115" t="str">
        <f t="shared" si="172"/>
        <v/>
      </c>
      <c r="G2659" s="116" t="str">
        <f>IF(ISNONTEXT(D2659),"",E2659-MAX($F$2:F2658))</f>
        <v/>
      </c>
      <c r="H2659" s="97"/>
      <c r="I2659" s="74" t="str">
        <f ca="1">IF(D2659="N",COUNTIF(INDIRECT(ADDRESS(MATCH(Plages!$D$19,'Planning annuel mixing coater'!$B:$B),4)):D2659,"N"),IF(D2659="N1",COUNTIF($D$9:D2659,"N1"),""))</f>
        <v/>
      </c>
      <c r="J2659" s="96" t="str">
        <f>IF(D2659="","",COUNTA(D2648:D2659)-(COUNTA(D2659:D2659)-1))</f>
        <v/>
      </c>
    </row>
    <row r="2660" spans="1:10" thickBot="1">
      <c r="A2660" s="117"/>
      <c r="B2660" s="70">
        <f t="shared" si="169"/>
        <v>46452</v>
      </c>
      <c r="C2660" s="82" t="str">
        <f t="shared" si="170"/>
        <v>samedi</v>
      </c>
      <c r="D2660" s="87"/>
      <c r="E2660" s="115" t="str">
        <f t="shared" si="171"/>
        <v/>
      </c>
      <c r="F2660" s="115" t="str">
        <f t="shared" si="172"/>
        <v/>
      </c>
      <c r="G2660" s="116" t="str">
        <f>IF(ISNONTEXT(D2660),"",E2660-MAX($F$2:F2659))</f>
        <v/>
      </c>
      <c r="H2660" s="97"/>
      <c r="I2660" s="74" t="str">
        <f ca="1">IF(D2660="N",COUNTIF(INDIRECT(ADDRESS(MATCH(Plages!$D$19,'Planning annuel mixing coater'!$B:$B),4)):D2660,"N"),IF(D2660="N1",COUNTIF($D$9:D2660,"N1"),""))</f>
        <v/>
      </c>
      <c r="J2660" s="96" t="str">
        <f>IF(D2660="","",COUNTA(D2648:D2660)-(COUNTA(D2660:D2660)-1))</f>
        <v/>
      </c>
    </row>
    <row r="2661" spans="1:10" s="77" customFormat="1" thickBot="1">
      <c r="A2661" s="117"/>
      <c r="B2661" s="75">
        <f t="shared" si="169"/>
        <v>46453</v>
      </c>
      <c r="C2661" s="83" t="str">
        <f t="shared" si="170"/>
        <v>dimanche</v>
      </c>
      <c r="D2661" s="88"/>
      <c r="E2661" s="115" t="str">
        <f t="shared" si="171"/>
        <v/>
      </c>
      <c r="F2661" s="115" t="str">
        <f t="shared" si="172"/>
        <v/>
      </c>
      <c r="G2661" s="116" t="str">
        <f>IF(ISNONTEXT(D2661),"",E2661-MAX($F$2:F2660))</f>
        <v/>
      </c>
      <c r="H2661" s="98"/>
      <c r="I2661" s="76" t="str">
        <f ca="1">IF(D2661="N",COUNTIF(INDIRECT(ADDRESS(MATCH(Plages!$D$19,'Planning annuel mixing coater'!$B:$B),4)):D2661,"N"),IF(D2661="N1",COUNTIF($D$9:D2661,"N1"),""))</f>
        <v/>
      </c>
      <c r="J2661" s="99" t="str">
        <f>IF(D2661="","",COUNTA(D2648:D2661)-(COUNTA(D2661:D2661)-1))</f>
        <v/>
      </c>
    </row>
    <row r="2662" spans="1:10" ht="16.5" thickTop="1" thickBot="1">
      <c r="A2662" s="117"/>
      <c r="B2662" s="78">
        <f t="shared" si="169"/>
        <v>46454</v>
      </c>
      <c r="C2662" s="81" t="str">
        <f t="shared" si="170"/>
        <v>lundi</v>
      </c>
      <c r="D2662" s="89"/>
      <c r="E2662" s="115" t="str">
        <f t="shared" si="171"/>
        <v/>
      </c>
      <c r="F2662" s="115" t="str">
        <f t="shared" si="172"/>
        <v/>
      </c>
      <c r="G2662" s="116" t="str">
        <f>IF(ISNONTEXT(D2662),"",E2662-MAX($F$2:F2661))</f>
        <v/>
      </c>
      <c r="H2662" s="100"/>
      <c r="I2662" s="79" t="str">
        <f ca="1">IF(D2662="N",COUNTIF(INDIRECT(ADDRESS(MATCH(Plages!$D$19,'Planning annuel mixing coater'!$B:$B),4)):D2662,"N"),IF(D2662="N1",COUNTIF($D$9:D2662,"N1"),""))</f>
        <v/>
      </c>
      <c r="J2662" s="101" t="str">
        <f>IF(D2662="","",COUNTA(D2662:D2662)-(COUNTA(D2662:D2662)-1))</f>
        <v/>
      </c>
    </row>
    <row r="2663" spans="1:10" thickBot="1">
      <c r="A2663" s="117"/>
      <c r="B2663" s="70">
        <f t="shared" si="169"/>
        <v>46455</v>
      </c>
      <c r="C2663" s="82" t="str">
        <f t="shared" si="170"/>
        <v>mardi</v>
      </c>
      <c r="D2663" s="87"/>
      <c r="E2663" s="115" t="str">
        <f t="shared" si="171"/>
        <v/>
      </c>
      <c r="F2663" s="115" t="str">
        <f t="shared" si="172"/>
        <v/>
      </c>
      <c r="G2663" s="116" t="str">
        <f>IF(ISNONTEXT(D2663),"",E2663-MAX($F$2:F2662))</f>
        <v/>
      </c>
      <c r="H2663" s="97"/>
      <c r="I2663" s="74" t="str">
        <f ca="1">IF(D2663="N",COUNTIF(INDIRECT(ADDRESS(MATCH(Plages!$D$19,'Planning annuel mixing coater'!$B:$B),4)):D2663,"N"),IF(D2663="N1",COUNTIF($D$9:D2663,"N1"),""))</f>
        <v/>
      </c>
      <c r="J2663" s="96" t="str">
        <f>IF(D2663="","",COUNTA(D2662:D2663)-(COUNTA(D2663:D2663)-1))</f>
        <v/>
      </c>
    </row>
    <row r="2664" spans="1:10" thickBot="1">
      <c r="A2664" s="117"/>
      <c r="B2664" s="70">
        <f t="shared" si="169"/>
        <v>46456</v>
      </c>
      <c r="C2664" s="82" t="str">
        <f t="shared" si="170"/>
        <v>mercredi</v>
      </c>
      <c r="D2664" s="87"/>
      <c r="E2664" s="115" t="str">
        <f t="shared" si="171"/>
        <v/>
      </c>
      <c r="F2664" s="115" t="str">
        <f t="shared" si="172"/>
        <v/>
      </c>
      <c r="G2664" s="116" t="str">
        <f>IF(ISNONTEXT(D2664),"",E2664-MAX($F$2:F2663))</f>
        <v/>
      </c>
      <c r="H2664" s="97"/>
      <c r="I2664" s="74" t="str">
        <f ca="1">IF(D2664="N",COUNTIF(INDIRECT(ADDRESS(MATCH(Plages!$D$19,'Planning annuel mixing coater'!$B:$B),4)):D2664,"N"),IF(D2664="N1",COUNTIF($D$9:D2664,"N1"),""))</f>
        <v/>
      </c>
      <c r="J2664" s="96" t="str">
        <f>IF(D2664="","",COUNTA(D2662:D2664)-(COUNTA(D2664:D2664)-1))</f>
        <v/>
      </c>
    </row>
    <row r="2665" spans="1:10" thickBot="1">
      <c r="A2665" s="117"/>
      <c r="B2665" s="70">
        <f t="shared" si="169"/>
        <v>46457</v>
      </c>
      <c r="C2665" s="82" t="str">
        <f t="shared" si="170"/>
        <v>jeudi</v>
      </c>
      <c r="D2665" s="87"/>
      <c r="E2665" s="115" t="str">
        <f t="shared" si="171"/>
        <v/>
      </c>
      <c r="F2665" s="115" t="str">
        <f t="shared" si="172"/>
        <v/>
      </c>
      <c r="G2665" s="116" t="str">
        <f>IF(ISNONTEXT(D2665),"",E2665-MAX($F$2:F2664))</f>
        <v/>
      </c>
      <c r="H2665" s="97"/>
      <c r="I2665" s="74" t="str">
        <f ca="1">IF(D2665="N",COUNTIF(INDIRECT(ADDRESS(MATCH(Plages!$D$19,'Planning annuel mixing coater'!$B:$B),4)):D2665,"N"),IF(D2665="N1",COUNTIF($D$9:D2665,"N1"),""))</f>
        <v/>
      </c>
      <c r="J2665" s="96" t="str">
        <f>IF(D2665="","",COUNTA(D2662:D2665)-(COUNTA(D2665:D2665)-1))</f>
        <v/>
      </c>
    </row>
    <row r="2666" spans="1:10" thickBot="1">
      <c r="A2666" s="117"/>
      <c r="B2666" s="70">
        <f t="shared" si="169"/>
        <v>46458</v>
      </c>
      <c r="C2666" s="82" t="str">
        <f t="shared" si="170"/>
        <v>vendredi</v>
      </c>
      <c r="D2666" s="87"/>
      <c r="E2666" s="115" t="str">
        <f t="shared" si="171"/>
        <v/>
      </c>
      <c r="F2666" s="115" t="str">
        <f t="shared" si="172"/>
        <v/>
      </c>
      <c r="G2666" s="116" t="str">
        <f>IF(ISNONTEXT(D2666),"",E2666-MAX($F$2:F2665))</f>
        <v/>
      </c>
      <c r="H2666" s="97"/>
      <c r="I2666" s="74" t="str">
        <f ca="1">IF(D2666="N",COUNTIF(INDIRECT(ADDRESS(MATCH(Plages!$D$19,'Planning annuel mixing coater'!$B:$B),4)):D2666,"N"),IF(D2666="N1",COUNTIF($D$9:D2666,"N1"),""))</f>
        <v/>
      </c>
      <c r="J2666" s="96" t="str">
        <f>IF(D2666="","",COUNTA(D2662:D2666)-(COUNTA(D2666:D2666)-1))</f>
        <v/>
      </c>
    </row>
    <row r="2667" spans="1:10" thickBot="1">
      <c r="A2667" s="117"/>
      <c r="B2667" s="70">
        <f t="shared" si="169"/>
        <v>46459</v>
      </c>
      <c r="C2667" s="82" t="str">
        <f t="shared" si="170"/>
        <v>samedi</v>
      </c>
      <c r="D2667" s="87"/>
      <c r="E2667" s="115" t="str">
        <f t="shared" si="171"/>
        <v/>
      </c>
      <c r="F2667" s="115" t="str">
        <f t="shared" si="172"/>
        <v/>
      </c>
      <c r="G2667" s="116" t="str">
        <f>IF(ISNONTEXT(D2667),"",E2667-MAX($F$2:F2666))</f>
        <v/>
      </c>
      <c r="H2667" s="97"/>
      <c r="I2667" s="74" t="str">
        <f ca="1">IF(D2667="N",COUNTIF(INDIRECT(ADDRESS(MATCH(Plages!$D$19,'Planning annuel mixing coater'!$B:$B),4)):D2667,"N"),IF(D2667="N1",COUNTIF($D$9:D2667,"N1"),""))</f>
        <v/>
      </c>
      <c r="J2667" s="96" t="str">
        <f>IF(D2667="","",COUNTA(D2662:D2667)-(COUNTA(D2667:D2667)-1))</f>
        <v/>
      </c>
    </row>
    <row r="2668" spans="1:10" thickBot="1">
      <c r="A2668" s="117"/>
      <c r="B2668" s="70">
        <f t="shared" si="169"/>
        <v>46460</v>
      </c>
      <c r="C2668" s="82" t="str">
        <f t="shared" si="170"/>
        <v>dimanche</v>
      </c>
      <c r="D2668" s="87"/>
      <c r="E2668" s="115" t="str">
        <f t="shared" si="171"/>
        <v/>
      </c>
      <c r="F2668" s="115" t="str">
        <f t="shared" si="172"/>
        <v/>
      </c>
      <c r="G2668" s="116" t="str">
        <f>IF(ISNONTEXT(D2668),"",E2668-MAX($F$2:F2667))</f>
        <v/>
      </c>
      <c r="H2668" s="98"/>
      <c r="I2668" s="74" t="str">
        <f ca="1">IF(D2668="N",COUNTIF(INDIRECT(ADDRESS(MATCH(Plages!$D$19,'Planning annuel mixing coater'!$B:$B),4)):D2668,"N"),IF(D2668="N1",COUNTIF($D$9:D2668,"N1"),""))</f>
        <v/>
      </c>
      <c r="J2668" s="96" t="str">
        <f>IF(D2668="","",COUNTA(D2662:D2668)-(COUNTA(D2668:D2668)-1))</f>
        <v/>
      </c>
    </row>
    <row r="2669" spans="1:10" thickBot="1">
      <c r="A2669" s="117"/>
      <c r="B2669" s="70">
        <f t="shared" si="169"/>
        <v>46461</v>
      </c>
      <c r="C2669" s="82" t="str">
        <f t="shared" si="170"/>
        <v>lundi</v>
      </c>
      <c r="D2669" s="87"/>
      <c r="E2669" s="115" t="str">
        <f t="shared" si="171"/>
        <v/>
      </c>
      <c r="F2669" s="115" t="str">
        <f t="shared" si="172"/>
        <v/>
      </c>
      <c r="G2669" s="116" t="str">
        <f>IF(ISNONTEXT(D2669),"",E2669-MAX($F$2:F2668))</f>
        <v/>
      </c>
      <c r="H2669" s="97"/>
      <c r="I2669" s="74" t="str">
        <f ca="1">IF(D2669="N",COUNTIF(INDIRECT(ADDRESS(MATCH(Plages!$D$19,'Planning annuel mixing coater'!$B:$B),4)):D2669,"N"),IF(D2669="N1",COUNTIF($D$9:D2669,"N1"),""))</f>
        <v/>
      </c>
      <c r="J2669" s="96" t="str">
        <f>IF(D2669="","",COUNTA(D2662:D2669)-(COUNTA(D2669:D2669)-1))</f>
        <v/>
      </c>
    </row>
    <row r="2670" spans="1:10" thickBot="1">
      <c r="A2670" s="117"/>
      <c r="B2670" s="70">
        <f t="shared" si="169"/>
        <v>46462</v>
      </c>
      <c r="C2670" s="82" t="str">
        <f t="shared" si="170"/>
        <v>mardi</v>
      </c>
      <c r="D2670" s="87"/>
      <c r="E2670" s="115" t="str">
        <f t="shared" si="171"/>
        <v/>
      </c>
      <c r="F2670" s="115" t="str">
        <f t="shared" si="172"/>
        <v/>
      </c>
      <c r="G2670" s="116" t="str">
        <f>IF(ISNONTEXT(D2670),"",E2670-MAX($F$2:F2669))</f>
        <v/>
      </c>
      <c r="H2670" s="97"/>
      <c r="I2670" s="74" t="str">
        <f ca="1">IF(D2670="N",COUNTIF(INDIRECT(ADDRESS(MATCH(Plages!$D$19,'Planning annuel mixing coater'!$B:$B),4)):D2670,"N"),IF(D2670="N1",COUNTIF($D$9:D2670,"N1"),""))</f>
        <v/>
      </c>
      <c r="J2670" s="96" t="str">
        <f>IF(D2670="","",COUNTA(D2662:D2670)-(COUNTA(D2670:D2670)-1))</f>
        <v/>
      </c>
    </row>
    <row r="2671" spans="1:10" thickBot="1">
      <c r="A2671" s="117"/>
      <c r="B2671" s="70">
        <f t="shared" si="169"/>
        <v>46463</v>
      </c>
      <c r="C2671" s="82" t="str">
        <f t="shared" si="170"/>
        <v>mercredi</v>
      </c>
      <c r="D2671" s="87"/>
      <c r="E2671" s="115" t="str">
        <f t="shared" si="171"/>
        <v/>
      </c>
      <c r="F2671" s="115" t="str">
        <f t="shared" si="172"/>
        <v/>
      </c>
      <c r="G2671" s="116" t="str">
        <f>IF(ISNONTEXT(D2671),"",E2671-MAX($F$2:F2670))</f>
        <v/>
      </c>
      <c r="H2671" s="97"/>
      <c r="I2671" s="74" t="str">
        <f ca="1">IF(D2671="N",COUNTIF(INDIRECT(ADDRESS(MATCH(Plages!$D$19,'Planning annuel mixing coater'!$B:$B),4)):D2671,"N"),IF(D2671="N1",COUNTIF($D$9:D2671,"N1"),""))</f>
        <v/>
      </c>
      <c r="J2671" s="96" t="str">
        <f>IF(D2671="","",COUNTA(D2662:D2671)-(COUNTA(D2671:D2671)-1))</f>
        <v/>
      </c>
    </row>
    <row r="2672" spans="1:10" thickBot="1">
      <c r="A2672" s="117"/>
      <c r="B2672" s="70">
        <f t="shared" si="169"/>
        <v>46464</v>
      </c>
      <c r="C2672" s="82" t="str">
        <f t="shared" si="170"/>
        <v>jeudi</v>
      </c>
      <c r="D2672" s="87"/>
      <c r="E2672" s="115" t="str">
        <f t="shared" si="171"/>
        <v/>
      </c>
      <c r="F2672" s="115" t="str">
        <f t="shared" si="172"/>
        <v/>
      </c>
      <c r="G2672" s="116" t="str">
        <f>IF(ISNONTEXT(D2672),"",E2672-MAX($F$2:F2671))</f>
        <v/>
      </c>
      <c r="H2672" s="97"/>
      <c r="I2672" s="74" t="str">
        <f ca="1">IF(D2672="N",COUNTIF(INDIRECT(ADDRESS(MATCH(Plages!$D$19,'Planning annuel mixing coater'!$B:$B),4)):D2672,"N"),IF(D2672="N1",COUNTIF($D$9:D2672,"N1"),""))</f>
        <v/>
      </c>
      <c r="J2672" s="96" t="str">
        <f>IF(D2672="","",COUNTA(D2662:D2672)-(COUNTA(D2672:D2672)-1))</f>
        <v/>
      </c>
    </row>
    <row r="2673" spans="1:10" thickBot="1">
      <c r="A2673" s="117"/>
      <c r="B2673" s="70">
        <f t="shared" si="169"/>
        <v>46465</v>
      </c>
      <c r="C2673" s="82" t="str">
        <f t="shared" si="170"/>
        <v>vendredi</v>
      </c>
      <c r="D2673" s="87"/>
      <c r="E2673" s="115" t="str">
        <f t="shared" si="171"/>
        <v/>
      </c>
      <c r="F2673" s="115" t="str">
        <f t="shared" si="172"/>
        <v/>
      </c>
      <c r="G2673" s="116" t="str">
        <f>IF(ISNONTEXT(D2673),"",E2673-MAX($F$2:F2672))</f>
        <v/>
      </c>
      <c r="H2673" s="97"/>
      <c r="I2673" s="74" t="str">
        <f ca="1">IF(D2673="N",COUNTIF(INDIRECT(ADDRESS(MATCH(Plages!$D$19,'Planning annuel mixing coater'!$B:$B),4)):D2673,"N"),IF(D2673="N1",COUNTIF($D$9:D2673,"N1"),""))</f>
        <v/>
      </c>
      <c r="J2673" s="96" t="str">
        <f>IF(D2673="","",COUNTA(D2662:D2673)-(COUNTA(D2673:D2673)-1))</f>
        <v/>
      </c>
    </row>
    <row r="2674" spans="1:10" thickBot="1">
      <c r="A2674" s="117"/>
      <c r="B2674" s="70">
        <f t="shared" si="169"/>
        <v>46466</v>
      </c>
      <c r="C2674" s="82" t="str">
        <f t="shared" si="170"/>
        <v>samedi</v>
      </c>
      <c r="D2674" s="87"/>
      <c r="E2674" s="115" t="str">
        <f t="shared" si="171"/>
        <v/>
      </c>
      <c r="F2674" s="115" t="str">
        <f t="shared" si="172"/>
        <v/>
      </c>
      <c r="G2674" s="116" t="str">
        <f>IF(ISNONTEXT(D2674),"",E2674-MAX($F$2:F2673))</f>
        <v/>
      </c>
      <c r="H2674" s="97"/>
      <c r="I2674" s="74" t="str">
        <f ca="1">IF(D2674="N",COUNTIF(INDIRECT(ADDRESS(MATCH(Plages!$D$19,'Planning annuel mixing coater'!$B:$B),4)):D2674,"N"),IF(D2674="N1",COUNTIF($D$9:D2674,"N1"),""))</f>
        <v/>
      </c>
      <c r="J2674" s="96" t="str">
        <f>IF(D2674="","",COUNTA(D2662:D2674)-(COUNTA(D2674:D2674)-1))</f>
        <v/>
      </c>
    </row>
    <row r="2675" spans="1:10" s="77" customFormat="1" thickBot="1">
      <c r="A2675" s="117"/>
      <c r="B2675" s="75">
        <f t="shared" si="169"/>
        <v>46467</v>
      </c>
      <c r="C2675" s="83" t="str">
        <f t="shared" si="170"/>
        <v>dimanche</v>
      </c>
      <c r="D2675" s="88"/>
      <c r="E2675" s="115" t="str">
        <f t="shared" si="171"/>
        <v/>
      </c>
      <c r="F2675" s="115" t="str">
        <f t="shared" si="172"/>
        <v/>
      </c>
      <c r="G2675" s="116" t="str">
        <f>IF(ISNONTEXT(D2675),"",E2675-MAX($F$2:F2674))</f>
        <v/>
      </c>
      <c r="H2675" s="98"/>
      <c r="I2675" s="76" t="str">
        <f ca="1">IF(D2675="N",COUNTIF(INDIRECT(ADDRESS(MATCH(Plages!$D$19,'Planning annuel mixing coater'!$B:$B),4)):D2675,"N"),IF(D2675="N1",COUNTIF($D$9:D2675,"N1"),""))</f>
        <v/>
      </c>
      <c r="J2675" s="99" t="str">
        <f>IF(D2675="","",COUNTA(D2662:D2675)-(COUNTA(D2675:D2675)-1))</f>
        <v/>
      </c>
    </row>
    <row r="2676" spans="1:10" ht="16.5" thickTop="1" thickBot="1">
      <c r="A2676" s="117"/>
      <c r="B2676" s="78">
        <f t="shared" si="169"/>
        <v>46468</v>
      </c>
      <c r="C2676" s="81" t="str">
        <f t="shared" si="170"/>
        <v>lundi</v>
      </c>
      <c r="D2676" s="89"/>
      <c r="E2676" s="115" t="str">
        <f t="shared" si="171"/>
        <v/>
      </c>
      <c r="F2676" s="115" t="str">
        <f t="shared" si="172"/>
        <v/>
      </c>
      <c r="G2676" s="116" t="str">
        <f>IF(ISNONTEXT(D2676),"",E2676-MAX($F$2:F2675))</f>
        <v/>
      </c>
      <c r="H2676" s="100"/>
      <c r="I2676" s="79" t="str">
        <f ca="1">IF(D2676="N",COUNTIF(INDIRECT(ADDRESS(MATCH(Plages!$D$19,'Planning annuel mixing coater'!$B:$B),4)):D2676,"N"),IF(D2676="N1",COUNTIF($D$9:D2676,"N1"),""))</f>
        <v/>
      </c>
      <c r="J2676" s="101" t="str">
        <f>IF(D2676="","",COUNTA(D2676:D2676)-(COUNTA(D2676:D2676)-1))</f>
        <v/>
      </c>
    </row>
    <row r="2677" spans="1:10" thickBot="1">
      <c r="A2677" s="117"/>
      <c r="B2677" s="70">
        <f t="shared" si="169"/>
        <v>46469</v>
      </c>
      <c r="C2677" s="82" t="str">
        <f t="shared" si="170"/>
        <v>mardi</v>
      </c>
      <c r="D2677" s="87"/>
      <c r="E2677" s="115" t="str">
        <f t="shared" si="171"/>
        <v/>
      </c>
      <c r="F2677" s="115" t="str">
        <f t="shared" si="172"/>
        <v/>
      </c>
      <c r="G2677" s="116" t="str">
        <f>IF(ISNONTEXT(D2677),"",E2677-MAX($F$2:F2676))</f>
        <v/>
      </c>
      <c r="H2677" s="97"/>
      <c r="I2677" s="74" t="str">
        <f ca="1">IF(D2677="N",COUNTIF(INDIRECT(ADDRESS(MATCH(Plages!$D$19,'Planning annuel mixing coater'!$B:$B),4)):D2677,"N"),IF(D2677="N1",COUNTIF($D$9:D2677,"N1"),""))</f>
        <v/>
      </c>
      <c r="J2677" s="96" t="str">
        <f>IF(D2677="","",COUNTA(D2676:D2677)-(COUNTA(D2677:D2677)-1))</f>
        <v/>
      </c>
    </row>
    <row r="2678" spans="1:10" thickBot="1">
      <c r="A2678" s="117"/>
      <c r="B2678" s="70">
        <f t="shared" si="169"/>
        <v>46470</v>
      </c>
      <c r="C2678" s="82" t="str">
        <f t="shared" si="170"/>
        <v>mercredi</v>
      </c>
      <c r="D2678" s="87"/>
      <c r="E2678" s="115" t="str">
        <f t="shared" si="171"/>
        <v/>
      </c>
      <c r="F2678" s="115" t="str">
        <f t="shared" si="172"/>
        <v/>
      </c>
      <c r="G2678" s="116" t="str">
        <f>IF(ISNONTEXT(D2678),"",E2678-MAX($F$2:F2677))</f>
        <v/>
      </c>
      <c r="H2678" s="97"/>
      <c r="I2678" s="74" t="str">
        <f ca="1">IF(D2678="N",COUNTIF(INDIRECT(ADDRESS(MATCH(Plages!$D$19,'Planning annuel mixing coater'!$B:$B),4)):D2678,"N"),IF(D2678="N1",COUNTIF($D$9:D2678,"N1"),""))</f>
        <v/>
      </c>
      <c r="J2678" s="96" t="str">
        <f>IF(D2678="","",COUNTA(D2676:D2678)-(COUNTA(D2678:D2678)-1))</f>
        <v/>
      </c>
    </row>
    <row r="2679" spans="1:10" thickBot="1">
      <c r="A2679" s="117"/>
      <c r="B2679" s="70">
        <f t="shared" si="169"/>
        <v>46471</v>
      </c>
      <c r="C2679" s="82" t="str">
        <f t="shared" si="170"/>
        <v>jeudi</v>
      </c>
      <c r="D2679" s="87"/>
      <c r="E2679" s="115" t="str">
        <f t="shared" si="171"/>
        <v/>
      </c>
      <c r="F2679" s="115" t="str">
        <f t="shared" si="172"/>
        <v/>
      </c>
      <c r="G2679" s="116" t="str">
        <f>IF(ISNONTEXT(D2679),"",E2679-MAX($F$2:F2678))</f>
        <v/>
      </c>
      <c r="H2679" s="97"/>
      <c r="I2679" s="74" t="str">
        <f ca="1">IF(D2679="N",COUNTIF(INDIRECT(ADDRESS(MATCH(Plages!$D$19,'Planning annuel mixing coater'!$B:$B),4)):D2679,"N"),IF(D2679="N1",COUNTIF($D$9:D2679,"N1"),""))</f>
        <v/>
      </c>
      <c r="J2679" s="96" t="str">
        <f>IF(D2679="","",COUNTA(D2676:D2679)-(COUNTA(D2679:D2679)-1))</f>
        <v/>
      </c>
    </row>
    <row r="2680" spans="1:10" thickBot="1">
      <c r="A2680" s="117"/>
      <c r="B2680" s="70">
        <f t="shared" si="169"/>
        <v>46472</v>
      </c>
      <c r="C2680" s="82" t="str">
        <f t="shared" si="170"/>
        <v>vendredi</v>
      </c>
      <c r="D2680" s="87"/>
      <c r="E2680" s="115" t="str">
        <f t="shared" si="171"/>
        <v/>
      </c>
      <c r="F2680" s="115" t="str">
        <f t="shared" si="172"/>
        <v/>
      </c>
      <c r="G2680" s="116" t="str">
        <f>IF(ISNONTEXT(D2680),"",E2680-MAX($F$2:F2679))</f>
        <v/>
      </c>
      <c r="H2680" s="97"/>
      <c r="I2680" s="74" t="str">
        <f ca="1">IF(D2680="N",COUNTIF(INDIRECT(ADDRESS(MATCH(Plages!$D$19,'Planning annuel mixing coater'!$B:$B),4)):D2680,"N"),IF(D2680="N1",COUNTIF($D$9:D2680,"N1"),""))</f>
        <v/>
      </c>
      <c r="J2680" s="96" t="str">
        <f>IF(D2680="","",COUNTA(D2676:D2680)-(COUNTA(D2680:D2680)-1))</f>
        <v/>
      </c>
    </row>
    <row r="2681" spans="1:10" thickBot="1">
      <c r="A2681" s="117"/>
      <c r="B2681" s="70">
        <f t="shared" si="169"/>
        <v>46473</v>
      </c>
      <c r="C2681" s="82" t="str">
        <f t="shared" si="170"/>
        <v>samedi</v>
      </c>
      <c r="D2681" s="87"/>
      <c r="E2681" s="115" t="str">
        <f t="shared" si="171"/>
        <v/>
      </c>
      <c r="F2681" s="115" t="str">
        <f t="shared" si="172"/>
        <v/>
      </c>
      <c r="G2681" s="116" t="str">
        <f>IF(ISNONTEXT(D2681),"",E2681-MAX($F$2:F2680))</f>
        <v/>
      </c>
      <c r="H2681" s="97"/>
      <c r="I2681" s="74" t="str">
        <f ca="1">IF(D2681="N",COUNTIF(INDIRECT(ADDRESS(MATCH(Plages!$D$19,'Planning annuel mixing coater'!$B:$B),4)):D2681,"N"),IF(D2681="N1",COUNTIF($D$9:D2681,"N1"),""))</f>
        <v/>
      </c>
      <c r="J2681" s="96" t="str">
        <f>IF(D2681="","",COUNTA(D2676:D2681)-(COUNTA(D2681:D2681)-1))</f>
        <v/>
      </c>
    </row>
    <row r="2682" spans="1:10" thickBot="1">
      <c r="A2682" s="117"/>
      <c r="B2682" s="70">
        <f t="shared" si="169"/>
        <v>46474</v>
      </c>
      <c r="C2682" s="82" t="str">
        <f t="shared" si="170"/>
        <v>dimanche</v>
      </c>
      <c r="D2682" s="87"/>
      <c r="E2682" s="115" t="str">
        <f t="shared" si="171"/>
        <v/>
      </c>
      <c r="F2682" s="115" t="str">
        <f t="shared" si="172"/>
        <v/>
      </c>
      <c r="G2682" s="116" t="str">
        <f>IF(ISNONTEXT(D2682),"",E2682-MAX($F$2:F2681))</f>
        <v/>
      </c>
      <c r="H2682" s="98"/>
      <c r="I2682" s="74" t="str">
        <f ca="1">IF(D2682="N",COUNTIF(INDIRECT(ADDRESS(MATCH(Plages!$D$19,'Planning annuel mixing coater'!$B:$B),4)):D2682,"N"),IF(D2682="N1",COUNTIF($D$9:D2682,"N1"),""))</f>
        <v/>
      </c>
      <c r="J2682" s="96" t="str">
        <f>IF(D2682="","",COUNTA(D2676:D2682)-(COUNTA(D2682:D2682)-1))</f>
        <v/>
      </c>
    </row>
    <row r="2683" spans="1:10" thickBot="1">
      <c r="A2683" s="117"/>
      <c r="B2683" s="70">
        <f t="shared" si="169"/>
        <v>46475</v>
      </c>
      <c r="C2683" s="82" t="str">
        <f t="shared" si="170"/>
        <v>lundi</v>
      </c>
      <c r="D2683" s="87"/>
      <c r="E2683" s="115" t="str">
        <f t="shared" si="171"/>
        <v/>
      </c>
      <c r="F2683" s="115" t="str">
        <f t="shared" si="172"/>
        <v/>
      </c>
      <c r="G2683" s="116" t="str">
        <f>IF(ISNONTEXT(D2683),"",E2683-MAX($F$2:F2682))</f>
        <v/>
      </c>
      <c r="H2683" s="97"/>
      <c r="I2683" s="74" t="str">
        <f ca="1">IF(D2683="N",COUNTIF(INDIRECT(ADDRESS(MATCH(Plages!$D$19,'Planning annuel mixing coater'!$B:$B),4)):D2683,"N"),IF(D2683="N1",COUNTIF($D$9:D2683,"N1"),""))</f>
        <v/>
      </c>
      <c r="J2683" s="96" t="str">
        <f>IF(D2683="","",COUNTA(D2676:D2683)-(COUNTA(D2683:D2683)-1))</f>
        <v/>
      </c>
    </row>
    <row r="2684" spans="1:10" thickBot="1">
      <c r="A2684" s="117"/>
      <c r="B2684" s="70">
        <f t="shared" si="169"/>
        <v>46476</v>
      </c>
      <c r="C2684" s="82" t="str">
        <f t="shared" si="170"/>
        <v>mardi</v>
      </c>
      <c r="D2684" s="87"/>
      <c r="E2684" s="115" t="str">
        <f t="shared" si="171"/>
        <v/>
      </c>
      <c r="F2684" s="115" t="str">
        <f t="shared" si="172"/>
        <v/>
      </c>
      <c r="G2684" s="116" t="str">
        <f>IF(ISNONTEXT(D2684),"",E2684-MAX($F$2:F2683))</f>
        <v/>
      </c>
      <c r="H2684" s="97"/>
      <c r="I2684" s="74" t="str">
        <f ca="1">IF(D2684="N",COUNTIF(INDIRECT(ADDRESS(MATCH(Plages!$D$19,'Planning annuel mixing coater'!$B:$B),4)):D2684,"N"),IF(D2684="N1",COUNTIF($D$9:D2684,"N1"),""))</f>
        <v/>
      </c>
      <c r="J2684" s="96" t="str">
        <f>IF(D2684="","",COUNTA(D2676:D2684)-(COUNTA(D2684:D2684)-1))</f>
        <v/>
      </c>
    </row>
    <row r="2685" spans="1:10" thickBot="1">
      <c r="A2685" s="117"/>
      <c r="B2685" s="70">
        <f t="shared" si="169"/>
        <v>46477</v>
      </c>
      <c r="C2685" s="82" t="str">
        <f t="shared" si="170"/>
        <v>mercredi</v>
      </c>
      <c r="D2685" s="87"/>
      <c r="E2685" s="115" t="str">
        <f t="shared" si="171"/>
        <v/>
      </c>
      <c r="F2685" s="115" t="str">
        <f t="shared" si="172"/>
        <v/>
      </c>
      <c r="G2685" s="116" t="str">
        <f>IF(ISNONTEXT(D2685),"",E2685-MAX($F$2:F2684))</f>
        <v/>
      </c>
      <c r="H2685" s="97"/>
      <c r="I2685" s="74" t="str">
        <f ca="1">IF(D2685="N",COUNTIF(INDIRECT(ADDRESS(MATCH(Plages!$D$19,'Planning annuel mixing coater'!$B:$B),4)):D2685,"N"),IF(D2685="N1",COUNTIF($D$9:D2685,"N1"),""))</f>
        <v/>
      </c>
      <c r="J2685" s="96" t="str">
        <f>IF(D2685="","",COUNTA(D2676:D2685)-(COUNTA(D2685:D2685)-1))</f>
        <v/>
      </c>
    </row>
    <row r="2686" spans="1:10" thickBot="1">
      <c r="A2686" s="117"/>
      <c r="B2686" s="70">
        <f t="shared" si="169"/>
        <v>46478</v>
      </c>
      <c r="C2686" s="82" t="str">
        <f t="shared" si="170"/>
        <v>jeudi</v>
      </c>
      <c r="D2686" s="87"/>
      <c r="E2686" s="115" t="str">
        <f t="shared" si="171"/>
        <v/>
      </c>
      <c r="F2686" s="115" t="str">
        <f t="shared" si="172"/>
        <v/>
      </c>
      <c r="G2686" s="116" t="str">
        <f>IF(ISNONTEXT(D2686),"",E2686-MAX($F$2:F2685))</f>
        <v/>
      </c>
      <c r="H2686" s="97"/>
      <c r="I2686" s="74" t="str">
        <f ca="1">IF(D2686="N",COUNTIF(INDIRECT(ADDRESS(MATCH(Plages!$D$19,'Planning annuel mixing coater'!$B:$B),4)):D2686,"N"),IF(D2686="N1",COUNTIF($D$9:D2686,"N1"),""))</f>
        <v/>
      </c>
      <c r="J2686" s="96" t="str">
        <f>IF(D2686="","",COUNTA(D2676:D2686)-(COUNTA(D2686:D2686)-1))</f>
        <v/>
      </c>
    </row>
    <row r="2687" spans="1:10" thickBot="1">
      <c r="A2687" s="117"/>
      <c r="B2687" s="70">
        <f t="shared" si="169"/>
        <v>46479</v>
      </c>
      <c r="C2687" s="82" t="str">
        <f t="shared" si="170"/>
        <v>vendredi</v>
      </c>
      <c r="D2687" s="87"/>
      <c r="E2687" s="115" t="str">
        <f t="shared" si="171"/>
        <v/>
      </c>
      <c r="F2687" s="115" t="str">
        <f t="shared" si="172"/>
        <v/>
      </c>
      <c r="G2687" s="116" t="str">
        <f>IF(ISNONTEXT(D2687),"",E2687-MAX($F$2:F2686))</f>
        <v/>
      </c>
      <c r="H2687" s="97"/>
      <c r="I2687" s="74" t="str">
        <f ca="1">IF(D2687="N",COUNTIF(INDIRECT(ADDRESS(MATCH(Plages!$D$19,'Planning annuel mixing coater'!$B:$B),4)):D2687,"N"),IF(D2687="N1",COUNTIF($D$9:D2687,"N1"),""))</f>
        <v/>
      </c>
      <c r="J2687" s="96" t="str">
        <f>IF(D2687="","",COUNTA(D2676:D2687)-(COUNTA(D2687:D2687)-1))</f>
        <v/>
      </c>
    </row>
    <row r="2688" spans="1:10" thickBot="1">
      <c r="A2688" s="117"/>
      <c r="B2688" s="70">
        <f t="shared" si="169"/>
        <v>46480</v>
      </c>
      <c r="C2688" s="82" t="str">
        <f t="shared" si="170"/>
        <v>samedi</v>
      </c>
      <c r="D2688" s="87"/>
      <c r="E2688" s="115" t="str">
        <f t="shared" si="171"/>
        <v/>
      </c>
      <c r="F2688" s="115" t="str">
        <f t="shared" si="172"/>
        <v/>
      </c>
      <c r="G2688" s="116" t="str">
        <f>IF(ISNONTEXT(D2688),"",E2688-MAX($F$2:F2687))</f>
        <v/>
      </c>
      <c r="H2688" s="97"/>
      <c r="I2688" s="74" t="str">
        <f ca="1">IF(D2688="N",COUNTIF(INDIRECT(ADDRESS(MATCH(Plages!$D$19,'Planning annuel mixing coater'!$B:$B),4)):D2688,"N"),IF(D2688="N1",COUNTIF($D$9:D2688,"N1"),""))</f>
        <v/>
      </c>
      <c r="J2688" s="96" t="str">
        <f>IF(D2688="","",COUNTA(D2676:D2688)-(COUNTA(D2688:D2688)-1))</f>
        <v/>
      </c>
    </row>
    <row r="2689" spans="1:10" s="77" customFormat="1" thickBot="1">
      <c r="A2689" s="117"/>
      <c r="B2689" s="75">
        <f t="shared" si="169"/>
        <v>46481</v>
      </c>
      <c r="C2689" s="83" t="str">
        <f t="shared" si="170"/>
        <v>dimanche</v>
      </c>
      <c r="D2689" s="88"/>
      <c r="E2689" s="115" t="str">
        <f t="shared" si="171"/>
        <v/>
      </c>
      <c r="F2689" s="115" t="str">
        <f t="shared" si="172"/>
        <v/>
      </c>
      <c r="G2689" s="116" t="str">
        <f>IF(ISNONTEXT(D2689),"",E2689-MAX($F$2:F2688))</f>
        <v/>
      </c>
      <c r="H2689" s="98"/>
      <c r="I2689" s="76" t="str">
        <f ca="1">IF(D2689="N",COUNTIF(INDIRECT(ADDRESS(MATCH(Plages!$D$19,'Planning annuel mixing coater'!$B:$B),4)):D2689,"N"),IF(D2689="N1",COUNTIF($D$9:D2689,"N1"),""))</f>
        <v/>
      </c>
      <c r="J2689" s="99" t="str">
        <f>IF(D2689="","",COUNTA(D2676:D2689)-(COUNTA(D2689:D2689)-1))</f>
        <v/>
      </c>
    </row>
    <row r="2690" spans="1:10" ht="16.5" thickTop="1" thickBot="1">
      <c r="A2690" s="117"/>
      <c r="B2690" s="78">
        <f t="shared" si="169"/>
        <v>46482</v>
      </c>
      <c r="C2690" s="81" t="str">
        <f t="shared" si="170"/>
        <v>lundi</v>
      </c>
      <c r="D2690" s="89"/>
      <c r="E2690" s="115" t="str">
        <f t="shared" si="171"/>
        <v/>
      </c>
      <c r="F2690" s="115" t="str">
        <f t="shared" si="172"/>
        <v/>
      </c>
      <c r="G2690" s="116" t="str">
        <f>IF(ISNONTEXT(D2690),"",E2690-MAX($F$2:F2689))</f>
        <v/>
      </c>
      <c r="H2690" s="100"/>
      <c r="I2690" s="79" t="str">
        <f ca="1">IF(D2690="N",COUNTIF(INDIRECT(ADDRESS(MATCH(Plages!$D$19,'Planning annuel mixing coater'!$B:$B),4)):D2690,"N"),IF(D2690="N1",COUNTIF($D$9:D2690,"N1"),""))</f>
        <v/>
      </c>
      <c r="J2690" s="101" t="str">
        <f>IF(D2690="","",COUNTA(D2690:D2690)-(COUNTA(D2690:D2690)-1))</f>
        <v/>
      </c>
    </row>
    <row r="2691" spans="1:10" thickBot="1">
      <c r="A2691" s="117"/>
      <c r="B2691" s="70">
        <f t="shared" si="169"/>
        <v>46483</v>
      </c>
      <c r="C2691" s="82" t="str">
        <f t="shared" si="170"/>
        <v>mardi</v>
      </c>
      <c r="D2691" s="87"/>
      <c r="E2691" s="115" t="str">
        <f t="shared" si="171"/>
        <v/>
      </c>
      <c r="F2691" s="115" t="str">
        <f t="shared" si="172"/>
        <v/>
      </c>
      <c r="G2691" s="116" t="str">
        <f>IF(ISNONTEXT(D2691),"",E2691-MAX($F$2:F2690))</f>
        <v/>
      </c>
      <c r="H2691" s="97"/>
      <c r="I2691" s="74" t="str">
        <f ca="1">IF(D2691="N",COUNTIF(INDIRECT(ADDRESS(MATCH(Plages!$D$19,'Planning annuel mixing coater'!$B:$B),4)):D2691,"N"),IF(D2691="N1",COUNTIF($D$9:D2691,"N1"),""))</f>
        <v/>
      </c>
      <c r="J2691" s="96" t="str">
        <f>IF(D2691="","",COUNTA(D2690:D2691)-(COUNTA(D2691:D2691)-1))</f>
        <v/>
      </c>
    </row>
    <row r="2692" spans="1:10" thickBot="1">
      <c r="A2692" s="117"/>
      <c r="B2692" s="70">
        <f t="shared" ref="B2692:B2755" si="173">IF(B2691="","",B2691+1)</f>
        <v>46484</v>
      </c>
      <c r="C2692" s="82" t="str">
        <f t="shared" si="170"/>
        <v>mercredi</v>
      </c>
      <c r="D2692" s="87"/>
      <c r="E2692" s="115" t="str">
        <f t="shared" si="171"/>
        <v/>
      </c>
      <c r="F2692" s="115" t="str">
        <f t="shared" si="172"/>
        <v/>
      </c>
      <c r="G2692" s="116" t="str">
        <f>IF(ISNONTEXT(D2692),"",E2692-MAX($F$2:F2691))</f>
        <v/>
      </c>
      <c r="H2692" s="97"/>
      <c r="I2692" s="74" t="str">
        <f ca="1">IF(D2692="N",COUNTIF(INDIRECT(ADDRESS(MATCH(Plages!$D$19,'Planning annuel mixing coater'!$B:$B),4)):D2692,"N"),IF(D2692="N1",COUNTIF($D$9:D2692,"N1"),""))</f>
        <v/>
      </c>
      <c r="J2692" s="96" t="str">
        <f>IF(D2692="","",COUNTA(D2690:D2692)-(COUNTA(D2692:D2692)-1))</f>
        <v/>
      </c>
    </row>
    <row r="2693" spans="1:10" thickBot="1">
      <c r="A2693" s="117"/>
      <c r="B2693" s="70">
        <f t="shared" si="173"/>
        <v>46485</v>
      </c>
      <c r="C2693" s="82" t="str">
        <f t="shared" si="170"/>
        <v>jeudi</v>
      </c>
      <c r="D2693" s="87"/>
      <c r="E2693" s="115" t="str">
        <f t="shared" si="171"/>
        <v/>
      </c>
      <c r="F2693" s="115" t="str">
        <f t="shared" si="172"/>
        <v/>
      </c>
      <c r="G2693" s="116" t="str">
        <f>IF(ISNONTEXT(D2693),"",E2693-MAX($F$2:F2692))</f>
        <v/>
      </c>
      <c r="H2693" s="97"/>
      <c r="I2693" s="74" t="str">
        <f ca="1">IF(D2693="N",COUNTIF(INDIRECT(ADDRESS(MATCH(Plages!$D$19,'Planning annuel mixing coater'!$B:$B),4)):D2693,"N"),IF(D2693="N1",COUNTIF($D$9:D2693,"N1"),""))</f>
        <v/>
      </c>
      <c r="J2693" s="96" t="str">
        <f>IF(D2693="","",COUNTA(D2690:D2693)-(COUNTA(D2693:D2693)-1))</f>
        <v/>
      </c>
    </row>
    <row r="2694" spans="1:10" thickBot="1">
      <c r="A2694" s="117"/>
      <c r="B2694" s="70">
        <f t="shared" si="173"/>
        <v>46486</v>
      </c>
      <c r="C2694" s="82" t="str">
        <f t="shared" si="170"/>
        <v>vendredi</v>
      </c>
      <c r="D2694" s="87"/>
      <c r="E2694" s="115" t="str">
        <f t="shared" si="171"/>
        <v/>
      </c>
      <c r="F2694" s="115" t="str">
        <f t="shared" si="172"/>
        <v/>
      </c>
      <c r="G2694" s="116" t="str">
        <f>IF(ISNONTEXT(D2694),"",E2694-MAX($F$2:F2693))</f>
        <v/>
      </c>
      <c r="H2694" s="97"/>
      <c r="I2694" s="74" t="str">
        <f ca="1">IF(D2694="N",COUNTIF(INDIRECT(ADDRESS(MATCH(Plages!$D$19,'Planning annuel mixing coater'!$B:$B),4)):D2694,"N"),IF(D2694="N1",COUNTIF($D$9:D2694,"N1"),""))</f>
        <v/>
      </c>
      <c r="J2694" s="96" t="str">
        <f>IF(D2694="","",COUNTA(D2690:D2694)-(COUNTA(D2694:D2694)-1))</f>
        <v/>
      </c>
    </row>
    <row r="2695" spans="1:10" thickBot="1">
      <c r="A2695" s="117"/>
      <c r="B2695" s="70">
        <f t="shared" si="173"/>
        <v>46487</v>
      </c>
      <c r="C2695" s="82" t="str">
        <f t="shared" si="170"/>
        <v>samedi</v>
      </c>
      <c r="D2695" s="87"/>
      <c r="E2695" s="115" t="str">
        <f t="shared" si="171"/>
        <v/>
      </c>
      <c r="F2695" s="115" t="str">
        <f t="shared" si="172"/>
        <v/>
      </c>
      <c r="G2695" s="116" t="str">
        <f>IF(ISNONTEXT(D2695),"",E2695-MAX($F$2:F2694))</f>
        <v/>
      </c>
      <c r="H2695" s="97"/>
      <c r="I2695" s="74" t="str">
        <f ca="1">IF(D2695="N",COUNTIF(INDIRECT(ADDRESS(MATCH(Plages!$D$19,'Planning annuel mixing coater'!$B:$B),4)):D2695,"N"),IF(D2695="N1",COUNTIF($D$9:D2695,"N1"),""))</f>
        <v/>
      </c>
      <c r="J2695" s="96" t="str">
        <f>IF(D2695="","",COUNTA(D2690:D2695)-(COUNTA(D2695:D2695)-1))</f>
        <v/>
      </c>
    </row>
    <row r="2696" spans="1:10" thickBot="1">
      <c r="A2696" s="117"/>
      <c r="B2696" s="70">
        <f t="shared" si="173"/>
        <v>46488</v>
      </c>
      <c r="C2696" s="82" t="str">
        <f t="shared" si="170"/>
        <v>dimanche</v>
      </c>
      <c r="D2696" s="87"/>
      <c r="E2696" s="115" t="str">
        <f t="shared" si="171"/>
        <v/>
      </c>
      <c r="F2696" s="115" t="str">
        <f t="shared" si="172"/>
        <v/>
      </c>
      <c r="G2696" s="116" t="str">
        <f>IF(ISNONTEXT(D2696),"",E2696-MAX($F$2:F2695))</f>
        <v/>
      </c>
      <c r="H2696" s="98"/>
      <c r="I2696" s="74" t="str">
        <f ca="1">IF(D2696="N",COUNTIF(INDIRECT(ADDRESS(MATCH(Plages!$D$19,'Planning annuel mixing coater'!$B:$B),4)):D2696,"N"),IF(D2696="N1",COUNTIF($D$9:D2696,"N1"),""))</f>
        <v/>
      </c>
      <c r="J2696" s="96" t="str">
        <f>IF(D2696="","",COUNTA(D2690:D2696)-(COUNTA(D2696:D2696)-1))</f>
        <v/>
      </c>
    </row>
    <row r="2697" spans="1:10" thickBot="1">
      <c r="A2697" s="117"/>
      <c r="B2697" s="70">
        <f t="shared" si="173"/>
        <v>46489</v>
      </c>
      <c r="C2697" s="82" t="str">
        <f t="shared" si="170"/>
        <v>lundi</v>
      </c>
      <c r="D2697" s="87"/>
      <c r="E2697" s="115" t="str">
        <f t="shared" si="171"/>
        <v/>
      </c>
      <c r="F2697" s="115" t="str">
        <f t="shared" si="172"/>
        <v/>
      </c>
      <c r="G2697" s="116" t="str">
        <f>IF(ISNONTEXT(D2697),"",E2697-MAX($F$2:F2696))</f>
        <v/>
      </c>
      <c r="H2697" s="97"/>
      <c r="I2697" s="74" t="str">
        <f ca="1">IF(D2697="N",COUNTIF(INDIRECT(ADDRESS(MATCH(Plages!$D$19,'Planning annuel mixing coater'!$B:$B),4)):D2697,"N"),IF(D2697="N1",COUNTIF($D$9:D2697,"N1"),""))</f>
        <v/>
      </c>
      <c r="J2697" s="96" t="str">
        <f>IF(D2697="","",COUNTA(D2690:D2697)-(COUNTA(D2697:D2697)-1))</f>
        <v/>
      </c>
    </row>
    <row r="2698" spans="1:10" thickBot="1">
      <c r="A2698" s="117"/>
      <c r="B2698" s="70">
        <f t="shared" si="173"/>
        <v>46490</v>
      </c>
      <c r="C2698" s="82" t="str">
        <f t="shared" si="170"/>
        <v>mardi</v>
      </c>
      <c r="D2698" s="87"/>
      <c r="E2698" s="115" t="str">
        <f t="shared" si="171"/>
        <v/>
      </c>
      <c r="F2698" s="115" t="str">
        <f t="shared" si="172"/>
        <v/>
      </c>
      <c r="G2698" s="116" t="str">
        <f>IF(ISNONTEXT(D2698),"",E2698-MAX($F$2:F2697))</f>
        <v/>
      </c>
      <c r="H2698" s="97"/>
      <c r="I2698" s="74" t="str">
        <f ca="1">IF(D2698="N",COUNTIF(INDIRECT(ADDRESS(MATCH(Plages!$D$19,'Planning annuel mixing coater'!$B:$B),4)):D2698,"N"),IF(D2698="N1",COUNTIF($D$9:D2698,"N1"),""))</f>
        <v/>
      </c>
      <c r="J2698" s="96" t="str">
        <f>IF(D2698="","",COUNTA(D2690:D2698)-(COUNTA(D2698:D2698)-1))</f>
        <v/>
      </c>
    </row>
    <row r="2699" spans="1:10" thickBot="1">
      <c r="A2699" s="117"/>
      <c r="B2699" s="70">
        <f t="shared" si="173"/>
        <v>46491</v>
      </c>
      <c r="C2699" s="82" t="str">
        <f t="shared" si="170"/>
        <v>mercredi</v>
      </c>
      <c r="D2699" s="87"/>
      <c r="E2699" s="115" t="str">
        <f t="shared" si="171"/>
        <v/>
      </c>
      <c r="F2699" s="115" t="str">
        <f t="shared" si="172"/>
        <v/>
      </c>
      <c r="G2699" s="116" t="str">
        <f>IF(ISNONTEXT(D2699),"",E2699-MAX($F$2:F2698))</f>
        <v/>
      </c>
      <c r="H2699" s="97"/>
      <c r="I2699" s="74" t="str">
        <f ca="1">IF(D2699="N",COUNTIF(INDIRECT(ADDRESS(MATCH(Plages!$D$19,'Planning annuel mixing coater'!$B:$B),4)):D2699,"N"),IF(D2699="N1",COUNTIF($D$9:D2699,"N1"),""))</f>
        <v/>
      </c>
      <c r="J2699" s="96" t="str">
        <f>IF(D2699="","",COUNTA(D2690:D2699)-(COUNTA(D2699:D2699)-1))</f>
        <v/>
      </c>
    </row>
    <row r="2700" spans="1:10" thickBot="1">
      <c r="A2700" s="117"/>
      <c r="B2700" s="70">
        <f t="shared" si="173"/>
        <v>46492</v>
      </c>
      <c r="C2700" s="82" t="str">
        <f t="shared" si="170"/>
        <v>jeudi</v>
      </c>
      <c r="D2700" s="87"/>
      <c r="E2700" s="115" t="str">
        <f t="shared" si="171"/>
        <v/>
      </c>
      <c r="F2700" s="115" t="str">
        <f t="shared" si="172"/>
        <v/>
      </c>
      <c r="G2700" s="116" t="str">
        <f>IF(ISNONTEXT(D2700),"",E2700-MAX($F$2:F2699))</f>
        <v/>
      </c>
      <c r="H2700" s="97"/>
      <c r="I2700" s="74" t="str">
        <f ca="1">IF(D2700="N",COUNTIF(INDIRECT(ADDRESS(MATCH(Plages!$D$19,'Planning annuel mixing coater'!$B:$B),4)):D2700,"N"),IF(D2700="N1",COUNTIF($D$9:D2700,"N1"),""))</f>
        <v/>
      </c>
      <c r="J2700" s="96" t="str">
        <f>IF(D2700="","",COUNTA(D2690:D2700)-(COUNTA(D2700:D2700)-1))</f>
        <v/>
      </c>
    </row>
    <row r="2701" spans="1:10" thickBot="1">
      <c r="A2701" s="117"/>
      <c r="B2701" s="70">
        <f t="shared" si="173"/>
        <v>46493</v>
      </c>
      <c r="C2701" s="82" t="str">
        <f t="shared" si="170"/>
        <v>vendredi</v>
      </c>
      <c r="D2701" s="87"/>
      <c r="E2701" s="115" t="str">
        <f t="shared" si="171"/>
        <v/>
      </c>
      <c r="F2701" s="115" t="str">
        <f t="shared" si="172"/>
        <v/>
      </c>
      <c r="G2701" s="116" t="str">
        <f>IF(ISNONTEXT(D2701),"",E2701-MAX($F$2:F2700))</f>
        <v/>
      </c>
      <c r="H2701" s="97"/>
      <c r="I2701" s="74" t="str">
        <f ca="1">IF(D2701="N",COUNTIF(INDIRECT(ADDRESS(MATCH(Plages!$D$19,'Planning annuel mixing coater'!$B:$B),4)):D2701,"N"),IF(D2701="N1",COUNTIF($D$9:D2701,"N1"),""))</f>
        <v/>
      </c>
      <c r="J2701" s="96" t="str">
        <f>IF(D2701="","",COUNTA(D2690:D2701)-(COUNTA(D2701:D2701)-1))</f>
        <v/>
      </c>
    </row>
    <row r="2702" spans="1:10" thickBot="1">
      <c r="A2702" s="117"/>
      <c r="B2702" s="70">
        <f t="shared" si="173"/>
        <v>46494</v>
      </c>
      <c r="C2702" s="82" t="str">
        <f t="shared" si="170"/>
        <v>samedi</v>
      </c>
      <c r="D2702" s="87"/>
      <c r="E2702" s="115" t="str">
        <f t="shared" si="171"/>
        <v/>
      </c>
      <c r="F2702" s="115" t="str">
        <f t="shared" si="172"/>
        <v/>
      </c>
      <c r="G2702" s="116" t="str">
        <f>IF(ISNONTEXT(D2702),"",E2702-MAX($F$2:F2701))</f>
        <v/>
      </c>
      <c r="H2702" s="97"/>
      <c r="I2702" s="74" t="str">
        <f ca="1">IF(D2702="N",COUNTIF(INDIRECT(ADDRESS(MATCH(Plages!$D$19,'Planning annuel mixing coater'!$B:$B),4)):D2702,"N"),IF(D2702="N1",COUNTIF($D$9:D2702,"N1"),""))</f>
        <v/>
      </c>
      <c r="J2702" s="96" t="str">
        <f>IF(D2702="","",COUNTA(D2690:D2702)-(COUNTA(D2702:D2702)-1))</f>
        <v/>
      </c>
    </row>
    <row r="2703" spans="1:10" s="77" customFormat="1" thickBot="1">
      <c r="A2703" s="117"/>
      <c r="B2703" s="75">
        <f t="shared" si="173"/>
        <v>46495</v>
      </c>
      <c r="C2703" s="83" t="str">
        <f t="shared" si="170"/>
        <v>dimanche</v>
      </c>
      <c r="D2703" s="88"/>
      <c r="E2703" s="115" t="str">
        <f t="shared" si="171"/>
        <v/>
      </c>
      <c r="F2703" s="115" t="str">
        <f t="shared" si="172"/>
        <v/>
      </c>
      <c r="G2703" s="116" t="str">
        <f>IF(ISNONTEXT(D2703),"",E2703-MAX($F$2:F2702))</f>
        <v/>
      </c>
      <c r="H2703" s="98"/>
      <c r="I2703" s="76" t="str">
        <f ca="1">IF(D2703="N",COUNTIF(INDIRECT(ADDRESS(MATCH(Plages!$D$19,'Planning annuel mixing coater'!$B:$B),4)):D2703,"N"),IF(D2703="N1",COUNTIF($D$9:D2703,"N1"),""))</f>
        <v/>
      </c>
      <c r="J2703" s="99" t="str">
        <f>IF(D2703="","",COUNTA(D2690:D2703)-(COUNTA(D2703:D2703)-1))</f>
        <v/>
      </c>
    </row>
    <row r="2704" spans="1:10" ht="16.5" thickTop="1" thickBot="1">
      <c r="A2704" s="117"/>
      <c r="B2704" s="78">
        <f t="shared" si="173"/>
        <v>46496</v>
      </c>
      <c r="C2704" s="81" t="str">
        <f t="shared" si="170"/>
        <v>lundi</v>
      </c>
      <c r="D2704" s="89"/>
      <c r="E2704" s="115" t="str">
        <f t="shared" si="171"/>
        <v/>
      </c>
      <c r="F2704" s="115" t="str">
        <f t="shared" si="172"/>
        <v/>
      </c>
      <c r="G2704" s="116" t="str">
        <f>IF(ISNONTEXT(D2704),"",E2704-MAX($F$2:F2703))</f>
        <v/>
      </c>
      <c r="H2704" s="100"/>
      <c r="I2704" s="79" t="str">
        <f ca="1">IF(D2704="N",COUNTIF(INDIRECT(ADDRESS(MATCH(Plages!$D$19,'Planning annuel mixing coater'!$B:$B),4)):D2704,"N"),IF(D2704="N1",COUNTIF($D$9:D2704,"N1"),""))</f>
        <v/>
      </c>
      <c r="J2704" s="101" t="str">
        <f>IF(D2704="","",COUNTA(D2704:D2704)-(COUNTA(D2704:D2704)-1))</f>
        <v/>
      </c>
    </row>
    <row r="2705" spans="1:10" thickBot="1">
      <c r="A2705" s="117"/>
      <c r="B2705" s="70">
        <f t="shared" si="173"/>
        <v>46497</v>
      </c>
      <c r="C2705" s="82" t="str">
        <f t="shared" si="170"/>
        <v>mardi</v>
      </c>
      <c r="D2705" s="87"/>
      <c r="E2705" s="115" t="str">
        <f t="shared" si="171"/>
        <v/>
      </c>
      <c r="F2705" s="115" t="str">
        <f t="shared" si="172"/>
        <v/>
      </c>
      <c r="G2705" s="116" t="str">
        <f>IF(ISNONTEXT(D2705),"",E2705-MAX($F$2:F2704))</f>
        <v/>
      </c>
      <c r="H2705" s="97"/>
      <c r="I2705" s="74" t="str">
        <f ca="1">IF(D2705="N",COUNTIF(INDIRECT(ADDRESS(MATCH(Plages!$D$19,'Planning annuel mixing coater'!$B:$B),4)):D2705,"N"),IF(D2705="N1",COUNTIF($D$9:D2705,"N1"),""))</f>
        <v/>
      </c>
      <c r="J2705" s="96" t="str">
        <f>IF(D2705="","",COUNTA(D2704:D2705)-(COUNTA(D2705:D2705)-1))</f>
        <v/>
      </c>
    </row>
    <row r="2706" spans="1:10" thickBot="1">
      <c r="A2706" s="117"/>
      <c r="B2706" s="70">
        <f t="shared" si="173"/>
        <v>46498</v>
      </c>
      <c r="C2706" s="82" t="str">
        <f t="shared" si="170"/>
        <v>mercredi</v>
      </c>
      <c r="D2706" s="87"/>
      <c r="E2706" s="115" t="str">
        <f t="shared" si="171"/>
        <v/>
      </c>
      <c r="F2706" s="115" t="str">
        <f t="shared" si="172"/>
        <v/>
      </c>
      <c r="G2706" s="116" t="str">
        <f>IF(ISNONTEXT(D2706),"",E2706-MAX($F$2:F2705))</f>
        <v/>
      </c>
      <c r="H2706" s="97"/>
      <c r="I2706" s="74" t="str">
        <f ca="1">IF(D2706="N",COUNTIF(INDIRECT(ADDRESS(MATCH(Plages!$D$19,'Planning annuel mixing coater'!$B:$B),4)):D2706,"N"),IF(D2706="N1",COUNTIF($D$9:D2706,"N1"),""))</f>
        <v/>
      </c>
      <c r="J2706" s="96" t="str">
        <f>IF(D2706="","",COUNTA(D2704:D2706)-(COUNTA(D2706:D2706)-1))</f>
        <v/>
      </c>
    </row>
    <row r="2707" spans="1:10" thickBot="1">
      <c r="A2707" s="117"/>
      <c r="B2707" s="70">
        <f t="shared" si="173"/>
        <v>46499</v>
      </c>
      <c r="C2707" s="82" t="str">
        <f t="shared" si="170"/>
        <v>jeudi</v>
      </c>
      <c r="D2707" s="87"/>
      <c r="E2707" s="115" t="str">
        <f t="shared" si="171"/>
        <v/>
      </c>
      <c r="F2707" s="115" t="str">
        <f t="shared" si="172"/>
        <v/>
      </c>
      <c r="G2707" s="116" t="str">
        <f>IF(ISNONTEXT(D2707),"",E2707-MAX($F$2:F2706))</f>
        <v/>
      </c>
      <c r="H2707" s="97"/>
      <c r="I2707" s="74" t="str">
        <f ca="1">IF(D2707="N",COUNTIF(INDIRECT(ADDRESS(MATCH(Plages!$D$19,'Planning annuel mixing coater'!$B:$B),4)):D2707,"N"),IF(D2707="N1",COUNTIF($D$9:D2707,"N1"),""))</f>
        <v/>
      </c>
      <c r="J2707" s="96" t="str">
        <f>IF(D2707="","",COUNTA(D2704:D2707)-(COUNTA(D2707:D2707)-1))</f>
        <v/>
      </c>
    </row>
    <row r="2708" spans="1:10" thickBot="1">
      <c r="A2708" s="117"/>
      <c r="B2708" s="70">
        <f t="shared" si="173"/>
        <v>46500</v>
      </c>
      <c r="C2708" s="82" t="str">
        <f t="shared" si="170"/>
        <v>vendredi</v>
      </c>
      <c r="D2708" s="87"/>
      <c r="E2708" s="115" t="str">
        <f t="shared" si="171"/>
        <v/>
      </c>
      <c r="F2708" s="115" t="str">
        <f t="shared" si="172"/>
        <v/>
      </c>
      <c r="G2708" s="116" t="str">
        <f>IF(ISNONTEXT(D2708),"",E2708-MAX($F$2:F2707))</f>
        <v/>
      </c>
      <c r="H2708" s="97"/>
      <c r="I2708" s="74" t="str">
        <f ca="1">IF(D2708="N",COUNTIF(INDIRECT(ADDRESS(MATCH(Plages!$D$19,'Planning annuel mixing coater'!$B:$B),4)):D2708,"N"),IF(D2708="N1",COUNTIF($D$9:D2708,"N1"),""))</f>
        <v/>
      </c>
      <c r="J2708" s="96" t="str">
        <f>IF(D2708="","",COUNTA(D2704:D2708)-(COUNTA(D2708:D2708)-1))</f>
        <v/>
      </c>
    </row>
    <row r="2709" spans="1:10" thickBot="1">
      <c r="A2709" s="117"/>
      <c r="B2709" s="70">
        <f t="shared" si="173"/>
        <v>46501</v>
      </c>
      <c r="C2709" s="82" t="str">
        <f t="shared" si="170"/>
        <v>samedi</v>
      </c>
      <c r="D2709" s="87"/>
      <c r="E2709" s="115" t="str">
        <f t="shared" si="171"/>
        <v/>
      </c>
      <c r="F2709" s="115" t="str">
        <f t="shared" si="172"/>
        <v/>
      </c>
      <c r="G2709" s="116" t="str">
        <f>IF(ISNONTEXT(D2709),"",E2709-MAX($F$2:F2708))</f>
        <v/>
      </c>
      <c r="H2709" s="97"/>
      <c r="I2709" s="74" t="str">
        <f ca="1">IF(D2709="N",COUNTIF(INDIRECT(ADDRESS(MATCH(Plages!$D$19,'Planning annuel mixing coater'!$B:$B),4)):D2709,"N"),IF(D2709="N1",COUNTIF($D$9:D2709,"N1"),""))</f>
        <v/>
      </c>
      <c r="J2709" s="96" t="str">
        <f>IF(D2709="","",COUNTA(D2704:D2709)-(COUNTA(D2709:D2709)-1))</f>
        <v/>
      </c>
    </row>
    <row r="2710" spans="1:10" thickBot="1">
      <c r="A2710" s="117"/>
      <c r="B2710" s="70">
        <f t="shared" si="173"/>
        <v>46502</v>
      </c>
      <c r="C2710" s="82" t="str">
        <f t="shared" si="170"/>
        <v>dimanche</v>
      </c>
      <c r="D2710" s="87"/>
      <c r="E2710" s="115" t="str">
        <f t="shared" si="171"/>
        <v/>
      </c>
      <c r="F2710" s="115" t="str">
        <f t="shared" si="172"/>
        <v/>
      </c>
      <c r="G2710" s="116" t="str">
        <f>IF(ISNONTEXT(D2710),"",E2710-MAX($F$2:F2709))</f>
        <v/>
      </c>
      <c r="H2710" s="98"/>
      <c r="I2710" s="74" t="str">
        <f ca="1">IF(D2710="N",COUNTIF(INDIRECT(ADDRESS(MATCH(Plages!$D$19,'Planning annuel mixing coater'!$B:$B),4)):D2710,"N"),IF(D2710="N1",COUNTIF($D$9:D2710,"N1"),""))</f>
        <v/>
      </c>
      <c r="J2710" s="96" t="str">
        <f>IF(D2710="","",COUNTA(D2704:D2710)-(COUNTA(D2710:D2710)-1))</f>
        <v/>
      </c>
    </row>
    <row r="2711" spans="1:10" thickBot="1">
      <c r="A2711" s="117"/>
      <c r="B2711" s="70">
        <f t="shared" si="173"/>
        <v>46503</v>
      </c>
      <c r="C2711" s="82" t="str">
        <f t="shared" si="170"/>
        <v>lundi</v>
      </c>
      <c r="D2711" s="87"/>
      <c r="E2711" s="115" t="str">
        <f t="shared" si="171"/>
        <v/>
      </c>
      <c r="F2711" s="115" t="str">
        <f t="shared" si="172"/>
        <v/>
      </c>
      <c r="G2711" s="116" t="str">
        <f>IF(ISNONTEXT(D2711),"",E2711-MAX($F$2:F2710))</f>
        <v/>
      </c>
      <c r="H2711" s="97"/>
      <c r="I2711" s="74" t="str">
        <f ca="1">IF(D2711="N",COUNTIF(INDIRECT(ADDRESS(MATCH(Plages!$D$19,'Planning annuel mixing coater'!$B:$B),4)):D2711,"N"),IF(D2711="N1",COUNTIF($D$9:D2711,"N1"),""))</f>
        <v/>
      </c>
      <c r="J2711" s="96" t="str">
        <f>IF(D2711="","",COUNTA(D2704:D2711)-(COUNTA(D2711:D2711)-1))</f>
        <v/>
      </c>
    </row>
    <row r="2712" spans="1:10" thickBot="1">
      <c r="A2712" s="117"/>
      <c r="B2712" s="70">
        <f t="shared" si="173"/>
        <v>46504</v>
      </c>
      <c r="C2712" s="82" t="str">
        <f t="shared" si="170"/>
        <v>mardi</v>
      </c>
      <c r="D2712" s="87"/>
      <c r="E2712" s="115" t="str">
        <f t="shared" si="171"/>
        <v/>
      </c>
      <c r="F2712" s="115" t="str">
        <f t="shared" si="172"/>
        <v/>
      </c>
      <c r="G2712" s="116" t="str">
        <f>IF(ISNONTEXT(D2712),"",E2712-MAX($F$2:F2711))</f>
        <v/>
      </c>
      <c r="H2712" s="97"/>
      <c r="I2712" s="74" t="str">
        <f ca="1">IF(D2712="N",COUNTIF(INDIRECT(ADDRESS(MATCH(Plages!$D$19,'Planning annuel mixing coater'!$B:$B),4)):D2712,"N"),IF(D2712="N1",COUNTIF($D$9:D2712,"N1"),""))</f>
        <v/>
      </c>
      <c r="J2712" s="96" t="str">
        <f>IF(D2712="","",COUNTA(D2704:D2712)-(COUNTA(D2712:D2712)-1))</f>
        <v/>
      </c>
    </row>
    <row r="2713" spans="1:10" thickBot="1">
      <c r="A2713" s="117"/>
      <c r="B2713" s="70">
        <f t="shared" si="173"/>
        <v>46505</v>
      </c>
      <c r="C2713" s="82" t="str">
        <f t="shared" si="170"/>
        <v>mercredi</v>
      </c>
      <c r="D2713" s="87"/>
      <c r="E2713" s="115" t="str">
        <f t="shared" si="171"/>
        <v/>
      </c>
      <c r="F2713" s="115" t="str">
        <f t="shared" si="172"/>
        <v/>
      </c>
      <c r="G2713" s="116" t="str">
        <f>IF(ISNONTEXT(D2713),"",E2713-MAX($F$2:F2712))</f>
        <v/>
      </c>
      <c r="H2713" s="97"/>
      <c r="I2713" s="74" t="str">
        <f ca="1">IF(D2713="N",COUNTIF(INDIRECT(ADDRESS(MATCH(Plages!$D$19,'Planning annuel mixing coater'!$B:$B),4)):D2713,"N"),IF(D2713="N1",COUNTIF($D$9:D2713,"N1"),""))</f>
        <v/>
      </c>
      <c r="J2713" s="96" t="str">
        <f>IF(D2713="","",COUNTA(D2704:D2713)-(COUNTA(D2713:D2713)-1))</f>
        <v/>
      </c>
    </row>
    <row r="2714" spans="1:10" thickBot="1">
      <c r="A2714" s="117"/>
      <c r="B2714" s="70">
        <f t="shared" si="173"/>
        <v>46506</v>
      </c>
      <c r="C2714" s="82" t="str">
        <f t="shared" si="170"/>
        <v>jeudi</v>
      </c>
      <c r="D2714" s="87"/>
      <c r="E2714" s="115" t="str">
        <f t="shared" si="171"/>
        <v/>
      </c>
      <c r="F2714" s="115" t="str">
        <f t="shared" si="172"/>
        <v/>
      </c>
      <c r="G2714" s="116" t="str">
        <f>IF(ISNONTEXT(D2714),"",E2714-MAX($F$2:F2713))</f>
        <v/>
      </c>
      <c r="H2714" s="97"/>
      <c r="I2714" s="74" t="str">
        <f ca="1">IF(D2714="N",COUNTIF(INDIRECT(ADDRESS(MATCH(Plages!$D$19,'Planning annuel mixing coater'!$B:$B),4)):D2714,"N"),IF(D2714="N1",COUNTIF($D$9:D2714,"N1"),""))</f>
        <v/>
      </c>
      <c r="J2714" s="96" t="str">
        <f>IF(D2714="","",COUNTA(D2704:D2714)-(COUNTA(D2714:D2714)-1))</f>
        <v/>
      </c>
    </row>
    <row r="2715" spans="1:10" thickBot="1">
      <c r="A2715" s="117"/>
      <c r="B2715" s="70">
        <f t="shared" si="173"/>
        <v>46507</v>
      </c>
      <c r="C2715" s="82" t="str">
        <f t="shared" si="170"/>
        <v>vendredi</v>
      </c>
      <c r="D2715" s="87"/>
      <c r="E2715" s="115" t="str">
        <f t="shared" si="171"/>
        <v/>
      </c>
      <c r="F2715" s="115" t="str">
        <f t="shared" si="172"/>
        <v/>
      </c>
      <c r="G2715" s="116" t="str">
        <f>IF(ISNONTEXT(D2715),"",E2715-MAX($F$2:F2714))</f>
        <v/>
      </c>
      <c r="H2715" s="97"/>
      <c r="I2715" s="74" t="str">
        <f ca="1">IF(D2715="N",COUNTIF(INDIRECT(ADDRESS(MATCH(Plages!$D$19,'Planning annuel mixing coater'!$B:$B),4)):D2715,"N"),IF(D2715="N1",COUNTIF($D$9:D2715,"N1"),""))</f>
        <v/>
      </c>
      <c r="J2715" s="96" t="str">
        <f>IF(D2715="","",COUNTA(D2704:D2715)-(COUNTA(D2715:D2715)-1))</f>
        <v/>
      </c>
    </row>
    <row r="2716" spans="1:10" thickBot="1">
      <c r="A2716" s="117"/>
      <c r="B2716" s="70">
        <f t="shared" si="173"/>
        <v>46508</v>
      </c>
      <c r="C2716" s="82" t="str">
        <f t="shared" si="170"/>
        <v>samedi</v>
      </c>
      <c r="D2716" s="87"/>
      <c r="E2716" s="115" t="str">
        <f t="shared" si="171"/>
        <v/>
      </c>
      <c r="F2716" s="115" t="str">
        <f t="shared" si="172"/>
        <v/>
      </c>
      <c r="G2716" s="116" t="str">
        <f>IF(ISNONTEXT(D2716),"",E2716-MAX($F$2:F2715))</f>
        <v/>
      </c>
      <c r="H2716" s="97"/>
      <c r="I2716" s="74" t="str">
        <f ca="1">IF(D2716="N",COUNTIF(INDIRECT(ADDRESS(MATCH(Plages!$D$19,'Planning annuel mixing coater'!$B:$B),4)):D2716,"N"),IF(D2716="N1",COUNTIF($D$9:D2716,"N1"),""))</f>
        <v/>
      </c>
      <c r="J2716" s="96" t="str">
        <f>IF(D2716="","",COUNTA(D2704:D2716)-(COUNTA(D2716:D2716)-1))</f>
        <v/>
      </c>
    </row>
    <row r="2717" spans="1:10" s="77" customFormat="1" thickBot="1">
      <c r="A2717" s="117"/>
      <c r="B2717" s="75">
        <f t="shared" si="173"/>
        <v>46509</v>
      </c>
      <c r="C2717" s="83" t="str">
        <f t="shared" si="170"/>
        <v>dimanche</v>
      </c>
      <c r="D2717" s="88"/>
      <c r="E2717" s="115" t="str">
        <f t="shared" si="171"/>
        <v/>
      </c>
      <c r="F2717" s="115" t="str">
        <f t="shared" si="172"/>
        <v/>
      </c>
      <c r="G2717" s="116" t="str">
        <f>IF(ISNONTEXT(D2717),"",E2717-MAX($F$2:F2716))</f>
        <v/>
      </c>
      <c r="H2717" s="98"/>
      <c r="I2717" s="76" t="str">
        <f ca="1">IF(D2717="N",COUNTIF(INDIRECT(ADDRESS(MATCH(Plages!$D$19,'Planning annuel mixing coater'!$B:$B),4)):D2717,"N"),IF(D2717="N1",COUNTIF($D$9:D2717,"N1"),""))</f>
        <v/>
      </c>
      <c r="J2717" s="99" t="str">
        <f>IF(D2717="","",COUNTA(D2704:D2717)-(COUNTA(D2717:D2717)-1))</f>
        <v/>
      </c>
    </row>
    <row r="2718" spans="1:10" ht="16.5" thickTop="1" thickBot="1">
      <c r="A2718" s="117"/>
      <c r="B2718" s="78">
        <f t="shared" si="173"/>
        <v>46510</v>
      </c>
      <c r="C2718" s="81" t="str">
        <f t="shared" ref="C2718:C2781" si="174">IF(B2718="","",TEXT(B2718,"jjjj"))</f>
        <v>lundi</v>
      </c>
      <c r="D2718" s="89"/>
      <c r="E2718" s="115" t="str">
        <f t="shared" ref="E2718:E2781" si="175">IF(D2718="","",B2718+VLOOKUP(D2718,Plageh,2,0))</f>
        <v/>
      </c>
      <c r="F2718" s="115" t="str">
        <f t="shared" ref="F2718:F2781" si="176">IF(D2718="","",B2718+VLOOKUP(D2718,Plageh,3,0))</f>
        <v/>
      </c>
      <c r="G2718" s="116" t="str">
        <f>IF(ISNONTEXT(D2718),"",E2718-MAX($F$2:F2717))</f>
        <v/>
      </c>
      <c r="H2718" s="100"/>
      <c r="I2718" s="79" t="str">
        <f ca="1">IF(D2718="N",COUNTIF(INDIRECT(ADDRESS(MATCH(Plages!$D$19,'Planning annuel mixing coater'!$B:$B),4)):D2718,"N"),IF(D2718="N1",COUNTIF($D$9:D2718,"N1"),""))</f>
        <v/>
      </c>
      <c r="J2718" s="101" t="str">
        <f>IF(D2718="","",COUNTA(D2718:D2718)-(COUNTA(D2718:D2718)-1))</f>
        <v/>
      </c>
    </row>
    <row r="2719" spans="1:10" thickBot="1">
      <c r="A2719" s="117"/>
      <c r="B2719" s="70">
        <f t="shared" si="173"/>
        <v>46511</v>
      </c>
      <c r="C2719" s="82" t="str">
        <f t="shared" si="174"/>
        <v>mardi</v>
      </c>
      <c r="D2719" s="87"/>
      <c r="E2719" s="115" t="str">
        <f t="shared" si="175"/>
        <v/>
      </c>
      <c r="F2719" s="115" t="str">
        <f t="shared" si="176"/>
        <v/>
      </c>
      <c r="G2719" s="116" t="str">
        <f>IF(ISNONTEXT(D2719),"",E2719-MAX($F$2:F2718))</f>
        <v/>
      </c>
      <c r="H2719" s="97"/>
      <c r="I2719" s="74" t="str">
        <f ca="1">IF(D2719="N",COUNTIF(INDIRECT(ADDRESS(MATCH(Plages!$D$19,'Planning annuel mixing coater'!$B:$B),4)):D2719,"N"),IF(D2719="N1",COUNTIF($D$9:D2719,"N1"),""))</f>
        <v/>
      </c>
      <c r="J2719" s="96" t="str">
        <f>IF(D2719="","",COUNTA(D2718:D2719)-(COUNTA(D2719:D2719)-1))</f>
        <v/>
      </c>
    </row>
    <row r="2720" spans="1:10" thickBot="1">
      <c r="A2720" s="117"/>
      <c r="B2720" s="70">
        <f t="shared" si="173"/>
        <v>46512</v>
      </c>
      <c r="C2720" s="82" t="str">
        <f t="shared" si="174"/>
        <v>mercredi</v>
      </c>
      <c r="D2720" s="87"/>
      <c r="E2720" s="115" t="str">
        <f t="shared" si="175"/>
        <v/>
      </c>
      <c r="F2720" s="115" t="str">
        <f t="shared" si="176"/>
        <v/>
      </c>
      <c r="G2720" s="116" t="str">
        <f>IF(ISNONTEXT(D2720),"",E2720-MAX($F$2:F2719))</f>
        <v/>
      </c>
      <c r="H2720" s="97"/>
      <c r="I2720" s="74" t="str">
        <f ca="1">IF(D2720="N",COUNTIF(INDIRECT(ADDRESS(MATCH(Plages!$D$19,'Planning annuel mixing coater'!$B:$B),4)):D2720,"N"),IF(D2720="N1",COUNTIF($D$9:D2720,"N1"),""))</f>
        <v/>
      </c>
      <c r="J2720" s="96" t="str">
        <f>IF(D2720="","",COUNTA(D2718:D2720)-(COUNTA(D2720:D2720)-1))</f>
        <v/>
      </c>
    </row>
    <row r="2721" spans="1:10" thickBot="1">
      <c r="A2721" s="117"/>
      <c r="B2721" s="70">
        <f t="shared" si="173"/>
        <v>46513</v>
      </c>
      <c r="C2721" s="82" t="str">
        <f t="shared" si="174"/>
        <v>jeudi</v>
      </c>
      <c r="D2721" s="87"/>
      <c r="E2721" s="115" t="str">
        <f t="shared" si="175"/>
        <v/>
      </c>
      <c r="F2721" s="115" t="str">
        <f t="shared" si="176"/>
        <v/>
      </c>
      <c r="G2721" s="116" t="str">
        <f>IF(ISNONTEXT(D2721),"",E2721-MAX($F$2:F2720))</f>
        <v/>
      </c>
      <c r="H2721" s="97"/>
      <c r="I2721" s="74" t="str">
        <f ca="1">IF(D2721="N",COUNTIF(INDIRECT(ADDRESS(MATCH(Plages!$D$19,'Planning annuel mixing coater'!$B:$B),4)):D2721,"N"),IF(D2721="N1",COUNTIF($D$9:D2721,"N1"),""))</f>
        <v/>
      </c>
      <c r="J2721" s="96" t="str">
        <f>IF(D2721="","",COUNTA(D2718:D2721)-(COUNTA(D2721:D2721)-1))</f>
        <v/>
      </c>
    </row>
    <row r="2722" spans="1:10" thickBot="1">
      <c r="A2722" s="117"/>
      <c r="B2722" s="70">
        <f t="shared" si="173"/>
        <v>46514</v>
      </c>
      <c r="C2722" s="82" t="str">
        <f t="shared" si="174"/>
        <v>vendredi</v>
      </c>
      <c r="D2722" s="87"/>
      <c r="E2722" s="115" t="str">
        <f t="shared" si="175"/>
        <v/>
      </c>
      <c r="F2722" s="115" t="str">
        <f t="shared" si="176"/>
        <v/>
      </c>
      <c r="G2722" s="116" t="str">
        <f>IF(ISNONTEXT(D2722),"",E2722-MAX($F$2:F2721))</f>
        <v/>
      </c>
      <c r="H2722" s="97"/>
      <c r="I2722" s="74" t="str">
        <f ca="1">IF(D2722="N",COUNTIF(INDIRECT(ADDRESS(MATCH(Plages!$D$19,'Planning annuel mixing coater'!$B:$B),4)):D2722,"N"),IF(D2722="N1",COUNTIF($D$9:D2722,"N1"),""))</f>
        <v/>
      </c>
      <c r="J2722" s="96" t="str">
        <f>IF(D2722="","",COUNTA(D2718:D2722)-(COUNTA(D2722:D2722)-1))</f>
        <v/>
      </c>
    </row>
    <row r="2723" spans="1:10" thickBot="1">
      <c r="A2723" s="117"/>
      <c r="B2723" s="70">
        <f t="shared" si="173"/>
        <v>46515</v>
      </c>
      <c r="C2723" s="82" t="str">
        <f t="shared" si="174"/>
        <v>samedi</v>
      </c>
      <c r="D2723" s="87"/>
      <c r="E2723" s="115" t="str">
        <f t="shared" si="175"/>
        <v/>
      </c>
      <c r="F2723" s="115" t="str">
        <f t="shared" si="176"/>
        <v/>
      </c>
      <c r="G2723" s="116" t="str">
        <f>IF(ISNONTEXT(D2723),"",E2723-MAX($F$2:F2722))</f>
        <v/>
      </c>
      <c r="H2723" s="97"/>
      <c r="I2723" s="74" t="str">
        <f ca="1">IF(D2723="N",COUNTIF(INDIRECT(ADDRESS(MATCH(Plages!$D$19,'Planning annuel mixing coater'!$B:$B),4)):D2723,"N"),IF(D2723="N1",COUNTIF($D$9:D2723,"N1"),""))</f>
        <v/>
      </c>
      <c r="J2723" s="96" t="str">
        <f>IF(D2723="","",COUNTA(D2718:D2723)-(COUNTA(D2723:D2723)-1))</f>
        <v/>
      </c>
    </row>
    <row r="2724" spans="1:10" thickBot="1">
      <c r="A2724" s="117"/>
      <c r="B2724" s="70">
        <f t="shared" si="173"/>
        <v>46516</v>
      </c>
      <c r="C2724" s="82" t="str">
        <f t="shared" si="174"/>
        <v>dimanche</v>
      </c>
      <c r="D2724" s="87"/>
      <c r="E2724" s="115" t="str">
        <f t="shared" si="175"/>
        <v/>
      </c>
      <c r="F2724" s="115" t="str">
        <f t="shared" si="176"/>
        <v/>
      </c>
      <c r="G2724" s="116" t="str">
        <f>IF(ISNONTEXT(D2724),"",E2724-MAX($F$2:F2723))</f>
        <v/>
      </c>
      <c r="H2724" s="98"/>
      <c r="I2724" s="74" t="str">
        <f ca="1">IF(D2724="N",COUNTIF(INDIRECT(ADDRESS(MATCH(Plages!$D$19,'Planning annuel mixing coater'!$B:$B),4)):D2724,"N"),IF(D2724="N1",COUNTIF($D$9:D2724,"N1"),""))</f>
        <v/>
      </c>
      <c r="J2724" s="96" t="str">
        <f>IF(D2724="","",COUNTA(D2718:D2724)-(COUNTA(D2724:D2724)-1))</f>
        <v/>
      </c>
    </row>
    <row r="2725" spans="1:10" thickBot="1">
      <c r="A2725" s="117"/>
      <c r="B2725" s="70">
        <f t="shared" si="173"/>
        <v>46517</v>
      </c>
      <c r="C2725" s="82" t="str">
        <f t="shared" si="174"/>
        <v>lundi</v>
      </c>
      <c r="D2725" s="87"/>
      <c r="E2725" s="115" t="str">
        <f t="shared" si="175"/>
        <v/>
      </c>
      <c r="F2725" s="115" t="str">
        <f t="shared" si="176"/>
        <v/>
      </c>
      <c r="G2725" s="116" t="str">
        <f>IF(ISNONTEXT(D2725),"",E2725-MAX($F$2:F2724))</f>
        <v/>
      </c>
      <c r="H2725" s="97"/>
      <c r="I2725" s="74" t="str">
        <f ca="1">IF(D2725="N",COUNTIF(INDIRECT(ADDRESS(MATCH(Plages!$D$19,'Planning annuel mixing coater'!$B:$B),4)):D2725,"N"),IF(D2725="N1",COUNTIF($D$9:D2725,"N1"),""))</f>
        <v/>
      </c>
      <c r="J2725" s="96" t="str">
        <f>IF(D2725="","",COUNTA(D2718:D2725)-(COUNTA(D2725:D2725)-1))</f>
        <v/>
      </c>
    </row>
    <row r="2726" spans="1:10" thickBot="1">
      <c r="A2726" s="117"/>
      <c r="B2726" s="70">
        <f t="shared" si="173"/>
        <v>46518</v>
      </c>
      <c r="C2726" s="82" t="str">
        <f t="shared" si="174"/>
        <v>mardi</v>
      </c>
      <c r="D2726" s="87"/>
      <c r="E2726" s="115" t="str">
        <f t="shared" si="175"/>
        <v/>
      </c>
      <c r="F2726" s="115" t="str">
        <f t="shared" si="176"/>
        <v/>
      </c>
      <c r="G2726" s="116" t="str">
        <f>IF(ISNONTEXT(D2726),"",E2726-MAX($F$2:F2725))</f>
        <v/>
      </c>
      <c r="H2726" s="97"/>
      <c r="I2726" s="74" t="str">
        <f ca="1">IF(D2726="N",COUNTIF(INDIRECT(ADDRESS(MATCH(Plages!$D$19,'Planning annuel mixing coater'!$B:$B),4)):D2726,"N"),IF(D2726="N1",COUNTIF($D$9:D2726,"N1"),""))</f>
        <v/>
      </c>
      <c r="J2726" s="96" t="str">
        <f>IF(D2726="","",COUNTA(D2718:D2726)-(COUNTA(D2726:D2726)-1))</f>
        <v/>
      </c>
    </row>
    <row r="2727" spans="1:10" thickBot="1">
      <c r="A2727" s="117"/>
      <c r="B2727" s="70">
        <f t="shared" si="173"/>
        <v>46519</v>
      </c>
      <c r="C2727" s="82" t="str">
        <f t="shared" si="174"/>
        <v>mercredi</v>
      </c>
      <c r="D2727" s="87"/>
      <c r="E2727" s="115" t="str">
        <f t="shared" si="175"/>
        <v/>
      </c>
      <c r="F2727" s="115" t="str">
        <f t="shared" si="176"/>
        <v/>
      </c>
      <c r="G2727" s="116" t="str">
        <f>IF(ISNONTEXT(D2727),"",E2727-MAX($F$2:F2726))</f>
        <v/>
      </c>
      <c r="H2727" s="97"/>
      <c r="I2727" s="74" t="str">
        <f ca="1">IF(D2727="N",COUNTIF(INDIRECT(ADDRESS(MATCH(Plages!$D$19,'Planning annuel mixing coater'!$B:$B),4)):D2727,"N"),IF(D2727="N1",COUNTIF($D$9:D2727,"N1"),""))</f>
        <v/>
      </c>
      <c r="J2727" s="96" t="str">
        <f>IF(D2727="","",COUNTA(D2718:D2727)-(COUNTA(D2727:D2727)-1))</f>
        <v/>
      </c>
    </row>
    <row r="2728" spans="1:10" thickBot="1">
      <c r="A2728" s="117"/>
      <c r="B2728" s="70">
        <f t="shared" si="173"/>
        <v>46520</v>
      </c>
      <c r="C2728" s="82" t="str">
        <f t="shared" si="174"/>
        <v>jeudi</v>
      </c>
      <c r="D2728" s="87"/>
      <c r="E2728" s="115" t="str">
        <f t="shared" si="175"/>
        <v/>
      </c>
      <c r="F2728" s="115" t="str">
        <f t="shared" si="176"/>
        <v/>
      </c>
      <c r="G2728" s="116" t="str">
        <f>IF(ISNONTEXT(D2728),"",E2728-MAX($F$2:F2727))</f>
        <v/>
      </c>
      <c r="H2728" s="97"/>
      <c r="I2728" s="74" t="str">
        <f ca="1">IF(D2728="N",COUNTIF(INDIRECT(ADDRESS(MATCH(Plages!$D$19,'Planning annuel mixing coater'!$B:$B),4)):D2728,"N"),IF(D2728="N1",COUNTIF($D$9:D2728,"N1"),""))</f>
        <v/>
      </c>
      <c r="J2728" s="96" t="str">
        <f>IF(D2728="","",COUNTA(D2718:D2728)-(COUNTA(D2728:D2728)-1))</f>
        <v/>
      </c>
    </row>
    <row r="2729" spans="1:10" thickBot="1">
      <c r="A2729" s="117"/>
      <c r="B2729" s="70">
        <f t="shared" si="173"/>
        <v>46521</v>
      </c>
      <c r="C2729" s="82" t="str">
        <f t="shared" si="174"/>
        <v>vendredi</v>
      </c>
      <c r="D2729" s="87"/>
      <c r="E2729" s="115" t="str">
        <f t="shared" si="175"/>
        <v/>
      </c>
      <c r="F2729" s="115" t="str">
        <f t="shared" si="176"/>
        <v/>
      </c>
      <c r="G2729" s="116" t="str">
        <f>IF(ISNONTEXT(D2729),"",E2729-MAX($F$2:F2728))</f>
        <v/>
      </c>
      <c r="H2729" s="97"/>
      <c r="I2729" s="74" t="str">
        <f ca="1">IF(D2729="N",COUNTIF(INDIRECT(ADDRESS(MATCH(Plages!$D$19,'Planning annuel mixing coater'!$B:$B),4)):D2729,"N"),IF(D2729="N1",COUNTIF($D$9:D2729,"N1"),""))</f>
        <v/>
      </c>
      <c r="J2729" s="96" t="str">
        <f>IF(D2729="","",COUNTA(D2718:D2729)-(COUNTA(D2729:D2729)-1))</f>
        <v/>
      </c>
    </row>
    <row r="2730" spans="1:10" thickBot="1">
      <c r="A2730" s="117"/>
      <c r="B2730" s="70">
        <f t="shared" si="173"/>
        <v>46522</v>
      </c>
      <c r="C2730" s="82" t="str">
        <f t="shared" si="174"/>
        <v>samedi</v>
      </c>
      <c r="D2730" s="87"/>
      <c r="E2730" s="115" t="str">
        <f t="shared" si="175"/>
        <v/>
      </c>
      <c r="F2730" s="115" t="str">
        <f t="shared" si="176"/>
        <v/>
      </c>
      <c r="G2730" s="116" t="str">
        <f>IF(ISNONTEXT(D2730),"",E2730-MAX($F$2:F2729))</f>
        <v/>
      </c>
      <c r="H2730" s="97"/>
      <c r="I2730" s="74" t="str">
        <f ca="1">IF(D2730="N",COUNTIF(INDIRECT(ADDRESS(MATCH(Plages!$D$19,'Planning annuel mixing coater'!$B:$B),4)):D2730,"N"),IF(D2730="N1",COUNTIF($D$9:D2730,"N1"),""))</f>
        <v/>
      </c>
      <c r="J2730" s="96" t="str">
        <f>IF(D2730="","",COUNTA(D2718:D2730)-(COUNTA(D2730:D2730)-1))</f>
        <v/>
      </c>
    </row>
    <row r="2731" spans="1:10" s="77" customFormat="1" thickBot="1">
      <c r="A2731" s="117"/>
      <c r="B2731" s="75">
        <f t="shared" si="173"/>
        <v>46523</v>
      </c>
      <c r="C2731" s="83" t="str">
        <f t="shared" si="174"/>
        <v>dimanche</v>
      </c>
      <c r="D2731" s="88"/>
      <c r="E2731" s="115" t="str">
        <f t="shared" si="175"/>
        <v/>
      </c>
      <c r="F2731" s="115" t="str">
        <f t="shared" si="176"/>
        <v/>
      </c>
      <c r="G2731" s="116" t="str">
        <f>IF(ISNONTEXT(D2731),"",E2731-MAX($F$2:F2730))</f>
        <v/>
      </c>
      <c r="H2731" s="98"/>
      <c r="I2731" s="76" t="str">
        <f ca="1">IF(D2731="N",COUNTIF(INDIRECT(ADDRESS(MATCH(Plages!$D$19,'Planning annuel mixing coater'!$B:$B),4)):D2731,"N"),IF(D2731="N1",COUNTIF($D$9:D2731,"N1"),""))</f>
        <v/>
      </c>
      <c r="J2731" s="99" t="str">
        <f>IF(D2731="","",COUNTA(D2718:D2731)-(COUNTA(D2731:D2731)-1))</f>
        <v/>
      </c>
    </row>
    <row r="2732" spans="1:10" ht="16.5" thickTop="1" thickBot="1">
      <c r="A2732" s="117"/>
      <c r="B2732" s="78">
        <f t="shared" si="173"/>
        <v>46524</v>
      </c>
      <c r="C2732" s="81" t="str">
        <f t="shared" si="174"/>
        <v>lundi</v>
      </c>
      <c r="D2732" s="89"/>
      <c r="E2732" s="115" t="str">
        <f t="shared" si="175"/>
        <v/>
      </c>
      <c r="F2732" s="115" t="str">
        <f t="shared" si="176"/>
        <v/>
      </c>
      <c r="G2732" s="116" t="str">
        <f>IF(ISNONTEXT(D2732),"",E2732-MAX($F$2:F2731))</f>
        <v/>
      </c>
      <c r="H2732" s="100"/>
      <c r="I2732" s="79" t="str">
        <f ca="1">IF(D2732="N",COUNTIF(INDIRECT(ADDRESS(MATCH(Plages!$D$19,'Planning annuel mixing coater'!$B:$B),4)):D2732,"N"),IF(D2732="N1",COUNTIF($D$9:D2732,"N1"),""))</f>
        <v/>
      </c>
      <c r="J2732" s="101" t="str">
        <f>IF(D2732="","",COUNTA(D2732:D2732)-(COUNTA(D2732:D2732)-1))</f>
        <v/>
      </c>
    </row>
    <row r="2733" spans="1:10" thickBot="1">
      <c r="A2733" s="117"/>
      <c r="B2733" s="70">
        <f t="shared" si="173"/>
        <v>46525</v>
      </c>
      <c r="C2733" s="82" t="str">
        <f t="shared" si="174"/>
        <v>mardi</v>
      </c>
      <c r="D2733" s="87"/>
      <c r="E2733" s="115" t="str">
        <f t="shared" si="175"/>
        <v/>
      </c>
      <c r="F2733" s="115" t="str">
        <f t="shared" si="176"/>
        <v/>
      </c>
      <c r="G2733" s="116" t="str">
        <f>IF(ISNONTEXT(D2733),"",E2733-MAX($F$2:F2732))</f>
        <v/>
      </c>
      <c r="H2733" s="97"/>
      <c r="I2733" s="74" t="str">
        <f ca="1">IF(D2733="N",COUNTIF(INDIRECT(ADDRESS(MATCH(Plages!$D$19,'Planning annuel mixing coater'!$B:$B),4)):D2733,"N"),IF(D2733="N1",COUNTIF($D$9:D2733,"N1"),""))</f>
        <v/>
      </c>
      <c r="J2733" s="96" t="str">
        <f>IF(D2733="","",COUNTA(D2732:D2733)-(COUNTA(D2733:D2733)-1))</f>
        <v/>
      </c>
    </row>
    <row r="2734" spans="1:10" thickBot="1">
      <c r="A2734" s="117"/>
      <c r="B2734" s="70">
        <f t="shared" si="173"/>
        <v>46526</v>
      </c>
      <c r="C2734" s="82" t="str">
        <f t="shared" si="174"/>
        <v>mercredi</v>
      </c>
      <c r="D2734" s="87"/>
      <c r="E2734" s="115" t="str">
        <f t="shared" si="175"/>
        <v/>
      </c>
      <c r="F2734" s="115" t="str">
        <f t="shared" si="176"/>
        <v/>
      </c>
      <c r="G2734" s="116" t="str">
        <f>IF(ISNONTEXT(D2734),"",E2734-MAX($F$2:F2733))</f>
        <v/>
      </c>
      <c r="H2734" s="97"/>
      <c r="I2734" s="74" t="str">
        <f ca="1">IF(D2734="N",COUNTIF(INDIRECT(ADDRESS(MATCH(Plages!$D$19,'Planning annuel mixing coater'!$B:$B),4)):D2734,"N"),IF(D2734="N1",COUNTIF($D$9:D2734,"N1"),""))</f>
        <v/>
      </c>
      <c r="J2734" s="96" t="str">
        <f>IF(D2734="","",COUNTA(D2732:D2734)-(COUNTA(D2734:D2734)-1))</f>
        <v/>
      </c>
    </row>
    <row r="2735" spans="1:10" thickBot="1">
      <c r="A2735" s="117"/>
      <c r="B2735" s="70">
        <f t="shared" si="173"/>
        <v>46527</v>
      </c>
      <c r="C2735" s="82" t="str">
        <f t="shared" si="174"/>
        <v>jeudi</v>
      </c>
      <c r="D2735" s="87"/>
      <c r="E2735" s="115" t="str">
        <f t="shared" si="175"/>
        <v/>
      </c>
      <c r="F2735" s="115" t="str">
        <f t="shared" si="176"/>
        <v/>
      </c>
      <c r="G2735" s="116" t="str">
        <f>IF(ISNONTEXT(D2735),"",E2735-MAX($F$2:F2734))</f>
        <v/>
      </c>
      <c r="H2735" s="97"/>
      <c r="I2735" s="74" t="str">
        <f ca="1">IF(D2735="N",COUNTIF(INDIRECT(ADDRESS(MATCH(Plages!$D$19,'Planning annuel mixing coater'!$B:$B),4)):D2735,"N"),IF(D2735="N1",COUNTIF($D$9:D2735,"N1"),""))</f>
        <v/>
      </c>
      <c r="J2735" s="96" t="str">
        <f>IF(D2735="","",COUNTA(D2732:D2735)-(COUNTA(D2735:D2735)-1))</f>
        <v/>
      </c>
    </row>
    <row r="2736" spans="1:10" thickBot="1">
      <c r="A2736" s="117"/>
      <c r="B2736" s="70">
        <f t="shared" si="173"/>
        <v>46528</v>
      </c>
      <c r="C2736" s="82" t="str">
        <f t="shared" si="174"/>
        <v>vendredi</v>
      </c>
      <c r="D2736" s="87"/>
      <c r="E2736" s="115" t="str">
        <f t="shared" si="175"/>
        <v/>
      </c>
      <c r="F2736" s="115" t="str">
        <f t="shared" si="176"/>
        <v/>
      </c>
      <c r="G2736" s="116" t="str">
        <f>IF(ISNONTEXT(D2736),"",E2736-MAX($F$2:F2735))</f>
        <v/>
      </c>
      <c r="H2736" s="97"/>
      <c r="I2736" s="74" t="str">
        <f ca="1">IF(D2736="N",COUNTIF(INDIRECT(ADDRESS(MATCH(Plages!$D$19,'Planning annuel mixing coater'!$B:$B),4)):D2736,"N"),IF(D2736="N1",COUNTIF($D$9:D2736,"N1"),""))</f>
        <v/>
      </c>
      <c r="J2736" s="96" t="str">
        <f>IF(D2736="","",COUNTA(D2732:D2736)-(COUNTA(D2736:D2736)-1))</f>
        <v/>
      </c>
    </row>
    <row r="2737" spans="1:10" thickBot="1">
      <c r="A2737" s="117"/>
      <c r="B2737" s="70">
        <f t="shared" si="173"/>
        <v>46529</v>
      </c>
      <c r="C2737" s="82" t="str">
        <f t="shared" si="174"/>
        <v>samedi</v>
      </c>
      <c r="D2737" s="87"/>
      <c r="E2737" s="115" t="str">
        <f t="shared" si="175"/>
        <v/>
      </c>
      <c r="F2737" s="115" t="str">
        <f t="shared" si="176"/>
        <v/>
      </c>
      <c r="G2737" s="116" t="str">
        <f>IF(ISNONTEXT(D2737),"",E2737-MAX($F$2:F2736))</f>
        <v/>
      </c>
      <c r="H2737" s="97"/>
      <c r="I2737" s="74" t="str">
        <f ca="1">IF(D2737="N",COUNTIF(INDIRECT(ADDRESS(MATCH(Plages!$D$19,'Planning annuel mixing coater'!$B:$B),4)):D2737,"N"),IF(D2737="N1",COUNTIF($D$9:D2737,"N1"),""))</f>
        <v/>
      </c>
      <c r="J2737" s="96" t="str">
        <f>IF(D2737="","",COUNTA(D2732:D2737)-(COUNTA(D2737:D2737)-1))</f>
        <v/>
      </c>
    </row>
    <row r="2738" spans="1:10" thickBot="1">
      <c r="A2738" s="117"/>
      <c r="B2738" s="70">
        <f t="shared" si="173"/>
        <v>46530</v>
      </c>
      <c r="C2738" s="82" t="str">
        <f t="shared" si="174"/>
        <v>dimanche</v>
      </c>
      <c r="D2738" s="87"/>
      <c r="E2738" s="115" t="str">
        <f t="shared" si="175"/>
        <v/>
      </c>
      <c r="F2738" s="115" t="str">
        <f t="shared" si="176"/>
        <v/>
      </c>
      <c r="G2738" s="116" t="str">
        <f>IF(ISNONTEXT(D2738),"",E2738-MAX($F$2:F2737))</f>
        <v/>
      </c>
      <c r="H2738" s="98"/>
      <c r="I2738" s="74" t="str">
        <f ca="1">IF(D2738="N",COUNTIF(INDIRECT(ADDRESS(MATCH(Plages!$D$19,'Planning annuel mixing coater'!$B:$B),4)):D2738,"N"),IF(D2738="N1",COUNTIF($D$9:D2738,"N1"),""))</f>
        <v/>
      </c>
      <c r="J2738" s="96" t="str">
        <f>IF(D2738="","",COUNTA(D2732:D2738)-(COUNTA(D2738:D2738)-1))</f>
        <v/>
      </c>
    </row>
    <row r="2739" spans="1:10" thickBot="1">
      <c r="A2739" s="117"/>
      <c r="B2739" s="70">
        <f t="shared" si="173"/>
        <v>46531</v>
      </c>
      <c r="C2739" s="82" t="str">
        <f t="shared" si="174"/>
        <v>lundi</v>
      </c>
      <c r="D2739" s="87"/>
      <c r="E2739" s="115" t="str">
        <f t="shared" si="175"/>
        <v/>
      </c>
      <c r="F2739" s="115" t="str">
        <f t="shared" si="176"/>
        <v/>
      </c>
      <c r="G2739" s="116" t="str">
        <f>IF(ISNONTEXT(D2739),"",E2739-MAX($F$2:F2738))</f>
        <v/>
      </c>
      <c r="H2739" s="97"/>
      <c r="I2739" s="74" t="str">
        <f ca="1">IF(D2739="N",COUNTIF(INDIRECT(ADDRESS(MATCH(Plages!$D$19,'Planning annuel mixing coater'!$B:$B),4)):D2739,"N"),IF(D2739="N1",COUNTIF($D$9:D2739,"N1"),""))</f>
        <v/>
      </c>
      <c r="J2739" s="96" t="str">
        <f>IF(D2739="","",COUNTA(D2732:D2739)-(COUNTA(D2739:D2739)-1))</f>
        <v/>
      </c>
    </row>
    <row r="2740" spans="1:10" thickBot="1">
      <c r="A2740" s="117"/>
      <c r="B2740" s="70">
        <f t="shared" si="173"/>
        <v>46532</v>
      </c>
      <c r="C2740" s="82" t="str">
        <f t="shared" si="174"/>
        <v>mardi</v>
      </c>
      <c r="D2740" s="87"/>
      <c r="E2740" s="115" t="str">
        <f t="shared" si="175"/>
        <v/>
      </c>
      <c r="F2740" s="115" t="str">
        <f t="shared" si="176"/>
        <v/>
      </c>
      <c r="G2740" s="116" t="str">
        <f>IF(ISNONTEXT(D2740),"",E2740-MAX($F$2:F2739))</f>
        <v/>
      </c>
      <c r="H2740" s="97"/>
      <c r="I2740" s="74" t="str">
        <f ca="1">IF(D2740="N",COUNTIF(INDIRECT(ADDRESS(MATCH(Plages!$D$19,'Planning annuel mixing coater'!$B:$B),4)):D2740,"N"),IF(D2740="N1",COUNTIF($D$9:D2740,"N1"),""))</f>
        <v/>
      </c>
      <c r="J2740" s="96" t="str">
        <f>IF(D2740="","",COUNTA(D2732:D2740)-(COUNTA(D2740:D2740)-1))</f>
        <v/>
      </c>
    </row>
    <row r="2741" spans="1:10" thickBot="1">
      <c r="A2741" s="117"/>
      <c r="B2741" s="70">
        <f t="shared" si="173"/>
        <v>46533</v>
      </c>
      <c r="C2741" s="82" t="str">
        <f t="shared" si="174"/>
        <v>mercredi</v>
      </c>
      <c r="D2741" s="87"/>
      <c r="E2741" s="115" t="str">
        <f t="shared" si="175"/>
        <v/>
      </c>
      <c r="F2741" s="115" t="str">
        <f t="shared" si="176"/>
        <v/>
      </c>
      <c r="G2741" s="116" t="str">
        <f>IF(ISNONTEXT(D2741),"",E2741-MAX($F$2:F2740))</f>
        <v/>
      </c>
      <c r="H2741" s="97"/>
      <c r="I2741" s="74" t="str">
        <f ca="1">IF(D2741="N",COUNTIF(INDIRECT(ADDRESS(MATCH(Plages!$D$19,'Planning annuel mixing coater'!$B:$B),4)):D2741,"N"),IF(D2741="N1",COUNTIF($D$9:D2741,"N1"),""))</f>
        <v/>
      </c>
      <c r="J2741" s="96" t="str">
        <f>IF(D2741="","",COUNTA(D2732:D2741)-(COUNTA(D2741:D2741)-1))</f>
        <v/>
      </c>
    </row>
    <row r="2742" spans="1:10" thickBot="1">
      <c r="A2742" s="117"/>
      <c r="B2742" s="70">
        <f t="shared" si="173"/>
        <v>46534</v>
      </c>
      <c r="C2742" s="82" t="str">
        <f t="shared" si="174"/>
        <v>jeudi</v>
      </c>
      <c r="D2742" s="87"/>
      <c r="E2742" s="115" t="str">
        <f t="shared" si="175"/>
        <v/>
      </c>
      <c r="F2742" s="115" t="str">
        <f t="shared" si="176"/>
        <v/>
      </c>
      <c r="G2742" s="116" t="str">
        <f>IF(ISNONTEXT(D2742),"",E2742-MAX($F$2:F2741))</f>
        <v/>
      </c>
      <c r="H2742" s="97"/>
      <c r="I2742" s="74" t="str">
        <f ca="1">IF(D2742="N",COUNTIF(INDIRECT(ADDRESS(MATCH(Plages!$D$19,'Planning annuel mixing coater'!$B:$B),4)):D2742,"N"),IF(D2742="N1",COUNTIF($D$9:D2742,"N1"),""))</f>
        <v/>
      </c>
      <c r="J2742" s="96" t="str">
        <f>IF(D2742="","",COUNTA(D2732:D2742)-(COUNTA(D2742:D2742)-1))</f>
        <v/>
      </c>
    </row>
    <row r="2743" spans="1:10" thickBot="1">
      <c r="A2743" s="117"/>
      <c r="B2743" s="70">
        <f t="shared" si="173"/>
        <v>46535</v>
      </c>
      <c r="C2743" s="82" t="str">
        <f t="shared" si="174"/>
        <v>vendredi</v>
      </c>
      <c r="D2743" s="87"/>
      <c r="E2743" s="115" t="str">
        <f t="shared" si="175"/>
        <v/>
      </c>
      <c r="F2743" s="115" t="str">
        <f t="shared" si="176"/>
        <v/>
      </c>
      <c r="G2743" s="116" t="str">
        <f>IF(ISNONTEXT(D2743),"",E2743-MAX($F$2:F2742))</f>
        <v/>
      </c>
      <c r="H2743" s="97"/>
      <c r="I2743" s="74" t="str">
        <f ca="1">IF(D2743="N",COUNTIF(INDIRECT(ADDRESS(MATCH(Plages!$D$19,'Planning annuel mixing coater'!$B:$B),4)):D2743,"N"),IF(D2743="N1",COUNTIF($D$9:D2743,"N1"),""))</f>
        <v/>
      </c>
      <c r="J2743" s="96" t="str">
        <f>IF(D2743="","",COUNTA(D2732:D2743)-(COUNTA(D2743:D2743)-1))</f>
        <v/>
      </c>
    </row>
    <row r="2744" spans="1:10" thickBot="1">
      <c r="A2744" s="117"/>
      <c r="B2744" s="70">
        <f t="shared" si="173"/>
        <v>46536</v>
      </c>
      <c r="C2744" s="82" t="str">
        <f t="shared" si="174"/>
        <v>samedi</v>
      </c>
      <c r="D2744" s="87"/>
      <c r="E2744" s="115" t="str">
        <f t="shared" si="175"/>
        <v/>
      </c>
      <c r="F2744" s="115" t="str">
        <f t="shared" si="176"/>
        <v/>
      </c>
      <c r="G2744" s="116" t="str">
        <f>IF(ISNONTEXT(D2744),"",E2744-MAX($F$2:F2743))</f>
        <v/>
      </c>
      <c r="H2744" s="97"/>
      <c r="I2744" s="74" t="str">
        <f ca="1">IF(D2744="N",COUNTIF(INDIRECT(ADDRESS(MATCH(Plages!$D$19,'Planning annuel mixing coater'!$B:$B),4)):D2744,"N"),IF(D2744="N1",COUNTIF($D$9:D2744,"N1"),""))</f>
        <v/>
      </c>
      <c r="J2744" s="96" t="str">
        <f>IF(D2744="","",COUNTA(D2732:D2744)-(COUNTA(D2744:D2744)-1))</f>
        <v/>
      </c>
    </row>
    <row r="2745" spans="1:10" s="77" customFormat="1" thickBot="1">
      <c r="A2745" s="117"/>
      <c r="B2745" s="75">
        <f t="shared" si="173"/>
        <v>46537</v>
      </c>
      <c r="C2745" s="83" t="str">
        <f t="shared" si="174"/>
        <v>dimanche</v>
      </c>
      <c r="D2745" s="88"/>
      <c r="E2745" s="115" t="str">
        <f t="shared" si="175"/>
        <v/>
      </c>
      <c r="F2745" s="115" t="str">
        <f t="shared" si="176"/>
        <v/>
      </c>
      <c r="G2745" s="116" t="str">
        <f>IF(ISNONTEXT(D2745),"",E2745-MAX($F$2:F2744))</f>
        <v/>
      </c>
      <c r="H2745" s="98"/>
      <c r="I2745" s="76" t="str">
        <f ca="1">IF(D2745="N",COUNTIF(INDIRECT(ADDRESS(MATCH(Plages!$D$19,'Planning annuel mixing coater'!$B:$B),4)):D2745,"N"),IF(D2745="N1",COUNTIF($D$9:D2745,"N1"),""))</f>
        <v/>
      </c>
      <c r="J2745" s="99" t="str">
        <f>IF(D2745="","",COUNTA(D2732:D2745)-(COUNTA(D2745:D2745)-1))</f>
        <v/>
      </c>
    </row>
    <row r="2746" spans="1:10" ht="16.5" thickTop="1" thickBot="1">
      <c r="A2746" s="117"/>
      <c r="B2746" s="78">
        <f t="shared" si="173"/>
        <v>46538</v>
      </c>
      <c r="C2746" s="81" t="str">
        <f t="shared" si="174"/>
        <v>lundi</v>
      </c>
      <c r="D2746" s="89"/>
      <c r="E2746" s="115" t="str">
        <f t="shared" si="175"/>
        <v/>
      </c>
      <c r="F2746" s="115" t="str">
        <f t="shared" si="176"/>
        <v/>
      </c>
      <c r="G2746" s="116" t="str">
        <f>IF(ISNONTEXT(D2746),"",E2746-MAX($F$2:F2745))</f>
        <v/>
      </c>
      <c r="H2746" s="100"/>
      <c r="I2746" s="79" t="str">
        <f ca="1">IF(D2746="N",COUNTIF(INDIRECT(ADDRESS(MATCH(Plages!$D$19,'Planning annuel mixing coater'!$B:$B),4)):D2746,"N"),IF(D2746="N1",COUNTIF($D$9:D2746,"N1"),""))</f>
        <v/>
      </c>
      <c r="J2746" s="101" t="str">
        <f>IF(D2746="","",COUNTA(D2746:D2746)-(COUNTA(D2746:D2746)-1))</f>
        <v/>
      </c>
    </row>
    <row r="2747" spans="1:10" thickBot="1">
      <c r="A2747" s="117"/>
      <c r="B2747" s="70">
        <f t="shared" si="173"/>
        <v>46539</v>
      </c>
      <c r="C2747" s="82" t="str">
        <f t="shared" si="174"/>
        <v>mardi</v>
      </c>
      <c r="D2747" s="87"/>
      <c r="E2747" s="115" t="str">
        <f t="shared" si="175"/>
        <v/>
      </c>
      <c r="F2747" s="115" t="str">
        <f t="shared" si="176"/>
        <v/>
      </c>
      <c r="G2747" s="116" t="str">
        <f>IF(ISNONTEXT(D2747),"",E2747-MAX($F$2:F2746))</f>
        <v/>
      </c>
      <c r="H2747" s="97"/>
      <c r="I2747" s="74" t="str">
        <f ca="1">IF(D2747="N",COUNTIF(INDIRECT(ADDRESS(MATCH(Plages!$D$19,'Planning annuel mixing coater'!$B:$B),4)):D2747,"N"),IF(D2747="N1",COUNTIF($D$9:D2747,"N1"),""))</f>
        <v/>
      </c>
      <c r="J2747" s="96" t="str">
        <f>IF(D2747="","",COUNTA(D2746:D2747)-(COUNTA(D2747:D2747)-1))</f>
        <v/>
      </c>
    </row>
    <row r="2748" spans="1:10" thickBot="1">
      <c r="A2748" s="117"/>
      <c r="B2748" s="70">
        <f t="shared" si="173"/>
        <v>46540</v>
      </c>
      <c r="C2748" s="82" t="str">
        <f t="shared" si="174"/>
        <v>mercredi</v>
      </c>
      <c r="D2748" s="87"/>
      <c r="E2748" s="115" t="str">
        <f t="shared" si="175"/>
        <v/>
      </c>
      <c r="F2748" s="115" t="str">
        <f t="shared" si="176"/>
        <v/>
      </c>
      <c r="G2748" s="116" t="str">
        <f>IF(ISNONTEXT(D2748),"",E2748-MAX($F$2:F2747))</f>
        <v/>
      </c>
      <c r="H2748" s="97"/>
      <c r="I2748" s="74" t="str">
        <f ca="1">IF(D2748="N",COUNTIF(INDIRECT(ADDRESS(MATCH(Plages!$D$19,'Planning annuel mixing coater'!$B:$B),4)):D2748,"N"),IF(D2748="N1",COUNTIF($D$9:D2748,"N1"),""))</f>
        <v/>
      </c>
      <c r="J2748" s="96" t="str">
        <f>IF(D2748="","",COUNTA(D2746:D2748)-(COUNTA(D2748:D2748)-1))</f>
        <v/>
      </c>
    </row>
    <row r="2749" spans="1:10" thickBot="1">
      <c r="A2749" s="117"/>
      <c r="B2749" s="70">
        <f t="shared" si="173"/>
        <v>46541</v>
      </c>
      <c r="C2749" s="82" t="str">
        <f t="shared" si="174"/>
        <v>jeudi</v>
      </c>
      <c r="D2749" s="87"/>
      <c r="E2749" s="115" t="str">
        <f t="shared" si="175"/>
        <v/>
      </c>
      <c r="F2749" s="115" t="str">
        <f t="shared" si="176"/>
        <v/>
      </c>
      <c r="G2749" s="116" t="str">
        <f>IF(ISNONTEXT(D2749),"",E2749-MAX($F$2:F2748))</f>
        <v/>
      </c>
      <c r="H2749" s="97"/>
      <c r="I2749" s="74" t="str">
        <f ca="1">IF(D2749="N",COUNTIF(INDIRECT(ADDRESS(MATCH(Plages!$D$19,'Planning annuel mixing coater'!$B:$B),4)):D2749,"N"),IF(D2749="N1",COUNTIF($D$9:D2749,"N1"),""))</f>
        <v/>
      </c>
      <c r="J2749" s="96" t="str">
        <f>IF(D2749="","",COUNTA(D2746:D2749)-(COUNTA(D2749:D2749)-1))</f>
        <v/>
      </c>
    </row>
    <row r="2750" spans="1:10" thickBot="1">
      <c r="A2750" s="117"/>
      <c r="B2750" s="70">
        <f t="shared" si="173"/>
        <v>46542</v>
      </c>
      <c r="C2750" s="82" t="str">
        <f t="shared" si="174"/>
        <v>vendredi</v>
      </c>
      <c r="D2750" s="87"/>
      <c r="E2750" s="115" t="str">
        <f t="shared" si="175"/>
        <v/>
      </c>
      <c r="F2750" s="115" t="str">
        <f t="shared" si="176"/>
        <v/>
      </c>
      <c r="G2750" s="116" t="str">
        <f>IF(ISNONTEXT(D2750),"",E2750-MAX($F$2:F2749))</f>
        <v/>
      </c>
      <c r="H2750" s="97"/>
      <c r="I2750" s="74" t="str">
        <f ca="1">IF(D2750="N",COUNTIF(INDIRECT(ADDRESS(MATCH(Plages!$D$19,'Planning annuel mixing coater'!$B:$B),4)):D2750,"N"),IF(D2750="N1",COUNTIF($D$9:D2750,"N1"),""))</f>
        <v/>
      </c>
      <c r="J2750" s="96" t="str">
        <f>IF(D2750="","",COUNTA(D2746:D2750)-(COUNTA(D2750:D2750)-1))</f>
        <v/>
      </c>
    </row>
    <row r="2751" spans="1:10" thickBot="1">
      <c r="A2751" s="117"/>
      <c r="B2751" s="70">
        <f t="shared" si="173"/>
        <v>46543</v>
      </c>
      <c r="C2751" s="82" t="str">
        <f t="shared" si="174"/>
        <v>samedi</v>
      </c>
      <c r="D2751" s="87"/>
      <c r="E2751" s="115" t="str">
        <f t="shared" si="175"/>
        <v/>
      </c>
      <c r="F2751" s="115" t="str">
        <f t="shared" si="176"/>
        <v/>
      </c>
      <c r="G2751" s="116" t="str">
        <f>IF(ISNONTEXT(D2751),"",E2751-MAX($F$2:F2750))</f>
        <v/>
      </c>
      <c r="H2751" s="97"/>
      <c r="I2751" s="74" t="str">
        <f ca="1">IF(D2751="N",COUNTIF(INDIRECT(ADDRESS(MATCH(Plages!$D$19,'Planning annuel mixing coater'!$B:$B),4)):D2751,"N"),IF(D2751="N1",COUNTIF($D$9:D2751,"N1"),""))</f>
        <v/>
      </c>
      <c r="J2751" s="96" t="str">
        <f>IF(D2751="","",COUNTA(D2746:D2751)-(COUNTA(D2751:D2751)-1))</f>
        <v/>
      </c>
    </row>
    <row r="2752" spans="1:10" thickBot="1">
      <c r="A2752" s="117"/>
      <c r="B2752" s="70">
        <f t="shared" si="173"/>
        <v>46544</v>
      </c>
      <c r="C2752" s="82" t="str">
        <f t="shared" si="174"/>
        <v>dimanche</v>
      </c>
      <c r="D2752" s="87"/>
      <c r="E2752" s="115" t="str">
        <f t="shared" si="175"/>
        <v/>
      </c>
      <c r="F2752" s="115" t="str">
        <f t="shared" si="176"/>
        <v/>
      </c>
      <c r="G2752" s="116" t="str">
        <f>IF(ISNONTEXT(D2752),"",E2752-MAX($F$2:F2751))</f>
        <v/>
      </c>
      <c r="H2752" s="98"/>
      <c r="I2752" s="74" t="str">
        <f ca="1">IF(D2752="N",COUNTIF(INDIRECT(ADDRESS(MATCH(Plages!$D$19,'Planning annuel mixing coater'!$B:$B),4)):D2752,"N"),IF(D2752="N1",COUNTIF($D$9:D2752,"N1"),""))</f>
        <v/>
      </c>
      <c r="J2752" s="96" t="str">
        <f>IF(D2752="","",COUNTA(D2746:D2752)-(COUNTA(D2752:D2752)-1))</f>
        <v/>
      </c>
    </row>
    <row r="2753" spans="1:10" thickBot="1">
      <c r="A2753" s="117"/>
      <c r="B2753" s="70">
        <f t="shared" si="173"/>
        <v>46545</v>
      </c>
      <c r="C2753" s="82" t="str">
        <f t="shared" si="174"/>
        <v>lundi</v>
      </c>
      <c r="D2753" s="87"/>
      <c r="E2753" s="115" t="str">
        <f t="shared" si="175"/>
        <v/>
      </c>
      <c r="F2753" s="115" t="str">
        <f t="shared" si="176"/>
        <v/>
      </c>
      <c r="G2753" s="116" t="str">
        <f>IF(ISNONTEXT(D2753),"",E2753-MAX($F$2:F2752))</f>
        <v/>
      </c>
      <c r="H2753" s="97"/>
      <c r="I2753" s="74" t="str">
        <f ca="1">IF(D2753="N",COUNTIF(INDIRECT(ADDRESS(MATCH(Plages!$D$19,'Planning annuel mixing coater'!$B:$B),4)):D2753,"N"),IF(D2753="N1",COUNTIF($D$9:D2753,"N1"),""))</f>
        <v/>
      </c>
      <c r="J2753" s="96" t="str">
        <f>IF(D2753="","",COUNTA(D2746:D2753)-(COUNTA(D2753:D2753)-1))</f>
        <v/>
      </c>
    </row>
    <row r="2754" spans="1:10" thickBot="1">
      <c r="A2754" s="117"/>
      <c r="B2754" s="70">
        <f t="shared" si="173"/>
        <v>46546</v>
      </c>
      <c r="C2754" s="82" t="str">
        <f t="shared" si="174"/>
        <v>mardi</v>
      </c>
      <c r="D2754" s="87"/>
      <c r="E2754" s="115" t="str">
        <f t="shared" si="175"/>
        <v/>
      </c>
      <c r="F2754" s="115" t="str">
        <f t="shared" si="176"/>
        <v/>
      </c>
      <c r="G2754" s="116" t="str">
        <f>IF(ISNONTEXT(D2754),"",E2754-MAX($F$2:F2753))</f>
        <v/>
      </c>
      <c r="H2754" s="97"/>
      <c r="I2754" s="74" t="str">
        <f ca="1">IF(D2754="N",COUNTIF(INDIRECT(ADDRESS(MATCH(Plages!$D$19,'Planning annuel mixing coater'!$B:$B),4)):D2754,"N"),IF(D2754="N1",COUNTIF($D$9:D2754,"N1"),""))</f>
        <v/>
      </c>
      <c r="J2754" s="96" t="str">
        <f>IF(D2754="","",COUNTA(D2746:D2754)-(COUNTA(D2754:D2754)-1))</f>
        <v/>
      </c>
    </row>
    <row r="2755" spans="1:10" thickBot="1">
      <c r="A2755" s="117"/>
      <c r="B2755" s="70">
        <f t="shared" si="173"/>
        <v>46547</v>
      </c>
      <c r="C2755" s="82" t="str">
        <f t="shared" si="174"/>
        <v>mercredi</v>
      </c>
      <c r="D2755" s="87"/>
      <c r="E2755" s="115" t="str">
        <f t="shared" si="175"/>
        <v/>
      </c>
      <c r="F2755" s="115" t="str">
        <f t="shared" si="176"/>
        <v/>
      </c>
      <c r="G2755" s="116" t="str">
        <f>IF(ISNONTEXT(D2755),"",E2755-MAX($F$2:F2754))</f>
        <v/>
      </c>
      <c r="H2755" s="97"/>
      <c r="I2755" s="74" t="str">
        <f ca="1">IF(D2755="N",COUNTIF(INDIRECT(ADDRESS(MATCH(Plages!$D$19,'Planning annuel mixing coater'!$B:$B),4)):D2755,"N"),IF(D2755="N1",COUNTIF($D$9:D2755,"N1"),""))</f>
        <v/>
      </c>
      <c r="J2755" s="96" t="str">
        <f>IF(D2755="","",COUNTA(D2746:D2755)-(COUNTA(D2755:D2755)-1))</f>
        <v/>
      </c>
    </row>
    <row r="2756" spans="1:10" thickBot="1">
      <c r="A2756" s="117"/>
      <c r="B2756" s="70">
        <f t="shared" ref="B2756:B2819" si="177">IF(B2755="","",B2755+1)</f>
        <v>46548</v>
      </c>
      <c r="C2756" s="82" t="str">
        <f t="shared" si="174"/>
        <v>jeudi</v>
      </c>
      <c r="D2756" s="87"/>
      <c r="E2756" s="115" t="str">
        <f t="shared" si="175"/>
        <v/>
      </c>
      <c r="F2756" s="115" t="str">
        <f t="shared" si="176"/>
        <v/>
      </c>
      <c r="G2756" s="116" t="str">
        <f>IF(ISNONTEXT(D2756),"",E2756-MAX($F$2:F2755))</f>
        <v/>
      </c>
      <c r="H2756" s="97"/>
      <c r="I2756" s="74" t="str">
        <f ca="1">IF(D2756="N",COUNTIF(INDIRECT(ADDRESS(MATCH(Plages!$D$19,'Planning annuel mixing coater'!$B:$B),4)):D2756,"N"),IF(D2756="N1",COUNTIF($D$9:D2756,"N1"),""))</f>
        <v/>
      </c>
      <c r="J2756" s="96" t="str">
        <f>IF(D2756="","",COUNTA(D2746:D2756)-(COUNTA(D2756:D2756)-1))</f>
        <v/>
      </c>
    </row>
    <row r="2757" spans="1:10" thickBot="1">
      <c r="A2757" s="117"/>
      <c r="B2757" s="70">
        <f t="shared" si="177"/>
        <v>46549</v>
      </c>
      <c r="C2757" s="82" t="str">
        <f t="shared" si="174"/>
        <v>vendredi</v>
      </c>
      <c r="D2757" s="87"/>
      <c r="E2757" s="115" t="str">
        <f t="shared" si="175"/>
        <v/>
      </c>
      <c r="F2757" s="115" t="str">
        <f t="shared" si="176"/>
        <v/>
      </c>
      <c r="G2757" s="116" t="str">
        <f>IF(ISNONTEXT(D2757),"",E2757-MAX($F$2:F2756))</f>
        <v/>
      </c>
      <c r="H2757" s="97"/>
      <c r="I2757" s="74" t="str">
        <f ca="1">IF(D2757="N",COUNTIF(INDIRECT(ADDRESS(MATCH(Plages!$D$19,'Planning annuel mixing coater'!$B:$B),4)):D2757,"N"),IF(D2757="N1",COUNTIF($D$9:D2757,"N1"),""))</f>
        <v/>
      </c>
      <c r="J2757" s="96" t="str">
        <f>IF(D2757="","",COUNTA(D2746:D2757)-(COUNTA(D2757:D2757)-1))</f>
        <v/>
      </c>
    </row>
    <row r="2758" spans="1:10" thickBot="1">
      <c r="A2758" s="117"/>
      <c r="B2758" s="70">
        <f t="shared" si="177"/>
        <v>46550</v>
      </c>
      <c r="C2758" s="82" t="str">
        <f t="shared" si="174"/>
        <v>samedi</v>
      </c>
      <c r="D2758" s="87"/>
      <c r="E2758" s="115" t="str">
        <f t="shared" si="175"/>
        <v/>
      </c>
      <c r="F2758" s="115" t="str">
        <f t="shared" si="176"/>
        <v/>
      </c>
      <c r="G2758" s="116" t="str">
        <f>IF(ISNONTEXT(D2758),"",E2758-MAX($F$2:F2757))</f>
        <v/>
      </c>
      <c r="H2758" s="97"/>
      <c r="I2758" s="74" t="str">
        <f ca="1">IF(D2758="N",COUNTIF(INDIRECT(ADDRESS(MATCH(Plages!$D$19,'Planning annuel mixing coater'!$B:$B),4)):D2758,"N"),IF(D2758="N1",COUNTIF($D$9:D2758,"N1"),""))</f>
        <v/>
      </c>
      <c r="J2758" s="96" t="str">
        <f>IF(D2758="","",COUNTA(D2746:D2758)-(COUNTA(D2758:D2758)-1))</f>
        <v/>
      </c>
    </row>
    <row r="2759" spans="1:10" s="77" customFormat="1" thickBot="1">
      <c r="A2759" s="117"/>
      <c r="B2759" s="75">
        <f t="shared" si="177"/>
        <v>46551</v>
      </c>
      <c r="C2759" s="83" t="str">
        <f t="shared" si="174"/>
        <v>dimanche</v>
      </c>
      <c r="D2759" s="88"/>
      <c r="E2759" s="115" t="str">
        <f t="shared" si="175"/>
        <v/>
      </c>
      <c r="F2759" s="115" t="str">
        <f t="shared" si="176"/>
        <v/>
      </c>
      <c r="G2759" s="116" t="str">
        <f>IF(ISNONTEXT(D2759),"",E2759-MAX($F$2:F2758))</f>
        <v/>
      </c>
      <c r="H2759" s="98"/>
      <c r="I2759" s="76" t="str">
        <f ca="1">IF(D2759="N",COUNTIF(INDIRECT(ADDRESS(MATCH(Plages!$D$19,'Planning annuel mixing coater'!$B:$B),4)):D2759,"N"),IF(D2759="N1",COUNTIF($D$9:D2759,"N1"),""))</f>
        <v/>
      </c>
      <c r="J2759" s="99" t="str">
        <f>IF(D2759="","",COUNTA(D2746:D2759)-(COUNTA(D2759:D2759)-1))</f>
        <v/>
      </c>
    </row>
    <row r="2760" spans="1:10" ht="16.5" thickTop="1" thickBot="1">
      <c r="A2760" s="117"/>
      <c r="B2760" s="78">
        <f t="shared" si="177"/>
        <v>46552</v>
      </c>
      <c r="C2760" s="81" t="str">
        <f t="shared" si="174"/>
        <v>lundi</v>
      </c>
      <c r="D2760" s="89"/>
      <c r="E2760" s="115" t="str">
        <f t="shared" si="175"/>
        <v/>
      </c>
      <c r="F2760" s="115" t="str">
        <f t="shared" si="176"/>
        <v/>
      </c>
      <c r="G2760" s="116" t="str">
        <f>IF(ISNONTEXT(D2760),"",E2760-MAX($F$2:F2759))</f>
        <v/>
      </c>
      <c r="H2760" s="100"/>
      <c r="I2760" s="79" t="str">
        <f ca="1">IF(D2760="N",COUNTIF(INDIRECT(ADDRESS(MATCH(Plages!$D$19,'Planning annuel mixing coater'!$B:$B),4)):D2760,"N"),IF(D2760="N1",COUNTIF($D$9:D2760,"N1"),""))</f>
        <v/>
      </c>
      <c r="J2760" s="101" t="str">
        <f>IF(D2760="","",COUNTA(D2760:D2760)-(COUNTA(D2760:D2760)-1))</f>
        <v/>
      </c>
    </row>
    <row r="2761" spans="1:10" thickBot="1">
      <c r="A2761" s="117"/>
      <c r="B2761" s="70">
        <f t="shared" si="177"/>
        <v>46553</v>
      </c>
      <c r="C2761" s="82" t="str">
        <f t="shared" si="174"/>
        <v>mardi</v>
      </c>
      <c r="D2761" s="87"/>
      <c r="E2761" s="115" t="str">
        <f t="shared" si="175"/>
        <v/>
      </c>
      <c r="F2761" s="115" t="str">
        <f t="shared" si="176"/>
        <v/>
      </c>
      <c r="G2761" s="116" t="str">
        <f>IF(ISNONTEXT(D2761),"",E2761-MAX($F$2:F2760))</f>
        <v/>
      </c>
      <c r="H2761" s="97"/>
      <c r="I2761" s="74" t="str">
        <f ca="1">IF(D2761="N",COUNTIF(INDIRECT(ADDRESS(MATCH(Plages!$D$19,'Planning annuel mixing coater'!$B:$B),4)):D2761,"N"),IF(D2761="N1",COUNTIF($D$9:D2761,"N1"),""))</f>
        <v/>
      </c>
      <c r="J2761" s="96" t="str">
        <f>IF(D2761="","",COUNTA(D2760:D2761)-(COUNTA(D2761:D2761)-1))</f>
        <v/>
      </c>
    </row>
    <row r="2762" spans="1:10" thickBot="1">
      <c r="A2762" s="117"/>
      <c r="B2762" s="70">
        <f t="shared" si="177"/>
        <v>46554</v>
      </c>
      <c r="C2762" s="82" t="str">
        <f t="shared" si="174"/>
        <v>mercredi</v>
      </c>
      <c r="D2762" s="87"/>
      <c r="E2762" s="115" t="str">
        <f t="shared" si="175"/>
        <v/>
      </c>
      <c r="F2762" s="115" t="str">
        <f t="shared" si="176"/>
        <v/>
      </c>
      <c r="G2762" s="116" t="str">
        <f>IF(ISNONTEXT(D2762),"",E2762-MAX($F$2:F2761))</f>
        <v/>
      </c>
      <c r="H2762" s="97"/>
      <c r="I2762" s="74" t="str">
        <f ca="1">IF(D2762="N",COUNTIF(INDIRECT(ADDRESS(MATCH(Plages!$D$19,'Planning annuel mixing coater'!$B:$B),4)):D2762,"N"),IF(D2762="N1",COUNTIF($D$9:D2762,"N1"),""))</f>
        <v/>
      </c>
      <c r="J2762" s="96" t="str">
        <f>IF(D2762="","",COUNTA(D2760:D2762)-(COUNTA(D2762:D2762)-1))</f>
        <v/>
      </c>
    </row>
    <row r="2763" spans="1:10" thickBot="1">
      <c r="A2763" s="117"/>
      <c r="B2763" s="70">
        <f t="shared" si="177"/>
        <v>46555</v>
      </c>
      <c r="C2763" s="82" t="str">
        <f t="shared" si="174"/>
        <v>jeudi</v>
      </c>
      <c r="D2763" s="87"/>
      <c r="E2763" s="115" t="str">
        <f t="shared" si="175"/>
        <v/>
      </c>
      <c r="F2763" s="115" t="str">
        <f t="shared" si="176"/>
        <v/>
      </c>
      <c r="G2763" s="116" t="str">
        <f>IF(ISNONTEXT(D2763),"",E2763-MAX($F$2:F2762))</f>
        <v/>
      </c>
      <c r="H2763" s="97"/>
      <c r="I2763" s="74" t="str">
        <f ca="1">IF(D2763="N",COUNTIF(INDIRECT(ADDRESS(MATCH(Plages!$D$19,'Planning annuel mixing coater'!$B:$B),4)):D2763,"N"),IF(D2763="N1",COUNTIF($D$9:D2763,"N1"),""))</f>
        <v/>
      </c>
      <c r="J2763" s="96" t="str">
        <f>IF(D2763="","",COUNTA(D2760:D2763)-(COUNTA(D2763:D2763)-1))</f>
        <v/>
      </c>
    </row>
    <row r="2764" spans="1:10" thickBot="1">
      <c r="A2764" s="117"/>
      <c r="B2764" s="70">
        <f t="shared" si="177"/>
        <v>46556</v>
      </c>
      <c r="C2764" s="82" t="str">
        <f t="shared" si="174"/>
        <v>vendredi</v>
      </c>
      <c r="D2764" s="87"/>
      <c r="E2764" s="115" t="str">
        <f t="shared" si="175"/>
        <v/>
      </c>
      <c r="F2764" s="115" t="str">
        <f t="shared" si="176"/>
        <v/>
      </c>
      <c r="G2764" s="116" t="str">
        <f>IF(ISNONTEXT(D2764),"",E2764-MAX($F$2:F2763))</f>
        <v/>
      </c>
      <c r="H2764" s="97"/>
      <c r="I2764" s="74" t="str">
        <f ca="1">IF(D2764="N",COUNTIF(INDIRECT(ADDRESS(MATCH(Plages!$D$19,'Planning annuel mixing coater'!$B:$B),4)):D2764,"N"),IF(D2764="N1",COUNTIF($D$9:D2764,"N1"),""))</f>
        <v/>
      </c>
      <c r="J2764" s="96" t="str">
        <f>IF(D2764="","",COUNTA(D2760:D2764)-(COUNTA(D2764:D2764)-1))</f>
        <v/>
      </c>
    </row>
    <row r="2765" spans="1:10" thickBot="1">
      <c r="A2765" s="117"/>
      <c r="B2765" s="70">
        <f t="shared" si="177"/>
        <v>46557</v>
      </c>
      <c r="C2765" s="82" t="str">
        <f t="shared" si="174"/>
        <v>samedi</v>
      </c>
      <c r="D2765" s="87"/>
      <c r="E2765" s="115" t="str">
        <f t="shared" si="175"/>
        <v/>
      </c>
      <c r="F2765" s="115" t="str">
        <f t="shared" si="176"/>
        <v/>
      </c>
      <c r="G2765" s="116" t="str">
        <f>IF(ISNONTEXT(D2765),"",E2765-MAX($F$2:F2764))</f>
        <v/>
      </c>
      <c r="H2765" s="97"/>
      <c r="I2765" s="74" t="str">
        <f ca="1">IF(D2765="N",COUNTIF(INDIRECT(ADDRESS(MATCH(Plages!$D$19,'Planning annuel mixing coater'!$B:$B),4)):D2765,"N"),IF(D2765="N1",COUNTIF($D$9:D2765,"N1"),""))</f>
        <v/>
      </c>
      <c r="J2765" s="96" t="str">
        <f>IF(D2765="","",COUNTA(D2760:D2765)-(COUNTA(D2765:D2765)-1))</f>
        <v/>
      </c>
    </row>
    <row r="2766" spans="1:10" thickBot="1">
      <c r="A2766" s="117"/>
      <c r="B2766" s="70">
        <f t="shared" si="177"/>
        <v>46558</v>
      </c>
      <c r="C2766" s="82" t="str">
        <f t="shared" si="174"/>
        <v>dimanche</v>
      </c>
      <c r="D2766" s="87"/>
      <c r="E2766" s="115" t="str">
        <f t="shared" si="175"/>
        <v/>
      </c>
      <c r="F2766" s="115" t="str">
        <f t="shared" si="176"/>
        <v/>
      </c>
      <c r="G2766" s="116" t="str">
        <f>IF(ISNONTEXT(D2766),"",E2766-MAX($F$2:F2765))</f>
        <v/>
      </c>
      <c r="H2766" s="98"/>
      <c r="I2766" s="74" t="str">
        <f ca="1">IF(D2766="N",COUNTIF(INDIRECT(ADDRESS(MATCH(Plages!$D$19,'Planning annuel mixing coater'!$B:$B),4)):D2766,"N"),IF(D2766="N1",COUNTIF($D$9:D2766,"N1"),""))</f>
        <v/>
      </c>
      <c r="J2766" s="96" t="str">
        <f>IF(D2766="","",COUNTA(D2760:D2766)-(COUNTA(D2766:D2766)-1))</f>
        <v/>
      </c>
    </row>
    <row r="2767" spans="1:10" thickBot="1">
      <c r="A2767" s="117"/>
      <c r="B2767" s="70">
        <f t="shared" si="177"/>
        <v>46559</v>
      </c>
      <c r="C2767" s="82" t="str">
        <f t="shared" si="174"/>
        <v>lundi</v>
      </c>
      <c r="D2767" s="87"/>
      <c r="E2767" s="115" t="str">
        <f t="shared" si="175"/>
        <v/>
      </c>
      <c r="F2767" s="115" t="str">
        <f t="shared" si="176"/>
        <v/>
      </c>
      <c r="G2767" s="116" t="str">
        <f>IF(ISNONTEXT(D2767),"",E2767-MAX($F$2:F2766))</f>
        <v/>
      </c>
      <c r="H2767" s="97"/>
      <c r="I2767" s="74" t="str">
        <f ca="1">IF(D2767="N",COUNTIF(INDIRECT(ADDRESS(MATCH(Plages!$D$19,'Planning annuel mixing coater'!$B:$B),4)):D2767,"N"),IF(D2767="N1",COUNTIF($D$9:D2767,"N1"),""))</f>
        <v/>
      </c>
      <c r="J2767" s="96" t="str">
        <f>IF(D2767="","",COUNTA(D2760:D2767)-(COUNTA(D2767:D2767)-1))</f>
        <v/>
      </c>
    </row>
    <row r="2768" spans="1:10" thickBot="1">
      <c r="A2768" s="117"/>
      <c r="B2768" s="70">
        <f t="shared" si="177"/>
        <v>46560</v>
      </c>
      <c r="C2768" s="82" t="str">
        <f t="shared" si="174"/>
        <v>mardi</v>
      </c>
      <c r="D2768" s="87"/>
      <c r="E2768" s="115" t="str">
        <f t="shared" si="175"/>
        <v/>
      </c>
      <c r="F2768" s="115" t="str">
        <f t="shared" si="176"/>
        <v/>
      </c>
      <c r="G2768" s="116" t="str">
        <f>IF(ISNONTEXT(D2768),"",E2768-MAX($F$2:F2767))</f>
        <v/>
      </c>
      <c r="H2768" s="97"/>
      <c r="I2768" s="74" t="str">
        <f ca="1">IF(D2768="N",COUNTIF(INDIRECT(ADDRESS(MATCH(Plages!$D$19,'Planning annuel mixing coater'!$B:$B),4)):D2768,"N"),IF(D2768="N1",COUNTIF($D$9:D2768,"N1"),""))</f>
        <v/>
      </c>
      <c r="J2768" s="96" t="str">
        <f>IF(D2768="","",COUNTA(D2760:D2768)-(COUNTA(D2768:D2768)-1))</f>
        <v/>
      </c>
    </row>
    <row r="2769" spans="1:10" thickBot="1">
      <c r="A2769" s="117"/>
      <c r="B2769" s="70">
        <f t="shared" si="177"/>
        <v>46561</v>
      </c>
      <c r="C2769" s="82" t="str">
        <f t="shared" si="174"/>
        <v>mercredi</v>
      </c>
      <c r="D2769" s="87"/>
      <c r="E2769" s="115" t="str">
        <f t="shared" si="175"/>
        <v/>
      </c>
      <c r="F2769" s="115" t="str">
        <f t="shared" si="176"/>
        <v/>
      </c>
      <c r="G2769" s="116" t="str">
        <f>IF(ISNONTEXT(D2769),"",E2769-MAX($F$2:F2768))</f>
        <v/>
      </c>
      <c r="H2769" s="97"/>
      <c r="I2769" s="74" t="str">
        <f ca="1">IF(D2769="N",COUNTIF(INDIRECT(ADDRESS(MATCH(Plages!$D$19,'Planning annuel mixing coater'!$B:$B),4)):D2769,"N"),IF(D2769="N1",COUNTIF($D$9:D2769,"N1"),""))</f>
        <v/>
      </c>
      <c r="J2769" s="96" t="str">
        <f>IF(D2769="","",COUNTA(D2760:D2769)-(COUNTA(D2769:D2769)-1))</f>
        <v/>
      </c>
    </row>
    <row r="2770" spans="1:10" thickBot="1">
      <c r="A2770" s="117"/>
      <c r="B2770" s="70">
        <f t="shared" si="177"/>
        <v>46562</v>
      </c>
      <c r="C2770" s="82" t="str">
        <f t="shared" si="174"/>
        <v>jeudi</v>
      </c>
      <c r="D2770" s="87"/>
      <c r="E2770" s="115" t="str">
        <f t="shared" si="175"/>
        <v/>
      </c>
      <c r="F2770" s="115" t="str">
        <f t="shared" si="176"/>
        <v/>
      </c>
      <c r="G2770" s="116" t="str">
        <f>IF(ISNONTEXT(D2770),"",E2770-MAX($F$2:F2769))</f>
        <v/>
      </c>
      <c r="H2770" s="97"/>
      <c r="I2770" s="74" t="str">
        <f ca="1">IF(D2770="N",COUNTIF(INDIRECT(ADDRESS(MATCH(Plages!$D$19,'Planning annuel mixing coater'!$B:$B),4)):D2770,"N"),IF(D2770="N1",COUNTIF($D$9:D2770,"N1"),""))</f>
        <v/>
      </c>
      <c r="J2770" s="96" t="str">
        <f>IF(D2770="","",COUNTA(D2760:D2770)-(COUNTA(D2770:D2770)-1))</f>
        <v/>
      </c>
    </row>
    <row r="2771" spans="1:10" thickBot="1">
      <c r="A2771" s="117"/>
      <c r="B2771" s="70">
        <f t="shared" si="177"/>
        <v>46563</v>
      </c>
      <c r="C2771" s="82" t="str">
        <f t="shared" si="174"/>
        <v>vendredi</v>
      </c>
      <c r="D2771" s="87"/>
      <c r="E2771" s="115" t="str">
        <f t="shared" si="175"/>
        <v/>
      </c>
      <c r="F2771" s="115" t="str">
        <f t="shared" si="176"/>
        <v/>
      </c>
      <c r="G2771" s="116" t="str">
        <f>IF(ISNONTEXT(D2771),"",E2771-MAX($F$2:F2770))</f>
        <v/>
      </c>
      <c r="H2771" s="97"/>
      <c r="I2771" s="74" t="str">
        <f ca="1">IF(D2771="N",COUNTIF(INDIRECT(ADDRESS(MATCH(Plages!$D$19,'Planning annuel mixing coater'!$B:$B),4)):D2771,"N"),IF(D2771="N1",COUNTIF($D$9:D2771,"N1"),""))</f>
        <v/>
      </c>
      <c r="J2771" s="96" t="str">
        <f>IF(D2771="","",COUNTA(D2760:D2771)-(COUNTA(D2771:D2771)-1))</f>
        <v/>
      </c>
    </row>
    <row r="2772" spans="1:10" thickBot="1">
      <c r="A2772" s="117"/>
      <c r="B2772" s="70">
        <f t="shared" si="177"/>
        <v>46564</v>
      </c>
      <c r="C2772" s="82" t="str">
        <f t="shared" si="174"/>
        <v>samedi</v>
      </c>
      <c r="D2772" s="87"/>
      <c r="E2772" s="115" t="str">
        <f t="shared" si="175"/>
        <v/>
      </c>
      <c r="F2772" s="115" t="str">
        <f t="shared" si="176"/>
        <v/>
      </c>
      <c r="G2772" s="116" t="str">
        <f>IF(ISNONTEXT(D2772),"",E2772-MAX($F$2:F2771))</f>
        <v/>
      </c>
      <c r="H2772" s="97"/>
      <c r="I2772" s="74" t="str">
        <f ca="1">IF(D2772="N",COUNTIF(INDIRECT(ADDRESS(MATCH(Plages!$D$19,'Planning annuel mixing coater'!$B:$B),4)):D2772,"N"),IF(D2772="N1",COUNTIF($D$9:D2772,"N1"),""))</f>
        <v/>
      </c>
      <c r="J2772" s="96" t="str">
        <f>IF(D2772="","",COUNTA(D2760:D2772)-(COUNTA(D2772:D2772)-1))</f>
        <v/>
      </c>
    </row>
    <row r="2773" spans="1:10" s="77" customFormat="1" thickBot="1">
      <c r="A2773" s="117"/>
      <c r="B2773" s="75">
        <f t="shared" si="177"/>
        <v>46565</v>
      </c>
      <c r="C2773" s="83" t="str">
        <f t="shared" si="174"/>
        <v>dimanche</v>
      </c>
      <c r="D2773" s="88"/>
      <c r="E2773" s="115" t="str">
        <f t="shared" si="175"/>
        <v/>
      </c>
      <c r="F2773" s="115" t="str">
        <f t="shared" si="176"/>
        <v/>
      </c>
      <c r="G2773" s="116" t="str">
        <f>IF(ISNONTEXT(D2773),"",E2773-MAX($F$2:F2772))</f>
        <v/>
      </c>
      <c r="H2773" s="98"/>
      <c r="I2773" s="76" t="str">
        <f ca="1">IF(D2773="N",COUNTIF(INDIRECT(ADDRESS(MATCH(Plages!$D$19,'Planning annuel mixing coater'!$B:$B),4)):D2773,"N"),IF(D2773="N1",COUNTIF($D$9:D2773,"N1"),""))</f>
        <v/>
      </c>
      <c r="J2773" s="99" t="str">
        <f>IF(D2773="","",COUNTA(D2760:D2773)-(COUNTA(D2773:D2773)-1))</f>
        <v/>
      </c>
    </row>
    <row r="2774" spans="1:10" ht="16.5" thickTop="1" thickBot="1">
      <c r="A2774" s="117"/>
      <c r="B2774" s="78">
        <f t="shared" si="177"/>
        <v>46566</v>
      </c>
      <c r="C2774" s="81" t="str">
        <f t="shared" si="174"/>
        <v>lundi</v>
      </c>
      <c r="D2774" s="89"/>
      <c r="E2774" s="115" t="str">
        <f t="shared" si="175"/>
        <v/>
      </c>
      <c r="F2774" s="115" t="str">
        <f t="shared" si="176"/>
        <v/>
      </c>
      <c r="G2774" s="116" t="str">
        <f>IF(ISNONTEXT(D2774),"",E2774-MAX($F$2:F2773))</f>
        <v/>
      </c>
      <c r="H2774" s="100"/>
      <c r="I2774" s="79" t="str">
        <f ca="1">IF(D2774="N",COUNTIF(INDIRECT(ADDRESS(MATCH(Plages!$D$19,'Planning annuel mixing coater'!$B:$B),4)):D2774,"N"),IF(D2774="N1",COUNTIF($D$9:D2774,"N1"),""))</f>
        <v/>
      </c>
      <c r="J2774" s="101" t="str">
        <f>IF(D2774="","",COUNTA(D2774:D2774)-(COUNTA(D2774:D2774)-1))</f>
        <v/>
      </c>
    </row>
    <row r="2775" spans="1:10" thickBot="1">
      <c r="A2775" s="117"/>
      <c r="B2775" s="70">
        <f t="shared" si="177"/>
        <v>46567</v>
      </c>
      <c r="C2775" s="82" t="str">
        <f t="shared" si="174"/>
        <v>mardi</v>
      </c>
      <c r="D2775" s="87"/>
      <c r="E2775" s="115" t="str">
        <f t="shared" si="175"/>
        <v/>
      </c>
      <c r="F2775" s="115" t="str">
        <f t="shared" si="176"/>
        <v/>
      </c>
      <c r="G2775" s="116" t="str">
        <f>IF(ISNONTEXT(D2775),"",E2775-MAX($F$2:F2774))</f>
        <v/>
      </c>
      <c r="H2775" s="97"/>
      <c r="I2775" s="74" t="str">
        <f ca="1">IF(D2775="N",COUNTIF(INDIRECT(ADDRESS(MATCH(Plages!$D$19,'Planning annuel mixing coater'!$B:$B),4)):D2775,"N"),IF(D2775="N1",COUNTIF($D$9:D2775,"N1"),""))</f>
        <v/>
      </c>
      <c r="J2775" s="96" t="str">
        <f>IF(D2775="","",COUNTA(D2774:D2775)-(COUNTA(D2775:D2775)-1))</f>
        <v/>
      </c>
    </row>
    <row r="2776" spans="1:10" thickBot="1">
      <c r="A2776" s="117"/>
      <c r="B2776" s="70">
        <f t="shared" si="177"/>
        <v>46568</v>
      </c>
      <c r="C2776" s="82" t="str">
        <f t="shared" si="174"/>
        <v>mercredi</v>
      </c>
      <c r="D2776" s="87"/>
      <c r="E2776" s="115" t="str">
        <f t="shared" si="175"/>
        <v/>
      </c>
      <c r="F2776" s="115" t="str">
        <f t="shared" si="176"/>
        <v/>
      </c>
      <c r="G2776" s="116" t="str">
        <f>IF(ISNONTEXT(D2776),"",E2776-MAX($F$2:F2775))</f>
        <v/>
      </c>
      <c r="H2776" s="97"/>
      <c r="I2776" s="74" t="str">
        <f ca="1">IF(D2776="N",COUNTIF(INDIRECT(ADDRESS(MATCH(Plages!$D$19,'Planning annuel mixing coater'!$B:$B),4)):D2776,"N"),IF(D2776="N1",COUNTIF($D$9:D2776,"N1"),""))</f>
        <v/>
      </c>
      <c r="J2776" s="96" t="str">
        <f>IF(D2776="","",COUNTA(D2774:D2776)-(COUNTA(D2776:D2776)-1))</f>
        <v/>
      </c>
    </row>
    <row r="2777" spans="1:10" thickBot="1">
      <c r="A2777" s="117"/>
      <c r="B2777" s="70">
        <f t="shared" si="177"/>
        <v>46569</v>
      </c>
      <c r="C2777" s="82" t="str">
        <f t="shared" si="174"/>
        <v>jeudi</v>
      </c>
      <c r="D2777" s="87"/>
      <c r="E2777" s="115" t="str">
        <f t="shared" si="175"/>
        <v/>
      </c>
      <c r="F2777" s="115" t="str">
        <f t="shared" si="176"/>
        <v/>
      </c>
      <c r="G2777" s="116" t="str">
        <f>IF(ISNONTEXT(D2777),"",E2777-MAX($F$2:F2776))</f>
        <v/>
      </c>
      <c r="H2777" s="97"/>
      <c r="I2777" s="74" t="str">
        <f ca="1">IF(D2777="N",COUNTIF(INDIRECT(ADDRESS(MATCH(Plages!$D$19,'Planning annuel mixing coater'!$B:$B),4)):D2777,"N"),IF(D2777="N1",COUNTIF($D$9:D2777,"N1"),""))</f>
        <v/>
      </c>
      <c r="J2777" s="96" t="str">
        <f>IF(D2777="","",COUNTA(D2774:D2777)-(COUNTA(D2777:D2777)-1))</f>
        <v/>
      </c>
    </row>
    <row r="2778" spans="1:10" thickBot="1">
      <c r="A2778" s="117"/>
      <c r="B2778" s="70">
        <f t="shared" si="177"/>
        <v>46570</v>
      </c>
      <c r="C2778" s="82" t="str">
        <f t="shared" si="174"/>
        <v>vendredi</v>
      </c>
      <c r="D2778" s="87"/>
      <c r="E2778" s="115" t="str">
        <f t="shared" si="175"/>
        <v/>
      </c>
      <c r="F2778" s="115" t="str">
        <f t="shared" si="176"/>
        <v/>
      </c>
      <c r="G2778" s="116" t="str">
        <f>IF(ISNONTEXT(D2778),"",E2778-MAX($F$2:F2777))</f>
        <v/>
      </c>
      <c r="H2778" s="97"/>
      <c r="I2778" s="74" t="str">
        <f ca="1">IF(D2778="N",COUNTIF(INDIRECT(ADDRESS(MATCH(Plages!$D$19,'Planning annuel mixing coater'!$B:$B),4)):D2778,"N"),IF(D2778="N1",COUNTIF($D$9:D2778,"N1"),""))</f>
        <v/>
      </c>
      <c r="J2778" s="96" t="str">
        <f>IF(D2778="","",COUNTA(D2774:D2778)-(COUNTA(D2778:D2778)-1))</f>
        <v/>
      </c>
    </row>
    <row r="2779" spans="1:10" thickBot="1">
      <c r="A2779" s="117"/>
      <c r="B2779" s="70">
        <f t="shared" si="177"/>
        <v>46571</v>
      </c>
      <c r="C2779" s="82" t="str">
        <f t="shared" si="174"/>
        <v>samedi</v>
      </c>
      <c r="D2779" s="87"/>
      <c r="E2779" s="115" t="str">
        <f t="shared" si="175"/>
        <v/>
      </c>
      <c r="F2779" s="115" t="str">
        <f t="shared" si="176"/>
        <v/>
      </c>
      <c r="G2779" s="116" t="str">
        <f>IF(ISNONTEXT(D2779),"",E2779-MAX($F$2:F2778))</f>
        <v/>
      </c>
      <c r="H2779" s="97"/>
      <c r="I2779" s="74" t="str">
        <f ca="1">IF(D2779="N",COUNTIF(INDIRECT(ADDRESS(MATCH(Plages!$D$19,'Planning annuel mixing coater'!$B:$B),4)):D2779,"N"),IF(D2779="N1",COUNTIF($D$9:D2779,"N1"),""))</f>
        <v/>
      </c>
      <c r="J2779" s="96" t="str">
        <f>IF(D2779="","",COUNTA(D2774:D2779)-(COUNTA(D2779:D2779)-1))</f>
        <v/>
      </c>
    </row>
    <row r="2780" spans="1:10" thickBot="1">
      <c r="A2780" s="117"/>
      <c r="B2780" s="70">
        <f t="shared" si="177"/>
        <v>46572</v>
      </c>
      <c r="C2780" s="82" t="str">
        <f t="shared" si="174"/>
        <v>dimanche</v>
      </c>
      <c r="D2780" s="87"/>
      <c r="E2780" s="115" t="str">
        <f t="shared" si="175"/>
        <v/>
      </c>
      <c r="F2780" s="115" t="str">
        <f t="shared" si="176"/>
        <v/>
      </c>
      <c r="G2780" s="116" t="str">
        <f>IF(ISNONTEXT(D2780),"",E2780-MAX($F$2:F2779))</f>
        <v/>
      </c>
      <c r="H2780" s="98"/>
      <c r="I2780" s="74" t="str">
        <f ca="1">IF(D2780="N",COUNTIF(INDIRECT(ADDRESS(MATCH(Plages!$D$19,'Planning annuel mixing coater'!$B:$B),4)):D2780,"N"),IF(D2780="N1",COUNTIF($D$9:D2780,"N1"),""))</f>
        <v/>
      </c>
      <c r="J2780" s="96" t="str">
        <f>IF(D2780="","",COUNTA(D2774:D2780)-(COUNTA(D2780:D2780)-1))</f>
        <v/>
      </c>
    </row>
    <row r="2781" spans="1:10" thickBot="1">
      <c r="A2781" s="117"/>
      <c r="B2781" s="70">
        <f t="shared" si="177"/>
        <v>46573</v>
      </c>
      <c r="C2781" s="82" t="str">
        <f t="shared" si="174"/>
        <v>lundi</v>
      </c>
      <c r="D2781" s="87"/>
      <c r="E2781" s="115" t="str">
        <f t="shared" si="175"/>
        <v/>
      </c>
      <c r="F2781" s="115" t="str">
        <f t="shared" si="176"/>
        <v/>
      </c>
      <c r="G2781" s="116" t="str">
        <f>IF(ISNONTEXT(D2781),"",E2781-MAX($F$2:F2780))</f>
        <v/>
      </c>
      <c r="H2781" s="97"/>
      <c r="I2781" s="74" t="str">
        <f ca="1">IF(D2781="N",COUNTIF(INDIRECT(ADDRESS(MATCH(Plages!$D$19,'Planning annuel mixing coater'!$B:$B),4)):D2781,"N"),IF(D2781="N1",COUNTIF($D$9:D2781,"N1"),""))</f>
        <v/>
      </c>
      <c r="J2781" s="96" t="str">
        <f>IF(D2781="","",COUNTA(D2774:D2781)-(COUNTA(D2781:D2781)-1))</f>
        <v/>
      </c>
    </row>
    <row r="2782" spans="1:10" thickBot="1">
      <c r="A2782" s="117"/>
      <c r="B2782" s="70">
        <f t="shared" si="177"/>
        <v>46574</v>
      </c>
      <c r="C2782" s="82" t="str">
        <f t="shared" ref="C2782:C2845" si="178">IF(B2782="","",TEXT(B2782,"jjjj"))</f>
        <v>mardi</v>
      </c>
      <c r="D2782" s="87"/>
      <c r="E2782" s="115" t="str">
        <f t="shared" ref="E2782:E2845" si="179">IF(D2782="","",B2782+VLOOKUP(D2782,Plageh,2,0))</f>
        <v/>
      </c>
      <c r="F2782" s="115" t="str">
        <f t="shared" ref="F2782:F2845" si="180">IF(D2782="","",B2782+VLOOKUP(D2782,Plageh,3,0))</f>
        <v/>
      </c>
      <c r="G2782" s="116" t="str">
        <f>IF(ISNONTEXT(D2782),"",E2782-MAX($F$2:F2781))</f>
        <v/>
      </c>
      <c r="H2782" s="97"/>
      <c r="I2782" s="74" t="str">
        <f ca="1">IF(D2782="N",COUNTIF(INDIRECT(ADDRESS(MATCH(Plages!$D$19,'Planning annuel mixing coater'!$B:$B),4)):D2782,"N"),IF(D2782="N1",COUNTIF($D$9:D2782,"N1"),""))</f>
        <v/>
      </c>
      <c r="J2782" s="96" t="str">
        <f>IF(D2782="","",COUNTA(D2774:D2782)-(COUNTA(D2782:D2782)-1))</f>
        <v/>
      </c>
    </row>
    <row r="2783" spans="1:10" thickBot="1">
      <c r="A2783" s="117"/>
      <c r="B2783" s="70">
        <f t="shared" si="177"/>
        <v>46575</v>
      </c>
      <c r="C2783" s="82" t="str">
        <f t="shared" si="178"/>
        <v>mercredi</v>
      </c>
      <c r="D2783" s="87"/>
      <c r="E2783" s="115" t="str">
        <f t="shared" si="179"/>
        <v/>
      </c>
      <c r="F2783" s="115" t="str">
        <f t="shared" si="180"/>
        <v/>
      </c>
      <c r="G2783" s="116" t="str">
        <f>IF(ISNONTEXT(D2783),"",E2783-MAX($F$2:F2782))</f>
        <v/>
      </c>
      <c r="H2783" s="97"/>
      <c r="I2783" s="74" t="str">
        <f ca="1">IF(D2783="N",COUNTIF(INDIRECT(ADDRESS(MATCH(Plages!$D$19,'Planning annuel mixing coater'!$B:$B),4)):D2783,"N"),IF(D2783="N1",COUNTIF($D$9:D2783,"N1"),""))</f>
        <v/>
      </c>
      <c r="J2783" s="96" t="str">
        <f>IF(D2783="","",COUNTA(D2774:D2783)-(COUNTA(D2783:D2783)-1))</f>
        <v/>
      </c>
    </row>
    <row r="2784" spans="1:10" thickBot="1">
      <c r="A2784" s="117"/>
      <c r="B2784" s="70">
        <f t="shared" si="177"/>
        <v>46576</v>
      </c>
      <c r="C2784" s="82" t="str">
        <f t="shared" si="178"/>
        <v>jeudi</v>
      </c>
      <c r="D2784" s="87"/>
      <c r="E2784" s="115" t="str">
        <f t="shared" si="179"/>
        <v/>
      </c>
      <c r="F2784" s="115" t="str">
        <f t="shared" si="180"/>
        <v/>
      </c>
      <c r="G2784" s="116" t="str">
        <f>IF(ISNONTEXT(D2784),"",E2784-MAX($F$2:F2783))</f>
        <v/>
      </c>
      <c r="H2784" s="97"/>
      <c r="I2784" s="74" t="str">
        <f ca="1">IF(D2784="N",COUNTIF(INDIRECT(ADDRESS(MATCH(Plages!$D$19,'Planning annuel mixing coater'!$B:$B),4)):D2784,"N"),IF(D2784="N1",COUNTIF($D$9:D2784,"N1"),""))</f>
        <v/>
      </c>
      <c r="J2784" s="96" t="str">
        <f>IF(D2784="","",COUNTA(D2774:D2784)-(COUNTA(D2784:D2784)-1))</f>
        <v/>
      </c>
    </row>
    <row r="2785" spans="1:10" thickBot="1">
      <c r="A2785" s="117"/>
      <c r="B2785" s="70">
        <f t="shared" si="177"/>
        <v>46577</v>
      </c>
      <c r="C2785" s="82" t="str">
        <f t="shared" si="178"/>
        <v>vendredi</v>
      </c>
      <c r="D2785" s="87"/>
      <c r="E2785" s="115" t="str">
        <f t="shared" si="179"/>
        <v/>
      </c>
      <c r="F2785" s="115" t="str">
        <f t="shared" si="180"/>
        <v/>
      </c>
      <c r="G2785" s="116" t="str">
        <f>IF(ISNONTEXT(D2785),"",E2785-MAX($F$2:F2784))</f>
        <v/>
      </c>
      <c r="H2785" s="97"/>
      <c r="I2785" s="74" t="str">
        <f ca="1">IF(D2785="N",COUNTIF(INDIRECT(ADDRESS(MATCH(Plages!$D$19,'Planning annuel mixing coater'!$B:$B),4)):D2785,"N"),IF(D2785="N1",COUNTIF($D$9:D2785,"N1"),""))</f>
        <v/>
      </c>
      <c r="J2785" s="96" t="str">
        <f>IF(D2785="","",COUNTA(D2774:D2785)-(COUNTA(D2785:D2785)-1))</f>
        <v/>
      </c>
    </row>
    <row r="2786" spans="1:10" thickBot="1">
      <c r="A2786" s="117"/>
      <c r="B2786" s="70">
        <f t="shared" si="177"/>
        <v>46578</v>
      </c>
      <c r="C2786" s="82" t="str">
        <f t="shared" si="178"/>
        <v>samedi</v>
      </c>
      <c r="D2786" s="87"/>
      <c r="E2786" s="115" t="str">
        <f t="shared" si="179"/>
        <v/>
      </c>
      <c r="F2786" s="115" t="str">
        <f t="shared" si="180"/>
        <v/>
      </c>
      <c r="G2786" s="116" t="str">
        <f>IF(ISNONTEXT(D2786),"",E2786-MAX($F$2:F2785))</f>
        <v/>
      </c>
      <c r="H2786" s="97"/>
      <c r="I2786" s="74" t="str">
        <f ca="1">IF(D2786="N",COUNTIF(INDIRECT(ADDRESS(MATCH(Plages!$D$19,'Planning annuel mixing coater'!$B:$B),4)):D2786,"N"),IF(D2786="N1",COUNTIF($D$9:D2786,"N1"),""))</f>
        <v/>
      </c>
      <c r="J2786" s="96" t="str">
        <f>IF(D2786="","",COUNTA(D2774:D2786)-(COUNTA(D2786:D2786)-1))</f>
        <v/>
      </c>
    </row>
    <row r="2787" spans="1:10" s="77" customFormat="1" thickBot="1">
      <c r="A2787" s="117"/>
      <c r="B2787" s="75">
        <f t="shared" si="177"/>
        <v>46579</v>
      </c>
      <c r="C2787" s="83" t="str">
        <f t="shared" si="178"/>
        <v>dimanche</v>
      </c>
      <c r="D2787" s="88"/>
      <c r="E2787" s="115" t="str">
        <f t="shared" si="179"/>
        <v/>
      </c>
      <c r="F2787" s="115" t="str">
        <f t="shared" si="180"/>
        <v/>
      </c>
      <c r="G2787" s="116" t="str">
        <f>IF(ISNONTEXT(D2787),"",E2787-MAX($F$2:F2786))</f>
        <v/>
      </c>
      <c r="H2787" s="98"/>
      <c r="I2787" s="76" t="str">
        <f ca="1">IF(D2787="N",COUNTIF(INDIRECT(ADDRESS(MATCH(Plages!$D$19,'Planning annuel mixing coater'!$B:$B),4)):D2787,"N"),IF(D2787="N1",COUNTIF($D$9:D2787,"N1"),""))</f>
        <v/>
      </c>
      <c r="J2787" s="99" t="str">
        <f>IF(D2787="","",COUNTA(D2774:D2787)-(COUNTA(D2787:D2787)-1))</f>
        <v/>
      </c>
    </row>
    <row r="2788" spans="1:10" ht="16.5" thickTop="1" thickBot="1">
      <c r="A2788" s="117"/>
      <c r="B2788" s="78">
        <f t="shared" si="177"/>
        <v>46580</v>
      </c>
      <c r="C2788" s="81" t="str">
        <f t="shared" si="178"/>
        <v>lundi</v>
      </c>
      <c r="D2788" s="89"/>
      <c r="E2788" s="115" t="str">
        <f t="shared" si="179"/>
        <v/>
      </c>
      <c r="F2788" s="115" t="str">
        <f t="shared" si="180"/>
        <v/>
      </c>
      <c r="G2788" s="116" t="str">
        <f>IF(ISNONTEXT(D2788),"",E2788-MAX($F$2:F2787))</f>
        <v/>
      </c>
      <c r="H2788" s="100"/>
      <c r="I2788" s="79" t="str">
        <f ca="1">IF(D2788="N",COUNTIF(INDIRECT(ADDRESS(MATCH(Plages!$D$19,'Planning annuel mixing coater'!$B:$B),4)):D2788,"N"),IF(D2788="N1",COUNTIF($D$9:D2788,"N1"),""))</f>
        <v/>
      </c>
      <c r="J2788" s="101" t="str">
        <f>IF(D2788="","",COUNTA(D2788:D2788)-(COUNTA(D2788:D2788)-1))</f>
        <v/>
      </c>
    </row>
    <row r="2789" spans="1:10" thickBot="1">
      <c r="A2789" s="117"/>
      <c r="B2789" s="70">
        <f t="shared" si="177"/>
        <v>46581</v>
      </c>
      <c r="C2789" s="82" t="str">
        <f t="shared" si="178"/>
        <v>mardi</v>
      </c>
      <c r="D2789" s="87"/>
      <c r="E2789" s="115" t="str">
        <f t="shared" si="179"/>
        <v/>
      </c>
      <c r="F2789" s="115" t="str">
        <f t="shared" si="180"/>
        <v/>
      </c>
      <c r="G2789" s="116" t="str">
        <f>IF(ISNONTEXT(D2789),"",E2789-MAX($F$2:F2788))</f>
        <v/>
      </c>
      <c r="H2789" s="97"/>
      <c r="I2789" s="74" t="str">
        <f ca="1">IF(D2789="N",COUNTIF(INDIRECT(ADDRESS(MATCH(Plages!$D$19,'Planning annuel mixing coater'!$B:$B),4)):D2789,"N"),IF(D2789="N1",COUNTIF($D$9:D2789,"N1"),""))</f>
        <v/>
      </c>
      <c r="J2789" s="96" t="str">
        <f>IF(D2789="","",COUNTA(D2788:D2789)-(COUNTA(D2789:D2789)-1))</f>
        <v/>
      </c>
    </row>
    <row r="2790" spans="1:10" thickBot="1">
      <c r="A2790" s="117"/>
      <c r="B2790" s="70">
        <f t="shared" si="177"/>
        <v>46582</v>
      </c>
      <c r="C2790" s="82" t="str">
        <f t="shared" si="178"/>
        <v>mercredi</v>
      </c>
      <c r="D2790" s="87"/>
      <c r="E2790" s="115" t="str">
        <f t="shared" si="179"/>
        <v/>
      </c>
      <c r="F2790" s="115" t="str">
        <f t="shared" si="180"/>
        <v/>
      </c>
      <c r="G2790" s="116" t="str">
        <f>IF(ISNONTEXT(D2790),"",E2790-MAX($F$2:F2789))</f>
        <v/>
      </c>
      <c r="H2790" s="97"/>
      <c r="I2790" s="74" t="str">
        <f ca="1">IF(D2790="N",COUNTIF(INDIRECT(ADDRESS(MATCH(Plages!$D$19,'Planning annuel mixing coater'!$B:$B),4)):D2790,"N"),IF(D2790="N1",COUNTIF($D$9:D2790,"N1"),""))</f>
        <v/>
      </c>
      <c r="J2790" s="96" t="str">
        <f>IF(D2790="","",COUNTA(D2788:D2790)-(COUNTA(D2790:D2790)-1))</f>
        <v/>
      </c>
    </row>
    <row r="2791" spans="1:10" thickBot="1">
      <c r="A2791" s="117"/>
      <c r="B2791" s="70">
        <f t="shared" si="177"/>
        <v>46583</v>
      </c>
      <c r="C2791" s="82" t="str">
        <f t="shared" si="178"/>
        <v>jeudi</v>
      </c>
      <c r="D2791" s="87"/>
      <c r="E2791" s="115" t="str">
        <f t="shared" si="179"/>
        <v/>
      </c>
      <c r="F2791" s="115" t="str">
        <f t="shared" si="180"/>
        <v/>
      </c>
      <c r="G2791" s="116" t="str">
        <f>IF(ISNONTEXT(D2791),"",E2791-MAX($F$2:F2790))</f>
        <v/>
      </c>
      <c r="H2791" s="97"/>
      <c r="I2791" s="74" t="str">
        <f ca="1">IF(D2791="N",COUNTIF(INDIRECT(ADDRESS(MATCH(Plages!$D$19,'Planning annuel mixing coater'!$B:$B),4)):D2791,"N"),IF(D2791="N1",COUNTIF($D$9:D2791,"N1"),""))</f>
        <v/>
      </c>
      <c r="J2791" s="96" t="str">
        <f>IF(D2791="","",COUNTA(D2788:D2791)-(COUNTA(D2791:D2791)-1))</f>
        <v/>
      </c>
    </row>
    <row r="2792" spans="1:10" thickBot="1">
      <c r="A2792" s="117"/>
      <c r="B2792" s="70">
        <f t="shared" si="177"/>
        <v>46584</v>
      </c>
      <c r="C2792" s="82" t="str">
        <f t="shared" si="178"/>
        <v>vendredi</v>
      </c>
      <c r="D2792" s="87"/>
      <c r="E2792" s="115" t="str">
        <f t="shared" si="179"/>
        <v/>
      </c>
      <c r="F2792" s="115" t="str">
        <f t="shared" si="180"/>
        <v/>
      </c>
      <c r="G2792" s="116" t="str">
        <f>IF(ISNONTEXT(D2792),"",E2792-MAX($F$2:F2791))</f>
        <v/>
      </c>
      <c r="H2792" s="97"/>
      <c r="I2792" s="74" t="str">
        <f ca="1">IF(D2792="N",COUNTIF(INDIRECT(ADDRESS(MATCH(Plages!$D$19,'Planning annuel mixing coater'!$B:$B),4)):D2792,"N"),IF(D2792="N1",COUNTIF($D$9:D2792,"N1"),""))</f>
        <v/>
      </c>
      <c r="J2792" s="96" t="str">
        <f>IF(D2792="","",COUNTA(D2788:D2792)-(COUNTA(D2792:D2792)-1))</f>
        <v/>
      </c>
    </row>
    <row r="2793" spans="1:10" thickBot="1">
      <c r="A2793" s="117"/>
      <c r="B2793" s="70">
        <f t="shared" si="177"/>
        <v>46585</v>
      </c>
      <c r="C2793" s="82" t="str">
        <f t="shared" si="178"/>
        <v>samedi</v>
      </c>
      <c r="D2793" s="87"/>
      <c r="E2793" s="115" t="str">
        <f t="shared" si="179"/>
        <v/>
      </c>
      <c r="F2793" s="115" t="str">
        <f t="shared" si="180"/>
        <v/>
      </c>
      <c r="G2793" s="116" t="str">
        <f>IF(ISNONTEXT(D2793),"",E2793-MAX($F$2:F2792))</f>
        <v/>
      </c>
      <c r="H2793" s="97"/>
      <c r="I2793" s="74" t="str">
        <f ca="1">IF(D2793="N",COUNTIF(INDIRECT(ADDRESS(MATCH(Plages!$D$19,'Planning annuel mixing coater'!$B:$B),4)):D2793,"N"),IF(D2793="N1",COUNTIF($D$9:D2793,"N1"),""))</f>
        <v/>
      </c>
      <c r="J2793" s="96" t="str">
        <f>IF(D2793="","",COUNTA(D2788:D2793)-(COUNTA(D2793:D2793)-1))</f>
        <v/>
      </c>
    </row>
    <row r="2794" spans="1:10" thickBot="1">
      <c r="A2794" s="117"/>
      <c r="B2794" s="70">
        <f t="shared" si="177"/>
        <v>46586</v>
      </c>
      <c r="C2794" s="82" t="str">
        <f t="shared" si="178"/>
        <v>dimanche</v>
      </c>
      <c r="D2794" s="87"/>
      <c r="E2794" s="115" t="str">
        <f t="shared" si="179"/>
        <v/>
      </c>
      <c r="F2794" s="115" t="str">
        <f t="shared" si="180"/>
        <v/>
      </c>
      <c r="G2794" s="116" t="str">
        <f>IF(ISNONTEXT(D2794),"",E2794-MAX($F$2:F2793))</f>
        <v/>
      </c>
      <c r="H2794" s="98"/>
      <c r="I2794" s="74" t="str">
        <f ca="1">IF(D2794="N",COUNTIF(INDIRECT(ADDRESS(MATCH(Plages!$D$19,'Planning annuel mixing coater'!$B:$B),4)):D2794,"N"),IF(D2794="N1",COUNTIF($D$9:D2794,"N1"),""))</f>
        <v/>
      </c>
      <c r="J2794" s="96" t="str">
        <f>IF(D2794="","",COUNTA(D2788:D2794)-(COUNTA(D2794:D2794)-1))</f>
        <v/>
      </c>
    </row>
    <row r="2795" spans="1:10" thickBot="1">
      <c r="A2795" s="117"/>
      <c r="B2795" s="70">
        <f t="shared" si="177"/>
        <v>46587</v>
      </c>
      <c r="C2795" s="82" t="str">
        <f t="shared" si="178"/>
        <v>lundi</v>
      </c>
      <c r="D2795" s="87"/>
      <c r="E2795" s="115" t="str">
        <f t="shared" si="179"/>
        <v/>
      </c>
      <c r="F2795" s="115" t="str">
        <f t="shared" si="180"/>
        <v/>
      </c>
      <c r="G2795" s="116" t="str">
        <f>IF(ISNONTEXT(D2795),"",E2795-MAX($F$2:F2794))</f>
        <v/>
      </c>
      <c r="H2795" s="97"/>
      <c r="I2795" s="74" t="str">
        <f ca="1">IF(D2795="N",COUNTIF(INDIRECT(ADDRESS(MATCH(Plages!$D$19,'Planning annuel mixing coater'!$B:$B),4)):D2795,"N"),IF(D2795="N1",COUNTIF($D$9:D2795,"N1"),""))</f>
        <v/>
      </c>
      <c r="J2795" s="96" t="str">
        <f>IF(D2795="","",COUNTA(D2788:D2795)-(COUNTA(D2795:D2795)-1))</f>
        <v/>
      </c>
    </row>
    <row r="2796" spans="1:10" thickBot="1">
      <c r="A2796" s="117"/>
      <c r="B2796" s="70">
        <f t="shared" si="177"/>
        <v>46588</v>
      </c>
      <c r="C2796" s="82" t="str">
        <f t="shared" si="178"/>
        <v>mardi</v>
      </c>
      <c r="D2796" s="87"/>
      <c r="E2796" s="115" t="str">
        <f t="shared" si="179"/>
        <v/>
      </c>
      <c r="F2796" s="115" t="str">
        <f t="shared" si="180"/>
        <v/>
      </c>
      <c r="G2796" s="116" t="str">
        <f>IF(ISNONTEXT(D2796),"",E2796-MAX($F$2:F2795))</f>
        <v/>
      </c>
      <c r="H2796" s="97"/>
      <c r="I2796" s="74" t="str">
        <f ca="1">IF(D2796="N",COUNTIF(INDIRECT(ADDRESS(MATCH(Plages!$D$19,'Planning annuel mixing coater'!$B:$B),4)):D2796,"N"),IF(D2796="N1",COUNTIF($D$9:D2796,"N1"),""))</f>
        <v/>
      </c>
      <c r="J2796" s="96" t="str">
        <f>IF(D2796="","",COUNTA(D2788:D2796)-(COUNTA(D2796:D2796)-1))</f>
        <v/>
      </c>
    </row>
    <row r="2797" spans="1:10" thickBot="1">
      <c r="A2797" s="117"/>
      <c r="B2797" s="70">
        <f t="shared" si="177"/>
        <v>46589</v>
      </c>
      <c r="C2797" s="82" t="str">
        <f t="shared" si="178"/>
        <v>mercredi</v>
      </c>
      <c r="D2797" s="87"/>
      <c r="E2797" s="115" t="str">
        <f t="shared" si="179"/>
        <v/>
      </c>
      <c r="F2797" s="115" t="str">
        <f t="shared" si="180"/>
        <v/>
      </c>
      <c r="G2797" s="116" t="str">
        <f>IF(ISNONTEXT(D2797),"",E2797-MAX($F$2:F2796))</f>
        <v/>
      </c>
      <c r="H2797" s="97"/>
      <c r="I2797" s="74" t="str">
        <f ca="1">IF(D2797="N",COUNTIF(INDIRECT(ADDRESS(MATCH(Plages!$D$19,'Planning annuel mixing coater'!$B:$B),4)):D2797,"N"),IF(D2797="N1",COUNTIF($D$9:D2797,"N1"),""))</f>
        <v/>
      </c>
      <c r="J2797" s="96" t="str">
        <f>IF(D2797="","",COUNTA(D2788:D2797)-(COUNTA(D2797:D2797)-1))</f>
        <v/>
      </c>
    </row>
    <row r="2798" spans="1:10" thickBot="1">
      <c r="A2798" s="117"/>
      <c r="B2798" s="70">
        <f t="shared" si="177"/>
        <v>46590</v>
      </c>
      <c r="C2798" s="82" t="str">
        <f t="shared" si="178"/>
        <v>jeudi</v>
      </c>
      <c r="D2798" s="87"/>
      <c r="E2798" s="115" t="str">
        <f t="shared" si="179"/>
        <v/>
      </c>
      <c r="F2798" s="115" t="str">
        <f t="shared" si="180"/>
        <v/>
      </c>
      <c r="G2798" s="116" t="str">
        <f>IF(ISNONTEXT(D2798),"",E2798-MAX($F$2:F2797))</f>
        <v/>
      </c>
      <c r="H2798" s="97"/>
      <c r="I2798" s="74" t="str">
        <f ca="1">IF(D2798="N",COUNTIF(INDIRECT(ADDRESS(MATCH(Plages!$D$19,'Planning annuel mixing coater'!$B:$B),4)):D2798,"N"),IF(D2798="N1",COUNTIF($D$9:D2798,"N1"),""))</f>
        <v/>
      </c>
      <c r="J2798" s="96" t="str">
        <f>IF(D2798="","",COUNTA(D2788:D2798)-(COUNTA(D2798:D2798)-1))</f>
        <v/>
      </c>
    </row>
    <row r="2799" spans="1:10" thickBot="1">
      <c r="A2799" s="117"/>
      <c r="B2799" s="70">
        <f t="shared" si="177"/>
        <v>46591</v>
      </c>
      <c r="C2799" s="82" t="str">
        <f t="shared" si="178"/>
        <v>vendredi</v>
      </c>
      <c r="D2799" s="87"/>
      <c r="E2799" s="115" t="str">
        <f t="shared" si="179"/>
        <v/>
      </c>
      <c r="F2799" s="115" t="str">
        <f t="shared" si="180"/>
        <v/>
      </c>
      <c r="G2799" s="116" t="str">
        <f>IF(ISNONTEXT(D2799),"",E2799-MAX($F$2:F2798))</f>
        <v/>
      </c>
      <c r="H2799" s="97"/>
      <c r="I2799" s="74" t="str">
        <f ca="1">IF(D2799="N",COUNTIF(INDIRECT(ADDRESS(MATCH(Plages!$D$19,'Planning annuel mixing coater'!$B:$B),4)):D2799,"N"),IF(D2799="N1",COUNTIF($D$9:D2799,"N1"),""))</f>
        <v/>
      </c>
      <c r="J2799" s="96" t="str">
        <f>IF(D2799="","",COUNTA(D2788:D2799)-(COUNTA(D2799:D2799)-1))</f>
        <v/>
      </c>
    </row>
    <row r="2800" spans="1:10" thickBot="1">
      <c r="A2800" s="117"/>
      <c r="B2800" s="70">
        <f t="shared" si="177"/>
        <v>46592</v>
      </c>
      <c r="C2800" s="82" t="str">
        <f t="shared" si="178"/>
        <v>samedi</v>
      </c>
      <c r="D2800" s="87"/>
      <c r="E2800" s="115" t="str">
        <f t="shared" si="179"/>
        <v/>
      </c>
      <c r="F2800" s="115" t="str">
        <f t="shared" si="180"/>
        <v/>
      </c>
      <c r="G2800" s="116" t="str">
        <f>IF(ISNONTEXT(D2800),"",E2800-MAX($F$2:F2799))</f>
        <v/>
      </c>
      <c r="H2800" s="97"/>
      <c r="I2800" s="74" t="str">
        <f ca="1">IF(D2800="N",COUNTIF(INDIRECT(ADDRESS(MATCH(Plages!$D$19,'Planning annuel mixing coater'!$B:$B),4)):D2800,"N"),IF(D2800="N1",COUNTIF($D$9:D2800,"N1"),""))</f>
        <v/>
      </c>
      <c r="J2800" s="96" t="str">
        <f>IF(D2800="","",COUNTA(D2788:D2800)-(COUNTA(D2800:D2800)-1))</f>
        <v/>
      </c>
    </row>
    <row r="2801" spans="1:10" s="77" customFormat="1" thickBot="1">
      <c r="A2801" s="117"/>
      <c r="B2801" s="75">
        <f t="shared" si="177"/>
        <v>46593</v>
      </c>
      <c r="C2801" s="83" t="str">
        <f t="shared" si="178"/>
        <v>dimanche</v>
      </c>
      <c r="D2801" s="88"/>
      <c r="E2801" s="115" t="str">
        <f t="shared" si="179"/>
        <v/>
      </c>
      <c r="F2801" s="115" t="str">
        <f t="shared" si="180"/>
        <v/>
      </c>
      <c r="G2801" s="116" t="str">
        <f>IF(ISNONTEXT(D2801),"",E2801-MAX($F$2:F2800))</f>
        <v/>
      </c>
      <c r="H2801" s="98"/>
      <c r="I2801" s="76" t="str">
        <f ca="1">IF(D2801="N",COUNTIF(INDIRECT(ADDRESS(MATCH(Plages!$D$19,'Planning annuel mixing coater'!$B:$B),4)):D2801,"N"),IF(D2801="N1",COUNTIF($D$9:D2801,"N1"),""))</f>
        <v/>
      </c>
      <c r="J2801" s="99" t="str">
        <f>IF(D2801="","",COUNTA(D2788:D2801)-(COUNTA(D2801:D2801)-1))</f>
        <v/>
      </c>
    </row>
    <row r="2802" spans="1:10" ht="16.5" thickTop="1" thickBot="1">
      <c r="A2802" s="117"/>
      <c r="B2802" s="78">
        <f t="shared" si="177"/>
        <v>46594</v>
      </c>
      <c r="C2802" s="81" t="str">
        <f t="shared" si="178"/>
        <v>lundi</v>
      </c>
      <c r="D2802" s="89"/>
      <c r="E2802" s="115" t="str">
        <f t="shared" si="179"/>
        <v/>
      </c>
      <c r="F2802" s="115" t="str">
        <f t="shared" si="180"/>
        <v/>
      </c>
      <c r="G2802" s="116" t="str">
        <f>IF(ISNONTEXT(D2802),"",E2802-MAX($F$2:F2801))</f>
        <v/>
      </c>
      <c r="H2802" s="100"/>
      <c r="I2802" s="79" t="str">
        <f ca="1">IF(D2802="N",COUNTIF(INDIRECT(ADDRESS(MATCH(Plages!$D$19,'Planning annuel mixing coater'!$B:$B),4)):D2802,"N"),IF(D2802="N1",COUNTIF($D$9:D2802,"N1"),""))</f>
        <v/>
      </c>
      <c r="J2802" s="101" t="str">
        <f>IF(D2802="","",COUNTA(D2802:D2802)-(COUNTA(D2802:D2802)-1))</f>
        <v/>
      </c>
    </row>
    <row r="2803" spans="1:10" thickBot="1">
      <c r="A2803" s="117"/>
      <c r="B2803" s="70">
        <f t="shared" si="177"/>
        <v>46595</v>
      </c>
      <c r="C2803" s="82" t="str">
        <f t="shared" si="178"/>
        <v>mardi</v>
      </c>
      <c r="D2803" s="87"/>
      <c r="E2803" s="115" t="str">
        <f t="shared" si="179"/>
        <v/>
      </c>
      <c r="F2803" s="115" t="str">
        <f t="shared" si="180"/>
        <v/>
      </c>
      <c r="G2803" s="116" t="str">
        <f>IF(ISNONTEXT(D2803),"",E2803-MAX($F$2:F2802))</f>
        <v/>
      </c>
      <c r="H2803" s="97"/>
      <c r="I2803" s="74" t="str">
        <f ca="1">IF(D2803="N",COUNTIF(INDIRECT(ADDRESS(MATCH(Plages!$D$19,'Planning annuel mixing coater'!$B:$B),4)):D2803,"N"),IF(D2803="N1",COUNTIF($D$9:D2803,"N1"),""))</f>
        <v/>
      </c>
      <c r="J2803" s="96" t="str">
        <f>IF(D2803="","",COUNTA(D2802:D2803)-(COUNTA(D2803:D2803)-1))</f>
        <v/>
      </c>
    </row>
    <row r="2804" spans="1:10" thickBot="1">
      <c r="A2804" s="117"/>
      <c r="B2804" s="70">
        <f t="shared" si="177"/>
        <v>46596</v>
      </c>
      <c r="C2804" s="82" t="str">
        <f t="shared" si="178"/>
        <v>mercredi</v>
      </c>
      <c r="D2804" s="87"/>
      <c r="E2804" s="115" t="str">
        <f t="shared" si="179"/>
        <v/>
      </c>
      <c r="F2804" s="115" t="str">
        <f t="shared" si="180"/>
        <v/>
      </c>
      <c r="G2804" s="116" t="str">
        <f>IF(ISNONTEXT(D2804),"",E2804-MAX($F$2:F2803))</f>
        <v/>
      </c>
      <c r="H2804" s="97"/>
      <c r="I2804" s="74" t="str">
        <f ca="1">IF(D2804="N",COUNTIF(INDIRECT(ADDRESS(MATCH(Plages!$D$19,'Planning annuel mixing coater'!$B:$B),4)):D2804,"N"),IF(D2804="N1",COUNTIF($D$9:D2804,"N1"),""))</f>
        <v/>
      </c>
      <c r="J2804" s="96" t="str">
        <f>IF(D2804="","",COUNTA(D2802:D2804)-(COUNTA(D2804:D2804)-1))</f>
        <v/>
      </c>
    </row>
    <row r="2805" spans="1:10" thickBot="1">
      <c r="A2805" s="117"/>
      <c r="B2805" s="70">
        <f t="shared" si="177"/>
        <v>46597</v>
      </c>
      <c r="C2805" s="82" t="str">
        <f t="shared" si="178"/>
        <v>jeudi</v>
      </c>
      <c r="D2805" s="87"/>
      <c r="E2805" s="115" t="str">
        <f t="shared" si="179"/>
        <v/>
      </c>
      <c r="F2805" s="115" t="str">
        <f t="shared" si="180"/>
        <v/>
      </c>
      <c r="G2805" s="116" t="str">
        <f>IF(ISNONTEXT(D2805),"",E2805-MAX($F$2:F2804))</f>
        <v/>
      </c>
      <c r="H2805" s="97"/>
      <c r="I2805" s="74" t="str">
        <f ca="1">IF(D2805="N",COUNTIF(INDIRECT(ADDRESS(MATCH(Plages!$D$19,'Planning annuel mixing coater'!$B:$B),4)):D2805,"N"),IF(D2805="N1",COUNTIF($D$9:D2805,"N1"),""))</f>
        <v/>
      </c>
      <c r="J2805" s="96" t="str">
        <f>IF(D2805="","",COUNTA(D2802:D2805)-(COUNTA(D2805:D2805)-1))</f>
        <v/>
      </c>
    </row>
    <row r="2806" spans="1:10" thickBot="1">
      <c r="A2806" s="117"/>
      <c r="B2806" s="70">
        <f t="shared" si="177"/>
        <v>46598</v>
      </c>
      <c r="C2806" s="82" t="str">
        <f t="shared" si="178"/>
        <v>vendredi</v>
      </c>
      <c r="D2806" s="87"/>
      <c r="E2806" s="115" t="str">
        <f t="shared" si="179"/>
        <v/>
      </c>
      <c r="F2806" s="115" t="str">
        <f t="shared" si="180"/>
        <v/>
      </c>
      <c r="G2806" s="116" t="str">
        <f>IF(ISNONTEXT(D2806),"",E2806-MAX($F$2:F2805))</f>
        <v/>
      </c>
      <c r="H2806" s="97"/>
      <c r="I2806" s="74" t="str">
        <f ca="1">IF(D2806="N",COUNTIF(INDIRECT(ADDRESS(MATCH(Plages!$D$19,'Planning annuel mixing coater'!$B:$B),4)):D2806,"N"),IF(D2806="N1",COUNTIF($D$9:D2806,"N1"),""))</f>
        <v/>
      </c>
      <c r="J2806" s="96" t="str">
        <f>IF(D2806="","",COUNTA(D2802:D2806)-(COUNTA(D2806:D2806)-1))</f>
        <v/>
      </c>
    </row>
    <row r="2807" spans="1:10" thickBot="1">
      <c r="A2807" s="117"/>
      <c r="B2807" s="70">
        <f t="shared" si="177"/>
        <v>46599</v>
      </c>
      <c r="C2807" s="82" t="str">
        <f t="shared" si="178"/>
        <v>samedi</v>
      </c>
      <c r="D2807" s="87"/>
      <c r="E2807" s="115" t="str">
        <f t="shared" si="179"/>
        <v/>
      </c>
      <c r="F2807" s="115" t="str">
        <f t="shared" si="180"/>
        <v/>
      </c>
      <c r="G2807" s="116" t="str">
        <f>IF(ISNONTEXT(D2807),"",E2807-MAX($F$2:F2806))</f>
        <v/>
      </c>
      <c r="H2807" s="97"/>
      <c r="I2807" s="74" t="str">
        <f ca="1">IF(D2807="N",COUNTIF(INDIRECT(ADDRESS(MATCH(Plages!$D$19,'Planning annuel mixing coater'!$B:$B),4)):D2807,"N"),IF(D2807="N1",COUNTIF($D$9:D2807,"N1"),""))</f>
        <v/>
      </c>
      <c r="J2807" s="96" t="str">
        <f>IF(D2807="","",COUNTA(D2802:D2807)-(COUNTA(D2807:D2807)-1))</f>
        <v/>
      </c>
    </row>
    <row r="2808" spans="1:10" thickBot="1">
      <c r="A2808" s="117"/>
      <c r="B2808" s="70">
        <f t="shared" si="177"/>
        <v>46600</v>
      </c>
      <c r="C2808" s="82" t="str">
        <f t="shared" si="178"/>
        <v>dimanche</v>
      </c>
      <c r="D2808" s="87"/>
      <c r="E2808" s="115" t="str">
        <f t="shared" si="179"/>
        <v/>
      </c>
      <c r="F2808" s="115" t="str">
        <f t="shared" si="180"/>
        <v/>
      </c>
      <c r="G2808" s="116" t="str">
        <f>IF(ISNONTEXT(D2808),"",E2808-MAX($F$2:F2807))</f>
        <v/>
      </c>
      <c r="H2808" s="98"/>
      <c r="I2808" s="74" t="str">
        <f ca="1">IF(D2808="N",COUNTIF(INDIRECT(ADDRESS(MATCH(Plages!$D$19,'Planning annuel mixing coater'!$B:$B),4)):D2808,"N"),IF(D2808="N1",COUNTIF($D$9:D2808,"N1"),""))</f>
        <v/>
      </c>
      <c r="J2808" s="96" t="str">
        <f>IF(D2808="","",COUNTA(D2802:D2808)-(COUNTA(D2808:D2808)-1))</f>
        <v/>
      </c>
    </row>
    <row r="2809" spans="1:10" thickBot="1">
      <c r="A2809" s="117"/>
      <c r="B2809" s="70">
        <f t="shared" si="177"/>
        <v>46601</v>
      </c>
      <c r="C2809" s="82" t="str">
        <f t="shared" si="178"/>
        <v>lundi</v>
      </c>
      <c r="D2809" s="87"/>
      <c r="E2809" s="115" t="str">
        <f t="shared" si="179"/>
        <v/>
      </c>
      <c r="F2809" s="115" t="str">
        <f t="shared" si="180"/>
        <v/>
      </c>
      <c r="G2809" s="116" t="str">
        <f>IF(ISNONTEXT(D2809),"",E2809-MAX($F$2:F2808))</f>
        <v/>
      </c>
      <c r="H2809" s="97"/>
      <c r="I2809" s="74" t="str">
        <f ca="1">IF(D2809="N",COUNTIF(INDIRECT(ADDRESS(MATCH(Plages!$D$19,'Planning annuel mixing coater'!$B:$B),4)):D2809,"N"),IF(D2809="N1",COUNTIF($D$9:D2809,"N1"),""))</f>
        <v/>
      </c>
      <c r="J2809" s="96" t="str">
        <f>IF(D2809="","",COUNTA(D2802:D2809)-(COUNTA(D2809:D2809)-1))</f>
        <v/>
      </c>
    </row>
    <row r="2810" spans="1:10" thickBot="1">
      <c r="A2810" s="117"/>
      <c r="B2810" s="70">
        <f t="shared" si="177"/>
        <v>46602</v>
      </c>
      <c r="C2810" s="82" t="str">
        <f t="shared" si="178"/>
        <v>mardi</v>
      </c>
      <c r="D2810" s="87"/>
      <c r="E2810" s="115" t="str">
        <f t="shared" si="179"/>
        <v/>
      </c>
      <c r="F2810" s="115" t="str">
        <f t="shared" si="180"/>
        <v/>
      </c>
      <c r="G2810" s="116" t="str">
        <f>IF(ISNONTEXT(D2810),"",E2810-MAX($F$2:F2809))</f>
        <v/>
      </c>
      <c r="H2810" s="97"/>
      <c r="I2810" s="74" t="str">
        <f ca="1">IF(D2810="N",COUNTIF(INDIRECT(ADDRESS(MATCH(Plages!$D$19,'Planning annuel mixing coater'!$B:$B),4)):D2810,"N"),IF(D2810="N1",COUNTIF($D$9:D2810,"N1"),""))</f>
        <v/>
      </c>
      <c r="J2810" s="96" t="str">
        <f>IF(D2810="","",COUNTA(D2802:D2810)-(COUNTA(D2810:D2810)-1))</f>
        <v/>
      </c>
    </row>
    <row r="2811" spans="1:10" thickBot="1">
      <c r="A2811" s="117"/>
      <c r="B2811" s="70">
        <f t="shared" si="177"/>
        <v>46603</v>
      </c>
      <c r="C2811" s="82" t="str">
        <f t="shared" si="178"/>
        <v>mercredi</v>
      </c>
      <c r="D2811" s="87"/>
      <c r="E2811" s="115" t="str">
        <f t="shared" si="179"/>
        <v/>
      </c>
      <c r="F2811" s="115" t="str">
        <f t="shared" si="180"/>
        <v/>
      </c>
      <c r="G2811" s="116" t="str">
        <f>IF(ISNONTEXT(D2811),"",E2811-MAX($F$2:F2810))</f>
        <v/>
      </c>
      <c r="H2811" s="97"/>
      <c r="I2811" s="74" t="str">
        <f ca="1">IF(D2811="N",COUNTIF(INDIRECT(ADDRESS(MATCH(Plages!$D$19,'Planning annuel mixing coater'!$B:$B),4)):D2811,"N"),IF(D2811="N1",COUNTIF($D$9:D2811,"N1"),""))</f>
        <v/>
      </c>
      <c r="J2811" s="96" t="str">
        <f>IF(D2811="","",COUNTA(D2802:D2811)-(COUNTA(D2811:D2811)-1))</f>
        <v/>
      </c>
    </row>
    <row r="2812" spans="1:10" thickBot="1">
      <c r="A2812" s="117"/>
      <c r="B2812" s="70">
        <f t="shared" si="177"/>
        <v>46604</v>
      </c>
      <c r="C2812" s="82" t="str">
        <f t="shared" si="178"/>
        <v>jeudi</v>
      </c>
      <c r="D2812" s="87"/>
      <c r="E2812" s="115" t="str">
        <f t="shared" si="179"/>
        <v/>
      </c>
      <c r="F2812" s="115" t="str">
        <f t="shared" si="180"/>
        <v/>
      </c>
      <c r="G2812" s="116" t="str">
        <f>IF(ISNONTEXT(D2812),"",E2812-MAX($F$2:F2811))</f>
        <v/>
      </c>
      <c r="H2812" s="97"/>
      <c r="I2812" s="74" t="str">
        <f ca="1">IF(D2812="N",COUNTIF(INDIRECT(ADDRESS(MATCH(Plages!$D$19,'Planning annuel mixing coater'!$B:$B),4)):D2812,"N"),IF(D2812="N1",COUNTIF($D$9:D2812,"N1"),""))</f>
        <v/>
      </c>
      <c r="J2812" s="96" t="str">
        <f>IF(D2812="","",COUNTA(D2802:D2812)-(COUNTA(D2812:D2812)-1))</f>
        <v/>
      </c>
    </row>
    <row r="2813" spans="1:10" thickBot="1">
      <c r="A2813" s="117"/>
      <c r="B2813" s="70">
        <f t="shared" si="177"/>
        <v>46605</v>
      </c>
      <c r="C2813" s="82" t="str">
        <f t="shared" si="178"/>
        <v>vendredi</v>
      </c>
      <c r="D2813" s="87"/>
      <c r="E2813" s="115" t="str">
        <f t="shared" si="179"/>
        <v/>
      </c>
      <c r="F2813" s="115" t="str">
        <f t="shared" si="180"/>
        <v/>
      </c>
      <c r="G2813" s="116" t="str">
        <f>IF(ISNONTEXT(D2813),"",E2813-MAX($F$2:F2812))</f>
        <v/>
      </c>
      <c r="H2813" s="97"/>
      <c r="I2813" s="74" t="str">
        <f ca="1">IF(D2813="N",COUNTIF(INDIRECT(ADDRESS(MATCH(Plages!$D$19,'Planning annuel mixing coater'!$B:$B),4)):D2813,"N"),IF(D2813="N1",COUNTIF($D$9:D2813,"N1"),""))</f>
        <v/>
      </c>
      <c r="J2813" s="96" t="str">
        <f>IF(D2813="","",COUNTA(D2802:D2813)-(COUNTA(D2813:D2813)-1))</f>
        <v/>
      </c>
    </row>
    <row r="2814" spans="1:10" thickBot="1">
      <c r="A2814" s="117"/>
      <c r="B2814" s="70">
        <f t="shared" si="177"/>
        <v>46606</v>
      </c>
      <c r="C2814" s="82" t="str">
        <f t="shared" si="178"/>
        <v>samedi</v>
      </c>
      <c r="D2814" s="87"/>
      <c r="E2814" s="115" t="str">
        <f t="shared" si="179"/>
        <v/>
      </c>
      <c r="F2814" s="115" t="str">
        <f t="shared" si="180"/>
        <v/>
      </c>
      <c r="G2814" s="116" t="str">
        <f>IF(ISNONTEXT(D2814),"",E2814-MAX($F$2:F2813))</f>
        <v/>
      </c>
      <c r="H2814" s="97"/>
      <c r="I2814" s="74" t="str">
        <f ca="1">IF(D2814="N",COUNTIF(INDIRECT(ADDRESS(MATCH(Plages!$D$19,'Planning annuel mixing coater'!$B:$B),4)):D2814,"N"),IF(D2814="N1",COUNTIF($D$9:D2814,"N1"),""))</f>
        <v/>
      </c>
      <c r="J2814" s="96" t="str">
        <f>IF(D2814="","",COUNTA(D2802:D2814)-(COUNTA(D2814:D2814)-1))</f>
        <v/>
      </c>
    </row>
    <row r="2815" spans="1:10" s="77" customFormat="1" thickBot="1">
      <c r="A2815" s="117"/>
      <c r="B2815" s="75">
        <f t="shared" si="177"/>
        <v>46607</v>
      </c>
      <c r="C2815" s="83" t="str">
        <f t="shared" si="178"/>
        <v>dimanche</v>
      </c>
      <c r="D2815" s="88"/>
      <c r="E2815" s="115" t="str">
        <f t="shared" si="179"/>
        <v/>
      </c>
      <c r="F2815" s="115" t="str">
        <f t="shared" si="180"/>
        <v/>
      </c>
      <c r="G2815" s="116" t="str">
        <f>IF(ISNONTEXT(D2815),"",E2815-MAX($F$2:F2814))</f>
        <v/>
      </c>
      <c r="H2815" s="98"/>
      <c r="I2815" s="76" t="str">
        <f ca="1">IF(D2815="N",COUNTIF(INDIRECT(ADDRESS(MATCH(Plages!$D$19,'Planning annuel mixing coater'!$B:$B),4)):D2815,"N"),IF(D2815="N1",COUNTIF($D$9:D2815,"N1"),""))</f>
        <v/>
      </c>
      <c r="J2815" s="99" t="str">
        <f>IF(D2815="","",COUNTA(D2802:D2815)-(COUNTA(D2815:D2815)-1))</f>
        <v/>
      </c>
    </row>
    <row r="2816" spans="1:10" ht="16.5" thickTop="1" thickBot="1">
      <c r="A2816" s="117"/>
      <c r="B2816" s="78">
        <f t="shared" si="177"/>
        <v>46608</v>
      </c>
      <c r="C2816" s="81" t="str">
        <f t="shared" si="178"/>
        <v>lundi</v>
      </c>
      <c r="D2816" s="89"/>
      <c r="E2816" s="115" t="str">
        <f t="shared" si="179"/>
        <v/>
      </c>
      <c r="F2816" s="115" t="str">
        <f t="shared" si="180"/>
        <v/>
      </c>
      <c r="G2816" s="116" t="str">
        <f>IF(ISNONTEXT(D2816),"",E2816-MAX($F$2:F2815))</f>
        <v/>
      </c>
      <c r="H2816" s="100"/>
      <c r="I2816" s="79" t="str">
        <f ca="1">IF(D2816="N",COUNTIF(INDIRECT(ADDRESS(MATCH(Plages!$D$19,'Planning annuel mixing coater'!$B:$B),4)):D2816,"N"),IF(D2816="N1",COUNTIF($D$9:D2816,"N1"),""))</f>
        <v/>
      </c>
      <c r="J2816" s="101" t="str">
        <f>IF(D2816="","",COUNTA(D2816:D2816)-(COUNTA(D2816:D2816)-1))</f>
        <v/>
      </c>
    </row>
    <row r="2817" spans="1:10" thickBot="1">
      <c r="A2817" s="117"/>
      <c r="B2817" s="70">
        <f t="shared" si="177"/>
        <v>46609</v>
      </c>
      <c r="C2817" s="82" t="str">
        <f t="shared" si="178"/>
        <v>mardi</v>
      </c>
      <c r="D2817" s="87"/>
      <c r="E2817" s="115" t="str">
        <f t="shared" si="179"/>
        <v/>
      </c>
      <c r="F2817" s="115" t="str">
        <f t="shared" si="180"/>
        <v/>
      </c>
      <c r="G2817" s="116" t="str">
        <f>IF(ISNONTEXT(D2817),"",E2817-MAX($F$2:F2816))</f>
        <v/>
      </c>
      <c r="H2817" s="97"/>
      <c r="I2817" s="74" t="str">
        <f ca="1">IF(D2817="N",COUNTIF(INDIRECT(ADDRESS(MATCH(Plages!$D$19,'Planning annuel mixing coater'!$B:$B),4)):D2817,"N"),IF(D2817="N1",COUNTIF($D$9:D2817,"N1"),""))</f>
        <v/>
      </c>
      <c r="J2817" s="96" t="str">
        <f>IF(D2817="","",COUNTA(D2816:D2817)-(COUNTA(D2817:D2817)-1))</f>
        <v/>
      </c>
    </row>
    <row r="2818" spans="1:10" thickBot="1">
      <c r="A2818" s="117"/>
      <c r="B2818" s="70">
        <f t="shared" si="177"/>
        <v>46610</v>
      </c>
      <c r="C2818" s="82" t="str">
        <f t="shared" si="178"/>
        <v>mercredi</v>
      </c>
      <c r="D2818" s="87"/>
      <c r="E2818" s="115" t="str">
        <f t="shared" si="179"/>
        <v/>
      </c>
      <c r="F2818" s="115" t="str">
        <f t="shared" si="180"/>
        <v/>
      </c>
      <c r="G2818" s="116" t="str">
        <f>IF(ISNONTEXT(D2818),"",E2818-MAX($F$2:F2817))</f>
        <v/>
      </c>
      <c r="H2818" s="97"/>
      <c r="I2818" s="74" t="str">
        <f ca="1">IF(D2818="N",COUNTIF(INDIRECT(ADDRESS(MATCH(Plages!$D$19,'Planning annuel mixing coater'!$B:$B),4)):D2818,"N"),IF(D2818="N1",COUNTIF($D$9:D2818,"N1"),""))</f>
        <v/>
      </c>
      <c r="J2818" s="96" t="str">
        <f>IF(D2818="","",COUNTA(D2816:D2818)-(COUNTA(D2818:D2818)-1))</f>
        <v/>
      </c>
    </row>
    <row r="2819" spans="1:10" thickBot="1">
      <c r="A2819" s="117"/>
      <c r="B2819" s="70">
        <f t="shared" si="177"/>
        <v>46611</v>
      </c>
      <c r="C2819" s="82" t="str">
        <f t="shared" si="178"/>
        <v>jeudi</v>
      </c>
      <c r="D2819" s="87"/>
      <c r="E2819" s="115" t="str">
        <f t="shared" si="179"/>
        <v/>
      </c>
      <c r="F2819" s="115" t="str">
        <f t="shared" si="180"/>
        <v/>
      </c>
      <c r="G2819" s="116" t="str">
        <f>IF(ISNONTEXT(D2819),"",E2819-MAX($F$2:F2818))</f>
        <v/>
      </c>
      <c r="H2819" s="97"/>
      <c r="I2819" s="74" t="str">
        <f ca="1">IF(D2819="N",COUNTIF(INDIRECT(ADDRESS(MATCH(Plages!$D$19,'Planning annuel mixing coater'!$B:$B),4)):D2819,"N"),IF(D2819="N1",COUNTIF($D$9:D2819,"N1"),""))</f>
        <v/>
      </c>
      <c r="J2819" s="96" t="str">
        <f>IF(D2819="","",COUNTA(D2816:D2819)-(COUNTA(D2819:D2819)-1))</f>
        <v/>
      </c>
    </row>
    <row r="2820" spans="1:10" thickBot="1">
      <c r="A2820" s="117"/>
      <c r="B2820" s="70">
        <f t="shared" ref="B2820:B2883" si="181">IF(B2819="","",B2819+1)</f>
        <v>46612</v>
      </c>
      <c r="C2820" s="82" t="str">
        <f t="shared" si="178"/>
        <v>vendredi</v>
      </c>
      <c r="D2820" s="87"/>
      <c r="E2820" s="115" t="str">
        <f t="shared" si="179"/>
        <v/>
      </c>
      <c r="F2820" s="115" t="str">
        <f t="shared" si="180"/>
        <v/>
      </c>
      <c r="G2820" s="116" t="str">
        <f>IF(ISNONTEXT(D2820),"",E2820-MAX($F$2:F2819))</f>
        <v/>
      </c>
      <c r="H2820" s="97"/>
      <c r="I2820" s="74" t="str">
        <f ca="1">IF(D2820="N",COUNTIF(INDIRECT(ADDRESS(MATCH(Plages!$D$19,'Planning annuel mixing coater'!$B:$B),4)):D2820,"N"),IF(D2820="N1",COUNTIF($D$9:D2820,"N1"),""))</f>
        <v/>
      </c>
      <c r="J2820" s="96" t="str">
        <f>IF(D2820="","",COUNTA(D2816:D2820)-(COUNTA(D2820:D2820)-1))</f>
        <v/>
      </c>
    </row>
    <row r="2821" spans="1:10" thickBot="1">
      <c r="A2821" s="117"/>
      <c r="B2821" s="70">
        <f t="shared" si="181"/>
        <v>46613</v>
      </c>
      <c r="C2821" s="82" t="str">
        <f t="shared" si="178"/>
        <v>samedi</v>
      </c>
      <c r="D2821" s="87"/>
      <c r="E2821" s="115" t="str">
        <f t="shared" si="179"/>
        <v/>
      </c>
      <c r="F2821" s="115" t="str">
        <f t="shared" si="180"/>
        <v/>
      </c>
      <c r="G2821" s="116" t="str">
        <f>IF(ISNONTEXT(D2821),"",E2821-MAX($F$2:F2820))</f>
        <v/>
      </c>
      <c r="H2821" s="97"/>
      <c r="I2821" s="74" t="str">
        <f ca="1">IF(D2821="N",COUNTIF(INDIRECT(ADDRESS(MATCH(Plages!$D$19,'Planning annuel mixing coater'!$B:$B),4)):D2821,"N"),IF(D2821="N1",COUNTIF($D$9:D2821,"N1"),""))</f>
        <v/>
      </c>
      <c r="J2821" s="96" t="str">
        <f>IF(D2821="","",COUNTA(D2816:D2821)-(COUNTA(D2821:D2821)-1))</f>
        <v/>
      </c>
    </row>
    <row r="2822" spans="1:10" thickBot="1">
      <c r="A2822" s="117"/>
      <c r="B2822" s="70">
        <f t="shared" si="181"/>
        <v>46614</v>
      </c>
      <c r="C2822" s="82" t="str">
        <f t="shared" si="178"/>
        <v>dimanche</v>
      </c>
      <c r="D2822" s="87"/>
      <c r="E2822" s="115" t="str">
        <f t="shared" si="179"/>
        <v/>
      </c>
      <c r="F2822" s="115" t="str">
        <f t="shared" si="180"/>
        <v/>
      </c>
      <c r="G2822" s="116" t="str">
        <f>IF(ISNONTEXT(D2822),"",E2822-MAX($F$2:F2821))</f>
        <v/>
      </c>
      <c r="H2822" s="98"/>
      <c r="I2822" s="74" t="str">
        <f ca="1">IF(D2822="N",COUNTIF(INDIRECT(ADDRESS(MATCH(Plages!$D$19,'Planning annuel mixing coater'!$B:$B),4)):D2822,"N"),IF(D2822="N1",COUNTIF($D$9:D2822,"N1"),""))</f>
        <v/>
      </c>
      <c r="J2822" s="96" t="str">
        <f>IF(D2822="","",COUNTA(D2816:D2822)-(COUNTA(D2822:D2822)-1))</f>
        <v/>
      </c>
    </row>
    <row r="2823" spans="1:10" thickBot="1">
      <c r="A2823" s="117"/>
      <c r="B2823" s="70">
        <f t="shared" si="181"/>
        <v>46615</v>
      </c>
      <c r="C2823" s="82" t="str">
        <f t="shared" si="178"/>
        <v>lundi</v>
      </c>
      <c r="D2823" s="87"/>
      <c r="E2823" s="115" t="str">
        <f t="shared" si="179"/>
        <v/>
      </c>
      <c r="F2823" s="115" t="str">
        <f t="shared" si="180"/>
        <v/>
      </c>
      <c r="G2823" s="116" t="str">
        <f>IF(ISNONTEXT(D2823),"",E2823-MAX($F$2:F2822))</f>
        <v/>
      </c>
      <c r="H2823" s="97"/>
      <c r="I2823" s="74" t="str">
        <f ca="1">IF(D2823="N",COUNTIF(INDIRECT(ADDRESS(MATCH(Plages!$D$19,'Planning annuel mixing coater'!$B:$B),4)):D2823,"N"),IF(D2823="N1",COUNTIF($D$9:D2823,"N1"),""))</f>
        <v/>
      </c>
      <c r="J2823" s="96" t="str">
        <f>IF(D2823="","",COUNTA(D2816:D2823)-(COUNTA(D2823:D2823)-1))</f>
        <v/>
      </c>
    </row>
    <row r="2824" spans="1:10" thickBot="1">
      <c r="A2824" s="117"/>
      <c r="B2824" s="70">
        <f t="shared" si="181"/>
        <v>46616</v>
      </c>
      <c r="C2824" s="82" t="str">
        <f t="shared" si="178"/>
        <v>mardi</v>
      </c>
      <c r="D2824" s="87"/>
      <c r="E2824" s="115" t="str">
        <f t="shared" si="179"/>
        <v/>
      </c>
      <c r="F2824" s="115" t="str">
        <f t="shared" si="180"/>
        <v/>
      </c>
      <c r="G2824" s="116" t="str">
        <f>IF(ISNONTEXT(D2824),"",E2824-MAX($F$2:F2823))</f>
        <v/>
      </c>
      <c r="H2824" s="97"/>
      <c r="I2824" s="74" t="str">
        <f ca="1">IF(D2824="N",COUNTIF(INDIRECT(ADDRESS(MATCH(Plages!$D$19,'Planning annuel mixing coater'!$B:$B),4)):D2824,"N"),IF(D2824="N1",COUNTIF($D$9:D2824,"N1"),""))</f>
        <v/>
      </c>
      <c r="J2824" s="96" t="str">
        <f>IF(D2824="","",COUNTA(D2816:D2824)-(COUNTA(D2824:D2824)-1))</f>
        <v/>
      </c>
    </row>
    <row r="2825" spans="1:10" thickBot="1">
      <c r="A2825" s="117"/>
      <c r="B2825" s="70">
        <f t="shared" si="181"/>
        <v>46617</v>
      </c>
      <c r="C2825" s="82" t="str">
        <f t="shared" si="178"/>
        <v>mercredi</v>
      </c>
      <c r="D2825" s="87"/>
      <c r="E2825" s="115" t="str">
        <f t="shared" si="179"/>
        <v/>
      </c>
      <c r="F2825" s="115" t="str">
        <f t="shared" si="180"/>
        <v/>
      </c>
      <c r="G2825" s="116" t="str">
        <f>IF(ISNONTEXT(D2825),"",E2825-MAX($F$2:F2824))</f>
        <v/>
      </c>
      <c r="H2825" s="97"/>
      <c r="I2825" s="74" t="str">
        <f ca="1">IF(D2825="N",COUNTIF(INDIRECT(ADDRESS(MATCH(Plages!$D$19,'Planning annuel mixing coater'!$B:$B),4)):D2825,"N"),IF(D2825="N1",COUNTIF($D$9:D2825,"N1"),""))</f>
        <v/>
      </c>
      <c r="J2825" s="96" t="str">
        <f>IF(D2825="","",COUNTA(D2816:D2825)-(COUNTA(D2825:D2825)-1))</f>
        <v/>
      </c>
    </row>
    <row r="2826" spans="1:10" thickBot="1">
      <c r="A2826" s="117"/>
      <c r="B2826" s="70">
        <f t="shared" si="181"/>
        <v>46618</v>
      </c>
      <c r="C2826" s="82" t="str">
        <f t="shared" si="178"/>
        <v>jeudi</v>
      </c>
      <c r="D2826" s="87"/>
      <c r="E2826" s="115" t="str">
        <f t="shared" si="179"/>
        <v/>
      </c>
      <c r="F2826" s="115" t="str">
        <f t="shared" si="180"/>
        <v/>
      </c>
      <c r="G2826" s="116" t="str">
        <f>IF(ISNONTEXT(D2826),"",E2826-MAX($F$2:F2825))</f>
        <v/>
      </c>
      <c r="H2826" s="97"/>
      <c r="I2826" s="74" t="str">
        <f ca="1">IF(D2826="N",COUNTIF(INDIRECT(ADDRESS(MATCH(Plages!$D$19,'Planning annuel mixing coater'!$B:$B),4)):D2826,"N"),IF(D2826="N1",COUNTIF($D$9:D2826,"N1"),""))</f>
        <v/>
      </c>
      <c r="J2826" s="96" t="str">
        <f>IF(D2826="","",COUNTA(D2816:D2826)-(COUNTA(D2826:D2826)-1))</f>
        <v/>
      </c>
    </row>
    <row r="2827" spans="1:10" thickBot="1">
      <c r="A2827" s="117"/>
      <c r="B2827" s="70">
        <f t="shared" si="181"/>
        <v>46619</v>
      </c>
      <c r="C2827" s="82" t="str">
        <f t="shared" si="178"/>
        <v>vendredi</v>
      </c>
      <c r="D2827" s="87"/>
      <c r="E2827" s="115" t="str">
        <f t="shared" si="179"/>
        <v/>
      </c>
      <c r="F2827" s="115" t="str">
        <f t="shared" si="180"/>
        <v/>
      </c>
      <c r="G2827" s="116" t="str">
        <f>IF(ISNONTEXT(D2827),"",E2827-MAX($F$2:F2826))</f>
        <v/>
      </c>
      <c r="H2827" s="97"/>
      <c r="I2827" s="74" t="str">
        <f ca="1">IF(D2827="N",COUNTIF(INDIRECT(ADDRESS(MATCH(Plages!$D$19,'Planning annuel mixing coater'!$B:$B),4)):D2827,"N"),IF(D2827="N1",COUNTIF($D$9:D2827,"N1"),""))</f>
        <v/>
      </c>
      <c r="J2827" s="96" t="str">
        <f>IF(D2827="","",COUNTA(D2816:D2827)-(COUNTA(D2827:D2827)-1))</f>
        <v/>
      </c>
    </row>
    <row r="2828" spans="1:10" thickBot="1">
      <c r="A2828" s="117"/>
      <c r="B2828" s="70">
        <f t="shared" si="181"/>
        <v>46620</v>
      </c>
      <c r="C2828" s="82" t="str">
        <f t="shared" si="178"/>
        <v>samedi</v>
      </c>
      <c r="D2828" s="87"/>
      <c r="E2828" s="115" t="str">
        <f t="shared" si="179"/>
        <v/>
      </c>
      <c r="F2828" s="115" t="str">
        <f t="shared" si="180"/>
        <v/>
      </c>
      <c r="G2828" s="116" t="str">
        <f>IF(ISNONTEXT(D2828),"",E2828-MAX($F$2:F2827))</f>
        <v/>
      </c>
      <c r="H2828" s="97"/>
      <c r="I2828" s="74" t="str">
        <f ca="1">IF(D2828="N",COUNTIF(INDIRECT(ADDRESS(MATCH(Plages!$D$19,'Planning annuel mixing coater'!$B:$B),4)):D2828,"N"),IF(D2828="N1",COUNTIF($D$9:D2828,"N1"),""))</f>
        <v/>
      </c>
      <c r="J2828" s="96" t="str">
        <f>IF(D2828="","",COUNTA(D2816:D2828)-(COUNTA(D2828:D2828)-1))</f>
        <v/>
      </c>
    </row>
    <row r="2829" spans="1:10" s="77" customFormat="1" thickBot="1">
      <c r="A2829" s="117"/>
      <c r="B2829" s="75">
        <f t="shared" si="181"/>
        <v>46621</v>
      </c>
      <c r="C2829" s="83" t="str">
        <f t="shared" si="178"/>
        <v>dimanche</v>
      </c>
      <c r="D2829" s="88"/>
      <c r="E2829" s="115" t="str">
        <f t="shared" si="179"/>
        <v/>
      </c>
      <c r="F2829" s="115" t="str">
        <f t="shared" si="180"/>
        <v/>
      </c>
      <c r="G2829" s="116" t="str">
        <f>IF(ISNONTEXT(D2829),"",E2829-MAX($F$2:F2828))</f>
        <v/>
      </c>
      <c r="H2829" s="98"/>
      <c r="I2829" s="76" t="str">
        <f ca="1">IF(D2829="N",COUNTIF(INDIRECT(ADDRESS(MATCH(Plages!$D$19,'Planning annuel mixing coater'!$B:$B),4)):D2829,"N"),IF(D2829="N1",COUNTIF($D$9:D2829,"N1"),""))</f>
        <v/>
      </c>
      <c r="J2829" s="99" t="str">
        <f>IF(D2829="","",COUNTA(D2816:D2829)-(COUNTA(D2829:D2829)-1))</f>
        <v/>
      </c>
    </row>
    <row r="2830" spans="1:10" ht="16.5" thickTop="1" thickBot="1">
      <c r="A2830" s="117"/>
      <c r="B2830" s="78">
        <f t="shared" si="181"/>
        <v>46622</v>
      </c>
      <c r="C2830" s="81" t="str">
        <f t="shared" si="178"/>
        <v>lundi</v>
      </c>
      <c r="D2830" s="89"/>
      <c r="E2830" s="115" t="str">
        <f t="shared" si="179"/>
        <v/>
      </c>
      <c r="F2830" s="115" t="str">
        <f t="shared" si="180"/>
        <v/>
      </c>
      <c r="G2830" s="116" t="str">
        <f>IF(ISNONTEXT(D2830),"",E2830-MAX($F$2:F2829))</f>
        <v/>
      </c>
      <c r="H2830" s="100"/>
      <c r="I2830" s="79" t="str">
        <f ca="1">IF(D2830="N",COUNTIF(INDIRECT(ADDRESS(MATCH(Plages!$D$19,'Planning annuel mixing coater'!$B:$B),4)):D2830,"N"),IF(D2830="N1",COUNTIF($D$9:D2830,"N1"),""))</f>
        <v/>
      </c>
      <c r="J2830" s="101" t="str">
        <f>IF(D2830="","",COUNTA(D2830:D2830)-(COUNTA(D2830:D2830)-1))</f>
        <v/>
      </c>
    </row>
    <row r="2831" spans="1:10" thickBot="1">
      <c r="A2831" s="117"/>
      <c r="B2831" s="70">
        <f t="shared" si="181"/>
        <v>46623</v>
      </c>
      <c r="C2831" s="82" t="str">
        <f t="shared" si="178"/>
        <v>mardi</v>
      </c>
      <c r="D2831" s="87"/>
      <c r="E2831" s="115" t="str">
        <f t="shared" si="179"/>
        <v/>
      </c>
      <c r="F2831" s="115" t="str">
        <f t="shared" si="180"/>
        <v/>
      </c>
      <c r="G2831" s="116" t="str">
        <f>IF(ISNONTEXT(D2831),"",E2831-MAX($F$2:F2830))</f>
        <v/>
      </c>
      <c r="H2831" s="97"/>
      <c r="I2831" s="74" t="str">
        <f ca="1">IF(D2831="N",COUNTIF(INDIRECT(ADDRESS(MATCH(Plages!$D$19,'Planning annuel mixing coater'!$B:$B),4)):D2831,"N"),IF(D2831="N1",COUNTIF($D$9:D2831,"N1"),""))</f>
        <v/>
      </c>
      <c r="J2831" s="96" t="str">
        <f>IF(D2831="","",COUNTA(D2830:D2831)-(COUNTA(D2831:D2831)-1))</f>
        <v/>
      </c>
    </row>
    <row r="2832" spans="1:10" thickBot="1">
      <c r="A2832" s="117"/>
      <c r="B2832" s="70">
        <f t="shared" si="181"/>
        <v>46624</v>
      </c>
      <c r="C2832" s="82" t="str">
        <f t="shared" si="178"/>
        <v>mercredi</v>
      </c>
      <c r="D2832" s="87"/>
      <c r="E2832" s="115" t="str">
        <f t="shared" si="179"/>
        <v/>
      </c>
      <c r="F2832" s="115" t="str">
        <f t="shared" si="180"/>
        <v/>
      </c>
      <c r="G2832" s="116" t="str">
        <f>IF(ISNONTEXT(D2832),"",E2832-MAX($F$2:F2831))</f>
        <v/>
      </c>
      <c r="H2832" s="97"/>
      <c r="I2832" s="74" t="str">
        <f ca="1">IF(D2832="N",COUNTIF(INDIRECT(ADDRESS(MATCH(Plages!$D$19,'Planning annuel mixing coater'!$B:$B),4)):D2832,"N"),IF(D2832="N1",COUNTIF($D$9:D2832,"N1"),""))</f>
        <v/>
      </c>
      <c r="J2832" s="96" t="str">
        <f>IF(D2832="","",COUNTA(D2830:D2832)-(COUNTA(D2832:D2832)-1))</f>
        <v/>
      </c>
    </row>
    <row r="2833" spans="1:10" thickBot="1">
      <c r="A2833" s="117"/>
      <c r="B2833" s="70">
        <f t="shared" si="181"/>
        <v>46625</v>
      </c>
      <c r="C2833" s="82" t="str">
        <f t="shared" si="178"/>
        <v>jeudi</v>
      </c>
      <c r="D2833" s="87"/>
      <c r="E2833" s="115" t="str">
        <f t="shared" si="179"/>
        <v/>
      </c>
      <c r="F2833" s="115" t="str">
        <f t="shared" si="180"/>
        <v/>
      </c>
      <c r="G2833" s="116" t="str">
        <f>IF(ISNONTEXT(D2833),"",E2833-MAX($F$2:F2832))</f>
        <v/>
      </c>
      <c r="H2833" s="97"/>
      <c r="I2833" s="74" t="str">
        <f ca="1">IF(D2833="N",COUNTIF(INDIRECT(ADDRESS(MATCH(Plages!$D$19,'Planning annuel mixing coater'!$B:$B),4)):D2833,"N"),IF(D2833="N1",COUNTIF($D$9:D2833,"N1"),""))</f>
        <v/>
      </c>
      <c r="J2833" s="96" t="str">
        <f>IF(D2833="","",COUNTA(D2830:D2833)-(COUNTA(D2833:D2833)-1))</f>
        <v/>
      </c>
    </row>
    <row r="2834" spans="1:10" thickBot="1">
      <c r="A2834" s="117"/>
      <c r="B2834" s="70">
        <f t="shared" si="181"/>
        <v>46626</v>
      </c>
      <c r="C2834" s="82" t="str">
        <f t="shared" si="178"/>
        <v>vendredi</v>
      </c>
      <c r="D2834" s="87"/>
      <c r="E2834" s="115" t="str">
        <f t="shared" si="179"/>
        <v/>
      </c>
      <c r="F2834" s="115" t="str">
        <f t="shared" si="180"/>
        <v/>
      </c>
      <c r="G2834" s="116" t="str">
        <f>IF(ISNONTEXT(D2834),"",E2834-MAX($F$2:F2833))</f>
        <v/>
      </c>
      <c r="H2834" s="97"/>
      <c r="I2834" s="74" t="str">
        <f ca="1">IF(D2834="N",COUNTIF(INDIRECT(ADDRESS(MATCH(Plages!$D$19,'Planning annuel mixing coater'!$B:$B),4)):D2834,"N"),IF(D2834="N1",COUNTIF($D$9:D2834,"N1"),""))</f>
        <v/>
      </c>
      <c r="J2834" s="96" t="str">
        <f>IF(D2834="","",COUNTA(D2830:D2834)-(COUNTA(D2834:D2834)-1))</f>
        <v/>
      </c>
    </row>
    <row r="2835" spans="1:10" thickBot="1">
      <c r="A2835" s="117"/>
      <c r="B2835" s="70">
        <f t="shared" si="181"/>
        <v>46627</v>
      </c>
      <c r="C2835" s="82" t="str">
        <f t="shared" si="178"/>
        <v>samedi</v>
      </c>
      <c r="D2835" s="87"/>
      <c r="E2835" s="115" t="str">
        <f t="shared" si="179"/>
        <v/>
      </c>
      <c r="F2835" s="115" t="str">
        <f t="shared" si="180"/>
        <v/>
      </c>
      <c r="G2835" s="116" t="str">
        <f>IF(ISNONTEXT(D2835),"",E2835-MAX($F$2:F2834))</f>
        <v/>
      </c>
      <c r="H2835" s="97"/>
      <c r="I2835" s="74" t="str">
        <f ca="1">IF(D2835="N",COUNTIF(INDIRECT(ADDRESS(MATCH(Plages!$D$19,'Planning annuel mixing coater'!$B:$B),4)):D2835,"N"),IF(D2835="N1",COUNTIF($D$9:D2835,"N1"),""))</f>
        <v/>
      </c>
      <c r="J2835" s="96" t="str">
        <f>IF(D2835="","",COUNTA(D2830:D2835)-(COUNTA(D2835:D2835)-1))</f>
        <v/>
      </c>
    </row>
    <row r="2836" spans="1:10" thickBot="1">
      <c r="A2836" s="117"/>
      <c r="B2836" s="70">
        <f t="shared" si="181"/>
        <v>46628</v>
      </c>
      <c r="C2836" s="82" t="str">
        <f t="shared" si="178"/>
        <v>dimanche</v>
      </c>
      <c r="D2836" s="87"/>
      <c r="E2836" s="115" t="str">
        <f t="shared" si="179"/>
        <v/>
      </c>
      <c r="F2836" s="115" t="str">
        <f t="shared" si="180"/>
        <v/>
      </c>
      <c r="G2836" s="116" t="str">
        <f>IF(ISNONTEXT(D2836),"",E2836-MAX($F$2:F2835))</f>
        <v/>
      </c>
      <c r="H2836" s="98"/>
      <c r="I2836" s="74" t="str">
        <f ca="1">IF(D2836="N",COUNTIF(INDIRECT(ADDRESS(MATCH(Plages!$D$19,'Planning annuel mixing coater'!$B:$B),4)):D2836,"N"),IF(D2836="N1",COUNTIF($D$9:D2836,"N1"),""))</f>
        <v/>
      </c>
      <c r="J2836" s="96" t="str">
        <f>IF(D2836="","",COUNTA(D2830:D2836)-(COUNTA(D2836:D2836)-1))</f>
        <v/>
      </c>
    </row>
    <row r="2837" spans="1:10" thickBot="1">
      <c r="A2837" s="117"/>
      <c r="B2837" s="70">
        <f t="shared" si="181"/>
        <v>46629</v>
      </c>
      <c r="C2837" s="82" t="str">
        <f t="shared" si="178"/>
        <v>lundi</v>
      </c>
      <c r="D2837" s="87"/>
      <c r="E2837" s="115" t="str">
        <f t="shared" si="179"/>
        <v/>
      </c>
      <c r="F2837" s="115" t="str">
        <f t="shared" si="180"/>
        <v/>
      </c>
      <c r="G2837" s="116" t="str">
        <f>IF(ISNONTEXT(D2837),"",E2837-MAX($F$2:F2836))</f>
        <v/>
      </c>
      <c r="H2837" s="97"/>
      <c r="I2837" s="74" t="str">
        <f ca="1">IF(D2837="N",COUNTIF(INDIRECT(ADDRESS(MATCH(Plages!$D$19,'Planning annuel mixing coater'!$B:$B),4)):D2837,"N"),IF(D2837="N1",COUNTIF($D$9:D2837,"N1"),""))</f>
        <v/>
      </c>
      <c r="J2837" s="96" t="str">
        <f>IF(D2837="","",COUNTA(D2830:D2837)-(COUNTA(D2837:D2837)-1))</f>
        <v/>
      </c>
    </row>
    <row r="2838" spans="1:10" thickBot="1">
      <c r="A2838" s="117"/>
      <c r="B2838" s="70">
        <f t="shared" si="181"/>
        <v>46630</v>
      </c>
      <c r="C2838" s="82" t="str">
        <f t="shared" si="178"/>
        <v>mardi</v>
      </c>
      <c r="D2838" s="87"/>
      <c r="E2838" s="115" t="str">
        <f t="shared" si="179"/>
        <v/>
      </c>
      <c r="F2838" s="115" t="str">
        <f t="shared" si="180"/>
        <v/>
      </c>
      <c r="G2838" s="116" t="str">
        <f>IF(ISNONTEXT(D2838),"",E2838-MAX($F$2:F2837))</f>
        <v/>
      </c>
      <c r="H2838" s="97"/>
      <c r="I2838" s="74" t="str">
        <f ca="1">IF(D2838="N",COUNTIF(INDIRECT(ADDRESS(MATCH(Plages!$D$19,'Planning annuel mixing coater'!$B:$B),4)):D2838,"N"),IF(D2838="N1",COUNTIF($D$9:D2838,"N1"),""))</f>
        <v/>
      </c>
      <c r="J2838" s="96" t="str">
        <f>IF(D2838="","",COUNTA(D2830:D2838)-(COUNTA(D2838:D2838)-1))</f>
        <v/>
      </c>
    </row>
    <row r="2839" spans="1:10" thickBot="1">
      <c r="A2839" s="117"/>
      <c r="B2839" s="70">
        <f t="shared" si="181"/>
        <v>46631</v>
      </c>
      <c r="C2839" s="82" t="str">
        <f t="shared" si="178"/>
        <v>mercredi</v>
      </c>
      <c r="D2839" s="87"/>
      <c r="E2839" s="115" t="str">
        <f t="shared" si="179"/>
        <v/>
      </c>
      <c r="F2839" s="115" t="str">
        <f t="shared" si="180"/>
        <v/>
      </c>
      <c r="G2839" s="116" t="str">
        <f>IF(ISNONTEXT(D2839),"",E2839-MAX($F$2:F2838))</f>
        <v/>
      </c>
      <c r="H2839" s="97"/>
      <c r="I2839" s="74" t="str">
        <f ca="1">IF(D2839="N",COUNTIF(INDIRECT(ADDRESS(MATCH(Plages!$D$19,'Planning annuel mixing coater'!$B:$B),4)):D2839,"N"),IF(D2839="N1",COUNTIF($D$9:D2839,"N1"),""))</f>
        <v/>
      </c>
      <c r="J2839" s="96" t="str">
        <f>IF(D2839="","",COUNTA(D2830:D2839)-(COUNTA(D2839:D2839)-1))</f>
        <v/>
      </c>
    </row>
    <row r="2840" spans="1:10" thickBot="1">
      <c r="A2840" s="117"/>
      <c r="B2840" s="70">
        <f t="shared" si="181"/>
        <v>46632</v>
      </c>
      <c r="C2840" s="82" t="str">
        <f t="shared" si="178"/>
        <v>jeudi</v>
      </c>
      <c r="D2840" s="87"/>
      <c r="E2840" s="115" t="str">
        <f t="shared" si="179"/>
        <v/>
      </c>
      <c r="F2840" s="115" t="str">
        <f t="shared" si="180"/>
        <v/>
      </c>
      <c r="G2840" s="116" t="str">
        <f>IF(ISNONTEXT(D2840),"",E2840-MAX($F$2:F2839))</f>
        <v/>
      </c>
      <c r="H2840" s="97"/>
      <c r="I2840" s="74" t="str">
        <f ca="1">IF(D2840="N",COUNTIF(INDIRECT(ADDRESS(MATCH(Plages!$D$19,'Planning annuel mixing coater'!$B:$B),4)):D2840,"N"),IF(D2840="N1",COUNTIF($D$9:D2840,"N1"),""))</f>
        <v/>
      </c>
      <c r="J2840" s="96" t="str">
        <f>IF(D2840="","",COUNTA(D2830:D2840)-(COUNTA(D2840:D2840)-1))</f>
        <v/>
      </c>
    </row>
    <row r="2841" spans="1:10" thickBot="1">
      <c r="A2841" s="117"/>
      <c r="B2841" s="70">
        <f t="shared" si="181"/>
        <v>46633</v>
      </c>
      <c r="C2841" s="82" t="str">
        <f t="shared" si="178"/>
        <v>vendredi</v>
      </c>
      <c r="D2841" s="87"/>
      <c r="E2841" s="115" t="str">
        <f t="shared" si="179"/>
        <v/>
      </c>
      <c r="F2841" s="115" t="str">
        <f t="shared" si="180"/>
        <v/>
      </c>
      <c r="G2841" s="116" t="str">
        <f>IF(ISNONTEXT(D2841),"",E2841-MAX($F$2:F2840))</f>
        <v/>
      </c>
      <c r="H2841" s="97"/>
      <c r="I2841" s="74" t="str">
        <f ca="1">IF(D2841="N",COUNTIF(INDIRECT(ADDRESS(MATCH(Plages!$D$19,'Planning annuel mixing coater'!$B:$B),4)):D2841,"N"),IF(D2841="N1",COUNTIF($D$9:D2841,"N1"),""))</f>
        <v/>
      </c>
      <c r="J2841" s="96" t="str">
        <f>IF(D2841="","",COUNTA(D2830:D2841)-(COUNTA(D2841:D2841)-1))</f>
        <v/>
      </c>
    </row>
    <row r="2842" spans="1:10" thickBot="1">
      <c r="A2842" s="117"/>
      <c r="B2842" s="70">
        <f t="shared" si="181"/>
        <v>46634</v>
      </c>
      <c r="C2842" s="82" t="str">
        <f t="shared" si="178"/>
        <v>samedi</v>
      </c>
      <c r="D2842" s="87"/>
      <c r="E2842" s="115" t="str">
        <f t="shared" si="179"/>
        <v/>
      </c>
      <c r="F2842" s="115" t="str">
        <f t="shared" si="180"/>
        <v/>
      </c>
      <c r="G2842" s="116" t="str">
        <f>IF(ISNONTEXT(D2842),"",E2842-MAX($F$2:F2841))</f>
        <v/>
      </c>
      <c r="H2842" s="97"/>
      <c r="I2842" s="74" t="str">
        <f ca="1">IF(D2842="N",COUNTIF(INDIRECT(ADDRESS(MATCH(Plages!$D$19,'Planning annuel mixing coater'!$B:$B),4)):D2842,"N"),IF(D2842="N1",COUNTIF($D$9:D2842,"N1"),""))</f>
        <v/>
      </c>
      <c r="J2842" s="96" t="str">
        <f>IF(D2842="","",COUNTA(D2830:D2842)-(COUNTA(D2842:D2842)-1))</f>
        <v/>
      </c>
    </row>
    <row r="2843" spans="1:10" s="77" customFormat="1" thickBot="1">
      <c r="A2843" s="117"/>
      <c r="B2843" s="75">
        <f t="shared" si="181"/>
        <v>46635</v>
      </c>
      <c r="C2843" s="83" t="str">
        <f t="shared" si="178"/>
        <v>dimanche</v>
      </c>
      <c r="D2843" s="88"/>
      <c r="E2843" s="115" t="str">
        <f t="shared" si="179"/>
        <v/>
      </c>
      <c r="F2843" s="115" t="str">
        <f t="shared" si="180"/>
        <v/>
      </c>
      <c r="G2843" s="116" t="str">
        <f>IF(ISNONTEXT(D2843),"",E2843-MAX($F$2:F2842))</f>
        <v/>
      </c>
      <c r="H2843" s="98"/>
      <c r="I2843" s="76" t="str">
        <f ca="1">IF(D2843="N",COUNTIF(INDIRECT(ADDRESS(MATCH(Plages!$D$19,'Planning annuel mixing coater'!$B:$B),4)):D2843,"N"),IF(D2843="N1",COUNTIF($D$9:D2843,"N1"),""))</f>
        <v/>
      </c>
      <c r="J2843" s="99" t="str">
        <f>IF(D2843="","",COUNTA(D2830:D2843)-(COUNTA(D2843:D2843)-1))</f>
        <v/>
      </c>
    </row>
    <row r="2844" spans="1:10" ht="16.5" thickTop="1" thickBot="1">
      <c r="A2844" s="117"/>
      <c r="B2844" s="78">
        <f t="shared" si="181"/>
        <v>46636</v>
      </c>
      <c r="C2844" s="81" t="str">
        <f t="shared" si="178"/>
        <v>lundi</v>
      </c>
      <c r="D2844" s="89"/>
      <c r="E2844" s="115" t="str">
        <f t="shared" si="179"/>
        <v/>
      </c>
      <c r="F2844" s="115" t="str">
        <f t="shared" si="180"/>
        <v/>
      </c>
      <c r="G2844" s="116" t="str">
        <f>IF(ISNONTEXT(D2844),"",E2844-MAX($F$2:F2843))</f>
        <v/>
      </c>
      <c r="H2844" s="100"/>
      <c r="I2844" s="79" t="str">
        <f ca="1">IF(D2844="N",COUNTIF(INDIRECT(ADDRESS(MATCH(Plages!$D$19,'Planning annuel mixing coater'!$B:$B),4)):D2844,"N"),IF(D2844="N1",COUNTIF($D$9:D2844,"N1"),""))</f>
        <v/>
      </c>
      <c r="J2844" s="101" t="str">
        <f>IF(D2844="","",COUNTA(D2844:D2844)-(COUNTA(D2844:D2844)-1))</f>
        <v/>
      </c>
    </row>
    <row r="2845" spans="1:10" thickBot="1">
      <c r="A2845" s="117"/>
      <c r="B2845" s="70">
        <f t="shared" si="181"/>
        <v>46637</v>
      </c>
      <c r="C2845" s="82" t="str">
        <f t="shared" si="178"/>
        <v>mardi</v>
      </c>
      <c r="D2845" s="87"/>
      <c r="E2845" s="115" t="str">
        <f t="shared" si="179"/>
        <v/>
      </c>
      <c r="F2845" s="115" t="str">
        <f t="shared" si="180"/>
        <v/>
      </c>
      <c r="G2845" s="116" t="str">
        <f>IF(ISNONTEXT(D2845),"",E2845-MAX($F$2:F2844))</f>
        <v/>
      </c>
      <c r="H2845" s="97"/>
      <c r="I2845" s="74" t="str">
        <f ca="1">IF(D2845="N",COUNTIF(INDIRECT(ADDRESS(MATCH(Plages!$D$19,'Planning annuel mixing coater'!$B:$B),4)):D2845,"N"),IF(D2845="N1",COUNTIF($D$9:D2845,"N1"),""))</f>
        <v/>
      </c>
      <c r="J2845" s="96" t="str">
        <f>IF(D2845="","",COUNTA(D2844:D2845)-(COUNTA(D2845:D2845)-1))</f>
        <v/>
      </c>
    </row>
    <row r="2846" spans="1:10" thickBot="1">
      <c r="A2846" s="117"/>
      <c r="B2846" s="70">
        <f t="shared" si="181"/>
        <v>46638</v>
      </c>
      <c r="C2846" s="82" t="str">
        <f t="shared" ref="C2846:C2909" si="182">IF(B2846="","",TEXT(B2846,"jjjj"))</f>
        <v>mercredi</v>
      </c>
      <c r="D2846" s="87"/>
      <c r="E2846" s="115" t="str">
        <f t="shared" ref="E2846:E2909" si="183">IF(D2846="","",B2846+VLOOKUP(D2846,Plageh,2,0))</f>
        <v/>
      </c>
      <c r="F2846" s="115" t="str">
        <f t="shared" ref="F2846:F2909" si="184">IF(D2846="","",B2846+VLOOKUP(D2846,Plageh,3,0))</f>
        <v/>
      </c>
      <c r="G2846" s="116" t="str">
        <f>IF(ISNONTEXT(D2846),"",E2846-MAX($F$2:F2845))</f>
        <v/>
      </c>
      <c r="H2846" s="97"/>
      <c r="I2846" s="74" t="str">
        <f ca="1">IF(D2846="N",COUNTIF(INDIRECT(ADDRESS(MATCH(Plages!$D$19,'Planning annuel mixing coater'!$B:$B),4)):D2846,"N"),IF(D2846="N1",COUNTIF($D$9:D2846,"N1"),""))</f>
        <v/>
      </c>
      <c r="J2846" s="96" t="str">
        <f>IF(D2846="","",COUNTA(D2844:D2846)-(COUNTA(D2846:D2846)-1))</f>
        <v/>
      </c>
    </row>
    <row r="2847" spans="1:10" thickBot="1">
      <c r="A2847" s="117"/>
      <c r="B2847" s="70">
        <f t="shared" si="181"/>
        <v>46639</v>
      </c>
      <c r="C2847" s="82" t="str">
        <f t="shared" si="182"/>
        <v>jeudi</v>
      </c>
      <c r="D2847" s="87"/>
      <c r="E2847" s="115" t="str">
        <f t="shared" si="183"/>
        <v/>
      </c>
      <c r="F2847" s="115" t="str">
        <f t="shared" si="184"/>
        <v/>
      </c>
      <c r="G2847" s="116" t="str">
        <f>IF(ISNONTEXT(D2847),"",E2847-MAX($F$2:F2846))</f>
        <v/>
      </c>
      <c r="H2847" s="97"/>
      <c r="I2847" s="74" t="str">
        <f ca="1">IF(D2847="N",COUNTIF(INDIRECT(ADDRESS(MATCH(Plages!$D$19,'Planning annuel mixing coater'!$B:$B),4)):D2847,"N"),IF(D2847="N1",COUNTIF($D$9:D2847,"N1"),""))</f>
        <v/>
      </c>
      <c r="J2847" s="96" t="str">
        <f>IF(D2847="","",COUNTA(D2844:D2847)-(COUNTA(D2847:D2847)-1))</f>
        <v/>
      </c>
    </row>
    <row r="2848" spans="1:10" thickBot="1">
      <c r="A2848" s="117"/>
      <c r="B2848" s="70">
        <f t="shared" si="181"/>
        <v>46640</v>
      </c>
      <c r="C2848" s="82" t="str">
        <f t="shared" si="182"/>
        <v>vendredi</v>
      </c>
      <c r="D2848" s="87"/>
      <c r="E2848" s="115" t="str">
        <f t="shared" si="183"/>
        <v/>
      </c>
      <c r="F2848" s="115" t="str">
        <f t="shared" si="184"/>
        <v/>
      </c>
      <c r="G2848" s="116" t="str">
        <f>IF(ISNONTEXT(D2848),"",E2848-MAX($F$2:F2847))</f>
        <v/>
      </c>
      <c r="H2848" s="97"/>
      <c r="I2848" s="74" t="str">
        <f ca="1">IF(D2848="N",COUNTIF(INDIRECT(ADDRESS(MATCH(Plages!$D$19,'Planning annuel mixing coater'!$B:$B),4)):D2848,"N"),IF(D2848="N1",COUNTIF($D$9:D2848,"N1"),""))</f>
        <v/>
      </c>
      <c r="J2848" s="96" t="str">
        <f>IF(D2848="","",COUNTA(D2844:D2848)-(COUNTA(D2848:D2848)-1))</f>
        <v/>
      </c>
    </row>
    <row r="2849" spans="1:10" thickBot="1">
      <c r="A2849" s="117"/>
      <c r="B2849" s="70">
        <f t="shared" si="181"/>
        <v>46641</v>
      </c>
      <c r="C2849" s="82" t="str">
        <f t="shared" si="182"/>
        <v>samedi</v>
      </c>
      <c r="D2849" s="87"/>
      <c r="E2849" s="115" t="str">
        <f t="shared" si="183"/>
        <v/>
      </c>
      <c r="F2849" s="115" t="str">
        <f t="shared" si="184"/>
        <v/>
      </c>
      <c r="G2849" s="116" t="str">
        <f>IF(ISNONTEXT(D2849),"",E2849-MAX($F$2:F2848))</f>
        <v/>
      </c>
      <c r="H2849" s="97"/>
      <c r="I2849" s="74" t="str">
        <f ca="1">IF(D2849="N",COUNTIF(INDIRECT(ADDRESS(MATCH(Plages!$D$19,'Planning annuel mixing coater'!$B:$B),4)):D2849,"N"),IF(D2849="N1",COUNTIF($D$9:D2849,"N1"),""))</f>
        <v/>
      </c>
      <c r="J2849" s="96" t="str">
        <f>IF(D2849="","",COUNTA(D2844:D2849)-(COUNTA(D2849:D2849)-1))</f>
        <v/>
      </c>
    </row>
    <row r="2850" spans="1:10" thickBot="1">
      <c r="A2850" s="117"/>
      <c r="B2850" s="70">
        <f t="shared" si="181"/>
        <v>46642</v>
      </c>
      <c r="C2850" s="82" t="str">
        <f t="shared" si="182"/>
        <v>dimanche</v>
      </c>
      <c r="D2850" s="87"/>
      <c r="E2850" s="115" t="str">
        <f t="shared" si="183"/>
        <v/>
      </c>
      <c r="F2850" s="115" t="str">
        <f t="shared" si="184"/>
        <v/>
      </c>
      <c r="G2850" s="116" t="str">
        <f>IF(ISNONTEXT(D2850),"",E2850-MAX($F$2:F2849))</f>
        <v/>
      </c>
      <c r="H2850" s="98"/>
      <c r="I2850" s="74" t="str">
        <f ca="1">IF(D2850="N",COUNTIF(INDIRECT(ADDRESS(MATCH(Plages!$D$19,'Planning annuel mixing coater'!$B:$B),4)):D2850,"N"),IF(D2850="N1",COUNTIF($D$9:D2850,"N1"),""))</f>
        <v/>
      </c>
      <c r="J2850" s="96" t="str">
        <f>IF(D2850="","",COUNTA(D2844:D2850)-(COUNTA(D2850:D2850)-1))</f>
        <v/>
      </c>
    </row>
    <row r="2851" spans="1:10" thickBot="1">
      <c r="A2851" s="117"/>
      <c r="B2851" s="70">
        <f t="shared" si="181"/>
        <v>46643</v>
      </c>
      <c r="C2851" s="82" t="str">
        <f t="shared" si="182"/>
        <v>lundi</v>
      </c>
      <c r="D2851" s="87"/>
      <c r="E2851" s="115" t="str">
        <f t="shared" si="183"/>
        <v/>
      </c>
      <c r="F2851" s="115" t="str">
        <f t="shared" si="184"/>
        <v/>
      </c>
      <c r="G2851" s="116" t="str">
        <f>IF(ISNONTEXT(D2851),"",E2851-MAX($F$2:F2850))</f>
        <v/>
      </c>
      <c r="H2851" s="97"/>
      <c r="I2851" s="74" t="str">
        <f ca="1">IF(D2851="N",COUNTIF(INDIRECT(ADDRESS(MATCH(Plages!$D$19,'Planning annuel mixing coater'!$B:$B),4)):D2851,"N"),IF(D2851="N1",COUNTIF($D$9:D2851,"N1"),""))</f>
        <v/>
      </c>
      <c r="J2851" s="96" t="str">
        <f>IF(D2851="","",COUNTA(D2844:D2851)-(COUNTA(D2851:D2851)-1))</f>
        <v/>
      </c>
    </row>
    <row r="2852" spans="1:10" thickBot="1">
      <c r="A2852" s="117"/>
      <c r="B2852" s="70">
        <f t="shared" si="181"/>
        <v>46644</v>
      </c>
      <c r="C2852" s="82" t="str">
        <f t="shared" si="182"/>
        <v>mardi</v>
      </c>
      <c r="D2852" s="87"/>
      <c r="E2852" s="115" t="str">
        <f t="shared" si="183"/>
        <v/>
      </c>
      <c r="F2852" s="115" t="str">
        <f t="shared" si="184"/>
        <v/>
      </c>
      <c r="G2852" s="116" t="str">
        <f>IF(ISNONTEXT(D2852),"",E2852-MAX($F$2:F2851))</f>
        <v/>
      </c>
      <c r="H2852" s="97"/>
      <c r="I2852" s="74" t="str">
        <f ca="1">IF(D2852="N",COUNTIF(INDIRECT(ADDRESS(MATCH(Plages!$D$19,'Planning annuel mixing coater'!$B:$B),4)):D2852,"N"),IF(D2852="N1",COUNTIF($D$9:D2852,"N1"),""))</f>
        <v/>
      </c>
      <c r="J2852" s="96" t="str">
        <f>IF(D2852="","",COUNTA(D2844:D2852)-(COUNTA(D2852:D2852)-1))</f>
        <v/>
      </c>
    </row>
    <row r="2853" spans="1:10" thickBot="1">
      <c r="A2853" s="117"/>
      <c r="B2853" s="70">
        <f t="shared" si="181"/>
        <v>46645</v>
      </c>
      <c r="C2853" s="82" t="str">
        <f t="shared" si="182"/>
        <v>mercredi</v>
      </c>
      <c r="D2853" s="87"/>
      <c r="E2853" s="115" t="str">
        <f t="shared" si="183"/>
        <v/>
      </c>
      <c r="F2853" s="115" t="str">
        <f t="shared" si="184"/>
        <v/>
      </c>
      <c r="G2853" s="116" t="str">
        <f>IF(ISNONTEXT(D2853),"",E2853-MAX($F$2:F2852))</f>
        <v/>
      </c>
      <c r="H2853" s="97"/>
      <c r="I2853" s="74" t="str">
        <f ca="1">IF(D2853="N",COUNTIF(INDIRECT(ADDRESS(MATCH(Plages!$D$19,'Planning annuel mixing coater'!$B:$B),4)):D2853,"N"),IF(D2853="N1",COUNTIF($D$9:D2853,"N1"),""))</f>
        <v/>
      </c>
      <c r="J2853" s="96" t="str">
        <f>IF(D2853="","",COUNTA(D2844:D2853)-(COUNTA(D2853:D2853)-1))</f>
        <v/>
      </c>
    </row>
    <row r="2854" spans="1:10" thickBot="1">
      <c r="A2854" s="117"/>
      <c r="B2854" s="70">
        <f t="shared" si="181"/>
        <v>46646</v>
      </c>
      <c r="C2854" s="82" t="str">
        <f t="shared" si="182"/>
        <v>jeudi</v>
      </c>
      <c r="D2854" s="87"/>
      <c r="E2854" s="115" t="str">
        <f t="shared" si="183"/>
        <v/>
      </c>
      <c r="F2854" s="115" t="str">
        <f t="shared" si="184"/>
        <v/>
      </c>
      <c r="G2854" s="116" t="str">
        <f>IF(ISNONTEXT(D2854),"",E2854-MAX($F$2:F2853))</f>
        <v/>
      </c>
      <c r="H2854" s="97"/>
      <c r="I2854" s="74" t="str">
        <f ca="1">IF(D2854="N",COUNTIF(INDIRECT(ADDRESS(MATCH(Plages!$D$19,'Planning annuel mixing coater'!$B:$B),4)):D2854,"N"),IF(D2854="N1",COUNTIF($D$9:D2854,"N1"),""))</f>
        <v/>
      </c>
      <c r="J2854" s="96" t="str">
        <f>IF(D2854="","",COUNTA(D2844:D2854)-(COUNTA(D2854:D2854)-1))</f>
        <v/>
      </c>
    </row>
    <row r="2855" spans="1:10" thickBot="1">
      <c r="A2855" s="117"/>
      <c r="B2855" s="70">
        <f t="shared" si="181"/>
        <v>46647</v>
      </c>
      <c r="C2855" s="82" t="str">
        <f t="shared" si="182"/>
        <v>vendredi</v>
      </c>
      <c r="D2855" s="87"/>
      <c r="E2855" s="115" t="str">
        <f t="shared" si="183"/>
        <v/>
      </c>
      <c r="F2855" s="115" t="str">
        <f t="shared" si="184"/>
        <v/>
      </c>
      <c r="G2855" s="116" t="str">
        <f>IF(ISNONTEXT(D2855),"",E2855-MAX($F$2:F2854))</f>
        <v/>
      </c>
      <c r="H2855" s="97"/>
      <c r="I2855" s="74" t="str">
        <f ca="1">IF(D2855="N",COUNTIF(INDIRECT(ADDRESS(MATCH(Plages!$D$19,'Planning annuel mixing coater'!$B:$B),4)):D2855,"N"),IF(D2855="N1",COUNTIF($D$9:D2855,"N1"),""))</f>
        <v/>
      </c>
      <c r="J2855" s="96" t="str">
        <f>IF(D2855="","",COUNTA(D2844:D2855)-(COUNTA(D2855:D2855)-1))</f>
        <v/>
      </c>
    </row>
    <row r="2856" spans="1:10" thickBot="1">
      <c r="A2856" s="117"/>
      <c r="B2856" s="70">
        <f t="shared" si="181"/>
        <v>46648</v>
      </c>
      <c r="C2856" s="82" t="str">
        <f t="shared" si="182"/>
        <v>samedi</v>
      </c>
      <c r="D2856" s="87"/>
      <c r="E2856" s="115" t="str">
        <f t="shared" si="183"/>
        <v/>
      </c>
      <c r="F2856" s="115" t="str">
        <f t="shared" si="184"/>
        <v/>
      </c>
      <c r="G2856" s="116" t="str">
        <f>IF(ISNONTEXT(D2856),"",E2856-MAX($F$2:F2855))</f>
        <v/>
      </c>
      <c r="H2856" s="97"/>
      <c r="I2856" s="74" t="str">
        <f ca="1">IF(D2856="N",COUNTIF(INDIRECT(ADDRESS(MATCH(Plages!$D$19,'Planning annuel mixing coater'!$B:$B),4)):D2856,"N"),IF(D2856="N1",COUNTIF($D$9:D2856,"N1"),""))</f>
        <v/>
      </c>
      <c r="J2856" s="96" t="str">
        <f>IF(D2856="","",COUNTA(D2844:D2856)-(COUNTA(D2856:D2856)-1))</f>
        <v/>
      </c>
    </row>
    <row r="2857" spans="1:10" s="77" customFormat="1" thickBot="1">
      <c r="A2857" s="117"/>
      <c r="B2857" s="75">
        <f t="shared" si="181"/>
        <v>46649</v>
      </c>
      <c r="C2857" s="83" t="str">
        <f t="shared" si="182"/>
        <v>dimanche</v>
      </c>
      <c r="D2857" s="88"/>
      <c r="E2857" s="115" t="str">
        <f t="shared" si="183"/>
        <v/>
      </c>
      <c r="F2857" s="115" t="str">
        <f t="shared" si="184"/>
        <v/>
      </c>
      <c r="G2857" s="116" t="str">
        <f>IF(ISNONTEXT(D2857),"",E2857-MAX($F$2:F2856))</f>
        <v/>
      </c>
      <c r="H2857" s="98"/>
      <c r="I2857" s="76" t="str">
        <f ca="1">IF(D2857="N",COUNTIF(INDIRECT(ADDRESS(MATCH(Plages!$D$19,'Planning annuel mixing coater'!$B:$B),4)):D2857,"N"),IF(D2857="N1",COUNTIF($D$9:D2857,"N1"),""))</f>
        <v/>
      </c>
      <c r="J2857" s="99" t="str">
        <f>IF(D2857="","",COUNTA(D2844:D2857)-(COUNTA(D2857:D2857)-1))</f>
        <v/>
      </c>
    </row>
    <row r="2858" spans="1:10" ht="16.5" thickTop="1" thickBot="1">
      <c r="A2858" s="117"/>
      <c r="B2858" s="78">
        <f t="shared" si="181"/>
        <v>46650</v>
      </c>
      <c r="C2858" s="81" t="str">
        <f t="shared" si="182"/>
        <v>lundi</v>
      </c>
      <c r="D2858" s="89"/>
      <c r="E2858" s="115" t="str">
        <f t="shared" si="183"/>
        <v/>
      </c>
      <c r="F2858" s="115" t="str">
        <f t="shared" si="184"/>
        <v/>
      </c>
      <c r="G2858" s="116" t="str">
        <f>IF(ISNONTEXT(D2858),"",E2858-MAX($F$2:F2857))</f>
        <v/>
      </c>
      <c r="H2858" s="100"/>
      <c r="I2858" s="79" t="str">
        <f ca="1">IF(D2858="N",COUNTIF(INDIRECT(ADDRESS(MATCH(Plages!$D$19,'Planning annuel mixing coater'!$B:$B),4)):D2858,"N"),IF(D2858="N1",COUNTIF($D$9:D2858,"N1"),""))</f>
        <v/>
      </c>
      <c r="J2858" s="101" t="str">
        <f>IF(D2858="","",COUNTA(D2858:D2858)-(COUNTA(D2858:D2858)-1))</f>
        <v/>
      </c>
    </row>
    <row r="2859" spans="1:10" thickBot="1">
      <c r="A2859" s="117"/>
      <c r="B2859" s="70">
        <f t="shared" si="181"/>
        <v>46651</v>
      </c>
      <c r="C2859" s="82" t="str">
        <f t="shared" si="182"/>
        <v>mardi</v>
      </c>
      <c r="D2859" s="87"/>
      <c r="E2859" s="115" t="str">
        <f t="shared" si="183"/>
        <v/>
      </c>
      <c r="F2859" s="115" t="str">
        <f t="shared" si="184"/>
        <v/>
      </c>
      <c r="G2859" s="116" t="str">
        <f>IF(ISNONTEXT(D2859),"",E2859-MAX($F$2:F2858))</f>
        <v/>
      </c>
      <c r="H2859" s="97"/>
      <c r="I2859" s="74" t="str">
        <f ca="1">IF(D2859="N",COUNTIF(INDIRECT(ADDRESS(MATCH(Plages!$D$19,'Planning annuel mixing coater'!$B:$B),4)):D2859,"N"),IF(D2859="N1",COUNTIF($D$9:D2859,"N1"),""))</f>
        <v/>
      </c>
      <c r="J2859" s="96" t="str">
        <f>IF(D2859="","",COUNTA(D2858:D2859)-(COUNTA(D2859:D2859)-1))</f>
        <v/>
      </c>
    </row>
    <row r="2860" spans="1:10" thickBot="1">
      <c r="A2860" s="117"/>
      <c r="B2860" s="70">
        <f t="shared" si="181"/>
        <v>46652</v>
      </c>
      <c r="C2860" s="82" t="str">
        <f t="shared" si="182"/>
        <v>mercredi</v>
      </c>
      <c r="D2860" s="87"/>
      <c r="E2860" s="115" t="str">
        <f t="shared" si="183"/>
        <v/>
      </c>
      <c r="F2860" s="115" t="str">
        <f t="shared" si="184"/>
        <v/>
      </c>
      <c r="G2860" s="116" t="str">
        <f>IF(ISNONTEXT(D2860),"",E2860-MAX($F$2:F2859))</f>
        <v/>
      </c>
      <c r="H2860" s="97"/>
      <c r="I2860" s="74" t="str">
        <f ca="1">IF(D2860="N",COUNTIF(INDIRECT(ADDRESS(MATCH(Plages!$D$19,'Planning annuel mixing coater'!$B:$B),4)):D2860,"N"),IF(D2860="N1",COUNTIF($D$9:D2860,"N1"),""))</f>
        <v/>
      </c>
      <c r="J2860" s="96" t="str">
        <f>IF(D2860="","",COUNTA(D2858:D2860)-(COUNTA(D2860:D2860)-1))</f>
        <v/>
      </c>
    </row>
    <row r="2861" spans="1:10" thickBot="1">
      <c r="A2861" s="117"/>
      <c r="B2861" s="70">
        <f t="shared" si="181"/>
        <v>46653</v>
      </c>
      <c r="C2861" s="82" t="str">
        <f t="shared" si="182"/>
        <v>jeudi</v>
      </c>
      <c r="D2861" s="87"/>
      <c r="E2861" s="115" t="str">
        <f t="shared" si="183"/>
        <v/>
      </c>
      <c r="F2861" s="115" t="str">
        <f t="shared" si="184"/>
        <v/>
      </c>
      <c r="G2861" s="116" t="str">
        <f>IF(ISNONTEXT(D2861),"",E2861-MAX($F$2:F2860))</f>
        <v/>
      </c>
      <c r="H2861" s="97"/>
      <c r="I2861" s="74" t="str">
        <f ca="1">IF(D2861="N",COUNTIF(INDIRECT(ADDRESS(MATCH(Plages!$D$19,'Planning annuel mixing coater'!$B:$B),4)):D2861,"N"),IF(D2861="N1",COUNTIF($D$9:D2861,"N1"),""))</f>
        <v/>
      </c>
      <c r="J2861" s="96" t="str">
        <f>IF(D2861="","",COUNTA(D2858:D2861)-(COUNTA(D2861:D2861)-1))</f>
        <v/>
      </c>
    </row>
    <row r="2862" spans="1:10" thickBot="1">
      <c r="A2862" s="117"/>
      <c r="B2862" s="70">
        <f t="shared" si="181"/>
        <v>46654</v>
      </c>
      <c r="C2862" s="82" t="str">
        <f t="shared" si="182"/>
        <v>vendredi</v>
      </c>
      <c r="D2862" s="87"/>
      <c r="E2862" s="115" t="str">
        <f t="shared" si="183"/>
        <v/>
      </c>
      <c r="F2862" s="115" t="str">
        <f t="shared" si="184"/>
        <v/>
      </c>
      <c r="G2862" s="116" t="str">
        <f>IF(ISNONTEXT(D2862),"",E2862-MAX($F$2:F2861))</f>
        <v/>
      </c>
      <c r="H2862" s="97"/>
      <c r="I2862" s="74" t="str">
        <f ca="1">IF(D2862="N",COUNTIF(INDIRECT(ADDRESS(MATCH(Plages!$D$19,'Planning annuel mixing coater'!$B:$B),4)):D2862,"N"),IF(D2862="N1",COUNTIF($D$9:D2862,"N1"),""))</f>
        <v/>
      </c>
      <c r="J2862" s="96" t="str">
        <f>IF(D2862="","",COUNTA(D2858:D2862)-(COUNTA(D2862:D2862)-1))</f>
        <v/>
      </c>
    </row>
    <row r="2863" spans="1:10" thickBot="1">
      <c r="A2863" s="117"/>
      <c r="B2863" s="70">
        <f t="shared" si="181"/>
        <v>46655</v>
      </c>
      <c r="C2863" s="82" t="str">
        <f t="shared" si="182"/>
        <v>samedi</v>
      </c>
      <c r="D2863" s="87"/>
      <c r="E2863" s="115" t="str">
        <f t="shared" si="183"/>
        <v/>
      </c>
      <c r="F2863" s="115" t="str">
        <f t="shared" si="184"/>
        <v/>
      </c>
      <c r="G2863" s="116" t="str">
        <f>IF(ISNONTEXT(D2863),"",E2863-MAX($F$2:F2862))</f>
        <v/>
      </c>
      <c r="H2863" s="97"/>
      <c r="I2863" s="74" t="str">
        <f ca="1">IF(D2863="N",COUNTIF(INDIRECT(ADDRESS(MATCH(Plages!$D$19,'Planning annuel mixing coater'!$B:$B),4)):D2863,"N"),IF(D2863="N1",COUNTIF($D$9:D2863,"N1"),""))</f>
        <v/>
      </c>
      <c r="J2863" s="96" t="str">
        <f>IF(D2863="","",COUNTA(D2858:D2863)-(COUNTA(D2863:D2863)-1))</f>
        <v/>
      </c>
    </row>
    <row r="2864" spans="1:10" thickBot="1">
      <c r="A2864" s="117"/>
      <c r="B2864" s="70">
        <f t="shared" si="181"/>
        <v>46656</v>
      </c>
      <c r="C2864" s="82" t="str">
        <f t="shared" si="182"/>
        <v>dimanche</v>
      </c>
      <c r="D2864" s="87"/>
      <c r="E2864" s="115" t="str">
        <f t="shared" si="183"/>
        <v/>
      </c>
      <c r="F2864" s="115" t="str">
        <f t="shared" si="184"/>
        <v/>
      </c>
      <c r="G2864" s="116" t="str">
        <f>IF(ISNONTEXT(D2864),"",E2864-MAX($F$2:F2863))</f>
        <v/>
      </c>
      <c r="H2864" s="98"/>
      <c r="I2864" s="74" t="str">
        <f ca="1">IF(D2864="N",COUNTIF(INDIRECT(ADDRESS(MATCH(Plages!$D$19,'Planning annuel mixing coater'!$B:$B),4)):D2864,"N"),IF(D2864="N1",COUNTIF($D$9:D2864,"N1"),""))</f>
        <v/>
      </c>
      <c r="J2864" s="96" t="str">
        <f>IF(D2864="","",COUNTA(D2858:D2864)-(COUNTA(D2864:D2864)-1))</f>
        <v/>
      </c>
    </row>
    <row r="2865" spans="1:10" thickBot="1">
      <c r="A2865" s="117"/>
      <c r="B2865" s="70">
        <f t="shared" si="181"/>
        <v>46657</v>
      </c>
      <c r="C2865" s="82" t="str">
        <f t="shared" si="182"/>
        <v>lundi</v>
      </c>
      <c r="D2865" s="87"/>
      <c r="E2865" s="115" t="str">
        <f t="shared" si="183"/>
        <v/>
      </c>
      <c r="F2865" s="115" t="str">
        <f t="shared" si="184"/>
        <v/>
      </c>
      <c r="G2865" s="116" t="str">
        <f>IF(ISNONTEXT(D2865),"",E2865-MAX($F$2:F2864))</f>
        <v/>
      </c>
      <c r="H2865" s="97"/>
      <c r="I2865" s="74" t="str">
        <f ca="1">IF(D2865="N",COUNTIF(INDIRECT(ADDRESS(MATCH(Plages!$D$19,'Planning annuel mixing coater'!$B:$B),4)):D2865,"N"),IF(D2865="N1",COUNTIF($D$9:D2865,"N1"),""))</f>
        <v/>
      </c>
      <c r="J2865" s="96" t="str">
        <f>IF(D2865="","",COUNTA(D2858:D2865)-(COUNTA(D2865:D2865)-1))</f>
        <v/>
      </c>
    </row>
    <row r="2866" spans="1:10" thickBot="1">
      <c r="A2866" s="117"/>
      <c r="B2866" s="70">
        <f t="shared" si="181"/>
        <v>46658</v>
      </c>
      <c r="C2866" s="82" t="str">
        <f t="shared" si="182"/>
        <v>mardi</v>
      </c>
      <c r="D2866" s="87"/>
      <c r="E2866" s="115" t="str">
        <f t="shared" si="183"/>
        <v/>
      </c>
      <c r="F2866" s="115" t="str">
        <f t="shared" si="184"/>
        <v/>
      </c>
      <c r="G2866" s="116" t="str">
        <f>IF(ISNONTEXT(D2866),"",E2866-MAX($F$2:F2865))</f>
        <v/>
      </c>
      <c r="H2866" s="97"/>
      <c r="I2866" s="74" t="str">
        <f ca="1">IF(D2866="N",COUNTIF(INDIRECT(ADDRESS(MATCH(Plages!$D$19,'Planning annuel mixing coater'!$B:$B),4)):D2866,"N"),IF(D2866="N1",COUNTIF($D$9:D2866,"N1"),""))</f>
        <v/>
      </c>
      <c r="J2866" s="96" t="str">
        <f>IF(D2866="","",COUNTA(D2858:D2866)-(COUNTA(D2866:D2866)-1))</f>
        <v/>
      </c>
    </row>
    <row r="2867" spans="1:10" thickBot="1">
      <c r="A2867" s="117"/>
      <c r="B2867" s="70">
        <f t="shared" si="181"/>
        <v>46659</v>
      </c>
      <c r="C2867" s="82" t="str">
        <f t="shared" si="182"/>
        <v>mercredi</v>
      </c>
      <c r="D2867" s="87"/>
      <c r="E2867" s="115" t="str">
        <f t="shared" si="183"/>
        <v/>
      </c>
      <c r="F2867" s="115" t="str">
        <f t="shared" si="184"/>
        <v/>
      </c>
      <c r="G2867" s="116" t="str">
        <f>IF(ISNONTEXT(D2867),"",E2867-MAX($F$2:F2866))</f>
        <v/>
      </c>
      <c r="H2867" s="97"/>
      <c r="I2867" s="74" t="str">
        <f ca="1">IF(D2867="N",COUNTIF(INDIRECT(ADDRESS(MATCH(Plages!$D$19,'Planning annuel mixing coater'!$B:$B),4)):D2867,"N"),IF(D2867="N1",COUNTIF($D$9:D2867,"N1"),""))</f>
        <v/>
      </c>
      <c r="J2867" s="96" t="str">
        <f>IF(D2867="","",COUNTA(D2858:D2867)-(COUNTA(D2867:D2867)-1))</f>
        <v/>
      </c>
    </row>
    <row r="2868" spans="1:10" thickBot="1">
      <c r="A2868" s="117"/>
      <c r="B2868" s="70">
        <f t="shared" si="181"/>
        <v>46660</v>
      </c>
      <c r="C2868" s="82" t="str">
        <f t="shared" si="182"/>
        <v>jeudi</v>
      </c>
      <c r="D2868" s="87"/>
      <c r="E2868" s="115" t="str">
        <f t="shared" si="183"/>
        <v/>
      </c>
      <c r="F2868" s="115" t="str">
        <f t="shared" si="184"/>
        <v/>
      </c>
      <c r="G2868" s="116" t="str">
        <f>IF(ISNONTEXT(D2868),"",E2868-MAX($F$2:F2867))</f>
        <v/>
      </c>
      <c r="H2868" s="97"/>
      <c r="I2868" s="74" t="str">
        <f ca="1">IF(D2868="N",COUNTIF(INDIRECT(ADDRESS(MATCH(Plages!$D$19,'Planning annuel mixing coater'!$B:$B),4)):D2868,"N"),IF(D2868="N1",COUNTIF($D$9:D2868,"N1"),""))</f>
        <v/>
      </c>
      <c r="J2868" s="96" t="str">
        <f>IF(D2868="","",COUNTA(D2858:D2868)-(COUNTA(D2868:D2868)-1))</f>
        <v/>
      </c>
    </row>
    <row r="2869" spans="1:10" thickBot="1">
      <c r="A2869" s="117"/>
      <c r="B2869" s="70">
        <f t="shared" si="181"/>
        <v>46661</v>
      </c>
      <c r="C2869" s="82" t="str">
        <f t="shared" si="182"/>
        <v>vendredi</v>
      </c>
      <c r="D2869" s="87"/>
      <c r="E2869" s="115" t="str">
        <f t="shared" si="183"/>
        <v/>
      </c>
      <c r="F2869" s="115" t="str">
        <f t="shared" si="184"/>
        <v/>
      </c>
      <c r="G2869" s="116" t="str">
        <f>IF(ISNONTEXT(D2869),"",E2869-MAX($F$2:F2868))</f>
        <v/>
      </c>
      <c r="H2869" s="97"/>
      <c r="I2869" s="74" t="str">
        <f ca="1">IF(D2869="N",COUNTIF(INDIRECT(ADDRESS(MATCH(Plages!$D$19,'Planning annuel mixing coater'!$B:$B),4)):D2869,"N"),IF(D2869="N1",COUNTIF($D$9:D2869,"N1"),""))</f>
        <v/>
      </c>
      <c r="J2869" s="96" t="str">
        <f>IF(D2869="","",COUNTA(D2858:D2869)-(COUNTA(D2869:D2869)-1))</f>
        <v/>
      </c>
    </row>
    <row r="2870" spans="1:10" thickBot="1">
      <c r="A2870" s="117"/>
      <c r="B2870" s="70">
        <f t="shared" si="181"/>
        <v>46662</v>
      </c>
      <c r="C2870" s="82" t="str">
        <f t="shared" si="182"/>
        <v>samedi</v>
      </c>
      <c r="D2870" s="87"/>
      <c r="E2870" s="115" t="str">
        <f t="shared" si="183"/>
        <v/>
      </c>
      <c r="F2870" s="115" t="str">
        <f t="shared" si="184"/>
        <v/>
      </c>
      <c r="G2870" s="116" t="str">
        <f>IF(ISNONTEXT(D2870),"",E2870-MAX($F$2:F2869))</f>
        <v/>
      </c>
      <c r="H2870" s="97"/>
      <c r="I2870" s="74" t="str">
        <f ca="1">IF(D2870="N",COUNTIF(INDIRECT(ADDRESS(MATCH(Plages!$D$19,'Planning annuel mixing coater'!$B:$B),4)):D2870,"N"),IF(D2870="N1",COUNTIF($D$9:D2870,"N1"),""))</f>
        <v/>
      </c>
      <c r="J2870" s="96" t="str">
        <f>IF(D2870="","",COUNTA(D2858:D2870)-(COUNTA(D2870:D2870)-1))</f>
        <v/>
      </c>
    </row>
    <row r="2871" spans="1:10" s="77" customFormat="1" thickBot="1">
      <c r="A2871" s="117"/>
      <c r="B2871" s="75">
        <f t="shared" si="181"/>
        <v>46663</v>
      </c>
      <c r="C2871" s="83" t="str">
        <f t="shared" si="182"/>
        <v>dimanche</v>
      </c>
      <c r="D2871" s="88"/>
      <c r="E2871" s="115" t="str">
        <f t="shared" si="183"/>
        <v/>
      </c>
      <c r="F2871" s="115" t="str">
        <f t="shared" si="184"/>
        <v/>
      </c>
      <c r="G2871" s="116" t="str">
        <f>IF(ISNONTEXT(D2871),"",E2871-MAX($F$2:F2870))</f>
        <v/>
      </c>
      <c r="H2871" s="98"/>
      <c r="I2871" s="76" t="str">
        <f ca="1">IF(D2871="N",COUNTIF(INDIRECT(ADDRESS(MATCH(Plages!$D$19,'Planning annuel mixing coater'!$B:$B),4)):D2871,"N"),IF(D2871="N1",COUNTIF($D$9:D2871,"N1"),""))</f>
        <v/>
      </c>
      <c r="J2871" s="99" t="str">
        <f>IF(D2871="","",COUNTA(D2858:D2871)-(COUNTA(D2871:D2871)-1))</f>
        <v/>
      </c>
    </row>
    <row r="2872" spans="1:10" ht="16.5" thickTop="1" thickBot="1">
      <c r="A2872" s="117"/>
      <c r="B2872" s="78">
        <f t="shared" si="181"/>
        <v>46664</v>
      </c>
      <c r="C2872" s="81" t="str">
        <f t="shared" si="182"/>
        <v>lundi</v>
      </c>
      <c r="D2872" s="89"/>
      <c r="E2872" s="115" t="str">
        <f t="shared" si="183"/>
        <v/>
      </c>
      <c r="F2872" s="115" t="str">
        <f t="shared" si="184"/>
        <v/>
      </c>
      <c r="G2872" s="116" t="str">
        <f>IF(ISNONTEXT(D2872),"",E2872-MAX($F$2:F2871))</f>
        <v/>
      </c>
      <c r="H2872" s="100"/>
      <c r="I2872" s="79" t="str">
        <f ca="1">IF(D2872="N",COUNTIF(INDIRECT(ADDRESS(MATCH(Plages!$D$19,'Planning annuel mixing coater'!$B:$B),4)):D2872,"N"),IF(D2872="N1",COUNTIF($D$9:D2872,"N1"),""))</f>
        <v/>
      </c>
      <c r="J2872" s="101" t="str">
        <f>IF(D2872="","",COUNTA(D2872:D2872)-(COUNTA(D2872:D2872)-1))</f>
        <v/>
      </c>
    </row>
    <row r="2873" spans="1:10" thickBot="1">
      <c r="A2873" s="117"/>
      <c r="B2873" s="70">
        <f t="shared" si="181"/>
        <v>46665</v>
      </c>
      <c r="C2873" s="82" t="str">
        <f t="shared" si="182"/>
        <v>mardi</v>
      </c>
      <c r="D2873" s="87"/>
      <c r="E2873" s="115" t="str">
        <f t="shared" si="183"/>
        <v/>
      </c>
      <c r="F2873" s="115" t="str">
        <f t="shared" si="184"/>
        <v/>
      </c>
      <c r="G2873" s="116" t="str">
        <f>IF(ISNONTEXT(D2873),"",E2873-MAX($F$2:F2872))</f>
        <v/>
      </c>
      <c r="H2873" s="97"/>
      <c r="I2873" s="74" t="str">
        <f ca="1">IF(D2873="N",COUNTIF(INDIRECT(ADDRESS(MATCH(Plages!$D$19,'Planning annuel mixing coater'!$B:$B),4)):D2873,"N"),IF(D2873="N1",COUNTIF($D$9:D2873,"N1"),""))</f>
        <v/>
      </c>
      <c r="J2873" s="96" t="str">
        <f>IF(D2873="","",COUNTA(D2872:D2873)-(COUNTA(D2873:D2873)-1))</f>
        <v/>
      </c>
    </row>
    <row r="2874" spans="1:10" thickBot="1">
      <c r="A2874" s="117"/>
      <c r="B2874" s="70">
        <f t="shared" si="181"/>
        <v>46666</v>
      </c>
      <c r="C2874" s="82" t="str">
        <f t="shared" si="182"/>
        <v>mercredi</v>
      </c>
      <c r="D2874" s="87"/>
      <c r="E2874" s="115" t="str">
        <f t="shared" si="183"/>
        <v/>
      </c>
      <c r="F2874" s="115" t="str">
        <f t="shared" si="184"/>
        <v/>
      </c>
      <c r="G2874" s="116" t="str">
        <f>IF(ISNONTEXT(D2874),"",E2874-MAX($F$2:F2873))</f>
        <v/>
      </c>
      <c r="H2874" s="97"/>
      <c r="I2874" s="74" t="str">
        <f ca="1">IF(D2874="N",COUNTIF(INDIRECT(ADDRESS(MATCH(Plages!$D$19,'Planning annuel mixing coater'!$B:$B),4)):D2874,"N"),IF(D2874="N1",COUNTIF($D$9:D2874,"N1"),""))</f>
        <v/>
      </c>
      <c r="J2874" s="96" t="str">
        <f>IF(D2874="","",COUNTA(D2872:D2874)-(COUNTA(D2874:D2874)-1))</f>
        <v/>
      </c>
    </row>
    <row r="2875" spans="1:10" thickBot="1">
      <c r="A2875" s="117"/>
      <c r="B2875" s="70">
        <f t="shared" si="181"/>
        <v>46667</v>
      </c>
      <c r="C2875" s="82" t="str">
        <f t="shared" si="182"/>
        <v>jeudi</v>
      </c>
      <c r="D2875" s="87"/>
      <c r="E2875" s="115" t="str">
        <f t="shared" si="183"/>
        <v/>
      </c>
      <c r="F2875" s="115" t="str">
        <f t="shared" si="184"/>
        <v/>
      </c>
      <c r="G2875" s="116" t="str">
        <f>IF(ISNONTEXT(D2875),"",E2875-MAX($F$2:F2874))</f>
        <v/>
      </c>
      <c r="H2875" s="97"/>
      <c r="I2875" s="74" t="str">
        <f ca="1">IF(D2875="N",COUNTIF(INDIRECT(ADDRESS(MATCH(Plages!$D$19,'Planning annuel mixing coater'!$B:$B),4)):D2875,"N"),IF(D2875="N1",COUNTIF($D$9:D2875,"N1"),""))</f>
        <v/>
      </c>
      <c r="J2875" s="96" t="str">
        <f>IF(D2875="","",COUNTA(D2872:D2875)-(COUNTA(D2875:D2875)-1))</f>
        <v/>
      </c>
    </row>
    <row r="2876" spans="1:10" thickBot="1">
      <c r="A2876" s="117"/>
      <c r="B2876" s="70">
        <f t="shared" si="181"/>
        <v>46668</v>
      </c>
      <c r="C2876" s="82" t="str">
        <f t="shared" si="182"/>
        <v>vendredi</v>
      </c>
      <c r="D2876" s="87"/>
      <c r="E2876" s="115" t="str">
        <f t="shared" si="183"/>
        <v/>
      </c>
      <c r="F2876" s="115" t="str">
        <f t="shared" si="184"/>
        <v/>
      </c>
      <c r="G2876" s="116" t="str">
        <f>IF(ISNONTEXT(D2876),"",E2876-MAX($F$2:F2875))</f>
        <v/>
      </c>
      <c r="H2876" s="97"/>
      <c r="I2876" s="74" t="str">
        <f ca="1">IF(D2876="N",COUNTIF(INDIRECT(ADDRESS(MATCH(Plages!$D$19,'Planning annuel mixing coater'!$B:$B),4)):D2876,"N"),IF(D2876="N1",COUNTIF($D$9:D2876,"N1"),""))</f>
        <v/>
      </c>
      <c r="J2876" s="96" t="str">
        <f>IF(D2876="","",COUNTA(D2872:D2876)-(COUNTA(D2876:D2876)-1))</f>
        <v/>
      </c>
    </row>
    <row r="2877" spans="1:10" thickBot="1">
      <c r="A2877" s="117"/>
      <c r="B2877" s="70">
        <f t="shared" si="181"/>
        <v>46669</v>
      </c>
      <c r="C2877" s="82" t="str">
        <f t="shared" si="182"/>
        <v>samedi</v>
      </c>
      <c r="D2877" s="87"/>
      <c r="E2877" s="115" t="str">
        <f t="shared" si="183"/>
        <v/>
      </c>
      <c r="F2877" s="115" t="str">
        <f t="shared" si="184"/>
        <v/>
      </c>
      <c r="G2877" s="116" t="str">
        <f>IF(ISNONTEXT(D2877),"",E2877-MAX($F$2:F2876))</f>
        <v/>
      </c>
      <c r="H2877" s="97"/>
      <c r="I2877" s="74" t="str">
        <f ca="1">IF(D2877="N",COUNTIF(INDIRECT(ADDRESS(MATCH(Plages!$D$19,'Planning annuel mixing coater'!$B:$B),4)):D2877,"N"),IF(D2877="N1",COUNTIF($D$9:D2877,"N1"),""))</f>
        <v/>
      </c>
      <c r="J2877" s="96" t="str">
        <f>IF(D2877="","",COUNTA(D2872:D2877)-(COUNTA(D2877:D2877)-1))</f>
        <v/>
      </c>
    </row>
    <row r="2878" spans="1:10" thickBot="1">
      <c r="A2878" s="117"/>
      <c r="B2878" s="70">
        <f t="shared" si="181"/>
        <v>46670</v>
      </c>
      <c r="C2878" s="82" t="str">
        <f t="shared" si="182"/>
        <v>dimanche</v>
      </c>
      <c r="D2878" s="87"/>
      <c r="E2878" s="115" t="str">
        <f t="shared" si="183"/>
        <v/>
      </c>
      <c r="F2878" s="115" t="str">
        <f t="shared" si="184"/>
        <v/>
      </c>
      <c r="G2878" s="116" t="str">
        <f>IF(ISNONTEXT(D2878),"",E2878-MAX($F$2:F2877))</f>
        <v/>
      </c>
      <c r="H2878" s="98"/>
      <c r="I2878" s="74" t="str">
        <f ca="1">IF(D2878="N",COUNTIF(INDIRECT(ADDRESS(MATCH(Plages!$D$19,'Planning annuel mixing coater'!$B:$B),4)):D2878,"N"),IF(D2878="N1",COUNTIF($D$9:D2878,"N1"),""))</f>
        <v/>
      </c>
      <c r="J2878" s="96" t="str">
        <f>IF(D2878="","",COUNTA(D2872:D2878)-(COUNTA(D2878:D2878)-1))</f>
        <v/>
      </c>
    </row>
    <row r="2879" spans="1:10" thickBot="1">
      <c r="A2879" s="117"/>
      <c r="B2879" s="70">
        <f t="shared" si="181"/>
        <v>46671</v>
      </c>
      <c r="C2879" s="82" t="str">
        <f t="shared" si="182"/>
        <v>lundi</v>
      </c>
      <c r="D2879" s="87"/>
      <c r="E2879" s="115" t="str">
        <f t="shared" si="183"/>
        <v/>
      </c>
      <c r="F2879" s="115" t="str">
        <f t="shared" si="184"/>
        <v/>
      </c>
      <c r="G2879" s="116" t="str">
        <f>IF(ISNONTEXT(D2879),"",E2879-MAX($F$2:F2878))</f>
        <v/>
      </c>
      <c r="H2879" s="97"/>
      <c r="I2879" s="74" t="str">
        <f ca="1">IF(D2879="N",COUNTIF(INDIRECT(ADDRESS(MATCH(Plages!$D$19,'Planning annuel mixing coater'!$B:$B),4)):D2879,"N"),IF(D2879="N1",COUNTIF($D$9:D2879,"N1"),""))</f>
        <v/>
      </c>
      <c r="J2879" s="96" t="str">
        <f>IF(D2879="","",COUNTA(D2872:D2879)-(COUNTA(D2879:D2879)-1))</f>
        <v/>
      </c>
    </row>
    <row r="2880" spans="1:10" thickBot="1">
      <c r="A2880" s="117"/>
      <c r="B2880" s="70">
        <f t="shared" si="181"/>
        <v>46672</v>
      </c>
      <c r="C2880" s="82" t="str">
        <f t="shared" si="182"/>
        <v>mardi</v>
      </c>
      <c r="D2880" s="87"/>
      <c r="E2880" s="115" t="str">
        <f t="shared" si="183"/>
        <v/>
      </c>
      <c r="F2880" s="115" t="str">
        <f t="shared" si="184"/>
        <v/>
      </c>
      <c r="G2880" s="116" t="str">
        <f>IF(ISNONTEXT(D2880),"",E2880-MAX($F$2:F2879))</f>
        <v/>
      </c>
      <c r="H2880" s="97"/>
      <c r="I2880" s="74" t="str">
        <f ca="1">IF(D2880="N",COUNTIF(INDIRECT(ADDRESS(MATCH(Plages!$D$19,'Planning annuel mixing coater'!$B:$B),4)):D2880,"N"),IF(D2880="N1",COUNTIF($D$9:D2880,"N1"),""))</f>
        <v/>
      </c>
      <c r="J2880" s="96" t="str">
        <f>IF(D2880="","",COUNTA(D2872:D2880)-(COUNTA(D2880:D2880)-1))</f>
        <v/>
      </c>
    </row>
    <row r="2881" spans="1:10" thickBot="1">
      <c r="A2881" s="117"/>
      <c r="B2881" s="70">
        <f t="shared" si="181"/>
        <v>46673</v>
      </c>
      <c r="C2881" s="82" t="str">
        <f t="shared" si="182"/>
        <v>mercredi</v>
      </c>
      <c r="D2881" s="87"/>
      <c r="E2881" s="115" t="str">
        <f t="shared" si="183"/>
        <v/>
      </c>
      <c r="F2881" s="115" t="str">
        <f t="shared" si="184"/>
        <v/>
      </c>
      <c r="G2881" s="116" t="str">
        <f>IF(ISNONTEXT(D2881),"",E2881-MAX($F$2:F2880))</f>
        <v/>
      </c>
      <c r="H2881" s="97"/>
      <c r="I2881" s="74" t="str">
        <f ca="1">IF(D2881="N",COUNTIF(INDIRECT(ADDRESS(MATCH(Plages!$D$19,'Planning annuel mixing coater'!$B:$B),4)):D2881,"N"),IF(D2881="N1",COUNTIF($D$9:D2881,"N1"),""))</f>
        <v/>
      </c>
      <c r="J2881" s="96" t="str">
        <f>IF(D2881="","",COUNTA(D2872:D2881)-(COUNTA(D2881:D2881)-1))</f>
        <v/>
      </c>
    </row>
    <row r="2882" spans="1:10" thickBot="1">
      <c r="A2882" s="117"/>
      <c r="B2882" s="70">
        <f t="shared" si="181"/>
        <v>46674</v>
      </c>
      <c r="C2882" s="82" t="str">
        <f t="shared" si="182"/>
        <v>jeudi</v>
      </c>
      <c r="D2882" s="87"/>
      <c r="E2882" s="115" t="str">
        <f t="shared" si="183"/>
        <v/>
      </c>
      <c r="F2882" s="115" t="str">
        <f t="shared" si="184"/>
        <v/>
      </c>
      <c r="G2882" s="116" t="str">
        <f>IF(ISNONTEXT(D2882),"",E2882-MAX($F$2:F2881))</f>
        <v/>
      </c>
      <c r="H2882" s="97"/>
      <c r="I2882" s="74" t="str">
        <f ca="1">IF(D2882="N",COUNTIF(INDIRECT(ADDRESS(MATCH(Plages!$D$19,'Planning annuel mixing coater'!$B:$B),4)):D2882,"N"),IF(D2882="N1",COUNTIF($D$9:D2882,"N1"),""))</f>
        <v/>
      </c>
      <c r="J2882" s="96" t="str">
        <f>IF(D2882="","",COUNTA(D2872:D2882)-(COUNTA(D2882:D2882)-1))</f>
        <v/>
      </c>
    </row>
    <row r="2883" spans="1:10" thickBot="1">
      <c r="A2883" s="117"/>
      <c r="B2883" s="70">
        <f t="shared" si="181"/>
        <v>46675</v>
      </c>
      <c r="C2883" s="82" t="str">
        <f t="shared" si="182"/>
        <v>vendredi</v>
      </c>
      <c r="D2883" s="87"/>
      <c r="E2883" s="115" t="str">
        <f t="shared" si="183"/>
        <v/>
      </c>
      <c r="F2883" s="115" t="str">
        <f t="shared" si="184"/>
        <v/>
      </c>
      <c r="G2883" s="116" t="str">
        <f>IF(ISNONTEXT(D2883),"",E2883-MAX($F$2:F2882))</f>
        <v/>
      </c>
      <c r="H2883" s="97"/>
      <c r="I2883" s="74" t="str">
        <f ca="1">IF(D2883="N",COUNTIF(INDIRECT(ADDRESS(MATCH(Plages!$D$19,'Planning annuel mixing coater'!$B:$B),4)):D2883,"N"),IF(D2883="N1",COUNTIF($D$9:D2883,"N1"),""))</f>
        <v/>
      </c>
      <c r="J2883" s="96" t="str">
        <f>IF(D2883="","",COUNTA(D2872:D2883)-(COUNTA(D2883:D2883)-1))</f>
        <v/>
      </c>
    </row>
    <row r="2884" spans="1:10" thickBot="1">
      <c r="A2884" s="117"/>
      <c r="B2884" s="70">
        <f t="shared" ref="B2884:B2947" si="185">IF(B2883="","",B2883+1)</f>
        <v>46676</v>
      </c>
      <c r="C2884" s="82" t="str">
        <f t="shared" si="182"/>
        <v>samedi</v>
      </c>
      <c r="D2884" s="87"/>
      <c r="E2884" s="115" t="str">
        <f t="shared" si="183"/>
        <v/>
      </c>
      <c r="F2884" s="115" t="str">
        <f t="shared" si="184"/>
        <v/>
      </c>
      <c r="G2884" s="116" t="str">
        <f>IF(ISNONTEXT(D2884),"",E2884-MAX($F$2:F2883))</f>
        <v/>
      </c>
      <c r="H2884" s="97"/>
      <c r="I2884" s="74" t="str">
        <f ca="1">IF(D2884="N",COUNTIF(INDIRECT(ADDRESS(MATCH(Plages!$D$19,'Planning annuel mixing coater'!$B:$B),4)):D2884,"N"),IF(D2884="N1",COUNTIF($D$9:D2884,"N1"),""))</f>
        <v/>
      </c>
      <c r="J2884" s="96" t="str">
        <f>IF(D2884="","",COUNTA(D2872:D2884)-(COUNTA(D2884:D2884)-1))</f>
        <v/>
      </c>
    </row>
    <row r="2885" spans="1:10" s="77" customFormat="1" thickBot="1">
      <c r="A2885" s="117"/>
      <c r="B2885" s="75">
        <f t="shared" si="185"/>
        <v>46677</v>
      </c>
      <c r="C2885" s="83" t="str">
        <f t="shared" si="182"/>
        <v>dimanche</v>
      </c>
      <c r="D2885" s="88"/>
      <c r="E2885" s="115" t="str">
        <f t="shared" si="183"/>
        <v/>
      </c>
      <c r="F2885" s="115" t="str">
        <f t="shared" si="184"/>
        <v/>
      </c>
      <c r="G2885" s="116" t="str">
        <f>IF(ISNONTEXT(D2885),"",E2885-MAX($F$2:F2884))</f>
        <v/>
      </c>
      <c r="H2885" s="98"/>
      <c r="I2885" s="76" t="str">
        <f ca="1">IF(D2885="N",COUNTIF(INDIRECT(ADDRESS(MATCH(Plages!$D$19,'Planning annuel mixing coater'!$B:$B),4)):D2885,"N"),IF(D2885="N1",COUNTIF($D$9:D2885,"N1"),""))</f>
        <v/>
      </c>
      <c r="J2885" s="99" t="str">
        <f>IF(D2885="","",COUNTA(D2872:D2885)-(COUNTA(D2885:D2885)-1))</f>
        <v/>
      </c>
    </row>
    <row r="2886" spans="1:10" ht="16.5" thickTop="1" thickBot="1">
      <c r="A2886" s="117"/>
      <c r="B2886" s="78">
        <f t="shared" si="185"/>
        <v>46678</v>
      </c>
      <c r="C2886" s="81" t="str">
        <f t="shared" si="182"/>
        <v>lundi</v>
      </c>
      <c r="D2886" s="89"/>
      <c r="E2886" s="115" t="str">
        <f t="shared" si="183"/>
        <v/>
      </c>
      <c r="F2886" s="115" t="str">
        <f t="shared" si="184"/>
        <v/>
      </c>
      <c r="G2886" s="116" t="str">
        <f>IF(ISNONTEXT(D2886),"",E2886-MAX($F$2:F2885))</f>
        <v/>
      </c>
      <c r="H2886" s="100"/>
      <c r="I2886" s="79" t="str">
        <f ca="1">IF(D2886="N",COUNTIF(INDIRECT(ADDRESS(MATCH(Plages!$D$19,'Planning annuel mixing coater'!$B:$B),4)):D2886,"N"),IF(D2886="N1",COUNTIF($D$9:D2886,"N1"),""))</f>
        <v/>
      </c>
      <c r="J2886" s="101" t="str">
        <f>IF(D2886="","",COUNTA(D2886:D2886)-(COUNTA(D2886:D2886)-1))</f>
        <v/>
      </c>
    </row>
    <row r="2887" spans="1:10" thickBot="1">
      <c r="A2887" s="117"/>
      <c r="B2887" s="70">
        <f t="shared" si="185"/>
        <v>46679</v>
      </c>
      <c r="C2887" s="82" t="str">
        <f t="shared" si="182"/>
        <v>mardi</v>
      </c>
      <c r="D2887" s="87"/>
      <c r="E2887" s="115" t="str">
        <f t="shared" si="183"/>
        <v/>
      </c>
      <c r="F2887" s="115" t="str">
        <f t="shared" si="184"/>
        <v/>
      </c>
      <c r="G2887" s="116" t="str">
        <f>IF(ISNONTEXT(D2887),"",E2887-MAX($F$2:F2886))</f>
        <v/>
      </c>
      <c r="H2887" s="97"/>
      <c r="I2887" s="74" t="str">
        <f ca="1">IF(D2887="N",COUNTIF(INDIRECT(ADDRESS(MATCH(Plages!$D$19,'Planning annuel mixing coater'!$B:$B),4)):D2887,"N"),IF(D2887="N1",COUNTIF($D$9:D2887,"N1"),""))</f>
        <v/>
      </c>
      <c r="J2887" s="96" t="str">
        <f>IF(D2887="","",COUNTA(D2886:D2887)-(COUNTA(D2887:D2887)-1))</f>
        <v/>
      </c>
    </row>
    <row r="2888" spans="1:10" thickBot="1">
      <c r="A2888" s="117"/>
      <c r="B2888" s="70">
        <f t="shared" si="185"/>
        <v>46680</v>
      </c>
      <c r="C2888" s="82" t="str">
        <f t="shared" si="182"/>
        <v>mercredi</v>
      </c>
      <c r="D2888" s="87"/>
      <c r="E2888" s="115" t="str">
        <f t="shared" si="183"/>
        <v/>
      </c>
      <c r="F2888" s="115" t="str">
        <f t="shared" si="184"/>
        <v/>
      </c>
      <c r="G2888" s="116" t="str">
        <f>IF(ISNONTEXT(D2888),"",E2888-MAX($F$2:F2887))</f>
        <v/>
      </c>
      <c r="H2888" s="97"/>
      <c r="I2888" s="74" t="str">
        <f ca="1">IF(D2888="N",COUNTIF(INDIRECT(ADDRESS(MATCH(Plages!$D$19,'Planning annuel mixing coater'!$B:$B),4)):D2888,"N"),IF(D2888="N1",COUNTIF($D$9:D2888,"N1"),""))</f>
        <v/>
      </c>
      <c r="J2888" s="96" t="str">
        <f>IF(D2888="","",COUNTA(D2886:D2888)-(COUNTA(D2888:D2888)-1))</f>
        <v/>
      </c>
    </row>
    <row r="2889" spans="1:10" thickBot="1">
      <c r="A2889" s="117"/>
      <c r="B2889" s="70">
        <f t="shared" si="185"/>
        <v>46681</v>
      </c>
      <c r="C2889" s="82" t="str">
        <f t="shared" si="182"/>
        <v>jeudi</v>
      </c>
      <c r="D2889" s="87"/>
      <c r="E2889" s="115" t="str">
        <f t="shared" si="183"/>
        <v/>
      </c>
      <c r="F2889" s="115" t="str">
        <f t="shared" si="184"/>
        <v/>
      </c>
      <c r="G2889" s="116" t="str">
        <f>IF(ISNONTEXT(D2889),"",E2889-MAX($F$2:F2888))</f>
        <v/>
      </c>
      <c r="H2889" s="97"/>
      <c r="I2889" s="74" t="str">
        <f ca="1">IF(D2889="N",COUNTIF(INDIRECT(ADDRESS(MATCH(Plages!$D$19,'Planning annuel mixing coater'!$B:$B),4)):D2889,"N"),IF(D2889="N1",COUNTIF($D$9:D2889,"N1"),""))</f>
        <v/>
      </c>
      <c r="J2889" s="96" t="str">
        <f>IF(D2889="","",COUNTA(D2886:D2889)-(COUNTA(D2889:D2889)-1))</f>
        <v/>
      </c>
    </row>
    <row r="2890" spans="1:10" thickBot="1">
      <c r="A2890" s="117"/>
      <c r="B2890" s="70">
        <f t="shared" si="185"/>
        <v>46682</v>
      </c>
      <c r="C2890" s="82" t="str">
        <f t="shared" si="182"/>
        <v>vendredi</v>
      </c>
      <c r="D2890" s="87"/>
      <c r="E2890" s="115" t="str">
        <f t="shared" si="183"/>
        <v/>
      </c>
      <c r="F2890" s="115" t="str">
        <f t="shared" si="184"/>
        <v/>
      </c>
      <c r="G2890" s="116" t="str">
        <f>IF(ISNONTEXT(D2890),"",E2890-MAX($F$2:F2889))</f>
        <v/>
      </c>
      <c r="H2890" s="97"/>
      <c r="I2890" s="74" t="str">
        <f ca="1">IF(D2890="N",COUNTIF(INDIRECT(ADDRESS(MATCH(Plages!$D$19,'Planning annuel mixing coater'!$B:$B),4)):D2890,"N"),IF(D2890="N1",COUNTIF($D$9:D2890,"N1"),""))</f>
        <v/>
      </c>
      <c r="J2890" s="96" t="str">
        <f>IF(D2890="","",COUNTA(D2886:D2890)-(COUNTA(D2890:D2890)-1))</f>
        <v/>
      </c>
    </row>
    <row r="2891" spans="1:10" thickBot="1">
      <c r="A2891" s="117"/>
      <c r="B2891" s="70">
        <f t="shared" si="185"/>
        <v>46683</v>
      </c>
      <c r="C2891" s="82" t="str">
        <f t="shared" si="182"/>
        <v>samedi</v>
      </c>
      <c r="D2891" s="87"/>
      <c r="E2891" s="115" t="str">
        <f t="shared" si="183"/>
        <v/>
      </c>
      <c r="F2891" s="115" t="str">
        <f t="shared" si="184"/>
        <v/>
      </c>
      <c r="G2891" s="116" t="str">
        <f>IF(ISNONTEXT(D2891),"",E2891-MAX($F$2:F2890))</f>
        <v/>
      </c>
      <c r="H2891" s="97"/>
      <c r="I2891" s="74" t="str">
        <f ca="1">IF(D2891="N",COUNTIF(INDIRECT(ADDRESS(MATCH(Plages!$D$19,'Planning annuel mixing coater'!$B:$B),4)):D2891,"N"),IF(D2891="N1",COUNTIF($D$9:D2891,"N1"),""))</f>
        <v/>
      </c>
      <c r="J2891" s="96" t="str">
        <f>IF(D2891="","",COUNTA(D2886:D2891)-(COUNTA(D2891:D2891)-1))</f>
        <v/>
      </c>
    </row>
    <row r="2892" spans="1:10" thickBot="1">
      <c r="A2892" s="117"/>
      <c r="B2892" s="70">
        <f t="shared" si="185"/>
        <v>46684</v>
      </c>
      <c r="C2892" s="82" t="str">
        <f t="shared" si="182"/>
        <v>dimanche</v>
      </c>
      <c r="D2892" s="87"/>
      <c r="E2892" s="115" t="str">
        <f t="shared" si="183"/>
        <v/>
      </c>
      <c r="F2892" s="115" t="str">
        <f t="shared" si="184"/>
        <v/>
      </c>
      <c r="G2892" s="116" t="str">
        <f>IF(ISNONTEXT(D2892),"",E2892-MAX($F$2:F2891))</f>
        <v/>
      </c>
      <c r="H2892" s="98"/>
      <c r="I2892" s="74" t="str">
        <f ca="1">IF(D2892="N",COUNTIF(INDIRECT(ADDRESS(MATCH(Plages!$D$19,'Planning annuel mixing coater'!$B:$B),4)):D2892,"N"),IF(D2892="N1",COUNTIF($D$9:D2892,"N1"),""))</f>
        <v/>
      </c>
      <c r="J2892" s="96" t="str">
        <f>IF(D2892="","",COUNTA(D2886:D2892)-(COUNTA(D2892:D2892)-1))</f>
        <v/>
      </c>
    </row>
    <row r="2893" spans="1:10" thickBot="1">
      <c r="A2893" s="117"/>
      <c r="B2893" s="70">
        <f t="shared" si="185"/>
        <v>46685</v>
      </c>
      <c r="C2893" s="82" t="str">
        <f t="shared" si="182"/>
        <v>lundi</v>
      </c>
      <c r="D2893" s="87"/>
      <c r="E2893" s="115" t="str">
        <f t="shared" si="183"/>
        <v/>
      </c>
      <c r="F2893" s="115" t="str">
        <f t="shared" si="184"/>
        <v/>
      </c>
      <c r="G2893" s="116" t="str">
        <f>IF(ISNONTEXT(D2893),"",E2893-MAX($F$2:F2892))</f>
        <v/>
      </c>
      <c r="H2893" s="97"/>
      <c r="I2893" s="74" t="str">
        <f ca="1">IF(D2893="N",COUNTIF(INDIRECT(ADDRESS(MATCH(Plages!$D$19,'Planning annuel mixing coater'!$B:$B),4)):D2893,"N"),IF(D2893="N1",COUNTIF($D$9:D2893,"N1"),""))</f>
        <v/>
      </c>
      <c r="J2893" s="96" t="str">
        <f>IF(D2893="","",COUNTA(D2886:D2893)-(COUNTA(D2893:D2893)-1))</f>
        <v/>
      </c>
    </row>
    <row r="2894" spans="1:10" thickBot="1">
      <c r="A2894" s="117"/>
      <c r="B2894" s="70">
        <f t="shared" si="185"/>
        <v>46686</v>
      </c>
      <c r="C2894" s="82" t="str">
        <f t="shared" si="182"/>
        <v>mardi</v>
      </c>
      <c r="D2894" s="87"/>
      <c r="E2894" s="115" t="str">
        <f t="shared" si="183"/>
        <v/>
      </c>
      <c r="F2894" s="115" t="str">
        <f t="shared" si="184"/>
        <v/>
      </c>
      <c r="G2894" s="116" t="str">
        <f>IF(ISNONTEXT(D2894),"",E2894-MAX($F$2:F2893))</f>
        <v/>
      </c>
      <c r="H2894" s="97"/>
      <c r="I2894" s="74" t="str">
        <f ca="1">IF(D2894="N",COUNTIF(INDIRECT(ADDRESS(MATCH(Plages!$D$19,'Planning annuel mixing coater'!$B:$B),4)):D2894,"N"),IF(D2894="N1",COUNTIF($D$9:D2894,"N1"),""))</f>
        <v/>
      </c>
      <c r="J2894" s="96" t="str">
        <f>IF(D2894="","",COUNTA(D2886:D2894)-(COUNTA(D2894:D2894)-1))</f>
        <v/>
      </c>
    </row>
    <row r="2895" spans="1:10" thickBot="1">
      <c r="A2895" s="117"/>
      <c r="B2895" s="70">
        <f t="shared" si="185"/>
        <v>46687</v>
      </c>
      <c r="C2895" s="82" t="str">
        <f t="shared" si="182"/>
        <v>mercredi</v>
      </c>
      <c r="D2895" s="87"/>
      <c r="E2895" s="115" t="str">
        <f t="shared" si="183"/>
        <v/>
      </c>
      <c r="F2895" s="115" t="str">
        <f t="shared" si="184"/>
        <v/>
      </c>
      <c r="G2895" s="116" t="str">
        <f>IF(ISNONTEXT(D2895),"",E2895-MAX($F$2:F2894))</f>
        <v/>
      </c>
      <c r="H2895" s="97"/>
      <c r="I2895" s="74" t="str">
        <f ca="1">IF(D2895="N",COUNTIF(INDIRECT(ADDRESS(MATCH(Plages!$D$19,'Planning annuel mixing coater'!$B:$B),4)):D2895,"N"),IF(D2895="N1",COUNTIF($D$9:D2895,"N1"),""))</f>
        <v/>
      </c>
      <c r="J2895" s="96" t="str">
        <f>IF(D2895="","",COUNTA(D2886:D2895)-(COUNTA(D2895:D2895)-1))</f>
        <v/>
      </c>
    </row>
    <row r="2896" spans="1:10" thickBot="1">
      <c r="A2896" s="117"/>
      <c r="B2896" s="70">
        <f t="shared" si="185"/>
        <v>46688</v>
      </c>
      <c r="C2896" s="82" t="str">
        <f t="shared" si="182"/>
        <v>jeudi</v>
      </c>
      <c r="D2896" s="87"/>
      <c r="E2896" s="115" t="str">
        <f t="shared" si="183"/>
        <v/>
      </c>
      <c r="F2896" s="115" t="str">
        <f t="shared" si="184"/>
        <v/>
      </c>
      <c r="G2896" s="116" t="str">
        <f>IF(ISNONTEXT(D2896),"",E2896-MAX($F$2:F2895))</f>
        <v/>
      </c>
      <c r="H2896" s="97"/>
      <c r="I2896" s="74" t="str">
        <f ca="1">IF(D2896="N",COUNTIF(INDIRECT(ADDRESS(MATCH(Plages!$D$19,'Planning annuel mixing coater'!$B:$B),4)):D2896,"N"),IF(D2896="N1",COUNTIF($D$9:D2896,"N1"),""))</f>
        <v/>
      </c>
      <c r="J2896" s="96" t="str">
        <f>IF(D2896="","",COUNTA(D2886:D2896)-(COUNTA(D2896:D2896)-1))</f>
        <v/>
      </c>
    </row>
    <row r="2897" spans="1:10" thickBot="1">
      <c r="A2897" s="117"/>
      <c r="B2897" s="70">
        <f t="shared" si="185"/>
        <v>46689</v>
      </c>
      <c r="C2897" s="82" t="str">
        <f t="shared" si="182"/>
        <v>vendredi</v>
      </c>
      <c r="D2897" s="87"/>
      <c r="E2897" s="115" t="str">
        <f t="shared" si="183"/>
        <v/>
      </c>
      <c r="F2897" s="115" t="str">
        <f t="shared" si="184"/>
        <v/>
      </c>
      <c r="G2897" s="116" t="str">
        <f>IF(ISNONTEXT(D2897),"",E2897-MAX($F$2:F2896))</f>
        <v/>
      </c>
      <c r="H2897" s="97"/>
      <c r="I2897" s="74" t="str">
        <f ca="1">IF(D2897="N",COUNTIF(INDIRECT(ADDRESS(MATCH(Plages!$D$19,'Planning annuel mixing coater'!$B:$B),4)):D2897,"N"),IF(D2897="N1",COUNTIF($D$9:D2897,"N1"),""))</f>
        <v/>
      </c>
      <c r="J2897" s="96" t="str">
        <f>IF(D2897="","",COUNTA(D2886:D2897)-(COUNTA(D2897:D2897)-1))</f>
        <v/>
      </c>
    </row>
    <row r="2898" spans="1:10" thickBot="1">
      <c r="A2898" s="117"/>
      <c r="B2898" s="70">
        <f t="shared" si="185"/>
        <v>46690</v>
      </c>
      <c r="C2898" s="82" t="str">
        <f t="shared" si="182"/>
        <v>samedi</v>
      </c>
      <c r="D2898" s="87"/>
      <c r="E2898" s="115" t="str">
        <f t="shared" si="183"/>
        <v/>
      </c>
      <c r="F2898" s="115" t="str">
        <f t="shared" si="184"/>
        <v/>
      </c>
      <c r="G2898" s="116" t="str">
        <f>IF(ISNONTEXT(D2898),"",E2898-MAX($F$2:F2897))</f>
        <v/>
      </c>
      <c r="H2898" s="97"/>
      <c r="I2898" s="74" t="str">
        <f ca="1">IF(D2898="N",COUNTIF(INDIRECT(ADDRESS(MATCH(Plages!$D$19,'Planning annuel mixing coater'!$B:$B),4)):D2898,"N"),IF(D2898="N1",COUNTIF($D$9:D2898,"N1"),""))</f>
        <v/>
      </c>
      <c r="J2898" s="96" t="str">
        <f>IF(D2898="","",COUNTA(D2886:D2898)-(COUNTA(D2898:D2898)-1))</f>
        <v/>
      </c>
    </row>
    <row r="2899" spans="1:10" s="77" customFormat="1" thickBot="1">
      <c r="A2899" s="117"/>
      <c r="B2899" s="75">
        <f t="shared" si="185"/>
        <v>46691</v>
      </c>
      <c r="C2899" s="83" t="str">
        <f t="shared" si="182"/>
        <v>dimanche</v>
      </c>
      <c r="D2899" s="88"/>
      <c r="E2899" s="115" t="str">
        <f t="shared" si="183"/>
        <v/>
      </c>
      <c r="F2899" s="115" t="str">
        <f t="shared" si="184"/>
        <v/>
      </c>
      <c r="G2899" s="116" t="str">
        <f>IF(ISNONTEXT(D2899),"",E2899-MAX($F$2:F2898))</f>
        <v/>
      </c>
      <c r="H2899" s="98"/>
      <c r="I2899" s="76" t="str">
        <f ca="1">IF(D2899="N",COUNTIF(INDIRECT(ADDRESS(MATCH(Plages!$D$19,'Planning annuel mixing coater'!$B:$B),4)):D2899,"N"),IF(D2899="N1",COUNTIF($D$9:D2899,"N1"),""))</f>
        <v/>
      </c>
      <c r="J2899" s="99" t="str">
        <f>IF(D2899="","",COUNTA(D2886:D2899)-(COUNTA(D2899:D2899)-1))</f>
        <v/>
      </c>
    </row>
    <row r="2900" spans="1:10" ht="16.5" thickTop="1" thickBot="1">
      <c r="A2900" s="117"/>
      <c r="B2900" s="78">
        <f t="shared" si="185"/>
        <v>46692</v>
      </c>
      <c r="C2900" s="81" t="str">
        <f t="shared" si="182"/>
        <v>lundi</v>
      </c>
      <c r="D2900" s="89"/>
      <c r="E2900" s="115" t="str">
        <f t="shared" si="183"/>
        <v/>
      </c>
      <c r="F2900" s="115" t="str">
        <f t="shared" si="184"/>
        <v/>
      </c>
      <c r="G2900" s="116" t="str">
        <f>IF(ISNONTEXT(D2900),"",E2900-MAX($F$2:F2899))</f>
        <v/>
      </c>
      <c r="H2900" s="100"/>
      <c r="I2900" s="79" t="str">
        <f ca="1">IF(D2900="N",COUNTIF(INDIRECT(ADDRESS(MATCH(Plages!$D$19,'Planning annuel mixing coater'!$B:$B),4)):D2900,"N"),IF(D2900="N1",COUNTIF($D$9:D2900,"N1"),""))</f>
        <v/>
      </c>
      <c r="J2900" s="101" t="str">
        <f>IF(D2900="","",COUNTA(D2900:D2900)-(COUNTA(D2900:D2900)-1))</f>
        <v/>
      </c>
    </row>
    <row r="2901" spans="1:10" thickBot="1">
      <c r="A2901" s="117"/>
      <c r="B2901" s="70">
        <f t="shared" si="185"/>
        <v>46693</v>
      </c>
      <c r="C2901" s="82" t="str">
        <f t="shared" si="182"/>
        <v>mardi</v>
      </c>
      <c r="D2901" s="87"/>
      <c r="E2901" s="115" t="str">
        <f t="shared" si="183"/>
        <v/>
      </c>
      <c r="F2901" s="115" t="str">
        <f t="shared" si="184"/>
        <v/>
      </c>
      <c r="G2901" s="116" t="str">
        <f>IF(ISNONTEXT(D2901),"",E2901-MAX($F$2:F2900))</f>
        <v/>
      </c>
      <c r="H2901" s="97"/>
      <c r="I2901" s="74" t="str">
        <f ca="1">IF(D2901="N",COUNTIF(INDIRECT(ADDRESS(MATCH(Plages!$D$19,'Planning annuel mixing coater'!$B:$B),4)):D2901,"N"),IF(D2901="N1",COUNTIF($D$9:D2901,"N1"),""))</f>
        <v/>
      </c>
      <c r="J2901" s="96" t="str">
        <f>IF(D2901="","",COUNTA(D2900:D2901)-(COUNTA(D2901:D2901)-1))</f>
        <v/>
      </c>
    </row>
    <row r="2902" spans="1:10" thickBot="1">
      <c r="A2902" s="117"/>
      <c r="B2902" s="70">
        <f t="shared" si="185"/>
        <v>46694</v>
      </c>
      <c r="C2902" s="82" t="str">
        <f t="shared" si="182"/>
        <v>mercredi</v>
      </c>
      <c r="D2902" s="87"/>
      <c r="E2902" s="115" t="str">
        <f t="shared" si="183"/>
        <v/>
      </c>
      <c r="F2902" s="115" t="str">
        <f t="shared" si="184"/>
        <v/>
      </c>
      <c r="G2902" s="116" t="str">
        <f>IF(ISNONTEXT(D2902),"",E2902-MAX($F$2:F2901))</f>
        <v/>
      </c>
      <c r="H2902" s="97"/>
      <c r="I2902" s="74" t="str">
        <f ca="1">IF(D2902="N",COUNTIF(INDIRECT(ADDRESS(MATCH(Plages!$D$19,'Planning annuel mixing coater'!$B:$B),4)):D2902,"N"),IF(D2902="N1",COUNTIF($D$9:D2902,"N1"),""))</f>
        <v/>
      </c>
      <c r="J2902" s="96" t="str">
        <f>IF(D2902="","",COUNTA(D2900:D2902)-(COUNTA(D2902:D2902)-1))</f>
        <v/>
      </c>
    </row>
    <row r="2903" spans="1:10" thickBot="1">
      <c r="A2903" s="117"/>
      <c r="B2903" s="70">
        <f t="shared" si="185"/>
        <v>46695</v>
      </c>
      <c r="C2903" s="82" t="str">
        <f t="shared" si="182"/>
        <v>jeudi</v>
      </c>
      <c r="D2903" s="87"/>
      <c r="E2903" s="115" t="str">
        <f t="shared" si="183"/>
        <v/>
      </c>
      <c r="F2903" s="115" t="str">
        <f t="shared" si="184"/>
        <v/>
      </c>
      <c r="G2903" s="116" t="str">
        <f>IF(ISNONTEXT(D2903),"",E2903-MAX($F$2:F2902))</f>
        <v/>
      </c>
      <c r="H2903" s="97"/>
      <c r="I2903" s="74" t="str">
        <f ca="1">IF(D2903="N",COUNTIF(INDIRECT(ADDRESS(MATCH(Plages!$D$19,'Planning annuel mixing coater'!$B:$B),4)):D2903,"N"),IF(D2903="N1",COUNTIF($D$9:D2903,"N1"),""))</f>
        <v/>
      </c>
      <c r="J2903" s="96" t="str">
        <f>IF(D2903="","",COUNTA(D2900:D2903)-(COUNTA(D2903:D2903)-1))</f>
        <v/>
      </c>
    </row>
    <row r="2904" spans="1:10" thickBot="1">
      <c r="A2904" s="117"/>
      <c r="B2904" s="70">
        <f t="shared" si="185"/>
        <v>46696</v>
      </c>
      <c r="C2904" s="82" t="str">
        <f t="shared" si="182"/>
        <v>vendredi</v>
      </c>
      <c r="D2904" s="87"/>
      <c r="E2904" s="115" t="str">
        <f t="shared" si="183"/>
        <v/>
      </c>
      <c r="F2904" s="115" t="str">
        <f t="shared" si="184"/>
        <v/>
      </c>
      <c r="G2904" s="116" t="str">
        <f>IF(ISNONTEXT(D2904),"",E2904-MAX($F$2:F2903))</f>
        <v/>
      </c>
      <c r="H2904" s="97"/>
      <c r="I2904" s="74" t="str">
        <f ca="1">IF(D2904="N",COUNTIF(INDIRECT(ADDRESS(MATCH(Plages!$D$19,'Planning annuel mixing coater'!$B:$B),4)):D2904,"N"),IF(D2904="N1",COUNTIF($D$9:D2904,"N1"),""))</f>
        <v/>
      </c>
      <c r="J2904" s="96" t="str">
        <f>IF(D2904="","",COUNTA(D2900:D2904)-(COUNTA(D2904:D2904)-1))</f>
        <v/>
      </c>
    </row>
    <row r="2905" spans="1:10" thickBot="1">
      <c r="A2905" s="117"/>
      <c r="B2905" s="70">
        <f t="shared" si="185"/>
        <v>46697</v>
      </c>
      <c r="C2905" s="82" t="str">
        <f t="shared" si="182"/>
        <v>samedi</v>
      </c>
      <c r="D2905" s="87"/>
      <c r="E2905" s="115" t="str">
        <f t="shared" si="183"/>
        <v/>
      </c>
      <c r="F2905" s="115" t="str">
        <f t="shared" si="184"/>
        <v/>
      </c>
      <c r="G2905" s="116" t="str">
        <f>IF(ISNONTEXT(D2905),"",E2905-MAX($F$2:F2904))</f>
        <v/>
      </c>
      <c r="H2905" s="97"/>
      <c r="I2905" s="74" t="str">
        <f ca="1">IF(D2905="N",COUNTIF(INDIRECT(ADDRESS(MATCH(Plages!$D$19,'Planning annuel mixing coater'!$B:$B),4)):D2905,"N"),IF(D2905="N1",COUNTIF($D$9:D2905,"N1"),""))</f>
        <v/>
      </c>
      <c r="J2905" s="96" t="str">
        <f>IF(D2905="","",COUNTA(D2900:D2905)-(COUNTA(D2905:D2905)-1))</f>
        <v/>
      </c>
    </row>
    <row r="2906" spans="1:10" thickBot="1">
      <c r="A2906" s="117"/>
      <c r="B2906" s="70">
        <f t="shared" si="185"/>
        <v>46698</v>
      </c>
      <c r="C2906" s="82" t="str">
        <f t="shared" si="182"/>
        <v>dimanche</v>
      </c>
      <c r="D2906" s="87"/>
      <c r="E2906" s="115" t="str">
        <f t="shared" si="183"/>
        <v/>
      </c>
      <c r="F2906" s="115" t="str">
        <f t="shared" si="184"/>
        <v/>
      </c>
      <c r="G2906" s="116" t="str">
        <f>IF(ISNONTEXT(D2906),"",E2906-MAX($F$2:F2905))</f>
        <v/>
      </c>
      <c r="H2906" s="98"/>
      <c r="I2906" s="74" t="str">
        <f ca="1">IF(D2906="N",COUNTIF(INDIRECT(ADDRESS(MATCH(Plages!$D$19,'Planning annuel mixing coater'!$B:$B),4)):D2906,"N"),IF(D2906="N1",COUNTIF($D$9:D2906,"N1"),""))</f>
        <v/>
      </c>
      <c r="J2906" s="96" t="str">
        <f>IF(D2906="","",COUNTA(D2900:D2906)-(COUNTA(D2906:D2906)-1))</f>
        <v/>
      </c>
    </row>
    <row r="2907" spans="1:10" thickBot="1">
      <c r="A2907" s="117"/>
      <c r="B2907" s="70">
        <f t="shared" si="185"/>
        <v>46699</v>
      </c>
      <c r="C2907" s="82" t="str">
        <f t="shared" si="182"/>
        <v>lundi</v>
      </c>
      <c r="D2907" s="87"/>
      <c r="E2907" s="115" t="str">
        <f t="shared" si="183"/>
        <v/>
      </c>
      <c r="F2907" s="115" t="str">
        <f t="shared" si="184"/>
        <v/>
      </c>
      <c r="G2907" s="116" t="str">
        <f>IF(ISNONTEXT(D2907),"",E2907-MAX($F$2:F2906))</f>
        <v/>
      </c>
      <c r="H2907" s="97"/>
      <c r="I2907" s="74" t="str">
        <f ca="1">IF(D2907="N",COUNTIF(INDIRECT(ADDRESS(MATCH(Plages!$D$19,'Planning annuel mixing coater'!$B:$B),4)):D2907,"N"),IF(D2907="N1",COUNTIF($D$9:D2907,"N1"),""))</f>
        <v/>
      </c>
      <c r="J2907" s="96" t="str">
        <f>IF(D2907="","",COUNTA(D2900:D2907)-(COUNTA(D2907:D2907)-1))</f>
        <v/>
      </c>
    </row>
    <row r="2908" spans="1:10" thickBot="1">
      <c r="A2908" s="117"/>
      <c r="B2908" s="70">
        <f t="shared" si="185"/>
        <v>46700</v>
      </c>
      <c r="C2908" s="82" t="str">
        <f t="shared" si="182"/>
        <v>mardi</v>
      </c>
      <c r="D2908" s="87"/>
      <c r="E2908" s="115" t="str">
        <f t="shared" si="183"/>
        <v/>
      </c>
      <c r="F2908" s="115" t="str">
        <f t="shared" si="184"/>
        <v/>
      </c>
      <c r="G2908" s="116" t="str">
        <f>IF(ISNONTEXT(D2908),"",E2908-MAX($F$2:F2907))</f>
        <v/>
      </c>
      <c r="H2908" s="97"/>
      <c r="I2908" s="74" t="str">
        <f ca="1">IF(D2908="N",COUNTIF(INDIRECT(ADDRESS(MATCH(Plages!$D$19,'Planning annuel mixing coater'!$B:$B),4)):D2908,"N"),IF(D2908="N1",COUNTIF($D$9:D2908,"N1"),""))</f>
        <v/>
      </c>
      <c r="J2908" s="96" t="str">
        <f>IF(D2908="","",COUNTA(D2900:D2908)-(COUNTA(D2908:D2908)-1))</f>
        <v/>
      </c>
    </row>
    <row r="2909" spans="1:10" thickBot="1">
      <c r="A2909" s="117"/>
      <c r="B2909" s="70">
        <f t="shared" si="185"/>
        <v>46701</v>
      </c>
      <c r="C2909" s="82" t="str">
        <f t="shared" si="182"/>
        <v>mercredi</v>
      </c>
      <c r="D2909" s="87"/>
      <c r="E2909" s="115" t="str">
        <f t="shared" si="183"/>
        <v/>
      </c>
      <c r="F2909" s="115" t="str">
        <f t="shared" si="184"/>
        <v/>
      </c>
      <c r="G2909" s="116" t="str">
        <f>IF(ISNONTEXT(D2909),"",E2909-MAX($F$2:F2908))</f>
        <v/>
      </c>
      <c r="H2909" s="97"/>
      <c r="I2909" s="74" t="str">
        <f ca="1">IF(D2909="N",COUNTIF(INDIRECT(ADDRESS(MATCH(Plages!$D$19,'Planning annuel mixing coater'!$B:$B),4)):D2909,"N"),IF(D2909="N1",COUNTIF($D$9:D2909,"N1"),""))</f>
        <v/>
      </c>
      <c r="J2909" s="96" t="str">
        <f>IF(D2909="","",COUNTA(D2900:D2909)-(COUNTA(D2909:D2909)-1))</f>
        <v/>
      </c>
    </row>
    <row r="2910" spans="1:10" thickBot="1">
      <c r="A2910" s="117"/>
      <c r="B2910" s="70">
        <f t="shared" si="185"/>
        <v>46702</v>
      </c>
      <c r="C2910" s="82" t="str">
        <f t="shared" ref="C2910:C2973" si="186">IF(B2910="","",TEXT(B2910,"jjjj"))</f>
        <v>jeudi</v>
      </c>
      <c r="D2910" s="87"/>
      <c r="E2910" s="115" t="str">
        <f t="shared" ref="E2910:E2973" si="187">IF(D2910="","",B2910+VLOOKUP(D2910,Plageh,2,0))</f>
        <v/>
      </c>
      <c r="F2910" s="115" t="str">
        <f t="shared" ref="F2910:F2973" si="188">IF(D2910="","",B2910+VLOOKUP(D2910,Plageh,3,0))</f>
        <v/>
      </c>
      <c r="G2910" s="116" t="str">
        <f>IF(ISNONTEXT(D2910),"",E2910-MAX($F$2:F2909))</f>
        <v/>
      </c>
      <c r="H2910" s="97"/>
      <c r="I2910" s="74" t="str">
        <f ca="1">IF(D2910="N",COUNTIF(INDIRECT(ADDRESS(MATCH(Plages!$D$19,'Planning annuel mixing coater'!$B:$B),4)):D2910,"N"),IF(D2910="N1",COUNTIF($D$9:D2910,"N1"),""))</f>
        <v/>
      </c>
      <c r="J2910" s="96" t="str">
        <f>IF(D2910="","",COUNTA(D2900:D2910)-(COUNTA(D2910:D2910)-1))</f>
        <v/>
      </c>
    </row>
    <row r="2911" spans="1:10" thickBot="1">
      <c r="A2911" s="117"/>
      <c r="B2911" s="70">
        <f t="shared" si="185"/>
        <v>46703</v>
      </c>
      <c r="C2911" s="82" t="str">
        <f t="shared" si="186"/>
        <v>vendredi</v>
      </c>
      <c r="D2911" s="87"/>
      <c r="E2911" s="115" t="str">
        <f t="shared" si="187"/>
        <v/>
      </c>
      <c r="F2911" s="115" t="str">
        <f t="shared" si="188"/>
        <v/>
      </c>
      <c r="G2911" s="116" t="str">
        <f>IF(ISNONTEXT(D2911),"",E2911-MAX($F$2:F2910))</f>
        <v/>
      </c>
      <c r="H2911" s="97"/>
      <c r="I2911" s="74" t="str">
        <f ca="1">IF(D2911="N",COUNTIF(INDIRECT(ADDRESS(MATCH(Plages!$D$19,'Planning annuel mixing coater'!$B:$B),4)):D2911,"N"),IF(D2911="N1",COUNTIF($D$9:D2911,"N1"),""))</f>
        <v/>
      </c>
      <c r="J2911" s="96" t="str">
        <f>IF(D2911="","",COUNTA(D2900:D2911)-(COUNTA(D2911:D2911)-1))</f>
        <v/>
      </c>
    </row>
    <row r="2912" spans="1:10" thickBot="1">
      <c r="A2912" s="117"/>
      <c r="B2912" s="70">
        <f t="shared" si="185"/>
        <v>46704</v>
      </c>
      <c r="C2912" s="82" t="str">
        <f t="shared" si="186"/>
        <v>samedi</v>
      </c>
      <c r="D2912" s="87"/>
      <c r="E2912" s="115" t="str">
        <f t="shared" si="187"/>
        <v/>
      </c>
      <c r="F2912" s="115" t="str">
        <f t="shared" si="188"/>
        <v/>
      </c>
      <c r="G2912" s="116" t="str">
        <f>IF(ISNONTEXT(D2912),"",E2912-MAX($F$2:F2911))</f>
        <v/>
      </c>
      <c r="H2912" s="97"/>
      <c r="I2912" s="74" t="str">
        <f ca="1">IF(D2912="N",COUNTIF(INDIRECT(ADDRESS(MATCH(Plages!$D$19,'Planning annuel mixing coater'!$B:$B),4)):D2912,"N"),IF(D2912="N1",COUNTIF($D$9:D2912,"N1"),""))</f>
        <v/>
      </c>
      <c r="J2912" s="96" t="str">
        <f>IF(D2912="","",COUNTA(D2900:D2912)-(COUNTA(D2912:D2912)-1))</f>
        <v/>
      </c>
    </row>
    <row r="2913" spans="1:10" s="77" customFormat="1" thickBot="1">
      <c r="A2913" s="117"/>
      <c r="B2913" s="75">
        <f t="shared" si="185"/>
        <v>46705</v>
      </c>
      <c r="C2913" s="83" t="str">
        <f t="shared" si="186"/>
        <v>dimanche</v>
      </c>
      <c r="D2913" s="88"/>
      <c r="E2913" s="115" t="str">
        <f t="shared" si="187"/>
        <v/>
      </c>
      <c r="F2913" s="115" t="str">
        <f t="shared" si="188"/>
        <v/>
      </c>
      <c r="G2913" s="116" t="str">
        <f>IF(ISNONTEXT(D2913),"",E2913-MAX($F$2:F2912))</f>
        <v/>
      </c>
      <c r="H2913" s="98"/>
      <c r="I2913" s="76" t="str">
        <f ca="1">IF(D2913="N",COUNTIF(INDIRECT(ADDRESS(MATCH(Plages!$D$19,'Planning annuel mixing coater'!$B:$B),4)):D2913,"N"),IF(D2913="N1",COUNTIF($D$9:D2913,"N1"),""))</f>
        <v/>
      </c>
      <c r="J2913" s="99" t="str">
        <f>IF(D2913="","",COUNTA(D2900:D2913)-(COUNTA(D2913:D2913)-1))</f>
        <v/>
      </c>
    </row>
    <row r="2914" spans="1:10" ht="16.5" thickTop="1" thickBot="1">
      <c r="A2914" s="117"/>
      <c r="B2914" s="78">
        <f t="shared" si="185"/>
        <v>46706</v>
      </c>
      <c r="C2914" s="81" t="str">
        <f t="shared" si="186"/>
        <v>lundi</v>
      </c>
      <c r="D2914" s="89"/>
      <c r="E2914" s="115" t="str">
        <f t="shared" si="187"/>
        <v/>
      </c>
      <c r="F2914" s="115" t="str">
        <f t="shared" si="188"/>
        <v/>
      </c>
      <c r="G2914" s="116" t="str">
        <f>IF(ISNONTEXT(D2914),"",E2914-MAX($F$2:F2913))</f>
        <v/>
      </c>
      <c r="H2914" s="100"/>
      <c r="I2914" s="79" t="str">
        <f ca="1">IF(D2914="N",COUNTIF(INDIRECT(ADDRESS(MATCH(Plages!$D$19,'Planning annuel mixing coater'!$B:$B),4)):D2914,"N"),IF(D2914="N1",COUNTIF($D$9:D2914,"N1"),""))</f>
        <v/>
      </c>
      <c r="J2914" s="101" t="str">
        <f>IF(D2914="","",COUNTA(D2914:D2914)-(COUNTA(D2914:D2914)-1))</f>
        <v/>
      </c>
    </row>
    <row r="2915" spans="1:10" thickBot="1">
      <c r="A2915" s="117"/>
      <c r="B2915" s="70">
        <f t="shared" si="185"/>
        <v>46707</v>
      </c>
      <c r="C2915" s="82" t="str">
        <f t="shared" si="186"/>
        <v>mardi</v>
      </c>
      <c r="D2915" s="87"/>
      <c r="E2915" s="115" t="str">
        <f t="shared" si="187"/>
        <v/>
      </c>
      <c r="F2915" s="115" t="str">
        <f t="shared" si="188"/>
        <v/>
      </c>
      <c r="G2915" s="116" t="str">
        <f>IF(ISNONTEXT(D2915),"",E2915-MAX($F$2:F2914))</f>
        <v/>
      </c>
      <c r="H2915" s="97"/>
      <c r="I2915" s="74" t="str">
        <f ca="1">IF(D2915="N",COUNTIF(INDIRECT(ADDRESS(MATCH(Plages!$D$19,'Planning annuel mixing coater'!$B:$B),4)):D2915,"N"),IF(D2915="N1",COUNTIF($D$9:D2915,"N1"),""))</f>
        <v/>
      </c>
      <c r="J2915" s="96" t="str">
        <f>IF(D2915="","",COUNTA(D2914:D2915)-(COUNTA(D2915:D2915)-1))</f>
        <v/>
      </c>
    </row>
    <row r="2916" spans="1:10" thickBot="1">
      <c r="A2916" s="117"/>
      <c r="B2916" s="70">
        <f t="shared" si="185"/>
        <v>46708</v>
      </c>
      <c r="C2916" s="82" t="str">
        <f t="shared" si="186"/>
        <v>mercredi</v>
      </c>
      <c r="D2916" s="87"/>
      <c r="E2916" s="115" t="str">
        <f t="shared" si="187"/>
        <v/>
      </c>
      <c r="F2916" s="115" t="str">
        <f t="shared" si="188"/>
        <v/>
      </c>
      <c r="G2916" s="116" t="str">
        <f>IF(ISNONTEXT(D2916),"",E2916-MAX($F$2:F2915))</f>
        <v/>
      </c>
      <c r="H2916" s="97"/>
      <c r="I2916" s="74" t="str">
        <f ca="1">IF(D2916="N",COUNTIF(INDIRECT(ADDRESS(MATCH(Plages!$D$19,'Planning annuel mixing coater'!$B:$B),4)):D2916,"N"),IF(D2916="N1",COUNTIF($D$9:D2916,"N1"),""))</f>
        <v/>
      </c>
      <c r="J2916" s="96" t="str">
        <f>IF(D2916="","",COUNTA(D2914:D2916)-(COUNTA(D2916:D2916)-1))</f>
        <v/>
      </c>
    </row>
    <row r="2917" spans="1:10" thickBot="1">
      <c r="A2917" s="117"/>
      <c r="B2917" s="70">
        <f t="shared" si="185"/>
        <v>46709</v>
      </c>
      <c r="C2917" s="82" t="str">
        <f t="shared" si="186"/>
        <v>jeudi</v>
      </c>
      <c r="D2917" s="87"/>
      <c r="E2917" s="115" t="str">
        <f t="shared" si="187"/>
        <v/>
      </c>
      <c r="F2917" s="115" t="str">
        <f t="shared" si="188"/>
        <v/>
      </c>
      <c r="G2917" s="116" t="str">
        <f>IF(ISNONTEXT(D2917),"",E2917-MAX($F$2:F2916))</f>
        <v/>
      </c>
      <c r="H2917" s="97"/>
      <c r="I2917" s="74" t="str">
        <f ca="1">IF(D2917="N",COUNTIF(INDIRECT(ADDRESS(MATCH(Plages!$D$19,'Planning annuel mixing coater'!$B:$B),4)):D2917,"N"),IF(D2917="N1",COUNTIF($D$9:D2917,"N1"),""))</f>
        <v/>
      </c>
      <c r="J2917" s="96" t="str">
        <f>IF(D2917="","",COUNTA(D2914:D2917)-(COUNTA(D2917:D2917)-1))</f>
        <v/>
      </c>
    </row>
    <row r="2918" spans="1:10" thickBot="1">
      <c r="A2918" s="117"/>
      <c r="B2918" s="70">
        <f t="shared" si="185"/>
        <v>46710</v>
      </c>
      <c r="C2918" s="82" t="str">
        <f t="shared" si="186"/>
        <v>vendredi</v>
      </c>
      <c r="D2918" s="87"/>
      <c r="E2918" s="115" t="str">
        <f t="shared" si="187"/>
        <v/>
      </c>
      <c r="F2918" s="115" t="str">
        <f t="shared" si="188"/>
        <v/>
      </c>
      <c r="G2918" s="116" t="str">
        <f>IF(ISNONTEXT(D2918),"",E2918-MAX($F$2:F2917))</f>
        <v/>
      </c>
      <c r="H2918" s="97"/>
      <c r="I2918" s="74" t="str">
        <f ca="1">IF(D2918="N",COUNTIF(INDIRECT(ADDRESS(MATCH(Plages!$D$19,'Planning annuel mixing coater'!$B:$B),4)):D2918,"N"),IF(D2918="N1",COUNTIF($D$9:D2918,"N1"),""))</f>
        <v/>
      </c>
      <c r="J2918" s="96" t="str">
        <f>IF(D2918="","",COUNTA(D2914:D2918)-(COUNTA(D2918:D2918)-1))</f>
        <v/>
      </c>
    </row>
    <row r="2919" spans="1:10" thickBot="1">
      <c r="A2919" s="117"/>
      <c r="B2919" s="70">
        <f t="shared" si="185"/>
        <v>46711</v>
      </c>
      <c r="C2919" s="82" t="str">
        <f t="shared" si="186"/>
        <v>samedi</v>
      </c>
      <c r="D2919" s="87"/>
      <c r="E2919" s="115" t="str">
        <f t="shared" si="187"/>
        <v/>
      </c>
      <c r="F2919" s="115" t="str">
        <f t="shared" si="188"/>
        <v/>
      </c>
      <c r="G2919" s="116" t="str">
        <f>IF(ISNONTEXT(D2919),"",E2919-MAX($F$2:F2918))</f>
        <v/>
      </c>
      <c r="H2919" s="97"/>
      <c r="I2919" s="74" t="str">
        <f ca="1">IF(D2919="N",COUNTIF(INDIRECT(ADDRESS(MATCH(Plages!$D$19,'Planning annuel mixing coater'!$B:$B),4)):D2919,"N"),IF(D2919="N1",COUNTIF($D$9:D2919,"N1"),""))</f>
        <v/>
      </c>
      <c r="J2919" s="96" t="str">
        <f>IF(D2919="","",COUNTA(D2914:D2919)-(COUNTA(D2919:D2919)-1))</f>
        <v/>
      </c>
    </row>
    <row r="2920" spans="1:10" thickBot="1">
      <c r="A2920" s="117"/>
      <c r="B2920" s="70">
        <f t="shared" si="185"/>
        <v>46712</v>
      </c>
      <c r="C2920" s="82" t="str">
        <f t="shared" si="186"/>
        <v>dimanche</v>
      </c>
      <c r="D2920" s="87"/>
      <c r="E2920" s="115" t="str">
        <f t="shared" si="187"/>
        <v/>
      </c>
      <c r="F2920" s="115" t="str">
        <f t="shared" si="188"/>
        <v/>
      </c>
      <c r="G2920" s="116" t="str">
        <f>IF(ISNONTEXT(D2920),"",E2920-MAX($F$2:F2919))</f>
        <v/>
      </c>
      <c r="H2920" s="98"/>
      <c r="I2920" s="74" t="str">
        <f ca="1">IF(D2920="N",COUNTIF(INDIRECT(ADDRESS(MATCH(Plages!$D$19,'Planning annuel mixing coater'!$B:$B),4)):D2920,"N"),IF(D2920="N1",COUNTIF($D$9:D2920,"N1"),""))</f>
        <v/>
      </c>
      <c r="J2920" s="96" t="str">
        <f>IF(D2920="","",COUNTA(D2914:D2920)-(COUNTA(D2920:D2920)-1))</f>
        <v/>
      </c>
    </row>
    <row r="2921" spans="1:10" thickBot="1">
      <c r="A2921" s="117"/>
      <c r="B2921" s="70">
        <f t="shared" si="185"/>
        <v>46713</v>
      </c>
      <c r="C2921" s="82" t="str">
        <f t="shared" si="186"/>
        <v>lundi</v>
      </c>
      <c r="D2921" s="87"/>
      <c r="E2921" s="115" t="str">
        <f t="shared" si="187"/>
        <v/>
      </c>
      <c r="F2921" s="115" t="str">
        <f t="shared" si="188"/>
        <v/>
      </c>
      <c r="G2921" s="116" t="str">
        <f>IF(ISNONTEXT(D2921),"",E2921-MAX($F$2:F2920))</f>
        <v/>
      </c>
      <c r="H2921" s="97"/>
      <c r="I2921" s="74" t="str">
        <f ca="1">IF(D2921="N",COUNTIF(INDIRECT(ADDRESS(MATCH(Plages!$D$19,'Planning annuel mixing coater'!$B:$B),4)):D2921,"N"),IF(D2921="N1",COUNTIF($D$9:D2921,"N1"),""))</f>
        <v/>
      </c>
      <c r="J2921" s="96" t="str">
        <f>IF(D2921="","",COUNTA(D2914:D2921)-(COUNTA(D2921:D2921)-1))</f>
        <v/>
      </c>
    </row>
    <row r="2922" spans="1:10" thickBot="1">
      <c r="A2922" s="117"/>
      <c r="B2922" s="70">
        <f t="shared" si="185"/>
        <v>46714</v>
      </c>
      <c r="C2922" s="82" t="str">
        <f t="shared" si="186"/>
        <v>mardi</v>
      </c>
      <c r="D2922" s="87"/>
      <c r="E2922" s="115" t="str">
        <f t="shared" si="187"/>
        <v/>
      </c>
      <c r="F2922" s="115" t="str">
        <f t="shared" si="188"/>
        <v/>
      </c>
      <c r="G2922" s="116" t="str">
        <f>IF(ISNONTEXT(D2922),"",E2922-MAX($F$2:F2921))</f>
        <v/>
      </c>
      <c r="H2922" s="97"/>
      <c r="I2922" s="74" t="str">
        <f ca="1">IF(D2922="N",COUNTIF(INDIRECT(ADDRESS(MATCH(Plages!$D$19,'Planning annuel mixing coater'!$B:$B),4)):D2922,"N"),IF(D2922="N1",COUNTIF($D$9:D2922,"N1"),""))</f>
        <v/>
      </c>
      <c r="J2922" s="96" t="str">
        <f>IF(D2922="","",COUNTA(D2914:D2922)-(COUNTA(D2922:D2922)-1))</f>
        <v/>
      </c>
    </row>
    <row r="2923" spans="1:10" thickBot="1">
      <c r="A2923" s="117"/>
      <c r="B2923" s="70">
        <f t="shared" si="185"/>
        <v>46715</v>
      </c>
      <c r="C2923" s="82" t="str">
        <f t="shared" si="186"/>
        <v>mercredi</v>
      </c>
      <c r="D2923" s="87"/>
      <c r="E2923" s="115" t="str">
        <f t="shared" si="187"/>
        <v/>
      </c>
      <c r="F2923" s="115" t="str">
        <f t="shared" si="188"/>
        <v/>
      </c>
      <c r="G2923" s="116" t="str">
        <f>IF(ISNONTEXT(D2923),"",E2923-MAX($F$2:F2922))</f>
        <v/>
      </c>
      <c r="H2923" s="97"/>
      <c r="I2923" s="74" t="str">
        <f ca="1">IF(D2923="N",COUNTIF(INDIRECT(ADDRESS(MATCH(Plages!$D$19,'Planning annuel mixing coater'!$B:$B),4)):D2923,"N"),IF(D2923="N1",COUNTIF($D$9:D2923,"N1"),""))</f>
        <v/>
      </c>
      <c r="J2923" s="96" t="str">
        <f>IF(D2923="","",COUNTA(D2914:D2923)-(COUNTA(D2923:D2923)-1))</f>
        <v/>
      </c>
    </row>
    <row r="2924" spans="1:10" thickBot="1">
      <c r="A2924" s="117"/>
      <c r="B2924" s="70">
        <f t="shared" si="185"/>
        <v>46716</v>
      </c>
      <c r="C2924" s="82" t="str">
        <f t="shared" si="186"/>
        <v>jeudi</v>
      </c>
      <c r="D2924" s="87"/>
      <c r="E2924" s="115" t="str">
        <f t="shared" si="187"/>
        <v/>
      </c>
      <c r="F2924" s="115" t="str">
        <f t="shared" si="188"/>
        <v/>
      </c>
      <c r="G2924" s="116" t="str">
        <f>IF(ISNONTEXT(D2924),"",E2924-MAX($F$2:F2923))</f>
        <v/>
      </c>
      <c r="H2924" s="97"/>
      <c r="I2924" s="74" t="str">
        <f ca="1">IF(D2924="N",COUNTIF(INDIRECT(ADDRESS(MATCH(Plages!$D$19,'Planning annuel mixing coater'!$B:$B),4)):D2924,"N"),IF(D2924="N1",COUNTIF($D$9:D2924,"N1"),""))</f>
        <v/>
      </c>
      <c r="J2924" s="96" t="str">
        <f>IF(D2924="","",COUNTA(D2914:D2924)-(COUNTA(D2924:D2924)-1))</f>
        <v/>
      </c>
    </row>
    <row r="2925" spans="1:10" thickBot="1">
      <c r="A2925" s="117"/>
      <c r="B2925" s="70">
        <f t="shared" si="185"/>
        <v>46717</v>
      </c>
      <c r="C2925" s="82" t="str">
        <f t="shared" si="186"/>
        <v>vendredi</v>
      </c>
      <c r="D2925" s="87"/>
      <c r="E2925" s="115" t="str">
        <f t="shared" si="187"/>
        <v/>
      </c>
      <c r="F2925" s="115" t="str">
        <f t="shared" si="188"/>
        <v/>
      </c>
      <c r="G2925" s="116" t="str">
        <f>IF(ISNONTEXT(D2925),"",E2925-MAX($F$2:F2924))</f>
        <v/>
      </c>
      <c r="H2925" s="97"/>
      <c r="I2925" s="74" t="str">
        <f ca="1">IF(D2925="N",COUNTIF(INDIRECT(ADDRESS(MATCH(Plages!$D$19,'Planning annuel mixing coater'!$B:$B),4)):D2925,"N"),IF(D2925="N1",COUNTIF($D$9:D2925,"N1"),""))</f>
        <v/>
      </c>
      <c r="J2925" s="96" t="str">
        <f>IF(D2925="","",COUNTA(D2914:D2925)-(COUNTA(D2925:D2925)-1))</f>
        <v/>
      </c>
    </row>
    <row r="2926" spans="1:10" thickBot="1">
      <c r="A2926" s="117"/>
      <c r="B2926" s="70">
        <f t="shared" si="185"/>
        <v>46718</v>
      </c>
      <c r="C2926" s="82" t="str">
        <f t="shared" si="186"/>
        <v>samedi</v>
      </c>
      <c r="D2926" s="87"/>
      <c r="E2926" s="115" t="str">
        <f t="shared" si="187"/>
        <v/>
      </c>
      <c r="F2926" s="115" t="str">
        <f t="shared" si="188"/>
        <v/>
      </c>
      <c r="G2926" s="116" t="str">
        <f>IF(ISNONTEXT(D2926),"",E2926-MAX($F$2:F2925))</f>
        <v/>
      </c>
      <c r="H2926" s="97"/>
      <c r="I2926" s="74" t="str">
        <f ca="1">IF(D2926="N",COUNTIF(INDIRECT(ADDRESS(MATCH(Plages!$D$19,'Planning annuel mixing coater'!$B:$B),4)):D2926,"N"),IF(D2926="N1",COUNTIF($D$9:D2926,"N1"),""))</f>
        <v/>
      </c>
      <c r="J2926" s="96" t="str">
        <f>IF(D2926="","",COUNTA(D2914:D2926)-(COUNTA(D2926:D2926)-1))</f>
        <v/>
      </c>
    </row>
    <row r="2927" spans="1:10" s="77" customFormat="1" thickBot="1">
      <c r="A2927" s="117"/>
      <c r="B2927" s="75">
        <f t="shared" si="185"/>
        <v>46719</v>
      </c>
      <c r="C2927" s="83" t="str">
        <f t="shared" si="186"/>
        <v>dimanche</v>
      </c>
      <c r="D2927" s="88"/>
      <c r="E2927" s="115" t="str">
        <f t="shared" si="187"/>
        <v/>
      </c>
      <c r="F2927" s="115" t="str">
        <f t="shared" si="188"/>
        <v/>
      </c>
      <c r="G2927" s="116" t="str">
        <f>IF(ISNONTEXT(D2927),"",E2927-MAX($F$2:F2926))</f>
        <v/>
      </c>
      <c r="H2927" s="98"/>
      <c r="I2927" s="76" t="str">
        <f ca="1">IF(D2927="N",COUNTIF(INDIRECT(ADDRESS(MATCH(Plages!$D$19,'Planning annuel mixing coater'!$B:$B),4)):D2927,"N"),IF(D2927="N1",COUNTIF($D$9:D2927,"N1"),""))</f>
        <v/>
      </c>
      <c r="J2927" s="99" t="str">
        <f>IF(D2927="","",COUNTA(D2914:D2927)-(COUNTA(D2927:D2927)-1))</f>
        <v/>
      </c>
    </row>
    <row r="2928" spans="1:10" ht="16.5" thickTop="1" thickBot="1">
      <c r="A2928" s="117"/>
      <c r="B2928" s="78">
        <f t="shared" si="185"/>
        <v>46720</v>
      </c>
      <c r="C2928" s="81" t="str">
        <f t="shared" si="186"/>
        <v>lundi</v>
      </c>
      <c r="D2928" s="89"/>
      <c r="E2928" s="115" t="str">
        <f t="shared" si="187"/>
        <v/>
      </c>
      <c r="F2928" s="115" t="str">
        <f t="shared" si="188"/>
        <v/>
      </c>
      <c r="G2928" s="116" t="str">
        <f>IF(ISNONTEXT(D2928),"",E2928-MAX($F$2:F2927))</f>
        <v/>
      </c>
      <c r="H2928" s="100"/>
      <c r="I2928" s="79" t="str">
        <f ca="1">IF(D2928="N",COUNTIF(INDIRECT(ADDRESS(MATCH(Plages!$D$19,'Planning annuel mixing coater'!$B:$B),4)):D2928,"N"),IF(D2928="N1",COUNTIF($D$9:D2928,"N1"),""))</f>
        <v/>
      </c>
      <c r="J2928" s="101" t="str">
        <f>IF(D2928="","",COUNTA(D2928:D2928)-(COUNTA(D2928:D2928)-1))</f>
        <v/>
      </c>
    </row>
    <row r="2929" spans="1:10" thickBot="1">
      <c r="A2929" s="117"/>
      <c r="B2929" s="70">
        <f t="shared" si="185"/>
        <v>46721</v>
      </c>
      <c r="C2929" s="82" t="str">
        <f t="shared" si="186"/>
        <v>mardi</v>
      </c>
      <c r="D2929" s="87"/>
      <c r="E2929" s="115" t="str">
        <f t="shared" si="187"/>
        <v/>
      </c>
      <c r="F2929" s="115" t="str">
        <f t="shared" si="188"/>
        <v/>
      </c>
      <c r="G2929" s="116" t="str">
        <f>IF(ISNONTEXT(D2929),"",E2929-MAX($F$2:F2928))</f>
        <v/>
      </c>
      <c r="H2929" s="97"/>
      <c r="I2929" s="74" t="str">
        <f ca="1">IF(D2929="N",COUNTIF(INDIRECT(ADDRESS(MATCH(Plages!$D$19,'Planning annuel mixing coater'!$B:$B),4)):D2929,"N"),IF(D2929="N1",COUNTIF($D$9:D2929,"N1"),""))</f>
        <v/>
      </c>
      <c r="J2929" s="96" t="str">
        <f>IF(D2929="","",COUNTA(D2928:D2929)-(COUNTA(D2929:D2929)-1))</f>
        <v/>
      </c>
    </row>
    <row r="2930" spans="1:10" thickBot="1">
      <c r="A2930" s="117"/>
      <c r="B2930" s="70">
        <f t="shared" si="185"/>
        <v>46722</v>
      </c>
      <c r="C2930" s="82" t="str">
        <f t="shared" si="186"/>
        <v>mercredi</v>
      </c>
      <c r="D2930" s="87"/>
      <c r="E2930" s="115" t="str">
        <f t="shared" si="187"/>
        <v/>
      </c>
      <c r="F2930" s="115" t="str">
        <f t="shared" si="188"/>
        <v/>
      </c>
      <c r="G2930" s="116" t="str">
        <f>IF(ISNONTEXT(D2930),"",E2930-MAX($F$2:F2929))</f>
        <v/>
      </c>
      <c r="H2930" s="97"/>
      <c r="I2930" s="74" t="str">
        <f ca="1">IF(D2930="N",COUNTIF(INDIRECT(ADDRESS(MATCH(Plages!$D$19,'Planning annuel mixing coater'!$B:$B),4)):D2930,"N"),IF(D2930="N1",COUNTIF($D$9:D2930,"N1"),""))</f>
        <v/>
      </c>
      <c r="J2930" s="96" t="str">
        <f>IF(D2930="","",COUNTA(D2928:D2930)-(COUNTA(D2930:D2930)-1))</f>
        <v/>
      </c>
    </row>
    <row r="2931" spans="1:10" thickBot="1">
      <c r="A2931" s="117"/>
      <c r="B2931" s="70">
        <f t="shared" si="185"/>
        <v>46723</v>
      </c>
      <c r="C2931" s="82" t="str">
        <f t="shared" si="186"/>
        <v>jeudi</v>
      </c>
      <c r="D2931" s="87"/>
      <c r="E2931" s="115" t="str">
        <f t="shared" si="187"/>
        <v/>
      </c>
      <c r="F2931" s="115" t="str">
        <f t="shared" si="188"/>
        <v/>
      </c>
      <c r="G2931" s="116" t="str">
        <f>IF(ISNONTEXT(D2931),"",E2931-MAX($F$2:F2930))</f>
        <v/>
      </c>
      <c r="H2931" s="97"/>
      <c r="I2931" s="74" t="str">
        <f ca="1">IF(D2931="N",COUNTIF(INDIRECT(ADDRESS(MATCH(Plages!$D$19,'Planning annuel mixing coater'!$B:$B),4)):D2931,"N"),IF(D2931="N1",COUNTIF($D$9:D2931,"N1"),""))</f>
        <v/>
      </c>
      <c r="J2931" s="96" t="str">
        <f>IF(D2931="","",COUNTA(D2928:D2931)-(COUNTA(D2931:D2931)-1))</f>
        <v/>
      </c>
    </row>
    <row r="2932" spans="1:10" thickBot="1">
      <c r="A2932" s="117"/>
      <c r="B2932" s="70">
        <f t="shared" si="185"/>
        <v>46724</v>
      </c>
      <c r="C2932" s="82" t="str">
        <f t="shared" si="186"/>
        <v>vendredi</v>
      </c>
      <c r="D2932" s="87"/>
      <c r="E2932" s="115" t="str">
        <f t="shared" si="187"/>
        <v/>
      </c>
      <c r="F2932" s="115" t="str">
        <f t="shared" si="188"/>
        <v/>
      </c>
      <c r="G2932" s="116" t="str">
        <f>IF(ISNONTEXT(D2932),"",E2932-MAX($F$2:F2931))</f>
        <v/>
      </c>
      <c r="H2932" s="97"/>
      <c r="I2932" s="74" t="str">
        <f ca="1">IF(D2932="N",COUNTIF(INDIRECT(ADDRESS(MATCH(Plages!$D$19,'Planning annuel mixing coater'!$B:$B),4)):D2932,"N"),IF(D2932="N1",COUNTIF($D$9:D2932,"N1"),""))</f>
        <v/>
      </c>
      <c r="J2932" s="96" t="str">
        <f>IF(D2932="","",COUNTA(D2928:D2932)-(COUNTA(D2932:D2932)-1))</f>
        <v/>
      </c>
    </row>
    <row r="2933" spans="1:10" thickBot="1">
      <c r="A2933" s="117"/>
      <c r="B2933" s="70">
        <f t="shared" si="185"/>
        <v>46725</v>
      </c>
      <c r="C2933" s="82" t="str">
        <f t="shared" si="186"/>
        <v>samedi</v>
      </c>
      <c r="D2933" s="87"/>
      <c r="E2933" s="115" t="str">
        <f t="shared" si="187"/>
        <v/>
      </c>
      <c r="F2933" s="115" t="str">
        <f t="shared" si="188"/>
        <v/>
      </c>
      <c r="G2933" s="116" t="str">
        <f>IF(ISNONTEXT(D2933),"",E2933-MAX($F$2:F2932))</f>
        <v/>
      </c>
      <c r="H2933" s="97"/>
      <c r="I2933" s="74" t="str">
        <f ca="1">IF(D2933="N",COUNTIF(INDIRECT(ADDRESS(MATCH(Plages!$D$19,'Planning annuel mixing coater'!$B:$B),4)):D2933,"N"),IF(D2933="N1",COUNTIF($D$9:D2933,"N1"),""))</f>
        <v/>
      </c>
      <c r="J2933" s="96" t="str">
        <f>IF(D2933="","",COUNTA(D2928:D2933)-(COUNTA(D2933:D2933)-1))</f>
        <v/>
      </c>
    </row>
    <row r="2934" spans="1:10" thickBot="1">
      <c r="A2934" s="117"/>
      <c r="B2934" s="70">
        <f t="shared" si="185"/>
        <v>46726</v>
      </c>
      <c r="C2934" s="82" t="str">
        <f t="shared" si="186"/>
        <v>dimanche</v>
      </c>
      <c r="D2934" s="87"/>
      <c r="E2934" s="115" t="str">
        <f t="shared" si="187"/>
        <v/>
      </c>
      <c r="F2934" s="115" t="str">
        <f t="shared" si="188"/>
        <v/>
      </c>
      <c r="G2934" s="116" t="str">
        <f>IF(ISNONTEXT(D2934),"",E2934-MAX($F$2:F2933))</f>
        <v/>
      </c>
      <c r="H2934" s="98"/>
      <c r="I2934" s="74" t="str">
        <f ca="1">IF(D2934="N",COUNTIF(INDIRECT(ADDRESS(MATCH(Plages!$D$19,'Planning annuel mixing coater'!$B:$B),4)):D2934,"N"),IF(D2934="N1",COUNTIF($D$9:D2934,"N1"),""))</f>
        <v/>
      </c>
      <c r="J2934" s="96" t="str">
        <f>IF(D2934="","",COUNTA(D2928:D2934)-(COUNTA(D2934:D2934)-1))</f>
        <v/>
      </c>
    </row>
    <row r="2935" spans="1:10" thickBot="1">
      <c r="A2935" s="117"/>
      <c r="B2935" s="70">
        <f t="shared" si="185"/>
        <v>46727</v>
      </c>
      <c r="C2935" s="82" t="str">
        <f t="shared" si="186"/>
        <v>lundi</v>
      </c>
      <c r="D2935" s="87"/>
      <c r="E2935" s="115" t="str">
        <f t="shared" si="187"/>
        <v/>
      </c>
      <c r="F2935" s="115" t="str">
        <f t="shared" si="188"/>
        <v/>
      </c>
      <c r="G2935" s="116" t="str">
        <f>IF(ISNONTEXT(D2935),"",E2935-MAX($F$2:F2934))</f>
        <v/>
      </c>
      <c r="H2935" s="97"/>
      <c r="I2935" s="74" t="str">
        <f ca="1">IF(D2935="N",COUNTIF(INDIRECT(ADDRESS(MATCH(Plages!$D$19,'Planning annuel mixing coater'!$B:$B),4)):D2935,"N"),IF(D2935="N1",COUNTIF($D$9:D2935,"N1"),""))</f>
        <v/>
      </c>
      <c r="J2935" s="96" t="str">
        <f>IF(D2935="","",COUNTA(D2928:D2935)-(COUNTA(D2935:D2935)-1))</f>
        <v/>
      </c>
    </row>
    <row r="2936" spans="1:10" thickBot="1">
      <c r="A2936" s="117"/>
      <c r="B2936" s="70">
        <f t="shared" si="185"/>
        <v>46728</v>
      </c>
      <c r="C2936" s="82" t="str">
        <f t="shared" si="186"/>
        <v>mardi</v>
      </c>
      <c r="D2936" s="87"/>
      <c r="E2936" s="115" t="str">
        <f t="shared" si="187"/>
        <v/>
      </c>
      <c r="F2936" s="115" t="str">
        <f t="shared" si="188"/>
        <v/>
      </c>
      <c r="G2936" s="116" t="str">
        <f>IF(ISNONTEXT(D2936),"",E2936-MAX($F$2:F2935))</f>
        <v/>
      </c>
      <c r="H2936" s="97"/>
      <c r="I2936" s="74" t="str">
        <f ca="1">IF(D2936="N",COUNTIF(INDIRECT(ADDRESS(MATCH(Plages!$D$19,'Planning annuel mixing coater'!$B:$B),4)):D2936,"N"),IF(D2936="N1",COUNTIF($D$9:D2936,"N1"),""))</f>
        <v/>
      </c>
      <c r="J2936" s="96" t="str">
        <f>IF(D2936="","",COUNTA(D2928:D2936)-(COUNTA(D2936:D2936)-1))</f>
        <v/>
      </c>
    </row>
    <row r="2937" spans="1:10" thickBot="1">
      <c r="A2937" s="117"/>
      <c r="B2937" s="70">
        <f t="shared" si="185"/>
        <v>46729</v>
      </c>
      <c r="C2937" s="82" t="str">
        <f t="shared" si="186"/>
        <v>mercredi</v>
      </c>
      <c r="D2937" s="87"/>
      <c r="E2937" s="115" t="str">
        <f t="shared" si="187"/>
        <v/>
      </c>
      <c r="F2937" s="115" t="str">
        <f t="shared" si="188"/>
        <v/>
      </c>
      <c r="G2937" s="116" t="str">
        <f>IF(ISNONTEXT(D2937),"",E2937-MAX($F$2:F2936))</f>
        <v/>
      </c>
      <c r="H2937" s="97"/>
      <c r="I2937" s="74" t="str">
        <f ca="1">IF(D2937="N",COUNTIF(INDIRECT(ADDRESS(MATCH(Plages!$D$19,'Planning annuel mixing coater'!$B:$B),4)):D2937,"N"),IF(D2937="N1",COUNTIF($D$9:D2937,"N1"),""))</f>
        <v/>
      </c>
      <c r="J2937" s="96" t="str">
        <f>IF(D2937="","",COUNTA(D2928:D2937)-(COUNTA(D2937:D2937)-1))</f>
        <v/>
      </c>
    </row>
    <row r="2938" spans="1:10" thickBot="1">
      <c r="A2938" s="117"/>
      <c r="B2938" s="70">
        <f t="shared" si="185"/>
        <v>46730</v>
      </c>
      <c r="C2938" s="82" t="str">
        <f t="shared" si="186"/>
        <v>jeudi</v>
      </c>
      <c r="D2938" s="87"/>
      <c r="E2938" s="115" t="str">
        <f t="shared" si="187"/>
        <v/>
      </c>
      <c r="F2938" s="115" t="str">
        <f t="shared" si="188"/>
        <v/>
      </c>
      <c r="G2938" s="116" t="str">
        <f>IF(ISNONTEXT(D2938),"",E2938-MAX($F$2:F2937))</f>
        <v/>
      </c>
      <c r="H2938" s="97"/>
      <c r="I2938" s="74" t="str">
        <f ca="1">IF(D2938="N",COUNTIF(INDIRECT(ADDRESS(MATCH(Plages!$D$19,'Planning annuel mixing coater'!$B:$B),4)):D2938,"N"),IF(D2938="N1",COUNTIF($D$9:D2938,"N1"),""))</f>
        <v/>
      </c>
      <c r="J2938" s="96" t="str">
        <f>IF(D2938="","",COUNTA(D2928:D2938)-(COUNTA(D2938:D2938)-1))</f>
        <v/>
      </c>
    </row>
    <row r="2939" spans="1:10" thickBot="1">
      <c r="A2939" s="117"/>
      <c r="B2939" s="70">
        <f t="shared" si="185"/>
        <v>46731</v>
      </c>
      <c r="C2939" s="82" t="str">
        <f t="shared" si="186"/>
        <v>vendredi</v>
      </c>
      <c r="D2939" s="87"/>
      <c r="E2939" s="115" t="str">
        <f t="shared" si="187"/>
        <v/>
      </c>
      <c r="F2939" s="115" t="str">
        <f t="shared" si="188"/>
        <v/>
      </c>
      <c r="G2939" s="116" t="str">
        <f>IF(ISNONTEXT(D2939),"",E2939-MAX($F$2:F2938))</f>
        <v/>
      </c>
      <c r="H2939" s="97"/>
      <c r="I2939" s="74" t="str">
        <f ca="1">IF(D2939="N",COUNTIF(INDIRECT(ADDRESS(MATCH(Plages!$D$19,'Planning annuel mixing coater'!$B:$B),4)):D2939,"N"),IF(D2939="N1",COUNTIF($D$9:D2939,"N1"),""))</f>
        <v/>
      </c>
      <c r="J2939" s="96" t="str">
        <f>IF(D2939="","",COUNTA(D2928:D2939)-(COUNTA(D2939:D2939)-1))</f>
        <v/>
      </c>
    </row>
    <row r="2940" spans="1:10" thickBot="1">
      <c r="A2940" s="117"/>
      <c r="B2940" s="70">
        <f t="shared" si="185"/>
        <v>46732</v>
      </c>
      <c r="C2940" s="82" t="str">
        <f t="shared" si="186"/>
        <v>samedi</v>
      </c>
      <c r="D2940" s="87"/>
      <c r="E2940" s="115" t="str">
        <f t="shared" si="187"/>
        <v/>
      </c>
      <c r="F2940" s="115" t="str">
        <f t="shared" si="188"/>
        <v/>
      </c>
      <c r="G2940" s="116" t="str">
        <f>IF(ISNONTEXT(D2940),"",E2940-MAX($F$2:F2939))</f>
        <v/>
      </c>
      <c r="H2940" s="97"/>
      <c r="I2940" s="74" t="str">
        <f ca="1">IF(D2940="N",COUNTIF(INDIRECT(ADDRESS(MATCH(Plages!$D$19,'Planning annuel mixing coater'!$B:$B),4)):D2940,"N"),IF(D2940="N1",COUNTIF($D$9:D2940,"N1"),""))</f>
        <v/>
      </c>
      <c r="J2940" s="96" t="str">
        <f>IF(D2940="","",COUNTA(D2928:D2940)-(COUNTA(D2940:D2940)-1))</f>
        <v/>
      </c>
    </row>
    <row r="2941" spans="1:10" s="77" customFormat="1" thickBot="1">
      <c r="A2941" s="117"/>
      <c r="B2941" s="75">
        <f t="shared" si="185"/>
        <v>46733</v>
      </c>
      <c r="C2941" s="83" t="str">
        <f t="shared" si="186"/>
        <v>dimanche</v>
      </c>
      <c r="D2941" s="88"/>
      <c r="E2941" s="115" t="str">
        <f t="shared" si="187"/>
        <v/>
      </c>
      <c r="F2941" s="115" t="str">
        <f t="shared" si="188"/>
        <v/>
      </c>
      <c r="G2941" s="116" t="str">
        <f>IF(ISNONTEXT(D2941),"",E2941-MAX($F$2:F2940))</f>
        <v/>
      </c>
      <c r="H2941" s="98"/>
      <c r="I2941" s="76" t="str">
        <f ca="1">IF(D2941="N",COUNTIF(INDIRECT(ADDRESS(MATCH(Plages!$D$19,'Planning annuel mixing coater'!$B:$B),4)):D2941,"N"),IF(D2941="N1",COUNTIF($D$9:D2941,"N1"),""))</f>
        <v/>
      </c>
      <c r="J2941" s="99" t="str">
        <f>IF(D2941="","",COUNTA(D2928:D2941)-(COUNTA(D2941:D2941)-1))</f>
        <v/>
      </c>
    </row>
    <row r="2942" spans="1:10" ht="16.5" thickTop="1" thickBot="1">
      <c r="A2942" s="117"/>
      <c r="B2942" s="78">
        <f t="shared" si="185"/>
        <v>46734</v>
      </c>
      <c r="C2942" s="81" t="str">
        <f t="shared" si="186"/>
        <v>lundi</v>
      </c>
      <c r="D2942" s="89"/>
      <c r="E2942" s="115" t="str">
        <f t="shared" si="187"/>
        <v/>
      </c>
      <c r="F2942" s="115" t="str">
        <f t="shared" si="188"/>
        <v/>
      </c>
      <c r="G2942" s="116" t="str">
        <f>IF(ISNONTEXT(D2942),"",E2942-MAX($F$2:F2941))</f>
        <v/>
      </c>
      <c r="H2942" s="100"/>
      <c r="I2942" s="79" t="str">
        <f ca="1">IF(D2942="N",COUNTIF(INDIRECT(ADDRESS(MATCH(Plages!$D$19,'Planning annuel mixing coater'!$B:$B),4)):D2942,"N"),IF(D2942="N1",COUNTIF($D$9:D2942,"N1"),""))</f>
        <v/>
      </c>
      <c r="J2942" s="101" t="str">
        <f>IF(D2942="","",COUNTA(D2942:D2942)-(COUNTA(D2942:D2942)-1))</f>
        <v/>
      </c>
    </row>
    <row r="2943" spans="1:10" thickBot="1">
      <c r="A2943" s="117"/>
      <c r="B2943" s="70">
        <f t="shared" si="185"/>
        <v>46735</v>
      </c>
      <c r="C2943" s="82" t="str">
        <f t="shared" si="186"/>
        <v>mardi</v>
      </c>
      <c r="D2943" s="87"/>
      <c r="E2943" s="115" t="str">
        <f t="shared" si="187"/>
        <v/>
      </c>
      <c r="F2943" s="115" t="str">
        <f t="shared" si="188"/>
        <v/>
      </c>
      <c r="G2943" s="116" t="str">
        <f>IF(ISNONTEXT(D2943),"",E2943-MAX($F$2:F2942))</f>
        <v/>
      </c>
      <c r="H2943" s="97"/>
      <c r="I2943" s="74" t="str">
        <f ca="1">IF(D2943="N",COUNTIF(INDIRECT(ADDRESS(MATCH(Plages!$D$19,'Planning annuel mixing coater'!$B:$B),4)):D2943,"N"),IF(D2943="N1",COUNTIF($D$9:D2943,"N1"),""))</f>
        <v/>
      </c>
      <c r="J2943" s="96" t="str">
        <f>IF(D2943="","",COUNTA(D2942:D2943)-(COUNTA(D2943:D2943)-1))</f>
        <v/>
      </c>
    </row>
    <row r="2944" spans="1:10" thickBot="1">
      <c r="A2944" s="117"/>
      <c r="B2944" s="70">
        <f t="shared" si="185"/>
        <v>46736</v>
      </c>
      <c r="C2944" s="82" t="str">
        <f t="shared" si="186"/>
        <v>mercredi</v>
      </c>
      <c r="D2944" s="87"/>
      <c r="E2944" s="115" t="str">
        <f t="shared" si="187"/>
        <v/>
      </c>
      <c r="F2944" s="115" t="str">
        <f t="shared" si="188"/>
        <v/>
      </c>
      <c r="G2944" s="116" t="str">
        <f>IF(ISNONTEXT(D2944),"",E2944-MAX($F$2:F2943))</f>
        <v/>
      </c>
      <c r="H2944" s="97"/>
      <c r="I2944" s="74" t="str">
        <f ca="1">IF(D2944="N",COUNTIF(INDIRECT(ADDRESS(MATCH(Plages!$D$19,'Planning annuel mixing coater'!$B:$B),4)):D2944,"N"),IF(D2944="N1",COUNTIF($D$9:D2944,"N1"),""))</f>
        <v/>
      </c>
      <c r="J2944" s="96" t="str">
        <f>IF(D2944="","",COUNTA(D2942:D2944)-(COUNTA(D2944:D2944)-1))</f>
        <v/>
      </c>
    </row>
    <row r="2945" spans="1:10" thickBot="1">
      <c r="A2945" s="117"/>
      <c r="B2945" s="70">
        <f t="shared" si="185"/>
        <v>46737</v>
      </c>
      <c r="C2945" s="82" t="str">
        <f t="shared" si="186"/>
        <v>jeudi</v>
      </c>
      <c r="D2945" s="87"/>
      <c r="E2945" s="115" t="str">
        <f t="shared" si="187"/>
        <v/>
      </c>
      <c r="F2945" s="115" t="str">
        <f t="shared" si="188"/>
        <v/>
      </c>
      <c r="G2945" s="116" t="str">
        <f>IF(ISNONTEXT(D2945),"",E2945-MAX($F$2:F2944))</f>
        <v/>
      </c>
      <c r="H2945" s="97"/>
      <c r="I2945" s="74" t="str">
        <f ca="1">IF(D2945="N",COUNTIF(INDIRECT(ADDRESS(MATCH(Plages!$D$19,'Planning annuel mixing coater'!$B:$B),4)):D2945,"N"),IF(D2945="N1",COUNTIF($D$9:D2945,"N1"),""))</f>
        <v/>
      </c>
      <c r="J2945" s="96" t="str">
        <f>IF(D2945="","",COUNTA(D2942:D2945)-(COUNTA(D2945:D2945)-1))</f>
        <v/>
      </c>
    </row>
    <row r="2946" spans="1:10" thickBot="1">
      <c r="A2946" s="117"/>
      <c r="B2946" s="70">
        <f t="shared" si="185"/>
        <v>46738</v>
      </c>
      <c r="C2946" s="82" t="str">
        <f t="shared" si="186"/>
        <v>vendredi</v>
      </c>
      <c r="D2946" s="87"/>
      <c r="E2946" s="115" t="str">
        <f t="shared" si="187"/>
        <v/>
      </c>
      <c r="F2946" s="115" t="str">
        <f t="shared" si="188"/>
        <v/>
      </c>
      <c r="G2946" s="116" t="str">
        <f>IF(ISNONTEXT(D2946),"",E2946-MAX($F$2:F2945))</f>
        <v/>
      </c>
      <c r="H2946" s="97"/>
      <c r="I2946" s="74" t="str">
        <f ca="1">IF(D2946="N",COUNTIF(INDIRECT(ADDRESS(MATCH(Plages!$D$19,'Planning annuel mixing coater'!$B:$B),4)):D2946,"N"),IF(D2946="N1",COUNTIF($D$9:D2946,"N1"),""))</f>
        <v/>
      </c>
      <c r="J2946" s="96" t="str">
        <f>IF(D2946="","",COUNTA(D2942:D2946)-(COUNTA(D2946:D2946)-1))</f>
        <v/>
      </c>
    </row>
    <row r="2947" spans="1:10" thickBot="1">
      <c r="A2947" s="117"/>
      <c r="B2947" s="70">
        <f t="shared" si="185"/>
        <v>46739</v>
      </c>
      <c r="C2947" s="82" t="str">
        <f t="shared" si="186"/>
        <v>samedi</v>
      </c>
      <c r="D2947" s="87"/>
      <c r="E2947" s="115" t="str">
        <f t="shared" si="187"/>
        <v/>
      </c>
      <c r="F2947" s="115" t="str">
        <f t="shared" si="188"/>
        <v/>
      </c>
      <c r="G2947" s="116" t="str">
        <f>IF(ISNONTEXT(D2947),"",E2947-MAX($F$2:F2946))</f>
        <v/>
      </c>
      <c r="H2947" s="97"/>
      <c r="I2947" s="74" t="str">
        <f ca="1">IF(D2947="N",COUNTIF(INDIRECT(ADDRESS(MATCH(Plages!$D$19,'Planning annuel mixing coater'!$B:$B),4)):D2947,"N"),IF(D2947="N1",COUNTIF($D$9:D2947,"N1"),""))</f>
        <v/>
      </c>
      <c r="J2947" s="96" t="str">
        <f>IF(D2947="","",COUNTA(D2942:D2947)-(COUNTA(D2947:D2947)-1))</f>
        <v/>
      </c>
    </row>
    <row r="2948" spans="1:10" thickBot="1">
      <c r="A2948" s="117"/>
      <c r="B2948" s="70">
        <f t="shared" ref="B2948:B3011" si="189">IF(B2947="","",B2947+1)</f>
        <v>46740</v>
      </c>
      <c r="C2948" s="82" t="str">
        <f t="shared" si="186"/>
        <v>dimanche</v>
      </c>
      <c r="D2948" s="87"/>
      <c r="E2948" s="115" t="str">
        <f t="shared" si="187"/>
        <v/>
      </c>
      <c r="F2948" s="115" t="str">
        <f t="shared" si="188"/>
        <v/>
      </c>
      <c r="G2948" s="116" t="str">
        <f>IF(ISNONTEXT(D2948),"",E2948-MAX($F$2:F2947))</f>
        <v/>
      </c>
      <c r="H2948" s="98"/>
      <c r="I2948" s="74" t="str">
        <f ca="1">IF(D2948="N",COUNTIF(INDIRECT(ADDRESS(MATCH(Plages!$D$19,'Planning annuel mixing coater'!$B:$B),4)):D2948,"N"),IF(D2948="N1",COUNTIF($D$9:D2948,"N1"),""))</f>
        <v/>
      </c>
      <c r="J2948" s="96" t="str">
        <f>IF(D2948="","",COUNTA(D2942:D2948)-(COUNTA(D2948:D2948)-1))</f>
        <v/>
      </c>
    </row>
    <row r="2949" spans="1:10" thickBot="1">
      <c r="A2949" s="117"/>
      <c r="B2949" s="70">
        <f t="shared" si="189"/>
        <v>46741</v>
      </c>
      <c r="C2949" s="82" t="str">
        <f t="shared" si="186"/>
        <v>lundi</v>
      </c>
      <c r="D2949" s="87"/>
      <c r="E2949" s="115" t="str">
        <f t="shared" si="187"/>
        <v/>
      </c>
      <c r="F2949" s="115" t="str">
        <f t="shared" si="188"/>
        <v/>
      </c>
      <c r="G2949" s="116" t="str">
        <f>IF(ISNONTEXT(D2949),"",E2949-MAX($F$2:F2948))</f>
        <v/>
      </c>
      <c r="H2949" s="97"/>
      <c r="I2949" s="74" t="str">
        <f ca="1">IF(D2949="N",COUNTIF(INDIRECT(ADDRESS(MATCH(Plages!$D$19,'Planning annuel mixing coater'!$B:$B),4)):D2949,"N"),IF(D2949="N1",COUNTIF($D$9:D2949,"N1"),""))</f>
        <v/>
      </c>
      <c r="J2949" s="96" t="str">
        <f>IF(D2949="","",COUNTA(D2942:D2949)-(COUNTA(D2949:D2949)-1))</f>
        <v/>
      </c>
    </row>
    <row r="2950" spans="1:10" thickBot="1">
      <c r="A2950" s="117"/>
      <c r="B2950" s="70">
        <f t="shared" si="189"/>
        <v>46742</v>
      </c>
      <c r="C2950" s="82" t="str">
        <f t="shared" si="186"/>
        <v>mardi</v>
      </c>
      <c r="D2950" s="87"/>
      <c r="E2950" s="115" t="str">
        <f t="shared" si="187"/>
        <v/>
      </c>
      <c r="F2950" s="115" t="str">
        <f t="shared" si="188"/>
        <v/>
      </c>
      <c r="G2950" s="116" t="str">
        <f>IF(ISNONTEXT(D2950),"",E2950-MAX($F$2:F2949))</f>
        <v/>
      </c>
      <c r="H2950" s="97"/>
      <c r="I2950" s="74" t="str">
        <f ca="1">IF(D2950="N",COUNTIF(INDIRECT(ADDRESS(MATCH(Plages!$D$19,'Planning annuel mixing coater'!$B:$B),4)):D2950,"N"),IF(D2950="N1",COUNTIF($D$9:D2950,"N1"),""))</f>
        <v/>
      </c>
      <c r="J2950" s="96" t="str">
        <f>IF(D2950="","",COUNTA(D2942:D2950)-(COUNTA(D2950:D2950)-1))</f>
        <v/>
      </c>
    </row>
    <row r="2951" spans="1:10" thickBot="1">
      <c r="A2951" s="117"/>
      <c r="B2951" s="70">
        <f t="shared" si="189"/>
        <v>46743</v>
      </c>
      <c r="C2951" s="82" t="str">
        <f t="shared" si="186"/>
        <v>mercredi</v>
      </c>
      <c r="D2951" s="87"/>
      <c r="E2951" s="115" t="str">
        <f t="shared" si="187"/>
        <v/>
      </c>
      <c r="F2951" s="115" t="str">
        <f t="shared" si="188"/>
        <v/>
      </c>
      <c r="G2951" s="116" t="str">
        <f>IF(ISNONTEXT(D2951),"",E2951-MAX($F$2:F2950))</f>
        <v/>
      </c>
      <c r="H2951" s="97"/>
      <c r="I2951" s="74" t="str">
        <f ca="1">IF(D2951="N",COUNTIF(INDIRECT(ADDRESS(MATCH(Plages!$D$19,'Planning annuel mixing coater'!$B:$B),4)):D2951,"N"),IF(D2951="N1",COUNTIF($D$9:D2951,"N1"),""))</f>
        <v/>
      </c>
      <c r="J2951" s="96" t="str">
        <f>IF(D2951="","",COUNTA(D2942:D2951)-(COUNTA(D2951:D2951)-1))</f>
        <v/>
      </c>
    </row>
    <row r="2952" spans="1:10" thickBot="1">
      <c r="A2952" s="117"/>
      <c r="B2952" s="70">
        <f t="shared" si="189"/>
        <v>46744</v>
      </c>
      <c r="C2952" s="82" t="str">
        <f t="shared" si="186"/>
        <v>jeudi</v>
      </c>
      <c r="D2952" s="87"/>
      <c r="E2952" s="115" t="str">
        <f t="shared" si="187"/>
        <v/>
      </c>
      <c r="F2952" s="115" t="str">
        <f t="shared" si="188"/>
        <v/>
      </c>
      <c r="G2952" s="116" t="str">
        <f>IF(ISNONTEXT(D2952),"",E2952-MAX($F$2:F2951))</f>
        <v/>
      </c>
      <c r="H2952" s="97"/>
      <c r="I2952" s="74" t="str">
        <f ca="1">IF(D2952="N",COUNTIF(INDIRECT(ADDRESS(MATCH(Plages!$D$19,'Planning annuel mixing coater'!$B:$B),4)):D2952,"N"),IF(D2952="N1",COUNTIF($D$9:D2952,"N1"),""))</f>
        <v/>
      </c>
      <c r="J2952" s="96" t="str">
        <f>IF(D2952="","",COUNTA(D2942:D2952)-(COUNTA(D2952:D2952)-1))</f>
        <v/>
      </c>
    </row>
    <row r="2953" spans="1:10" thickBot="1">
      <c r="A2953" s="117"/>
      <c r="B2953" s="70">
        <f t="shared" si="189"/>
        <v>46745</v>
      </c>
      <c r="C2953" s="82" t="str">
        <f t="shared" si="186"/>
        <v>vendredi</v>
      </c>
      <c r="D2953" s="87"/>
      <c r="E2953" s="115" t="str">
        <f t="shared" si="187"/>
        <v/>
      </c>
      <c r="F2953" s="115" t="str">
        <f t="shared" si="188"/>
        <v/>
      </c>
      <c r="G2953" s="116" t="str">
        <f>IF(ISNONTEXT(D2953),"",E2953-MAX($F$2:F2952))</f>
        <v/>
      </c>
      <c r="H2953" s="97"/>
      <c r="I2953" s="74" t="str">
        <f ca="1">IF(D2953="N",COUNTIF(INDIRECT(ADDRESS(MATCH(Plages!$D$19,'Planning annuel mixing coater'!$B:$B),4)):D2953,"N"),IF(D2953="N1",COUNTIF($D$9:D2953,"N1"),""))</f>
        <v/>
      </c>
      <c r="J2953" s="96" t="str">
        <f>IF(D2953="","",COUNTA(D2942:D2953)-(COUNTA(D2953:D2953)-1))</f>
        <v/>
      </c>
    </row>
    <row r="2954" spans="1:10" thickBot="1">
      <c r="A2954" s="117"/>
      <c r="B2954" s="70">
        <f t="shared" si="189"/>
        <v>46746</v>
      </c>
      <c r="C2954" s="82" t="str">
        <f t="shared" si="186"/>
        <v>samedi</v>
      </c>
      <c r="D2954" s="87"/>
      <c r="E2954" s="115" t="str">
        <f t="shared" si="187"/>
        <v/>
      </c>
      <c r="F2954" s="115" t="str">
        <f t="shared" si="188"/>
        <v/>
      </c>
      <c r="G2954" s="116" t="str">
        <f>IF(ISNONTEXT(D2954),"",E2954-MAX($F$2:F2953))</f>
        <v/>
      </c>
      <c r="H2954" s="97"/>
      <c r="I2954" s="74" t="str">
        <f ca="1">IF(D2954="N",COUNTIF(INDIRECT(ADDRESS(MATCH(Plages!$D$19,'Planning annuel mixing coater'!$B:$B),4)):D2954,"N"),IF(D2954="N1",COUNTIF($D$9:D2954,"N1"),""))</f>
        <v/>
      </c>
      <c r="J2954" s="96" t="str">
        <f>IF(D2954="","",COUNTA(D2942:D2954)-(COUNTA(D2954:D2954)-1))</f>
        <v/>
      </c>
    </row>
    <row r="2955" spans="1:10" s="77" customFormat="1" thickBot="1">
      <c r="A2955" s="117"/>
      <c r="B2955" s="75">
        <f t="shared" si="189"/>
        <v>46747</v>
      </c>
      <c r="C2955" s="83" t="str">
        <f t="shared" si="186"/>
        <v>dimanche</v>
      </c>
      <c r="D2955" s="88"/>
      <c r="E2955" s="115" t="str">
        <f t="shared" si="187"/>
        <v/>
      </c>
      <c r="F2955" s="115" t="str">
        <f t="shared" si="188"/>
        <v/>
      </c>
      <c r="G2955" s="116" t="str">
        <f>IF(ISNONTEXT(D2955),"",E2955-MAX($F$2:F2954))</f>
        <v/>
      </c>
      <c r="H2955" s="98"/>
      <c r="I2955" s="76" t="str">
        <f ca="1">IF(D2955="N",COUNTIF(INDIRECT(ADDRESS(MATCH(Plages!$D$19,'Planning annuel mixing coater'!$B:$B),4)):D2955,"N"),IF(D2955="N1",COUNTIF($D$9:D2955,"N1"),""))</f>
        <v/>
      </c>
      <c r="J2955" s="99" t="str">
        <f>IF(D2955="","",COUNTA(D2942:D2955)-(COUNTA(D2955:D2955)-1))</f>
        <v/>
      </c>
    </row>
    <row r="2956" spans="1:10" ht="16.5" thickTop="1" thickBot="1">
      <c r="A2956" s="117"/>
      <c r="B2956" s="78">
        <f t="shared" si="189"/>
        <v>46748</v>
      </c>
      <c r="C2956" s="81" t="str">
        <f t="shared" si="186"/>
        <v>lundi</v>
      </c>
      <c r="D2956" s="89"/>
      <c r="E2956" s="115" t="str">
        <f t="shared" si="187"/>
        <v/>
      </c>
      <c r="F2956" s="115" t="str">
        <f t="shared" si="188"/>
        <v/>
      </c>
      <c r="G2956" s="116" t="str">
        <f>IF(ISNONTEXT(D2956),"",E2956-MAX($F$2:F2955))</f>
        <v/>
      </c>
      <c r="H2956" s="100"/>
      <c r="I2956" s="79" t="str">
        <f ca="1">IF(D2956="N",COUNTIF(INDIRECT(ADDRESS(MATCH(Plages!$D$19,'Planning annuel mixing coater'!$B:$B),4)):D2956,"N"),IF(D2956="N1",COUNTIF($D$9:D2956,"N1"),""))</f>
        <v/>
      </c>
      <c r="J2956" s="101" t="str">
        <f>IF(D2956="","",COUNTA(D2956:D2956)-(COUNTA(D2956:D2956)-1))</f>
        <v/>
      </c>
    </row>
    <row r="2957" spans="1:10" thickBot="1">
      <c r="A2957" s="117"/>
      <c r="B2957" s="70">
        <f t="shared" si="189"/>
        <v>46749</v>
      </c>
      <c r="C2957" s="82" t="str">
        <f t="shared" si="186"/>
        <v>mardi</v>
      </c>
      <c r="D2957" s="87"/>
      <c r="E2957" s="115" t="str">
        <f t="shared" si="187"/>
        <v/>
      </c>
      <c r="F2957" s="115" t="str">
        <f t="shared" si="188"/>
        <v/>
      </c>
      <c r="G2957" s="116" t="str">
        <f>IF(ISNONTEXT(D2957),"",E2957-MAX($F$2:F2956))</f>
        <v/>
      </c>
      <c r="H2957" s="97"/>
      <c r="I2957" s="74" t="str">
        <f ca="1">IF(D2957="N",COUNTIF(INDIRECT(ADDRESS(MATCH(Plages!$D$19,'Planning annuel mixing coater'!$B:$B),4)):D2957,"N"),IF(D2957="N1",COUNTIF($D$9:D2957,"N1"),""))</f>
        <v/>
      </c>
      <c r="J2957" s="96" t="str">
        <f>IF(D2957="","",COUNTA(D2956:D2957)-(COUNTA(D2957:D2957)-1))</f>
        <v/>
      </c>
    </row>
    <row r="2958" spans="1:10" thickBot="1">
      <c r="A2958" s="117"/>
      <c r="B2958" s="70">
        <f t="shared" si="189"/>
        <v>46750</v>
      </c>
      <c r="C2958" s="82" t="str">
        <f t="shared" si="186"/>
        <v>mercredi</v>
      </c>
      <c r="D2958" s="87"/>
      <c r="E2958" s="115" t="str">
        <f t="shared" si="187"/>
        <v/>
      </c>
      <c r="F2958" s="115" t="str">
        <f t="shared" si="188"/>
        <v/>
      </c>
      <c r="G2958" s="116" t="str">
        <f>IF(ISNONTEXT(D2958),"",E2958-MAX($F$2:F2957))</f>
        <v/>
      </c>
      <c r="H2958" s="97"/>
      <c r="I2958" s="74" t="str">
        <f ca="1">IF(D2958="N",COUNTIF(INDIRECT(ADDRESS(MATCH(Plages!$D$19,'Planning annuel mixing coater'!$B:$B),4)):D2958,"N"),IF(D2958="N1",COUNTIF($D$9:D2958,"N1"),""))</f>
        <v/>
      </c>
      <c r="J2958" s="96" t="str">
        <f>IF(D2958="","",COUNTA(D2956:D2958)-(COUNTA(D2958:D2958)-1))</f>
        <v/>
      </c>
    </row>
    <row r="2959" spans="1:10" thickBot="1">
      <c r="A2959" s="117"/>
      <c r="B2959" s="70">
        <f t="shared" si="189"/>
        <v>46751</v>
      </c>
      <c r="C2959" s="82" t="str">
        <f t="shared" si="186"/>
        <v>jeudi</v>
      </c>
      <c r="D2959" s="87"/>
      <c r="E2959" s="115" t="str">
        <f t="shared" si="187"/>
        <v/>
      </c>
      <c r="F2959" s="115" t="str">
        <f t="shared" si="188"/>
        <v/>
      </c>
      <c r="G2959" s="116" t="str">
        <f>IF(ISNONTEXT(D2959),"",E2959-MAX($F$2:F2958))</f>
        <v/>
      </c>
      <c r="H2959" s="97"/>
      <c r="I2959" s="74" t="str">
        <f ca="1">IF(D2959="N",COUNTIF(INDIRECT(ADDRESS(MATCH(Plages!$D$19,'Planning annuel mixing coater'!$B:$B),4)):D2959,"N"),IF(D2959="N1",COUNTIF($D$9:D2959,"N1"),""))</f>
        <v/>
      </c>
      <c r="J2959" s="96" t="str">
        <f>IF(D2959="","",COUNTA(D2956:D2959)-(COUNTA(D2959:D2959)-1))</f>
        <v/>
      </c>
    </row>
    <row r="2960" spans="1:10" thickBot="1">
      <c r="A2960" s="117"/>
      <c r="B2960" s="70">
        <f t="shared" si="189"/>
        <v>46752</v>
      </c>
      <c r="C2960" s="82" t="str">
        <f t="shared" si="186"/>
        <v>vendredi</v>
      </c>
      <c r="D2960" s="87"/>
      <c r="E2960" s="115" t="str">
        <f t="shared" si="187"/>
        <v/>
      </c>
      <c r="F2960" s="115" t="str">
        <f t="shared" si="188"/>
        <v/>
      </c>
      <c r="G2960" s="116" t="str">
        <f>IF(ISNONTEXT(D2960),"",E2960-MAX($F$2:F2959))</f>
        <v/>
      </c>
      <c r="H2960" s="97"/>
      <c r="I2960" s="74" t="str">
        <f ca="1">IF(D2960="N",COUNTIF(INDIRECT(ADDRESS(MATCH(Plages!$D$19,'Planning annuel mixing coater'!$B:$B),4)):D2960,"N"),IF(D2960="N1",COUNTIF($D$9:D2960,"N1"),""))</f>
        <v/>
      </c>
      <c r="J2960" s="96" t="str">
        <f>IF(D2960="","",COUNTA(D2956:D2960)-(COUNTA(D2960:D2960)-1))</f>
        <v/>
      </c>
    </row>
    <row r="2961" spans="1:10" thickBot="1">
      <c r="A2961" s="117"/>
      <c r="B2961" s="70">
        <f t="shared" si="189"/>
        <v>46753</v>
      </c>
      <c r="C2961" s="82" t="str">
        <f t="shared" si="186"/>
        <v>samedi</v>
      </c>
      <c r="D2961" s="87"/>
      <c r="E2961" s="115" t="str">
        <f t="shared" si="187"/>
        <v/>
      </c>
      <c r="F2961" s="115" t="str">
        <f t="shared" si="188"/>
        <v/>
      </c>
      <c r="G2961" s="116" t="str">
        <f>IF(ISNONTEXT(D2961),"",E2961-MAX($F$2:F2960))</f>
        <v/>
      </c>
      <c r="H2961" s="97"/>
      <c r="I2961" s="74" t="str">
        <f ca="1">IF(D2961="N",COUNTIF(INDIRECT(ADDRESS(MATCH(Plages!$D$19,'Planning annuel mixing coater'!$B:$B),4)):D2961,"N"),IF(D2961="N1",COUNTIF($D$9:D2961,"N1"),""))</f>
        <v/>
      </c>
      <c r="J2961" s="96" t="str">
        <f>IF(D2961="","",COUNTA(D2956:D2961)-(COUNTA(D2961:D2961)-1))</f>
        <v/>
      </c>
    </row>
    <row r="2962" spans="1:10" thickBot="1">
      <c r="A2962" s="117"/>
      <c r="B2962" s="70">
        <f t="shared" si="189"/>
        <v>46754</v>
      </c>
      <c r="C2962" s="82" t="str">
        <f t="shared" si="186"/>
        <v>dimanche</v>
      </c>
      <c r="D2962" s="87"/>
      <c r="E2962" s="115" t="str">
        <f t="shared" si="187"/>
        <v/>
      </c>
      <c r="F2962" s="115" t="str">
        <f t="shared" si="188"/>
        <v/>
      </c>
      <c r="G2962" s="116" t="str">
        <f>IF(ISNONTEXT(D2962),"",E2962-MAX($F$2:F2961))</f>
        <v/>
      </c>
      <c r="H2962" s="98"/>
      <c r="I2962" s="74" t="str">
        <f ca="1">IF(D2962="N",COUNTIF(INDIRECT(ADDRESS(MATCH(Plages!$D$19,'Planning annuel mixing coater'!$B:$B),4)):D2962,"N"),IF(D2962="N1",COUNTIF($D$9:D2962,"N1"),""))</f>
        <v/>
      </c>
      <c r="J2962" s="96" t="str">
        <f>IF(D2962="","",COUNTA(D2956:D2962)-(COUNTA(D2962:D2962)-1))</f>
        <v/>
      </c>
    </row>
    <row r="2963" spans="1:10" thickBot="1">
      <c r="A2963" s="117"/>
      <c r="B2963" s="70">
        <f t="shared" si="189"/>
        <v>46755</v>
      </c>
      <c r="C2963" s="82" t="str">
        <f t="shared" si="186"/>
        <v>lundi</v>
      </c>
      <c r="D2963" s="87"/>
      <c r="E2963" s="115" t="str">
        <f t="shared" si="187"/>
        <v/>
      </c>
      <c r="F2963" s="115" t="str">
        <f t="shared" si="188"/>
        <v/>
      </c>
      <c r="G2963" s="116" t="str">
        <f>IF(ISNONTEXT(D2963),"",E2963-MAX($F$2:F2962))</f>
        <v/>
      </c>
      <c r="H2963" s="97"/>
      <c r="I2963" s="74" t="str">
        <f ca="1">IF(D2963="N",COUNTIF(INDIRECT(ADDRESS(MATCH(Plages!$D$19,'Planning annuel mixing coater'!$B:$B),4)):D2963,"N"),IF(D2963="N1",COUNTIF($D$9:D2963,"N1"),""))</f>
        <v/>
      </c>
      <c r="J2963" s="96" t="str">
        <f>IF(D2963="","",COUNTA(D2956:D2963)-(COUNTA(D2963:D2963)-1))</f>
        <v/>
      </c>
    </row>
    <row r="2964" spans="1:10" thickBot="1">
      <c r="A2964" s="117"/>
      <c r="B2964" s="70">
        <f t="shared" si="189"/>
        <v>46756</v>
      </c>
      <c r="C2964" s="82" t="str">
        <f t="shared" si="186"/>
        <v>mardi</v>
      </c>
      <c r="D2964" s="87"/>
      <c r="E2964" s="115" t="str">
        <f t="shared" si="187"/>
        <v/>
      </c>
      <c r="F2964" s="115" t="str">
        <f t="shared" si="188"/>
        <v/>
      </c>
      <c r="G2964" s="116" t="str">
        <f>IF(ISNONTEXT(D2964),"",E2964-MAX($F$2:F2963))</f>
        <v/>
      </c>
      <c r="H2964" s="97"/>
      <c r="I2964" s="74" t="str">
        <f ca="1">IF(D2964="N",COUNTIF(INDIRECT(ADDRESS(MATCH(Plages!$D$19,'Planning annuel mixing coater'!$B:$B),4)):D2964,"N"),IF(D2964="N1",COUNTIF($D$9:D2964,"N1"),""))</f>
        <v/>
      </c>
      <c r="J2964" s="96" t="str">
        <f>IF(D2964="","",COUNTA(D2956:D2964)-(COUNTA(D2964:D2964)-1))</f>
        <v/>
      </c>
    </row>
    <row r="2965" spans="1:10" thickBot="1">
      <c r="A2965" s="117"/>
      <c r="B2965" s="70">
        <f t="shared" si="189"/>
        <v>46757</v>
      </c>
      <c r="C2965" s="82" t="str">
        <f t="shared" si="186"/>
        <v>mercredi</v>
      </c>
      <c r="D2965" s="87"/>
      <c r="E2965" s="115" t="str">
        <f t="shared" si="187"/>
        <v/>
      </c>
      <c r="F2965" s="115" t="str">
        <f t="shared" si="188"/>
        <v/>
      </c>
      <c r="G2965" s="116" t="str">
        <f>IF(ISNONTEXT(D2965),"",E2965-MAX($F$2:F2964))</f>
        <v/>
      </c>
      <c r="H2965" s="97"/>
      <c r="I2965" s="74" t="str">
        <f ca="1">IF(D2965="N",COUNTIF(INDIRECT(ADDRESS(MATCH(Plages!$D$19,'Planning annuel mixing coater'!$B:$B),4)):D2965,"N"),IF(D2965="N1",COUNTIF($D$9:D2965,"N1"),""))</f>
        <v/>
      </c>
      <c r="J2965" s="96" t="str">
        <f>IF(D2965="","",COUNTA(D2956:D2965)-(COUNTA(D2965:D2965)-1))</f>
        <v/>
      </c>
    </row>
    <row r="2966" spans="1:10" thickBot="1">
      <c r="A2966" s="117"/>
      <c r="B2966" s="70">
        <f t="shared" si="189"/>
        <v>46758</v>
      </c>
      <c r="C2966" s="82" t="str">
        <f t="shared" si="186"/>
        <v>jeudi</v>
      </c>
      <c r="D2966" s="87"/>
      <c r="E2966" s="115" t="str">
        <f t="shared" si="187"/>
        <v/>
      </c>
      <c r="F2966" s="115" t="str">
        <f t="shared" si="188"/>
        <v/>
      </c>
      <c r="G2966" s="116" t="str">
        <f>IF(ISNONTEXT(D2966),"",E2966-MAX($F$2:F2965))</f>
        <v/>
      </c>
      <c r="H2966" s="97"/>
      <c r="I2966" s="74" t="str">
        <f ca="1">IF(D2966="N",COUNTIF(INDIRECT(ADDRESS(MATCH(Plages!$D$19,'Planning annuel mixing coater'!$B:$B),4)):D2966,"N"),IF(D2966="N1",COUNTIF($D$9:D2966,"N1"),""))</f>
        <v/>
      </c>
      <c r="J2966" s="96" t="str">
        <f>IF(D2966="","",COUNTA(D2956:D2966)-(COUNTA(D2966:D2966)-1))</f>
        <v/>
      </c>
    </row>
    <row r="2967" spans="1:10" thickBot="1">
      <c r="A2967" s="117"/>
      <c r="B2967" s="70">
        <f t="shared" si="189"/>
        <v>46759</v>
      </c>
      <c r="C2967" s="82" t="str">
        <f t="shared" si="186"/>
        <v>vendredi</v>
      </c>
      <c r="D2967" s="87"/>
      <c r="E2967" s="115" t="str">
        <f t="shared" si="187"/>
        <v/>
      </c>
      <c r="F2967" s="115" t="str">
        <f t="shared" si="188"/>
        <v/>
      </c>
      <c r="G2967" s="116" t="str">
        <f>IF(ISNONTEXT(D2967),"",E2967-MAX($F$2:F2966))</f>
        <v/>
      </c>
      <c r="H2967" s="97"/>
      <c r="I2967" s="74" t="str">
        <f ca="1">IF(D2967="N",COUNTIF(INDIRECT(ADDRESS(MATCH(Plages!$D$19,'Planning annuel mixing coater'!$B:$B),4)):D2967,"N"),IF(D2967="N1",COUNTIF($D$9:D2967,"N1"),""))</f>
        <v/>
      </c>
      <c r="J2967" s="96" t="str">
        <f>IF(D2967="","",COUNTA(D2956:D2967)-(COUNTA(D2967:D2967)-1))</f>
        <v/>
      </c>
    </row>
    <row r="2968" spans="1:10" thickBot="1">
      <c r="A2968" s="117"/>
      <c r="B2968" s="70">
        <f t="shared" si="189"/>
        <v>46760</v>
      </c>
      <c r="C2968" s="82" t="str">
        <f t="shared" si="186"/>
        <v>samedi</v>
      </c>
      <c r="D2968" s="87"/>
      <c r="E2968" s="115" t="str">
        <f t="shared" si="187"/>
        <v/>
      </c>
      <c r="F2968" s="115" t="str">
        <f t="shared" si="188"/>
        <v/>
      </c>
      <c r="G2968" s="116" t="str">
        <f>IF(ISNONTEXT(D2968),"",E2968-MAX($F$2:F2967))</f>
        <v/>
      </c>
      <c r="H2968" s="97"/>
      <c r="I2968" s="74" t="str">
        <f ca="1">IF(D2968="N",COUNTIF(INDIRECT(ADDRESS(MATCH(Plages!$D$19,'Planning annuel mixing coater'!$B:$B),4)):D2968,"N"),IF(D2968="N1",COUNTIF($D$9:D2968,"N1"),""))</f>
        <v/>
      </c>
      <c r="J2968" s="96" t="str">
        <f>IF(D2968="","",COUNTA(D2956:D2968)-(COUNTA(D2968:D2968)-1))</f>
        <v/>
      </c>
    </row>
    <row r="2969" spans="1:10" s="77" customFormat="1" thickBot="1">
      <c r="A2969" s="117"/>
      <c r="B2969" s="75">
        <f t="shared" si="189"/>
        <v>46761</v>
      </c>
      <c r="C2969" s="83" t="str">
        <f t="shared" si="186"/>
        <v>dimanche</v>
      </c>
      <c r="D2969" s="88"/>
      <c r="E2969" s="115" t="str">
        <f t="shared" si="187"/>
        <v/>
      </c>
      <c r="F2969" s="115" t="str">
        <f t="shared" si="188"/>
        <v/>
      </c>
      <c r="G2969" s="116" t="str">
        <f>IF(ISNONTEXT(D2969),"",E2969-MAX($F$2:F2968))</f>
        <v/>
      </c>
      <c r="H2969" s="98"/>
      <c r="I2969" s="76" t="str">
        <f ca="1">IF(D2969="N",COUNTIF(INDIRECT(ADDRESS(MATCH(Plages!$D$19,'Planning annuel mixing coater'!$B:$B),4)):D2969,"N"),IF(D2969="N1",COUNTIF($D$9:D2969,"N1"),""))</f>
        <v/>
      </c>
      <c r="J2969" s="99" t="str">
        <f>IF(D2969="","",COUNTA(D2956:D2969)-(COUNTA(D2969:D2969)-1))</f>
        <v/>
      </c>
    </row>
    <row r="2970" spans="1:10" ht="16.5" thickTop="1" thickBot="1">
      <c r="A2970" s="117"/>
      <c r="B2970" s="78">
        <f t="shared" si="189"/>
        <v>46762</v>
      </c>
      <c r="C2970" s="81" t="str">
        <f t="shared" si="186"/>
        <v>lundi</v>
      </c>
      <c r="D2970" s="89"/>
      <c r="E2970" s="115" t="str">
        <f t="shared" si="187"/>
        <v/>
      </c>
      <c r="F2970" s="115" t="str">
        <f t="shared" si="188"/>
        <v/>
      </c>
      <c r="G2970" s="116" t="str">
        <f>IF(ISNONTEXT(D2970),"",E2970-MAX($F$2:F2969))</f>
        <v/>
      </c>
      <c r="H2970" s="100"/>
      <c r="I2970" s="79" t="str">
        <f ca="1">IF(D2970="N",COUNTIF(INDIRECT(ADDRESS(MATCH(Plages!$D$19,'Planning annuel mixing coater'!$B:$B),4)):D2970,"N"),IF(D2970="N1",COUNTIF($D$9:D2970,"N1"),""))</f>
        <v/>
      </c>
      <c r="J2970" s="101" t="str">
        <f>IF(D2970="","",COUNTA(D2970:D2970)-(COUNTA(D2970:D2970)-1))</f>
        <v/>
      </c>
    </row>
    <row r="2971" spans="1:10" thickBot="1">
      <c r="A2971" s="117"/>
      <c r="B2971" s="70">
        <f t="shared" si="189"/>
        <v>46763</v>
      </c>
      <c r="C2971" s="82" t="str">
        <f t="shared" si="186"/>
        <v>mardi</v>
      </c>
      <c r="D2971" s="87"/>
      <c r="E2971" s="115" t="str">
        <f t="shared" si="187"/>
        <v/>
      </c>
      <c r="F2971" s="115" t="str">
        <f t="shared" si="188"/>
        <v/>
      </c>
      <c r="G2971" s="116" t="str">
        <f>IF(ISNONTEXT(D2971),"",E2971-MAX($F$2:F2970))</f>
        <v/>
      </c>
      <c r="H2971" s="97"/>
      <c r="I2971" s="74" t="str">
        <f ca="1">IF(D2971="N",COUNTIF(INDIRECT(ADDRESS(MATCH(Plages!$D$19,'Planning annuel mixing coater'!$B:$B),4)):D2971,"N"),IF(D2971="N1",COUNTIF($D$9:D2971,"N1"),""))</f>
        <v/>
      </c>
      <c r="J2971" s="96" t="str">
        <f>IF(D2971="","",COUNTA(D2970:D2971)-(COUNTA(D2971:D2971)-1))</f>
        <v/>
      </c>
    </row>
    <row r="2972" spans="1:10" thickBot="1">
      <c r="A2972" s="117"/>
      <c r="B2972" s="70">
        <f t="shared" si="189"/>
        <v>46764</v>
      </c>
      <c r="C2972" s="82" t="str">
        <f t="shared" si="186"/>
        <v>mercredi</v>
      </c>
      <c r="D2972" s="87"/>
      <c r="E2972" s="115" t="str">
        <f t="shared" si="187"/>
        <v/>
      </c>
      <c r="F2972" s="115" t="str">
        <f t="shared" si="188"/>
        <v/>
      </c>
      <c r="G2972" s="116" t="str">
        <f>IF(ISNONTEXT(D2972),"",E2972-MAX($F$2:F2971))</f>
        <v/>
      </c>
      <c r="H2972" s="97"/>
      <c r="I2972" s="74" t="str">
        <f ca="1">IF(D2972="N",COUNTIF(INDIRECT(ADDRESS(MATCH(Plages!$D$19,'Planning annuel mixing coater'!$B:$B),4)):D2972,"N"),IF(D2972="N1",COUNTIF($D$9:D2972,"N1"),""))</f>
        <v/>
      </c>
      <c r="J2972" s="96" t="str">
        <f>IF(D2972="","",COUNTA(D2970:D2972)-(COUNTA(D2972:D2972)-1))</f>
        <v/>
      </c>
    </row>
    <row r="2973" spans="1:10" thickBot="1">
      <c r="A2973" s="117"/>
      <c r="B2973" s="70">
        <f t="shared" si="189"/>
        <v>46765</v>
      </c>
      <c r="C2973" s="82" t="str">
        <f t="shared" si="186"/>
        <v>jeudi</v>
      </c>
      <c r="D2973" s="87"/>
      <c r="E2973" s="115" t="str">
        <f t="shared" si="187"/>
        <v/>
      </c>
      <c r="F2973" s="115" t="str">
        <f t="shared" si="188"/>
        <v/>
      </c>
      <c r="G2973" s="116" t="str">
        <f>IF(ISNONTEXT(D2973),"",E2973-MAX($F$2:F2972))</f>
        <v/>
      </c>
      <c r="H2973" s="97"/>
      <c r="I2973" s="74" t="str">
        <f ca="1">IF(D2973="N",COUNTIF(INDIRECT(ADDRESS(MATCH(Plages!$D$19,'Planning annuel mixing coater'!$B:$B),4)):D2973,"N"),IF(D2973="N1",COUNTIF($D$9:D2973,"N1"),""))</f>
        <v/>
      </c>
      <c r="J2973" s="96" t="str">
        <f>IF(D2973="","",COUNTA(D2970:D2973)-(COUNTA(D2973:D2973)-1))</f>
        <v/>
      </c>
    </row>
    <row r="2974" spans="1:10" thickBot="1">
      <c r="A2974" s="117"/>
      <c r="B2974" s="70">
        <f t="shared" si="189"/>
        <v>46766</v>
      </c>
      <c r="C2974" s="82" t="str">
        <f t="shared" ref="C2974:C3037" si="190">IF(B2974="","",TEXT(B2974,"jjjj"))</f>
        <v>vendredi</v>
      </c>
      <c r="D2974" s="87"/>
      <c r="E2974" s="115" t="str">
        <f t="shared" ref="E2974:E3037" si="191">IF(D2974="","",B2974+VLOOKUP(D2974,Plageh,2,0))</f>
        <v/>
      </c>
      <c r="F2974" s="115" t="str">
        <f t="shared" ref="F2974:F3037" si="192">IF(D2974="","",B2974+VLOOKUP(D2974,Plageh,3,0))</f>
        <v/>
      </c>
      <c r="G2974" s="116" t="str">
        <f>IF(ISNONTEXT(D2974),"",E2974-MAX($F$2:F2973))</f>
        <v/>
      </c>
      <c r="H2974" s="97"/>
      <c r="I2974" s="74" t="str">
        <f ca="1">IF(D2974="N",COUNTIF(INDIRECT(ADDRESS(MATCH(Plages!$D$19,'Planning annuel mixing coater'!$B:$B),4)):D2974,"N"),IF(D2974="N1",COUNTIF($D$9:D2974,"N1"),""))</f>
        <v/>
      </c>
      <c r="J2974" s="96" t="str">
        <f>IF(D2974="","",COUNTA(D2970:D2974)-(COUNTA(D2974:D2974)-1))</f>
        <v/>
      </c>
    </row>
    <row r="2975" spans="1:10" thickBot="1">
      <c r="A2975" s="117"/>
      <c r="B2975" s="70">
        <f t="shared" si="189"/>
        <v>46767</v>
      </c>
      <c r="C2975" s="82" t="str">
        <f t="shared" si="190"/>
        <v>samedi</v>
      </c>
      <c r="D2975" s="87"/>
      <c r="E2975" s="115" t="str">
        <f t="shared" si="191"/>
        <v/>
      </c>
      <c r="F2975" s="115" t="str">
        <f t="shared" si="192"/>
        <v/>
      </c>
      <c r="G2975" s="116" t="str">
        <f>IF(ISNONTEXT(D2975),"",E2975-MAX($F$2:F2974))</f>
        <v/>
      </c>
      <c r="H2975" s="97"/>
      <c r="I2975" s="74" t="str">
        <f ca="1">IF(D2975="N",COUNTIF(INDIRECT(ADDRESS(MATCH(Plages!$D$19,'Planning annuel mixing coater'!$B:$B),4)):D2975,"N"),IF(D2975="N1",COUNTIF($D$9:D2975,"N1"),""))</f>
        <v/>
      </c>
      <c r="J2975" s="96" t="str">
        <f>IF(D2975="","",COUNTA(D2970:D2975)-(COUNTA(D2975:D2975)-1))</f>
        <v/>
      </c>
    </row>
    <row r="2976" spans="1:10" thickBot="1">
      <c r="A2976" s="117"/>
      <c r="B2976" s="70">
        <f t="shared" si="189"/>
        <v>46768</v>
      </c>
      <c r="C2976" s="82" t="str">
        <f t="shared" si="190"/>
        <v>dimanche</v>
      </c>
      <c r="D2976" s="87"/>
      <c r="E2976" s="115" t="str">
        <f t="shared" si="191"/>
        <v/>
      </c>
      <c r="F2976" s="115" t="str">
        <f t="shared" si="192"/>
        <v/>
      </c>
      <c r="G2976" s="116" t="str">
        <f>IF(ISNONTEXT(D2976),"",E2976-MAX($F$2:F2975))</f>
        <v/>
      </c>
      <c r="H2976" s="98"/>
      <c r="I2976" s="74" t="str">
        <f ca="1">IF(D2976="N",COUNTIF(INDIRECT(ADDRESS(MATCH(Plages!$D$19,'Planning annuel mixing coater'!$B:$B),4)):D2976,"N"),IF(D2976="N1",COUNTIF($D$9:D2976,"N1"),""))</f>
        <v/>
      </c>
      <c r="J2976" s="96" t="str">
        <f>IF(D2976="","",COUNTA(D2970:D2976)-(COUNTA(D2976:D2976)-1))</f>
        <v/>
      </c>
    </row>
    <row r="2977" spans="1:10" thickBot="1">
      <c r="A2977" s="117"/>
      <c r="B2977" s="70">
        <f t="shared" si="189"/>
        <v>46769</v>
      </c>
      <c r="C2977" s="82" t="str">
        <f t="shared" si="190"/>
        <v>lundi</v>
      </c>
      <c r="D2977" s="87"/>
      <c r="E2977" s="115" t="str">
        <f t="shared" si="191"/>
        <v/>
      </c>
      <c r="F2977" s="115" t="str">
        <f t="shared" si="192"/>
        <v/>
      </c>
      <c r="G2977" s="116" t="str">
        <f>IF(ISNONTEXT(D2977),"",E2977-MAX($F$2:F2976))</f>
        <v/>
      </c>
      <c r="H2977" s="97"/>
      <c r="I2977" s="74" t="str">
        <f ca="1">IF(D2977="N",COUNTIF(INDIRECT(ADDRESS(MATCH(Plages!$D$19,'Planning annuel mixing coater'!$B:$B),4)):D2977,"N"),IF(D2977="N1",COUNTIF($D$9:D2977,"N1"),""))</f>
        <v/>
      </c>
      <c r="J2977" s="96" t="str">
        <f>IF(D2977="","",COUNTA(D2970:D2977)-(COUNTA(D2977:D2977)-1))</f>
        <v/>
      </c>
    </row>
    <row r="2978" spans="1:10" thickBot="1">
      <c r="A2978" s="117"/>
      <c r="B2978" s="70">
        <f t="shared" si="189"/>
        <v>46770</v>
      </c>
      <c r="C2978" s="82" t="str">
        <f t="shared" si="190"/>
        <v>mardi</v>
      </c>
      <c r="D2978" s="87"/>
      <c r="E2978" s="115" t="str">
        <f t="shared" si="191"/>
        <v/>
      </c>
      <c r="F2978" s="115" t="str">
        <f t="shared" si="192"/>
        <v/>
      </c>
      <c r="G2978" s="116" t="str">
        <f>IF(ISNONTEXT(D2978),"",E2978-MAX($F$2:F2977))</f>
        <v/>
      </c>
      <c r="H2978" s="97"/>
      <c r="I2978" s="74" t="str">
        <f ca="1">IF(D2978="N",COUNTIF(INDIRECT(ADDRESS(MATCH(Plages!$D$19,'Planning annuel mixing coater'!$B:$B),4)):D2978,"N"),IF(D2978="N1",COUNTIF($D$9:D2978,"N1"),""))</f>
        <v/>
      </c>
      <c r="J2978" s="96" t="str">
        <f>IF(D2978="","",COUNTA(D2970:D2978)-(COUNTA(D2978:D2978)-1))</f>
        <v/>
      </c>
    </row>
    <row r="2979" spans="1:10" thickBot="1">
      <c r="A2979" s="117"/>
      <c r="B2979" s="70">
        <f t="shared" si="189"/>
        <v>46771</v>
      </c>
      <c r="C2979" s="82" t="str">
        <f t="shared" si="190"/>
        <v>mercredi</v>
      </c>
      <c r="D2979" s="87"/>
      <c r="E2979" s="115" t="str">
        <f t="shared" si="191"/>
        <v/>
      </c>
      <c r="F2979" s="115" t="str">
        <f t="shared" si="192"/>
        <v/>
      </c>
      <c r="G2979" s="116" t="str">
        <f>IF(ISNONTEXT(D2979),"",E2979-MAX($F$2:F2978))</f>
        <v/>
      </c>
      <c r="H2979" s="97"/>
      <c r="I2979" s="74" t="str">
        <f ca="1">IF(D2979="N",COUNTIF(INDIRECT(ADDRESS(MATCH(Plages!$D$19,'Planning annuel mixing coater'!$B:$B),4)):D2979,"N"),IF(D2979="N1",COUNTIF($D$9:D2979,"N1"),""))</f>
        <v/>
      </c>
      <c r="J2979" s="96" t="str">
        <f>IF(D2979="","",COUNTA(D2970:D2979)-(COUNTA(D2979:D2979)-1))</f>
        <v/>
      </c>
    </row>
    <row r="2980" spans="1:10" thickBot="1">
      <c r="A2980" s="117"/>
      <c r="B2980" s="70">
        <f t="shared" si="189"/>
        <v>46772</v>
      </c>
      <c r="C2980" s="82" t="str">
        <f t="shared" si="190"/>
        <v>jeudi</v>
      </c>
      <c r="D2980" s="87"/>
      <c r="E2980" s="115" t="str">
        <f t="shared" si="191"/>
        <v/>
      </c>
      <c r="F2980" s="115" t="str">
        <f t="shared" si="192"/>
        <v/>
      </c>
      <c r="G2980" s="116" t="str">
        <f>IF(ISNONTEXT(D2980),"",E2980-MAX($F$2:F2979))</f>
        <v/>
      </c>
      <c r="H2980" s="97"/>
      <c r="I2980" s="74" t="str">
        <f ca="1">IF(D2980="N",COUNTIF(INDIRECT(ADDRESS(MATCH(Plages!$D$19,'Planning annuel mixing coater'!$B:$B),4)):D2980,"N"),IF(D2980="N1",COUNTIF($D$9:D2980,"N1"),""))</f>
        <v/>
      </c>
      <c r="J2980" s="96" t="str">
        <f>IF(D2980="","",COUNTA(D2970:D2980)-(COUNTA(D2980:D2980)-1))</f>
        <v/>
      </c>
    </row>
    <row r="2981" spans="1:10" thickBot="1">
      <c r="A2981" s="117"/>
      <c r="B2981" s="70">
        <f t="shared" si="189"/>
        <v>46773</v>
      </c>
      <c r="C2981" s="82" t="str">
        <f t="shared" si="190"/>
        <v>vendredi</v>
      </c>
      <c r="D2981" s="87"/>
      <c r="E2981" s="115" t="str">
        <f t="shared" si="191"/>
        <v/>
      </c>
      <c r="F2981" s="115" t="str">
        <f t="shared" si="192"/>
        <v/>
      </c>
      <c r="G2981" s="116" t="str">
        <f>IF(ISNONTEXT(D2981),"",E2981-MAX($F$2:F2980))</f>
        <v/>
      </c>
      <c r="H2981" s="97"/>
      <c r="I2981" s="74" t="str">
        <f ca="1">IF(D2981="N",COUNTIF(INDIRECT(ADDRESS(MATCH(Plages!$D$19,'Planning annuel mixing coater'!$B:$B),4)):D2981,"N"),IF(D2981="N1",COUNTIF($D$9:D2981,"N1"),""))</f>
        <v/>
      </c>
      <c r="J2981" s="96" t="str">
        <f>IF(D2981="","",COUNTA(D2970:D2981)-(COUNTA(D2981:D2981)-1))</f>
        <v/>
      </c>
    </row>
    <row r="2982" spans="1:10" thickBot="1">
      <c r="A2982" s="117"/>
      <c r="B2982" s="70">
        <f t="shared" si="189"/>
        <v>46774</v>
      </c>
      <c r="C2982" s="82" t="str">
        <f t="shared" si="190"/>
        <v>samedi</v>
      </c>
      <c r="D2982" s="87"/>
      <c r="E2982" s="115" t="str">
        <f t="shared" si="191"/>
        <v/>
      </c>
      <c r="F2982" s="115" t="str">
        <f t="shared" si="192"/>
        <v/>
      </c>
      <c r="G2982" s="116" t="str">
        <f>IF(ISNONTEXT(D2982),"",E2982-MAX($F$2:F2981))</f>
        <v/>
      </c>
      <c r="H2982" s="97"/>
      <c r="I2982" s="74" t="str">
        <f ca="1">IF(D2982="N",COUNTIF(INDIRECT(ADDRESS(MATCH(Plages!$D$19,'Planning annuel mixing coater'!$B:$B),4)):D2982,"N"),IF(D2982="N1",COUNTIF($D$9:D2982,"N1"),""))</f>
        <v/>
      </c>
      <c r="J2982" s="96" t="str">
        <f>IF(D2982="","",COUNTA(D2970:D2982)-(COUNTA(D2982:D2982)-1))</f>
        <v/>
      </c>
    </row>
    <row r="2983" spans="1:10" s="77" customFormat="1" thickBot="1">
      <c r="A2983" s="117"/>
      <c r="B2983" s="75">
        <f t="shared" si="189"/>
        <v>46775</v>
      </c>
      <c r="C2983" s="83" t="str">
        <f t="shared" si="190"/>
        <v>dimanche</v>
      </c>
      <c r="D2983" s="88"/>
      <c r="E2983" s="115" t="str">
        <f t="shared" si="191"/>
        <v/>
      </c>
      <c r="F2983" s="115" t="str">
        <f t="shared" si="192"/>
        <v/>
      </c>
      <c r="G2983" s="116" t="str">
        <f>IF(ISNONTEXT(D2983),"",E2983-MAX($F$2:F2982))</f>
        <v/>
      </c>
      <c r="H2983" s="98"/>
      <c r="I2983" s="76" t="str">
        <f ca="1">IF(D2983="N",COUNTIF(INDIRECT(ADDRESS(MATCH(Plages!$D$19,'Planning annuel mixing coater'!$B:$B),4)):D2983,"N"),IF(D2983="N1",COUNTIF($D$9:D2983,"N1"),""))</f>
        <v/>
      </c>
      <c r="J2983" s="99" t="str">
        <f>IF(D2983="","",COUNTA(D2970:D2983)-(COUNTA(D2983:D2983)-1))</f>
        <v/>
      </c>
    </row>
    <row r="2984" spans="1:10" ht="16.5" thickTop="1" thickBot="1">
      <c r="A2984" s="117"/>
      <c r="B2984" s="78">
        <f t="shared" si="189"/>
        <v>46776</v>
      </c>
      <c r="C2984" s="81" t="str">
        <f t="shared" si="190"/>
        <v>lundi</v>
      </c>
      <c r="D2984" s="89"/>
      <c r="E2984" s="115" t="str">
        <f t="shared" si="191"/>
        <v/>
      </c>
      <c r="F2984" s="115" t="str">
        <f t="shared" si="192"/>
        <v/>
      </c>
      <c r="G2984" s="116" t="str">
        <f>IF(ISNONTEXT(D2984),"",E2984-MAX($F$2:F2983))</f>
        <v/>
      </c>
      <c r="H2984" s="100"/>
      <c r="I2984" s="79" t="str">
        <f ca="1">IF(D2984="N",COUNTIF(INDIRECT(ADDRESS(MATCH(Plages!$D$19,'Planning annuel mixing coater'!$B:$B),4)):D2984,"N"),IF(D2984="N1",COUNTIF($D$9:D2984,"N1"),""))</f>
        <v/>
      </c>
      <c r="J2984" s="101" t="str">
        <f>IF(D2984="","",COUNTA(D2984:D2984)-(COUNTA(D2984:D2984)-1))</f>
        <v/>
      </c>
    </row>
    <row r="2985" spans="1:10" thickBot="1">
      <c r="A2985" s="117"/>
      <c r="B2985" s="70">
        <f t="shared" si="189"/>
        <v>46777</v>
      </c>
      <c r="C2985" s="82" t="str">
        <f t="shared" si="190"/>
        <v>mardi</v>
      </c>
      <c r="D2985" s="87"/>
      <c r="E2985" s="115" t="str">
        <f t="shared" si="191"/>
        <v/>
      </c>
      <c r="F2985" s="115" t="str">
        <f t="shared" si="192"/>
        <v/>
      </c>
      <c r="G2985" s="116" t="str">
        <f>IF(ISNONTEXT(D2985),"",E2985-MAX($F$2:F2984))</f>
        <v/>
      </c>
      <c r="H2985" s="97"/>
      <c r="I2985" s="74" t="str">
        <f ca="1">IF(D2985="N",COUNTIF(INDIRECT(ADDRESS(MATCH(Plages!$D$19,'Planning annuel mixing coater'!$B:$B),4)):D2985,"N"),IF(D2985="N1",COUNTIF($D$9:D2985,"N1"),""))</f>
        <v/>
      </c>
      <c r="J2985" s="96" t="str">
        <f>IF(D2985="","",COUNTA(D2984:D2985)-(COUNTA(D2985:D2985)-1))</f>
        <v/>
      </c>
    </row>
    <row r="2986" spans="1:10" thickBot="1">
      <c r="A2986" s="117"/>
      <c r="B2986" s="70">
        <f t="shared" si="189"/>
        <v>46778</v>
      </c>
      <c r="C2986" s="82" t="str">
        <f t="shared" si="190"/>
        <v>mercredi</v>
      </c>
      <c r="D2986" s="87"/>
      <c r="E2986" s="115" t="str">
        <f t="shared" si="191"/>
        <v/>
      </c>
      <c r="F2986" s="115" t="str">
        <f t="shared" si="192"/>
        <v/>
      </c>
      <c r="G2986" s="116" t="str">
        <f>IF(ISNONTEXT(D2986),"",E2986-MAX($F$2:F2985))</f>
        <v/>
      </c>
      <c r="H2986" s="97"/>
      <c r="I2986" s="74" t="str">
        <f ca="1">IF(D2986="N",COUNTIF(INDIRECT(ADDRESS(MATCH(Plages!$D$19,'Planning annuel mixing coater'!$B:$B),4)):D2986,"N"),IF(D2986="N1",COUNTIF($D$9:D2986,"N1"),""))</f>
        <v/>
      </c>
      <c r="J2986" s="96" t="str">
        <f>IF(D2986="","",COUNTA(D2984:D2986)-(COUNTA(D2986:D2986)-1))</f>
        <v/>
      </c>
    </row>
    <row r="2987" spans="1:10" thickBot="1">
      <c r="A2987" s="117"/>
      <c r="B2987" s="70">
        <f t="shared" si="189"/>
        <v>46779</v>
      </c>
      <c r="C2987" s="82" t="str">
        <f t="shared" si="190"/>
        <v>jeudi</v>
      </c>
      <c r="D2987" s="87"/>
      <c r="E2987" s="115" t="str">
        <f t="shared" si="191"/>
        <v/>
      </c>
      <c r="F2987" s="115" t="str">
        <f t="shared" si="192"/>
        <v/>
      </c>
      <c r="G2987" s="116" t="str">
        <f>IF(ISNONTEXT(D2987),"",E2987-MAX($F$2:F2986))</f>
        <v/>
      </c>
      <c r="H2987" s="97"/>
      <c r="I2987" s="74" t="str">
        <f ca="1">IF(D2987="N",COUNTIF(INDIRECT(ADDRESS(MATCH(Plages!$D$19,'Planning annuel mixing coater'!$B:$B),4)):D2987,"N"),IF(D2987="N1",COUNTIF($D$9:D2987,"N1"),""))</f>
        <v/>
      </c>
      <c r="J2987" s="96" t="str">
        <f>IF(D2987="","",COUNTA(D2984:D2987)-(COUNTA(D2987:D2987)-1))</f>
        <v/>
      </c>
    </row>
    <row r="2988" spans="1:10" thickBot="1">
      <c r="A2988" s="117"/>
      <c r="B2988" s="70">
        <f t="shared" si="189"/>
        <v>46780</v>
      </c>
      <c r="C2988" s="82" t="str">
        <f t="shared" si="190"/>
        <v>vendredi</v>
      </c>
      <c r="D2988" s="87"/>
      <c r="E2988" s="115" t="str">
        <f t="shared" si="191"/>
        <v/>
      </c>
      <c r="F2988" s="115" t="str">
        <f t="shared" si="192"/>
        <v/>
      </c>
      <c r="G2988" s="116" t="str">
        <f>IF(ISNONTEXT(D2988),"",E2988-MAX($F$2:F2987))</f>
        <v/>
      </c>
      <c r="H2988" s="97"/>
      <c r="I2988" s="74" t="str">
        <f ca="1">IF(D2988="N",COUNTIF(INDIRECT(ADDRESS(MATCH(Plages!$D$19,'Planning annuel mixing coater'!$B:$B),4)):D2988,"N"),IF(D2988="N1",COUNTIF($D$9:D2988,"N1"),""))</f>
        <v/>
      </c>
      <c r="J2988" s="96" t="str">
        <f>IF(D2988="","",COUNTA(D2984:D2988)-(COUNTA(D2988:D2988)-1))</f>
        <v/>
      </c>
    </row>
    <row r="2989" spans="1:10" thickBot="1">
      <c r="A2989" s="117"/>
      <c r="B2989" s="70">
        <f t="shared" si="189"/>
        <v>46781</v>
      </c>
      <c r="C2989" s="82" t="str">
        <f t="shared" si="190"/>
        <v>samedi</v>
      </c>
      <c r="D2989" s="87"/>
      <c r="E2989" s="115" t="str">
        <f t="shared" si="191"/>
        <v/>
      </c>
      <c r="F2989" s="115" t="str">
        <f t="shared" si="192"/>
        <v/>
      </c>
      <c r="G2989" s="116" t="str">
        <f>IF(ISNONTEXT(D2989),"",E2989-MAX($F$2:F2988))</f>
        <v/>
      </c>
      <c r="H2989" s="97"/>
      <c r="I2989" s="74" t="str">
        <f ca="1">IF(D2989="N",COUNTIF(INDIRECT(ADDRESS(MATCH(Plages!$D$19,'Planning annuel mixing coater'!$B:$B),4)):D2989,"N"),IF(D2989="N1",COUNTIF($D$9:D2989,"N1"),""))</f>
        <v/>
      </c>
      <c r="J2989" s="96" t="str">
        <f>IF(D2989="","",COUNTA(D2984:D2989)-(COUNTA(D2989:D2989)-1))</f>
        <v/>
      </c>
    </row>
    <row r="2990" spans="1:10" thickBot="1">
      <c r="A2990" s="117"/>
      <c r="B2990" s="70">
        <f t="shared" si="189"/>
        <v>46782</v>
      </c>
      <c r="C2990" s="82" t="str">
        <f t="shared" si="190"/>
        <v>dimanche</v>
      </c>
      <c r="D2990" s="87"/>
      <c r="E2990" s="115" t="str">
        <f t="shared" si="191"/>
        <v/>
      </c>
      <c r="F2990" s="115" t="str">
        <f t="shared" si="192"/>
        <v/>
      </c>
      <c r="G2990" s="116" t="str">
        <f>IF(ISNONTEXT(D2990),"",E2990-MAX($F$2:F2989))</f>
        <v/>
      </c>
      <c r="H2990" s="98"/>
      <c r="I2990" s="74" t="str">
        <f ca="1">IF(D2990="N",COUNTIF(INDIRECT(ADDRESS(MATCH(Plages!$D$19,'Planning annuel mixing coater'!$B:$B),4)):D2990,"N"),IF(D2990="N1",COUNTIF($D$9:D2990,"N1"),""))</f>
        <v/>
      </c>
      <c r="J2990" s="96" t="str">
        <f>IF(D2990="","",COUNTA(D2984:D2990)-(COUNTA(D2990:D2990)-1))</f>
        <v/>
      </c>
    </row>
    <row r="2991" spans="1:10" thickBot="1">
      <c r="A2991" s="117"/>
      <c r="B2991" s="70">
        <f t="shared" si="189"/>
        <v>46783</v>
      </c>
      <c r="C2991" s="82" t="str">
        <f t="shared" si="190"/>
        <v>lundi</v>
      </c>
      <c r="D2991" s="87"/>
      <c r="E2991" s="115" t="str">
        <f t="shared" si="191"/>
        <v/>
      </c>
      <c r="F2991" s="115" t="str">
        <f t="shared" si="192"/>
        <v/>
      </c>
      <c r="G2991" s="116" t="str">
        <f>IF(ISNONTEXT(D2991),"",E2991-MAX($F$2:F2990))</f>
        <v/>
      </c>
      <c r="H2991" s="97"/>
      <c r="I2991" s="74" t="str">
        <f ca="1">IF(D2991="N",COUNTIF(INDIRECT(ADDRESS(MATCH(Plages!$D$19,'Planning annuel mixing coater'!$B:$B),4)):D2991,"N"),IF(D2991="N1",COUNTIF($D$9:D2991,"N1"),""))</f>
        <v/>
      </c>
      <c r="J2991" s="96" t="str">
        <f>IF(D2991="","",COUNTA(D2984:D2991)-(COUNTA(D2991:D2991)-1))</f>
        <v/>
      </c>
    </row>
    <row r="2992" spans="1:10" thickBot="1">
      <c r="A2992" s="117"/>
      <c r="B2992" s="70">
        <f t="shared" si="189"/>
        <v>46784</v>
      </c>
      <c r="C2992" s="82" t="str">
        <f t="shared" si="190"/>
        <v>mardi</v>
      </c>
      <c r="D2992" s="87"/>
      <c r="E2992" s="115" t="str">
        <f t="shared" si="191"/>
        <v/>
      </c>
      <c r="F2992" s="115" t="str">
        <f t="shared" si="192"/>
        <v/>
      </c>
      <c r="G2992" s="116" t="str">
        <f>IF(ISNONTEXT(D2992),"",E2992-MAX($F$2:F2991))</f>
        <v/>
      </c>
      <c r="H2992" s="97"/>
      <c r="I2992" s="74" t="str">
        <f ca="1">IF(D2992="N",COUNTIF(INDIRECT(ADDRESS(MATCH(Plages!$D$19,'Planning annuel mixing coater'!$B:$B),4)):D2992,"N"),IF(D2992="N1",COUNTIF($D$9:D2992,"N1"),""))</f>
        <v/>
      </c>
      <c r="J2992" s="96" t="str">
        <f>IF(D2992="","",COUNTA(D2984:D2992)-(COUNTA(D2992:D2992)-1))</f>
        <v/>
      </c>
    </row>
    <row r="2993" spans="1:10" thickBot="1">
      <c r="A2993" s="117"/>
      <c r="B2993" s="70">
        <f t="shared" si="189"/>
        <v>46785</v>
      </c>
      <c r="C2993" s="82" t="str">
        <f t="shared" si="190"/>
        <v>mercredi</v>
      </c>
      <c r="D2993" s="87"/>
      <c r="E2993" s="115" t="str">
        <f t="shared" si="191"/>
        <v/>
      </c>
      <c r="F2993" s="115" t="str">
        <f t="shared" si="192"/>
        <v/>
      </c>
      <c r="G2993" s="116" t="str">
        <f>IF(ISNONTEXT(D2993),"",E2993-MAX($F$2:F2992))</f>
        <v/>
      </c>
      <c r="H2993" s="97"/>
      <c r="I2993" s="74" t="str">
        <f ca="1">IF(D2993="N",COUNTIF(INDIRECT(ADDRESS(MATCH(Plages!$D$19,'Planning annuel mixing coater'!$B:$B),4)):D2993,"N"),IF(D2993="N1",COUNTIF($D$9:D2993,"N1"),""))</f>
        <v/>
      </c>
      <c r="J2993" s="96" t="str">
        <f>IF(D2993="","",COUNTA(D2984:D2993)-(COUNTA(D2993:D2993)-1))</f>
        <v/>
      </c>
    </row>
    <row r="2994" spans="1:10" thickBot="1">
      <c r="A2994" s="117"/>
      <c r="B2994" s="70">
        <f t="shared" si="189"/>
        <v>46786</v>
      </c>
      <c r="C2994" s="82" t="str">
        <f t="shared" si="190"/>
        <v>jeudi</v>
      </c>
      <c r="D2994" s="87"/>
      <c r="E2994" s="115" t="str">
        <f t="shared" si="191"/>
        <v/>
      </c>
      <c r="F2994" s="115" t="str">
        <f t="shared" si="192"/>
        <v/>
      </c>
      <c r="G2994" s="116" t="str">
        <f>IF(ISNONTEXT(D2994),"",E2994-MAX($F$2:F2993))</f>
        <v/>
      </c>
      <c r="H2994" s="97"/>
      <c r="I2994" s="74" t="str">
        <f ca="1">IF(D2994="N",COUNTIF(INDIRECT(ADDRESS(MATCH(Plages!$D$19,'Planning annuel mixing coater'!$B:$B),4)):D2994,"N"),IF(D2994="N1",COUNTIF($D$9:D2994,"N1"),""))</f>
        <v/>
      </c>
      <c r="J2994" s="96" t="str">
        <f>IF(D2994="","",COUNTA(D2984:D2994)-(COUNTA(D2994:D2994)-1))</f>
        <v/>
      </c>
    </row>
    <row r="2995" spans="1:10" thickBot="1">
      <c r="A2995" s="117"/>
      <c r="B2995" s="70">
        <f t="shared" si="189"/>
        <v>46787</v>
      </c>
      <c r="C2995" s="82" t="str">
        <f t="shared" si="190"/>
        <v>vendredi</v>
      </c>
      <c r="D2995" s="87"/>
      <c r="E2995" s="115" t="str">
        <f t="shared" si="191"/>
        <v/>
      </c>
      <c r="F2995" s="115" t="str">
        <f t="shared" si="192"/>
        <v/>
      </c>
      <c r="G2995" s="116" t="str">
        <f>IF(ISNONTEXT(D2995),"",E2995-MAX($F$2:F2994))</f>
        <v/>
      </c>
      <c r="H2995" s="97"/>
      <c r="I2995" s="74" t="str">
        <f ca="1">IF(D2995="N",COUNTIF(INDIRECT(ADDRESS(MATCH(Plages!$D$19,'Planning annuel mixing coater'!$B:$B),4)):D2995,"N"),IF(D2995="N1",COUNTIF($D$9:D2995,"N1"),""))</f>
        <v/>
      </c>
      <c r="J2995" s="96" t="str">
        <f>IF(D2995="","",COUNTA(D2984:D2995)-(COUNTA(D2995:D2995)-1))</f>
        <v/>
      </c>
    </row>
    <row r="2996" spans="1:10" thickBot="1">
      <c r="A2996" s="117"/>
      <c r="B2996" s="70">
        <f t="shared" si="189"/>
        <v>46788</v>
      </c>
      <c r="C2996" s="82" t="str">
        <f t="shared" si="190"/>
        <v>samedi</v>
      </c>
      <c r="D2996" s="87"/>
      <c r="E2996" s="115" t="str">
        <f t="shared" si="191"/>
        <v/>
      </c>
      <c r="F2996" s="115" t="str">
        <f t="shared" si="192"/>
        <v/>
      </c>
      <c r="G2996" s="116" t="str">
        <f>IF(ISNONTEXT(D2996),"",E2996-MAX($F$2:F2995))</f>
        <v/>
      </c>
      <c r="H2996" s="97"/>
      <c r="I2996" s="74" t="str">
        <f ca="1">IF(D2996="N",COUNTIF(INDIRECT(ADDRESS(MATCH(Plages!$D$19,'Planning annuel mixing coater'!$B:$B),4)):D2996,"N"),IF(D2996="N1",COUNTIF($D$9:D2996,"N1"),""))</f>
        <v/>
      </c>
      <c r="J2996" s="96" t="str">
        <f>IF(D2996="","",COUNTA(D2984:D2996)-(COUNTA(D2996:D2996)-1))</f>
        <v/>
      </c>
    </row>
    <row r="2997" spans="1:10" s="77" customFormat="1" thickBot="1">
      <c r="A2997" s="117"/>
      <c r="B2997" s="75">
        <f t="shared" si="189"/>
        <v>46789</v>
      </c>
      <c r="C2997" s="83" t="str">
        <f t="shared" si="190"/>
        <v>dimanche</v>
      </c>
      <c r="D2997" s="88"/>
      <c r="E2997" s="115" t="str">
        <f t="shared" si="191"/>
        <v/>
      </c>
      <c r="F2997" s="115" t="str">
        <f t="shared" si="192"/>
        <v/>
      </c>
      <c r="G2997" s="116" t="str">
        <f>IF(ISNONTEXT(D2997),"",E2997-MAX($F$2:F2996))</f>
        <v/>
      </c>
      <c r="H2997" s="98"/>
      <c r="I2997" s="76" t="str">
        <f ca="1">IF(D2997="N",COUNTIF(INDIRECT(ADDRESS(MATCH(Plages!$D$19,'Planning annuel mixing coater'!$B:$B),4)):D2997,"N"),IF(D2997="N1",COUNTIF($D$9:D2997,"N1"),""))</f>
        <v/>
      </c>
      <c r="J2997" s="99" t="str">
        <f>IF(D2997="","",COUNTA(D2984:D2997)-(COUNTA(D2997:D2997)-1))</f>
        <v/>
      </c>
    </row>
    <row r="2998" spans="1:10" ht="16.5" thickTop="1" thickBot="1">
      <c r="A2998" s="117"/>
      <c r="B2998" s="78">
        <f t="shared" si="189"/>
        <v>46790</v>
      </c>
      <c r="C2998" s="81" t="str">
        <f t="shared" si="190"/>
        <v>lundi</v>
      </c>
      <c r="D2998" s="89"/>
      <c r="E2998" s="115" t="str">
        <f t="shared" si="191"/>
        <v/>
      </c>
      <c r="F2998" s="115" t="str">
        <f t="shared" si="192"/>
        <v/>
      </c>
      <c r="G2998" s="116" t="str">
        <f>IF(ISNONTEXT(D2998),"",E2998-MAX($F$2:F2997))</f>
        <v/>
      </c>
      <c r="H2998" s="100"/>
      <c r="I2998" s="79" t="str">
        <f ca="1">IF(D2998="N",COUNTIF(INDIRECT(ADDRESS(MATCH(Plages!$D$19,'Planning annuel mixing coater'!$B:$B),4)):D2998,"N"),IF(D2998="N1",COUNTIF($D$9:D2998,"N1"),""))</f>
        <v/>
      </c>
      <c r="J2998" s="101" t="str">
        <f>IF(D2998="","",COUNTA(D2998:D2998)-(COUNTA(D2998:D2998)-1))</f>
        <v/>
      </c>
    </row>
    <row r="2999" spans="1:10" thickBot="1">
      <c r="A2999" s="117"/>
      <c r="B2999" s="70">
        <f t="shared" si="189"/>
        <v>46791</v>
      </c>
      <c r="C2999" s="82" t="str">
        <f t="shared" si="190"/>
        <v>mardi</v>
      </c>
      <c r="D2999" s="87"/>
      <c r="E2999" s="115" t="str">
        <f t="shared" si="191"/>
        <v/>
      </c>
      <c r="F2999" s="115" t="str">
        <f t="shared" si="192"/>
        <v/>
      </c>
      <c r="G2999" s="116" t="str">
        <f>IF(ISNONTEXT(D2999),"",E2999-MAX($F$2:F2998))</f>
        <v/>
      </c>
      <c r="H2999" s="97"/>
      <c r="I2999" s="74" t="str">
        <f ca="1">IF(D2999="N",COUNTIF(INDIRECT(ADDRESS(MATCH(Plages!$D$19,'Planning annuel mixing coater'!$B:$B),4)):D2999,"N"),IF(D2999="N1",COUNTIF($D$9:D2999,"N1"),""))</f>
        <v/>
      </c>
      <c r="J2999" s="96" t="str">
        <f>IF(D2999="","",COUNTA(D2998:D2999)-(COUNTA(D2999:D2999)-1))</f>
        <v/>
      </c>
    </row>
    <row r="3000" spans="1:10" thickBot="1">
      <c r="A3000" s="117"/>
      <c r="B3000" s="70">
        <f t="shared" si="189"/>
        <v>46792</v>
      </c>
      <c r="C3000" s="82" t="str">
        <f t="shared" si="190"/>
        <v>mercredi</v>
      </c>
      <c r="D3000" s="87"/>
      <c r="E3000" s="115" t="str">
        <f t="shared" si="191"/>
        <v/>
      </c>
      <c r="F3000" s="115" t="str">
        <f t="shared" si="192"/>
        <v/>
      </c>
      <c r="G3000" s="116" t="str">
        <f>IF(ISNONTEXT(D3000),"",E3000-MAX($F$2:F2999))</f>
        <v/>
      </c>
      <c r="H3000" s="97"/>
      <c r="I3000" s="74" t="str">
        <f ca="1">IF(D3000="N",COUNTIF(INDIRECT(ADDRESS(MATCH(Plages!$D$19,'Planning annuel mixing coater'!$B:$B),4)):D3000,"N"),IF(D3000="N1",COUNTIF($D$9:D3000,"N1"),""))</f>
        <v/>
      </c>
      <c r="J3000" s="96" t="str">
        <f>IF(D3000="","",COUNTA(D2998:D3000)-(COUNTA(D3000:D3000)-1))</f>
        <v/>
      </c>
    </row>
    <row r="3001" spans="1:10" thickBot="1">
      <c r="A3001" s="117"/>
      <c r="B3001" s="70">
        <f t="shared" si="189"/>
        <v>46793</v>
      </c>
      <c r="C3001" s="82" t="str">
        <f t="shared" si="190"/>
        <v>jeudi</v>
      </c>
      <c r="D3001" s="87"/>
      <c r="E3001" s="115" t="str">
        <f t="shared" si="191"/>
        <v/>
      </c>
      <c r="F3001" s="115" t="str">
        <f t="shared" si="192"/>
        <v/>
      </c>
      <c r="G3001" s="116" t="str">
        <f>IF(ISNONTEXT(D3001),"",E3001-MAX($F$2:F3000))</f>
        <v/>
      </c>
      <c r="H3001" s="97"/>
      <c r="I3001" s="74" t="str">
        <f ca="1">IF(D3001="N",COUNTIF(INDIRECT(ADDRESS(MATCH(Plages!$D$19,'Planning annuel mixing coater'!$B:$B),4)):D3001,"N"),IF(D3001="N1",COUNTIF($D$9:D3001,"N1"),""))</f>
        <v/>
      </c>
      <c r="J3001" s="96" t="str">
        <f>IF(D3001="","",COUNTA(D2998:D3001)-(COUNTA(D3001:D3001)-1))</f>
        <v/>
      </c>
    </row>
    <row r="3002" spans="1:10" thickBot="1">
      <c r="A3002" s="117"/>
      <c r="B3002" s="70">
        <f t="shared" si="189"/>
        <v>46794</v>
      </c>
      <c r="C3002" s="82" t="str">
        <f t="shared" si="190"/>
        <v>vendredi</v>
      </c>
      <c r="D3002" s="87"/>
      <c r="E3002" s="115" t="str">
        <f t="shared" si="191"/>
        <v/>
      </c>
      <c r="F3002" s="115" t="str">
        <f t="shared" si="192"/>
        <v/>
      </c>
      <c r="G3002" s="116" t="str">
        <f>IF(ISNONTEXT(D3002),"",E3002-MAX($F$2:F3001))</f>
        <v/>
      </c>
      <c r="H3002" s="97"/>
      <c r="I3002" s="74" t="str">
        <f ca="1">IF(D3002="N",COUNTIF(INDIRECT(ADDRESS(MATCH(Plages!$D$19,'Planning annuel mixing coater'!$B:$B),4)):D3002,"N"),IF(D3002="N1",COUNTIF($D$9:D3002,"N1"),""))</f>
        <v/>
      </c>
      <c r="J3002" s="96" t="str">
        <f>IF(D3002="","",COUNTA(D2998:D3002)-(COUNTA(D3002:D3002)-1))</f>
        <v/>
      </c>
    </row>
    <row r="3003" spans="1:10" thickBot="1">
      <c r="A3003" s="117"/>
      <c r="B3003" s="70">
        <f t="shared" si="189"/>
        <v>46795</v>
      </c>
      <c r="C3003" s="82" t="str">
        <f t="shared" si="190"/>
        <v>samedi</v>
      </c>
      <c r="D3003" s="87"/>
      <c r="E3003" s="115" t="str">
        <f t="shared" si="191"/>
        <v/>
      </c>
      <c r="F3003" s="115" t="str">
        <f t="shared" si="192"/>
        <v/>
      </c>
      <c r="G3003" s="116" t="str">
        <f>IF(ISNONTEXT(D3003),"",E3003-MAX($F$2:F3002))</f>
        <v/>
      </c>
      <c r="H3003" s="97"/>
      <c r="I3003" s="74" t="str">
        <f ca="1">IF(D3003="N",COUNTIF(INDIRECT(ADDRESS(MATCH(Plages!$D$19,'Planning annuel mixing coater'!$B:$B),4)):D3003,"N"),IF(D3003="N1",COUNTIF($D$9:D3003,"N1"),""))</f>
        <v/>
      </c>
      <c r="J3003" s="96" t="str">
        <f>IF(D3003="","",COUNTA(D2998:D3003)-(COUNTA(D3003:D3003)-1))</f>
        <v/>
      </c>
    </row>
    <row r="3004" spans="1:10" thickBot="1">
      <c r="A3004" s="117"/>
      <c r="B3004" s="70">
        <f t="shared" si="189"/>
        <v>46796</v>
      </c>
      <c r="C3004" s="82" t="str">
        <f t="shared" si="190"/>
        <v>dimanche</v>
      </c>
      <c r="D3004" s="87"/>
      <c r="E3004" s="115" t="str">
        <f t="shared" si="191"/>
        <v/>
      </c>
      <c r="F3004" s="115" t="str">
        <f t="shared" si="192"/>
        <v/>
      </c>
      <c r="G3004" s="116" t="str">
        <f>IF(ISNONTEXT(D3004),"",E3004-MAX($F$2:F3003))</f>
        <v/>
      </c>
      <c r="H3004" s="98"/>
      <c r="I3004" s="74" t="str">
        <f ca="1">IF(D3004="N",COUNTIF(INDIRECT(ADDRESS(MATCH(Plages!$D$19,'Planning annuel mixing coater'!$B:$B),4)):D3004,"N"),IF(D3004="N1",COUNTIF($D$9:D3004,"N1"),""))</f>
        <v/>
      </c>
      <c r="J3004" s="96" t="str">
        <f>IF(D3004="","",COUNTA(D2998:D3004)-(COUNTA(D3004:D3004)-1))</f>
        <v/>
      </c>
    </row>
    <row r="3005" spans="1:10" thickBot="1">
      <c r="A3005" s="117"/>
      <c r="B3005" s="70">
        <f t="shared" si="189"/>
        <v>46797</v>
      </c>
      <c r="C3005" s="82" t="str">
        <f t="shared" si="190"/>
        <v>lundi</v>
      </c>
      <c r="D3005" s="87"/>
      <c r="E3005" s="115" t="str">
        <f t="shared" si="191"/>
        <v/>
      </c>
      <c r="F3005" s="115" t="str">
        <f t="shared" si="192"/>
        <v/>
      </c>
      <c r="G3005" s="116" t="str">
        <f>IF(ISNONTEXT(D3005),"",E3005-MAX($F$2:F3004))</f>
        <v/>
      </c>
      <c r="H3005" s="97"/>
      <c r="I3005" s="74" t="str">
        <f ca="1">IF(D3005="N",COUNTIF(INDIRECT(ADDRESS(MATCH(Plages!$D$19,'Planning annuel mixing coater'!$B:$B),4)):D3005,"N"),IF(D3005="N1",COUNTIF($D$9:D3005,"N1"),""))</f>
        <v/>
      </c>
      <c r="J3005" s="96" t="str">
        <f>IF(D3005="","",COUNTA(D2998:D3005)-(COUNTA(D3005:D3005)-1))</f>
        <v/>
      </c>
    </row>
    <row r="3006" spans="1:10" thickBot="1">
      <c r="A3006" s="117"/>
      <c r="B3006" s="70">
        <f t="shared" si="189"/>
        <v>46798</v>
      </c>
      <c r="C3006" s="82" t="str">
        <f t="shared" si="190"/>
        <v>mardi</v>
      </c>
      <c r="D3006" s="87"/>
      <c r="E3006" s="115" t="str">
        <f t="shared" si="191"/>
        <v/>
      </c>
      <c r="F3006" s="115" t="str">
        <f t="shared" si="192"/>
        <v/>
      </c>
      <c r="G3006" s="116" t="str">
        <f>IF(ISNONTEXT(D3006),"",E3006-MAX($F$2:F3005))</f>
        <v/>
      </c>
      <c r="H3006" s="97"/>
      <c r="I3006" s="74" t="str">
        <f ca="1">IF(D3006="N",COUNTIF(INDIRECT(ADDRESS(MATCH(Plages!$D$19,'Planning annuel mixing coater'!$B:$B),4)):D3006,"N"),IF(D3006="N1",COUNTIF($D$9:D3006,"N1"),""))</f>
        <v/>
      </c>
      <c r="J3006" s="96" t="str">
        <f>IF(D3006="","",COUNTA(D2998:D3006)-(COUNTA(D3006:D3006)-1))</f>
        <v/>
      </c>
    </row>
    <row r="3007" spans="1:10" thickBot="1">
      <c r="A3007" s="117"/>
      <c r="B3007" s="70">
        <f t="shared" si="189"/>
        <v>46799</v>
      </c>
      <c r="C3007" s="82" t="str">
        <f t="shared" si="190"/>
        <v>mercredi</v>
      </c>
      <c r="D3007" s="87"/>
      <c r="E3007" s="115" t="str">
        <f t="shared" si="191"/>
        <v/>
      </c>
      <c r="F3007" s="115" t="str">
        <f t="shared" si="192"/>
        <v/>
      </c>
      <c r="G3007" s="116" t="str">
        <f>IF(ISNONTEXT(D3007),"",E3007-MAX($F$2:F3006))</f>
        <v/>
      </c>
      <c r="H3007" s="97"/>
      <c r="I3007" s="74" t="str">
        <f ca="1">IF(D3007="N",COUNTIF(INDIRECT(ADDRESS(MATCH(Plages!$D$19,'Planning annuel mixing coater'!$B:$B),4)):D3007,"N"),IF(D3007="N1",COUNTIF($D$9:D3007,"N1"),""))</f>
        <v/>
      </c>
      <c r="J3007" s="96" t="str">
        <f>IF(D3007="","",COUNTA(D2998:D3007)-(COUNTA(D3007:D3007)-1))</f>
        <v/>
      </c>
    </row>
    <row r="3008" spans="1:10" thickBot="1">
      <c r="A3008" s="117"/>
      <c r="B3008" s="70">
        <f t="shared" si="189"/>
        <v>46800</v>
      </c>
      <c r="C3008" s="82" t="str">
        <f t="shared" si="190"/>
        <v>jeudi</v>
      </c>
      <c r="D3008" s="87"/>
      <c r="E3008" s="115" t="str">
        <f t="shared" si="191"/>
        <v/>
      </c>
      <c r="F3008" s="115" t="str">
        <f t="shared" si="192"/>
        <v/>
      </c>
      <c r="G3008" s="116" t="str">
        <f>IF(ISNONTEXT(D3008),"",E3008-MAX($F$2:F3007))</f>
        <v/>
      </c>
      <c r="H3008" s="97"/>
      <c r="I3008" s="74" t="str">
        <f ca="1">IF(D3008="N",COUNTIF(INDIRECT(ADDRESS(MATCH(Plages!$D$19,'Planning annuel mixing coater'!$B:$B),4)):D3008,"N"),IF(D3008="N1",COUNTIF($D$9:D3008,"N1"),""))</f>
        <v/>
      </c>
      <c r="J3008" s="96" t="str">
        <f>IF(D3008="","",COUNTA(D2998:D3008)-(COUNTA(D3008:D3008)-1))</f>
        <v/>
      </c>
    </row>
    <row r="3009" spans="1:10" thickBot="1">
      <c r="A3009" s="117"/>
      <c r="B3009" s="70">
        <f t="shared" si="189"/>
        <v>46801</v>
      </c>
      <c r="C3009" s="82" t="str">
        <f t="shared" si="190"/>
        <v>vendredi</v>
      </c>
      <c r="D3009" s="87"/>
      <c r="E3009" s="115" t="str">
        <f t="shared" si="191"/>
        <v/>
      </c>
      <c r="F3009" s="115" t="str">
        <f t="shared" si="192"/>
        <v/>
      </c>
      <c r="G3009" s="116" t="str">
        <f>IF(ISNONTEXT(D3009),"",E3009-MAX($F$2:F3008))</f>
        <v/>
      </c>
      <c r="H3009" s="97"/>
      <c r="I3009" s="74" t="str">
        <f ca="1">IF(D3009="N",COUNTIF(INDIRECT(ADDRESS(MATCH(Plages!$D$19,'Planning annuel mixing coater'!$B:$B),4)):D3009,"N"),IF(D3009="N1",COUNTIF($D$9:D3009,"N1"),""))</f>
        <v/>
      </c>
      <c r="J3009" s="96" t="str">
        <f>IF(D3009="","",COUNTA(D2998:D3009)-(COUNTA(D3009:D3009)-1))</f>
        <v/>
      </c>
    </row>
    <row r="3010" spans="1:10" thickBot="1">
      <c r="A3010" s="117"/>
      <c r="B3010" s="70">
        <f t="shared" si="189"/>
        <v>46802</v>
      </c>
      <c r="C3010" s="82" t="str">
        <f t="shared" si="190"/>
        <v>samedi</v>
      </c>
      <c r="D3010" s="87"/>
      <c r="E3010" s="115" t="str">
        <f t="shared" si="191"/>
        <v/>
      </c>
      <c r="F3010" s="115" t="str">
        <f t="shared" si="192"/>
        <v/>
      </c>
      <c r="G3010" s="116" t="str">
        <f>IF(ISNONTEXT(D3010),"",E3010-MAX($F$2:F3009))</f>
        <v/>
      </c>
      <c r="H3010" s="97"/>
      <c r="I3010" s="74" t="str">
        <f ca="1">IF(D3010="N",COUNTIF(INDIRECT(ADDRESS(MATCH(Plages!$D$19,'Planning annuel mixing coater'!$B:$B),4)):D3010,"N"),IF(D3010="N1",COUNTIF($D$9:D3010,"N1"),""))</f>
        <v/>
      </c>
      <c r="J3010" s="96" t="str">
        <f>IF(D3010="","",COUNTA(D2998:D3010)-(COUNTA(D3010:D3010)-1))</f>
        <v/>
      </c>
    </row>
    <row r="3011" spans="1:10" s="77" customFormat="1" thickBot="1">
      <c r="A3011" s="117"/>
      <c r="B3011" s="75">
        <f t="shared" si="189"/>
        <v>46803</v>
      </c>
      <c r="C3011" s="83" t="str">
        <f t="shared" si="190"/>
        <v>dimanche</v>
      </c>
      <c r="D3011" s="88"/>
      <c r="E3011" s="115" t="str">
        <f t="shared" si="191"/>
        <v/>
      </c>
      <c r="F3011" s="115" t="str">
        <f t="shared" si="192"/>
        <v/>
      </c>
      <c r="G3011" s="116" t="str">
        <f>IF(ISNONTEXT(D3011),"",E3011-MAX($F$2:F3010))</f>
        <v/>
      </c>
      <c r="H3011" s="98"/>
      <c r="I3011" s="76" t="str">
        <f ca="1">IF(D3011="N",COUNTIF(INDIRECT(ADDRESS(MATCH(Plages!$D$19,'Planning annuel mixing coater'!$B:$B),4)):D3011,"N"),IF(D3011="N1",COUNTIF($D$9:D3011,"N1"),""))</f>
        <v/>
      </c>
      <c r="J3011" s="99" t="str">
        <f>IF(D3011="","",COUNTA(D2998:D3011)-(COUNTA(D3011:D3011)-1))</f>
        <v/>
      </c>
    </row>
    <row r="3012" spans="1:10" ht="16.5" thickTop="1" thickBot="1">
      <c r="A3012" s="117"/>
      <c r="B3012" s="78">
        <f t="shared" ref="B3012:B3075" si="193">IF(B3011="","",B3011+1)</f>
        <v>46804</v>
      </c>
      <c r="C3012" s="81" t="str">
        <f t="shared" si="190"/>
        <v>lundi</v>
      </c>
      <c r="D3012" s="89"/>
      <c r="E3012" s="115" t="str">
        <f t="shared" si="191"/>
        <v/>
      </c>
      <c r="F3012" s="115" t="str">
        <f t="shared" si="192"/>
        <v/>
      </c>
      <c r="G3012" s="116" t="str">
        <f>IF(ISNONTEXT(D3012),"",E3012-MAX($F$2:F3011))</f>
        <v/>
      </c>
      <c r="H3012" s="100"/>
      <c r="I3012" s="79" t="str">
        <f ca="1">IF(D3012="N",COUNTIF(INDIRECT(ADDRESS(MATCH(Plages!$D$19,'Planning annuel mixing coater'!$B:$B),4)):D3012,"N"),IF(D3012="N1",COUNTIF($D$9:D3012,"N1"),""))</f>
        <v/>
      </c>
      <c r="J3012" s="101" t="str">
        <f>IF(D3012="","",COUNTA(D3012:D3012)-(COUNTA(D3012:D3012)-1))</f>
        <v/>
      </c>
    </row>
    <row r="3013" spans="1:10" thickBot="1">
      <c r="A3013" s="117"/>
      <c r="B3013" s="70">
        <f t="shared" si="193"/>
        <v>46805</v>
      </c>
      <c r="C3013" s="82" t="str">
        <f t="shared" si="190"/>
        <v>mardi</v>
      </c>
      <c r="D3013" s="87"/>
      <c r="E3013" s="115" t="str">
        <f t="shared" si="191"/>
        <v/>
      </c>
      <c r="F3013" s="115" t="str">
        <f t="shared" si="192"/>
        <v/>
      </c>
      <c r="G3013" s="116" t="str">
        <f>IF(ISNONTEXT(D3013),"",E3013-MAX($F$2:F3012))</f>
        <v/>
      </c>
      <c r="H3013" s="97"/>
      <c r="I3013" s="74" t="str">
        <f ca="1">IF(D3013="N",COUNTIF(INDIRECT(ADDRESS(MATCH(Plages!$D$19,'Planning annuel mixing coater'!$B:$B),4)):D3013,"N"),IF(D3013="N1",COUNTIF($D$9:D3013,"N1"),""))</f>
        <v/>
      </c>
      <c r="J3013" s="96" t="str">
        <f>IF(D3013="","",COUNTA(D3012:D3013)-(COUNTA(D3013:D3013)-1))</f>
        <v/>
      </c>
    </row>
    <row r="3014" spans="1:10" thickBot="1">
      <c r="A3014" s="117"/>
      <c r="B3014" s="70">
        <f t="shared" si="193"/>
        <v>46806</v>
      </c>
      <c r="C3014" s="82" t="str">
        <f t="shared" si="190"/>
        <v>mercredi</v>
      </c>
      <c r="D3014" s="87"/>
      <c r="E3014" s="115" t="str">
        <f t="shared" si="191"/>
        <v/>
      </c>
      <c r="F3014" s="115" t="str">
        <f t="shared" si="192"/>
        <v/>
      </c>
      <c r="G3014" s="116" t="str">
        <f>IF(ISNONTEXT(D3014),"",E3014-MAX($F$2:F3013))</f>
        <v/>
      </c>
      <c r="H3014" s="97"/>
      <c r="I3014" s="74" t="str">
        <f ca="1">IF(D3014="N",COUNTIF(INDIRECT(ADDRESS(MATCH(Plages!$D$19,'Planning annuel mixing coater'!$B:$B),4)):D3014,"N"),IF(D3014="N1",COUNTIF($D$9:D3014,"N1"),""))</f>
        <v/>
      </c>
      <c r="J3014" s="96" t="str">
        <f>IF(D3014="","",COUNTA(D3012:D3014)-(COUNTA(D3014:D3014)-1))</f>
        <v/>
      </c>
    </row>
    <row r="3015" spans="1:10" thickBot="1">
      <c r="A3015" s="117"/>
      <c r="B3015" s="70">
        <f t="shared" si="193"/>
        <v>46807</v>
      </c>
      <c r="C3015" s="82" t="str">
        <f t="shared" si="190"/>
        <v>jeudi</v>
      </c>
      <c r="D3015" s="87"/>
      <c r="E3015" s="115" t="str">
        <f t="shared" si="191"/>
        <v/>
      </c>
      <c r="F3015" s="115" t="str">
        <f t="shared" si="192"/>
        <v/>
      </c>
      <c r="G3015" s="116" t="str">
        <f>IF(ISNONTEXT(D3015),"",E3015-MAX($F$2:F3014))</f>
        <v/>
      </c>
      <c r="H3015" s="97"/>
      <c r="I3015" s="74" t="str">
        <f ca="1">IF(D3015="N",COUNTIF(INDIRECT(ADDRESS(MATCH(Plages!$D$19,'Planning annuel mixing coater'!$B:$B),4)):D3015,"N"),IF(D3015="N1",COUNTIF($D$9:D3015,"N1"),""))</f>
        <v/>
      </c>
      <c r="J3015" s="96" t="str">
        <f>IF(D3015="","",COUNTA(D3012:D3015)-(COUNTA(D3015:D3015)-1))</f>
        <v/>
      </c>
    </row>
    <row r="3016" spans="1:10" thickBot="1">
      <c r="A3016" s="117"/>
      <c r="B3016" s="70">
        <f t="shared" si="193"/>
        <v>46808</v>
      </c>
      <c r="C3016" s="82" t="str">
        <f t="shared" si="190"/>
        <v>vendredi</v>
      </c>
      <c r="D3016" s="87"/>
      <c r="E3016" s="115" t="str">
        <f t="shared" si="191"/>
        <v/>
      </c>
      <c r="F3016" s="115" t="str">
        <f t="shared" si="192"/>
        <v/>
      </c>
      <c r="G3016" s="116" t="str">
        <f>IF(ISNONTEXT(D3016),"",E3016-MAX($F$2:F3015))</f>
        <v/>
      </c>
      <c r="H3016" s="97"/>
      <c r="I3016" s="74" t="str">
        <f ca="1">IF(D3016="N",COUNTIF(INDIRECT(ADDRESS(MATCH(Plages!$D$19,'Planning annuel mixing coater'!$B:$B),4)):D3016,"N"),IF(D3016="N1",COUNTIF($D$9:D3016,"N1"),""))</f>
        <v/>
      </c>
      <c r="J3016" s="96" t="str">
        <f>IF(D3016="","",COUNTA(D3012:D3016)-(COUNTA(D3016:D3016)-1))</f>
        <v/>
      </c>
    </row>
    <row r="3017" spans="1:10" thickBot="1">
      <c r="A3017" s="117"/>
      <c r="B3017" s="70">
        <f t="shared" si="193"/>
        <v>46809</v>
      </c>
      <c r="C3017" s="82" t="str">
        <f t="shared" si="190"/>
        <v>samedi</v>
      </c>
      <c r="D3017" s="87"/>
      <c r="E3017" s="115" t="str">
        <f t="shared" si="191"/>
        <v/>
      </c>
      <c r="F3017" s="115" t="str">
        <f t="shared" si="192"/>
        <v/>
      </c>
      <c r="G3017" s="116" t="str">
        <f>IF(ISNONTEXT(D3017),"",E3017-MAX($F$2:F3016))</f>
        <v/>
      </c>
      <c r="H3017" s="97"/>
      <c r="I3017" s="74" t="str">
        <f ca="1">IF(D3017="N",COUNTIF(INDIRECT(ADDRESS(MATCH(Plages!$D$19,'Planning annuel mixing coater'!$B:$B),4)):D3017,"N"),IF(D3017="N1",COUNTIF($D$9:D3017,"N1"),""))</f>
        <v/>
      </c>
      <c r="J3017" s="96" t="str">
        <f>IF(D3017="","",COUNTA(D3012:D3017)-(COUNTA(D3017:D3017)-1))</f>
        <v/>
      </c>
    </row>
    <row r="3018" spans="1:10" thickBot="1">
      <c r="A3018" s="117"/>
      <c r="B3018" s="70">
        <f t="shared" si="193"/>
        <v>46810</v>
      </c>
      <c r="C3018" s="82" t="str">
        <f t="shared" si="190"/>
        <v>dimanche</v>
      </c>
      <c r="D3018" s="87"/>
      <c r="E3018" s="115" t="str">
        <f t="shared" si="191"/>
        <v/>
      </c>
      <c r="F3018" s="115" t="str">
        <f t="shared" si="192"/>
        <v/>
      </c>
      <c r="G3018" s="116" t="str">
        <f>IF(ISNONTEXT(D3018),"",E3018-MAX($F$2:F3017))</f>
        <v/>
      </c>
      <c r="H3018" s="98"/>
      <c r="I3018" s="74" t="str">
        <f ca="1">IF(D3018="N",COUNTIF(INDIRECT(ADDRESS(MATCH(Plages!$D$19,'Planning annuel mixing coater'!$B:$B),4)):D3018,"N"),IF(D3018="N1",COUNTIF($D$9:D3018,"N1"),""))</f>
        <v/>
      </c>
      <c r="J3018" s="96" t="str">
        <f>IF(D3018="","",COUNTA(D3012:D3018)-(COUNTA(D3018:D3018)-1))</f>
        <v/>
      </c>
    </row>
    <row r="3019" spans="1:10" thickBot="1">
      <c r="A3019" s="117"/>
      <c r="B3019" s="70">
        <f t="shared" si="193"/>
        <v>46811</v>
      </c>
      <c r="C3019" s="82" t="str">
        <f t="shared" si="190"/>
        <v>lundi</v>
      </c>
      <c r="D3019" s="87"/>
      <c r="E3019" s="115" t="str">
        <f t="shared" si="191"/>
        <v/>
      </c>
      <c r="F3019" s="115" t="str">
        <f t="shared" si="192"/>
        <v/>
      </c>
      <c r="G3019" s="116" t="str">
        <f>IF(ISNONTEXT(D3019),"",E3019-MAX($F$2:F3018))</f>
        <v/>
      </c>
      <c r="H3019" s="97"/>
      <c r="I3019" s="74" t="str">
        <f ca="1">IF(D3019="N",COUNTIF(INDIRECT(ADDRESS(MATCH(Plages!$D$19,'Planning annuel mixing coater'!$B:$B),4)):D3019,"N"),IF(D3019="N1",COUNTIF($D$9:D3019,"N1"),""))</f>
        <v/>
      </c>
      <c r="J3019" s="96" t="str">
        <f>IF(D3019="","",COUNTA(D3012:D3019)-(COUNTA(D3019:D3019)-1))</f>
        <v/>
      </c>
    </row>
    <row r="3020" spans="1:10" thickBot="1">
      <c r="A3020" s="117"/>
      <c r="B3020" s="70">
        <f t="shared" si="193"/>
        <v>46812</v>
      </c>
      <c r="C3020" s="82" t="str">
        <f t="shared" si="190"/>
        <v>mardi</v>
      </c>
      <c r="D3020" s="87"/>
      <c r="E3020" s="115" t="str">
        <f t="shared" si="191"/>
        <v/>
      </c>
      <c r="F3020" s="115" t="str">
        <f t="shared" si="192"/>
        <v/>
      </c>
      <c r="G3020" s="116" t="str">
        <f>IF(ISNONTEXT(D3020),"",E3020-MAX($F$2:F3019))</f>
        <v/>
      </c>
      <c r="H3020" s="97"/>
      <c r="I3020" s="74" t="str">
        <f ca="1">IF(D3020="N",COUNTIF(INDIRECT(ADDRESS(MATCH(Plages!$D$19,'Planning annuel mixing coater'!$B:$B),4)):D3020,"N"),IF(D3020="N1",COUNTIF($D$9:D3020,"N1"),""))</f>
        <v/>
      </c>
      <c r="J3020" s="96" t="str">
        <f>IF(D3020="","",COUNTA(D3012:D3020)-(COUNTA(D3020:D3020)-1))</f>
        <v/>
      </c>
    </row>
    <row r="3021" spans="1:10" thickBot="1">
      <c r="A3021" s="117"/>
      <c r="B3021" s="70">
        <f t="shared" si="193"/>
        <v>46813</v>
      </c>
      <c r="C3021" s="82" t="str">
        <f t="shared" si="190"/>
        <v>mercredi</v>
      </c>
      <c r="D3021" s="87"/>
      <c r="E3021" s="115" t="str">
        <f t="shared" si="191"/>
        <v/>
      </c>
      <c r="F3021" s="115" t="str">
        <f t="shared" si="192"/>
        <v/>
      </c>
      <c r="G3021" s="116" t="str">
        <f>IF(ISNONTEXT(D3021),"",E3021-MAX($F$2:F3020))</f>
        <v/>
      </c>
      <c r="H3021" s="97"/>
      <c r="I3021" s="74" t="str">
        <f ca="1">IF(D3021="N",COUNTIF(INDIRECT(ADDRESS(MATCH(Plages!$D$19,'Planning annuel mixing coater'!$B:$B),4)):D3021,"N"),IF(D3021="N1",COUNTIF($D$9:D3021,"N1"),""))</f>
        <v/>
      </c>
      <c r="J3021" s="96" t="str">
        <f>IF(D3021="","",COUNTA(D3012:D3021)-(COUNTA(D3021:D3021)-1))</f>
        <v/>
      </c>
    </row>
    <row r="3022" spans="1:10" thickBot="1">
      <c r="A3022" s="117"/>
      <c r="B3022" s="70">
        <f t="shared" si="193"/>
        <v>46814</v>
      </c>
      <c r="C3022" s="82" t="str">
        <f t="shared" si="190"/>
        <v>jeudi</v>
      </c>
      <c r="D3022" s="87"/>
      <c r="E3022" s="115" t="str">
        <f t="shared" si="191"/>
        <v/>
      </c>
      <c r="F3022" s="115" t="str">
        <f t="shared" si="192"/>
        <v/>
      </c>
      <c r="G3022" s="116" t="str">
        <f>IF(ISNONTEXT(D3022),"",E3022-MAX($F$2:F3021))</f>
        <v/>
      </c>
      <c r="H3022" s="97"/>
      <c r="I3022" s="74" t="str">
        <f ca="1">IF(D3022="N",COUNTIF(INDIRECT(ADDRESS(MATCH(Plages!$D$19,'Planning annuel mixing coater'!$B:$B),4)):D3022,"N"),IF(D3022="N1",COUNTIF($D$9:D3022,"N1"),""))</f>
        <v/>
      </c>
      <c r="J3022" s="96" t="str">
        <f>IF(D3022="","",COUNTA(D3012:D3022)-(COUNTA(D3022:D3022)-1))</f>
        <v/>
      </c>
    </row>
    <row r="3023" spans="1:10" thickBot="1">
      <c r="A3023" s="117"/>
      <c r="B3023" s="70">
        <f t="shared" si="193"/>
        <v>46815</v>
      </c>
      <c r="C3023" s="82" t="str">
        <f t="shared" si="190"/>
        <v>vendredi</v>
      </c>
      <c r="D3023" s="87"/>
      <c r="E3023" s="115" t="str">
        <f t="shared" si="191"/>
        <v/>
      </c>
      <c r="F3023" s="115" t="str">
        <f t="shared" si="192"/>
        <v/>
      </c>
      <c r="G3023" s="116" t="str">
        <f>IF(ISNONTEXT(D3023),"",E3023-MAX($F$2:F3022))</f>
        <v/>
      </c>
      <c r="H3023" s="97"/>
      <c r="I3023" s="74" t="str">
        <f ca="1">IF(D3023="N",COUNTIF(INDIRECT(ADDRESS(MATCH(Plages!$D$19,'Planning annuel mixing coater'!$B:$B),4)):D3023,"N"),IF(D3023="N1",COUNTIF($D$9:D3023,"N1"),""))</f>
        <v/>
      </c>
      <c r="J3023" s="96" t="str">
        <f>IF(D3023="","",COUNTA(D3012:D3023)-(COUNTA(D3023:D3023)-1))</f>
        <v/>
      </c>
    </row>
    <row r="3024" spans="1:10" thickBot="1">
      <c r="A3024" s="117"/>
      <c r="B3024" s="70">
        <f t="shared" si="193"/>
        <v>46816</v>
      </c>
      <c r="C3024" s="82" t="str">
        <f t="shared" si="190"/>
        <v>samedi</v>
      </c>
      <c r="D3024" s="87"/>
      <c r="E3024" s="115" t="str">
        <f t="shared" si="191"/>
        <v/>
      </c>
      <c r="F3024" s="115" t="str">
        <f t="shared" si="192"/>
        <v/>
      </c>
      <c r="G3024" s="116" t="str">
        <f>IF(ISNONTEXT(D3024),"",E3024-MAX($F$2:F3023))</f>
        <v/>
      </c>
      <c r="H3024" s="97"/>
      <c r="I3024" s="74" t="str">
        <f ca="1">IF(D3024="N",COUNTIF(INDIRECT(ADDRESS(MATCH(Plages!$D$19,'Planning annuel mixing coater'!$B:$B),4)):D3024,"N"),IF(D3024="N1",COUNTIF($D$9:D3024,"N1"),""))</f>
        <v/>
      </c>
      <c r="J3024" s="96" t="str">
        <f>IF(D3024="","",COUNTA(D3012:D3024)-(COUNTA(D3024:D3024)-1))</f>
        <v/>
      </c>
    </row>
    <row r="3025" spans="1:10" s="77" customFormat="1" thickBot="1">
      <c r="A3025" s="117"/>
      <c r="B3025" s="75">
        <f t="shared" si="193"/>
        <v>46817</v>
      </c>
      <c r="C3025" s="83" t="str">
        <f t="shared" si="190"/>
        <v>dimanche</v>
      </c>
      <c r="D3025" s="88"/>
      <c r="E3025" s="115" t="str">
        <f t="shared" si="191"/>
        <v/>
      </c>
      <c r="F3025" s="115" t="str">
        <f t="shared" si="192"/>
        <v/>
      </c>
      <c r="G3025" s="116" t="str">
        <f>IF(ISNONTEXT(D3025),"",E3025-MAX($F$2:F3024))</f>
        <v/>
      </c>
      <c r="H3025" s="98"/>
      <c r="I3025" s="76" t="str">
        <f ca="1">IF(D3025="N",COUNTIF(INDIRECT(ADDRESS(MATCH(Plages!$D$19,'Planning annuel mixing coater'!$B:$B),4)):D3025,"N"),IF(D3025="N1",COUNTIF($D$9:D3025,"N1"),""))</f>
        <v/>
      </c>
      <c r="J3025" s="99" t="str">
        <f>IF(D3025="","",COUNTA(D3012:D3025)-(COUNTA(D3025:D3025)-1))</f>
        <v/>
      </c>
    </row>
    <row r="3026" spans="1:10" ht="16.5" thickTop="1" thickBot="1">
      <c r="A3026" s="117"/>
      <c r="B3026" s="78">
        <f t="shared" si="193"/>
        <v>46818</v>
      </c>
      <c r="C3026" s="81" t="str">
        <f t="shared" si="190"/>
        <v>lundi</v>
      </c>
      <c r="D3026" s="89"/>
      <c r="E3026" s="115" t="str">
        <f t="shared" si="191"/>
        <v/>
      </c>
      <c r="F3026" s="115" t="str">
        <f t="shared" si="192"/>
        <v/>
      </c>
      <c r="G3026" s="116" t="str">
        <f>IF(ISNONTEXT(D3026),"",E3026-MAX($F$2:F3025))</f>
        <v/>
      </c>
      <c r="H3026" s="100"/>
      <c r="I3026" s="79" t="str">
        <f ca="1">IF(D3026="N",COUNTIF(INDIRECT(ADDRESS(MATCH(Plages!$D$19,'Planning annuel mixing coater'!$B:$B),4)):D3026,"N"),IF(D3026="N1",COUNTIF($D$9:D3026,"N1"),""))</f>
        <v/>
      </c>
      <c r="J3026" s="101" t="str">
        <f>IF(D3026="","",COUNTA(D3026:D3026)-(COUNTA(D3026:D3026)-1))</f>
        <v/>
      </c>
    </row>
    <row r="3027" spans="1:10" thickBot="1">
      <c r="A3027" s="117"/>
      <c r="B3027" s="70">
        <f t="shared" si="193"/>
        <v>46819</v>
      </c>
      <c r="C3027" s="82" t="str">
        <f t="shared" si="190"/>
        <v>mardi</v>
      </c>
      <c r="D3027" s="87"/>
      <c r="E3027" s="115" t="str">
        <f t="shared" si="191"/>
        <v/>
      </c>
      <c r="F3027" s="115" t="str">
        <f t="shared" si="192"/>
        <v/>
      </c>
      <c r="G3027" s="116" t="str">
        <f>IF(ISNONTEXT(D3027),"",E3027-MAX($F$2:F3026))</f>
        <v/>
      </c>
      <c r="H3027" s="97"/>
      <c r="I3027" s="74" t="str">
        <f ca="1">IF(D3027="N",COUNTIF(INDIRECT(ADDRESS(MATCH(Plages!$D$19,'Planning annuel mixing coater'!$B:$B),4)):D3027,"N"),IF(D3027="N1",COUNTIF($D$9:D3027,"N1"),""))</f>
        <v/>
      </c>
      <c r="J3027" s="96" t="str">
        <f>IF(D3027="","",COUNTA(D3026:D3027)-(COUNTA(D3027:D3027)-1))</f>
        <v/>
      </c>
    </row>
    <row r="3028" spans="1:10" thickBot="1">
      <c r="A3028" s="117"/>
      <c r="B3028" s="70">
        <f t="shared" si="193"/>
        <v>46820</v>
      </c>
      <c r="C3028" s="82" t="str">
        <f t="shared" si="190"/>
        <v>mercredi</v>
      </c>
      <c r="D3028" s="87"/>
      <c r="E3028" s="115" t="str">
        <f t="shared" si="191"/>
        <v/>
      </c>
      <c r="F3028" s="115" t="str">
        <f t="shared" si="192"/>
        <v/>
      </c>
      <c r="G3028" s="116" t="str">
        <f>IF(ISNONTEXT(D3028),"",E3028-MAX($F$2:F3027))</f>
        <v/>
      </c>
      <c r="H3028" s="97"/>
      <c r="I3028" s="74" t="str">
        <f ca="1">IF(D3028="N",COUNTIF(INDIRECT(ADDRESS(MATCH(Plages!$D$19,'Planning annuel mixing coater'!$B:$B),4)):D3028,"N"),IF(D3028="N1",COUNTIF($D$9:D3028,"N1"),""))</f>
        <v/>
      </c>
      <c r="J3028" s="96" t="str">
        <f>IF(D3028="","",COUNTA(D3026:D3028)-(COUNTA(D3028:D3028)-1))</f>
        <v/>
      </c>
    </row>
    <row r="3029" spans="1:10" thickBot="1">
      <c r="A3029" s="117"/>
      <c r="B3029" s="70">
        <f t="shared" si="193"/>
        <v>46821</v>
      </c>
      <c r="C3029" s="82" t="str">
        <f t="shared" si="190"/>
        <v>jeudi</v>
      </c>
      <c r="D3029" s="87"/>
      <c r="E3029" s="115" t="str">
        <f t="shared" si="191"/>
        <v/>
      </c>
      <c r="F3029" s="115" t="str">
        <f t="shared" si="192"/>
        <v/>
      </c>
      <c r="G3029" s="116" t="str">
        <f>IF(ISNONTEXT(D3029),"",E3029-MAX($F$2:F3028))</f>
        <v/>
      </c>
      <c r="H3029" s="97"/>
      <c r="I3029" s="74" t="str">
        <f ca="1">IF(D3029="N",COUNTIF(INDIRECT(ADDRESS(MATCH(Plages!$D$19,'Planning annuel mixing coater'!$B:$B),4)):D3029,"N"),IF(D3029="N1",COUNTIF($D$9:D3029,"N1"),""))</f>
        <v/>
      </c>
      <c r="J3029" s="96" t="str">
        <f>IF(D3029="","",COUNTA(D3026:D3029)-(COUNTA(D3029:D3029)-1))</f>
        <v/>
      </c>
    </row>
    <row r="3030" spans="1:10" thickBot="1">
      <c r="A3030" s="117"/>
      <c r="B3030" s="70">
        <f t="shared" si="193"/>
        <v>46822</v>
      </c>
      <c r="C3030" s="82" t="str">
        <f t="shared" si="190"/>
        <v>vendredi</v>
      </c>
      <c r="D3030" s="87"/>
      <c r="E3030" s="115" t="str">
        <f t="shared" si="191"/>
        <v/>
      </c>
      <c r="F3030" s="115" t="str">
        <f t="shared" si="192"/>
        <v/>
      </c>
      <c r="G3030" s="116" t="str">
        <f>IF(ISNONTEXT(D3030),"",E3030-MAX($F$2:F3029))</f>
        <v/>
      </c>
      <c r="H3030" s="97"/>
      <c r="I3030" s="74" t="str">
        <f ca="1">IF(D3030="N",COUNTIF(INDIRECT(ADDRESS(MATCH(Plages!$D$19,'Planning annuel mixing coater'!$B:$B),4)):D3030,"N"),IF(D3030="N1",COUNTIF($D$9:D3030,"N1"),""))</f>
        <v/>
      </c>
      <c r="J3030" s="96" t="str">
        <f>IF(D3030="","",COUNTA(D3026:D3030)-(COUNTA(D3030:D3030)-1))</f>
        <v/>
      </c>
    </row>
    <row r="3031" spans="1:10" thickBot="1">
      <c r="A3031" s="117"/>
      <c r="B3031" s="70">
        <f t="shared" si="193"/>
        <v>46823</v>
      </c>
      <c r="C3031" s="82" t="str">
        <f t="shared" si="190"/>
        <v>samedi</v>
      </c>
      <c r="D3031" s="87"/>
      <c r="E3031" s="115" t="str">
        <f t="shared" si="191"/>
        <v/>
      </c>
      <c r="F3031" s="115" t="str">
        <f t="shared" si="192"/>
        <v/>
      </c>
      <c r="G3031" s="116" t="str">
        <f>IF(ISNONTEXT(D3031),"",E3031-MAX($F$2:F3030))</f>
        <v/>
      </c>
      <c r="H3031" s="97"/>
      <c r="I3031" s="74" t="str">
        <f ca="1">IF(D3031="N",COUNTIF(INDIRECT(ADDRESS(MATCH(Plages!$D$19,'Planning annuel mixing coater'!$B:$B),4)):D3031,"N"),IF(D3031="N1",COUNTIF($D$9:D3031,"N1"),""))</f>
        <v/>
      </c>
      <c r="J3031" s="96" t="str">
        <f>IF(D3031="","",COUNTA(D3026:D3031)-(COUNTA(D3031:D3031)-1))</f>
        <v/>
      </c>
    </row>
    <row r="3032" spans="1:10" thickBot="1">
      <c r="A3032" s="117"/>
      <c r="B3032" s="70">
        <f t="shared" si="193"/>
        <v>46824</v>
      </c>
      <c r="C3032" s="82" t="str">
        <f t="shared" si="190"/>
        <v>dimanche</v>
      </c>
      <c r="D3032" s="87"/>
      <c r="E3032" s="115" t="str">
        <f t="shared" si="191"/>
        <v/>
      </c>
      <c r="F3032" s="115" t="str">
        <f t="shared" si="192"/>
        <v/>
      </c>
      <c r="G3032" s="116" t="str">
        <f>IF(ISNONTEXT(D3032),"",E3032-MAX($F$2:F3031))</f>
        <v/>
      </c>
      <c r="H3032" s="98"/>
      <c r="I3032" s="74" t="str">
        <f ca="1">IF(D3032="N",COUNTIF(INDIRECT(ADDRESS(MATCH(Plages!$D$19,'Planning annuel mixing coater'!$B:$B),4)):D3032,"N"),IF(D3032="N1",COUNTIF($D$9:D3032,"N1"),""))</f>
        <v/>
      </c>
      <c r="J3032" s="96" t="str">
        <f>IF(D3032="","",COUNTA(D3026:D3032)-(COUNTA(D3032:D3032)-1))</f>
        <v/>
      </c>
    </row>
    <row r="3033" spans="1:10" thickBot="1">
      <c r="A3033" s="117"/>
      <c r="B3033" s="70">
        <f t="shared" si="193"/>
        <v>46825</v>
      </c>
      <c r="C3033" s="82" t="str">
        <f t="shared" si="190"/>
        <v>lundi</v>
      </c>
      <c r="D3033" s="87"/>
      <c r="E3033" s="115" t="str">
        <f t="shared" si="191"/>
        <v/>
      </c>
      <c r="F3033" s="115" t="str">
        <f t="shared" si="192"/>
        <v/>
      </c>
      <c r="G3033" s="116" t="str">
        <f>IF(ISNONTEXT(D3033),"",E3033-MAX($F$2:F3032))</f>
        <v/>
      </c>
      <c r="H3033" s="97"/>
      <c r="I3033" s="74" t="str">
        <f ca="1">IF(D3033="N",COUNTIF(INDIRECT(ADDRESS(MATCH(Plages!$D$19,'Planning annuel mixing coater'!$B:$B),4)):D3033,"N"),IF(D3033="N1",COUNTIF($D$9:D3033,"N1"),""))</f>
        <v/>
      </c>
      <c r="J3033" s="96" t="str">
        <f>IF(D3033="","",COUNTA(D3026:D3033)-(COUNTA(D3033:D3033)-1))</f>
        <v/>
      </c>
    </row>
    <row r="3034" spans="1:10" thickBot="1">
      <c r="A3034" s="117"/>
      <c r="B3034" s="70">
        <f t="shared" si="193"/>
        <v>46826</v>
      </c>
      <c r="C3034" s="82" t="str">
        <f t="shared" si="190"/>
        <v>mardi</v>
      </c>
      <c r="D3034" s="87"/>
      <c r="E3034" s="115" t="str">
        <f t="shared" si="191"/>
        <v/>
      </c>
      <c r="F3034" s="115" t="str">
        <f t="shared" si="192"/>
        <v/>
      </c>
      <c r="G3034" s="116" t="str">
        <f>IF(ISNONTEXT(D3034),"",E3034-MAX($F$2:F3033))</f>
        <v/>
      </c>
      <c r="H3034" s="97"/>
      <c r="I3034" s="74" t="str">
        <f ca="1">IF(D3034="N",COUNTIF(INDIRECT(ADDRESS(MATCH(Plages!$D$19,'Planning annuel mixing coater'!$B:$B),4)):D3034,"N"),IF(D3034="N1",COUNTIF($D$9:D3034,"N1"),""))</f>
        <v/>
      </c>
      <c r="J3034" s="96" t="str">
        <f>IF(D3034="","",COUNTA(D3026:D3034)-(COUNTA(D3034:D3034)-1))</f>
        <v/>
      </c>
    </row>
    <row r="3035" spans="1:10" thickBot="1">
      <c r="A3035" s="117"/>
      <c r="B3035" s="70">
        <f t="shared" si="193"/>
        <v>46827</v>
      </c>
      <c r="C3035" s="82" t="str">
        <f t="shared" si="190"/>
        <v>mercredi</v>
      </c>
      <c r="D3035" s="87"/>
      <c r="E3035" s="115" t="str">
        <f t="shared" si="191"/>
        <v/>
      </c>
      <c r="F3035" s="115" t="str">
        <f t="shared" si="192"/>
        <v/>
      </c>
      <c r="G3035" s="116" t="str">
        <f>IF(ISNONTEXT(D3035),"",E3035-MAX($F$2:F3034))</f>
        <v/>
      </c>
      <c r="H3035" s="97"/>
      <c r="I3035" s="74" t="str">
        <f ca="1">IF(D3035="N",COUNTIF(INDIRECT(ADDRESS(MATCH(Plages!$D$19,'Planning annuel mixing coater'!$B:$B),4)):D3035,"N"),IF(D3035="N1",COUNTIF($D$9:D3035,"N1"),""))</f>
        <v/>
      </c>
      <c r="J3035" s="96" t="str">
        <f>IF(D3035="","",COUNTA(D3026:D3035)-(COUNTA(D3035:D3035)-1))</f>
        <v/>
      </c>
    </row>
    <row r="3036" spans="1:10" thickBot="1">
      <c r="A3036" s="117"/>
      <c r="B3036" s="70">
        <f t="shared" si="193"/>
        <v>46828</v>
      </c>
      <c r="C3036" s="82" t="str">
        <f t="shared" si="190"/>
        <v>jeudi</v>
      </c>
      <c r="D3036" s="87"/>
      <c r="E3036" s="115" t="str">
        <f t="shared" si="191"/>
        <v/>
      </c>
      <c r="F3036" s="115" t="str">
        <f t="shared" si="192"/>
        <v/>
      </c>
      <c r="G3036" s="116" t="str">
        <f>IF(ISNONTEXT(D3036),"",E3036-MAX($F$2:F3035))</f>
        <v/>
      </c>
      <c r="H3036" s="97"/>
      <c r="I3036" s="74" t="str">
        <f ca="1">IF(D3036="N",COUNTIF(INDIRECT(ADDRESS(MATCH(Plages!$D$19,'Planning annuel mixing coater'!$B:$B),4)):D3036,"N"),IF(D3036="N1",COUNTIF($D$9:D3036,"N1"),""))</f>
        <v/>
      </c>
      <c r="J3036" s="96" t="str">
        <f>IF(D3036="","",COUNTA(D3026:D3036)-(COUNTA(D3036:D3036)-1))</f>
        <v/>
      </c>
    </row>
    <row r="3037" spans="1:10" thickBot="1">
      <c r="A3037" s="117"/>
      <c r="B3037" s="70">
        <f t="shared" si="193"/>
        <v>46829</v>
      </c>
      <c r="C3037" s="82" t="str">
        <f t="shared" si="190"/>
        <v>vendredi</v>
      </c>
      <c r="D3037" s="87"/>
      <c r="E3037" s="115" t="str">
        <f t="shared" si="191"/>
        <v/>
      </c>
      <c r="F3037" s="115" t="str">
        <f t="shared" si="192"/>
        <v/>
      </c>
      <c r="G3037" s="116" t="str">
        <f>IF(ISNONTEXT(D3037),"",E3037-MAX($F$2:F3036))</f>
        <v/>
      </c>
      <c r="H3037" s="97"/>
      <c r="I3037" s="74" t="str">
        <f ca="1">IF(D3037="N",COUNTIF(INDIRECT(ADDRESS(MATCH(Plages!$D$19,'Planning annuel mixing coater'!$B:$B),4)):D3037,"N"),IF(D3037="N1",COUNTIF($D$9:D3037,"N1"),""))</f>
        <v/>
      </c>
      <c r="J3037" s="96" t="str">
        <f>IF(D3037="","",COUNTA(D3026:D3037)-(COUNTA(D3037:D3037)-1))</f>
        <v/>
      </c>
    </row>
    <row r="3038" spans="1:10" thickBot="1">
      <c r="A3038" s="117"/>
      <c r="B3038" s="70">
        <f t="shared" si="193"/>
        <v>46830</v>
      </c>
      <c r="C3038" s="82" t="str">
        <f t="shared" ref="C3038:C3101" si="194">IF(B3038="","",TEXT(B3038,"jjjj"))</f>
        <v>samedi</v>
      </c>
      <c r="D3038" s="87"/>
      <c r="E3038" s="115" t="str">
        <f t="shared" ref="E3038:E3101" si="195">IF(D3038="","",B3038+VLOOKUP(D3038,Plageh,2,0))</f>
        <v/>
      </c>
      <c r="F3038" s="115" t="str">
        <f t="shared" ref="F3038:F3101" si="196">IF(D3038="","",B3038+VLOOKUP(D3038,Plageh,3,0))</f>
        <v/>
      </c>
      <c r="G3038" s="116" t="str">
        <f>IF(ISNONTEXT(D3038),"",E3038-MAX($F$2:F3037))</f>
        <v/>
      </c>
      <c r="H3038" s="97"/>
      <c r="I3038" s="74" t="str">
        <f ca="1">IF(D3038="N",COUNTIF(INDIRECT(ADDRESS(MATCH(Plages!$D$19,'Planning annuel mixing coater'!$B:$B),4)):D3038,"N"),IF(D3038="N1",COUNTIF($D$9:D3038,"N1"),""))</f>
        <v/>
      </c>
      <c r="J3038" s="96" t="str">
        <f>IF(D3038="","",COUNTA(D3026:D3038)-(COUNTA(D3038:D3038)-1))</f>
        <v/>
      </c>
    </row>
    <row r="3039" spans="1:10" s="77" customFormat="1" thickBot="1">
      <c r="A3039" s="117"/>
      <c r="B3039" s="75">
        <f t="shared" si="193"/>
        <v>46831</v>
      </c>
      <c r="C3039" s="83" t="str">
        <f t="shared" si="194"/>
        <v>dimanche</v>
      </c>
      <c r="D3039" s="88"/>
      <c r="E3039" s="115" t="str">
        <f t="shared" si="195"/>
        <v/>
      </c>
      <c r="F3039" s="115" t="str">
        <f t="shared" si="196"/>
        <v/>
      </c>
      <c r="G3039" s="116" t="str">
        <f>IF(ISNONTEXT(D3039),"",E3039-MAX($F$2:F3038))</f>
        <v/>
      </c>
      <c r="H3039" s="98"/>
      <c r="I3039" s="76" t="str">
        <f ca="1">IF(D3039="N",COUNTIF(INDIRECT(ADDRESS(MATCH(Plages!$D$19,'Planning annuel mixing coater'!$B:$B),4)):D3039,"N"),IF(D3039="N1",COUNTIF($D$9:D3039,"N1"),""))</f>
        <v/>
      </c>
      <c r="J3039" s="99" t="str">
        <f>IF(D3039="","",COUNTA(D3026:D3039)-(COUNTA(D3039:D3039)-1))</f>
        <v/>
      </c>
    </row>
    <row r="3040" spans="1:10" ht="16.5" thickTop="1" thickBot="1">
      <c r="A3040" s="117"/>
      <c r="B3040" s="78">
        <f t="shared" si="193"/>
        <v>46832</v>
      </c>
      <c r="C3040" s="81" t="str">
        <f t="shared" si="194"/>
        <v>lundi</v>
      </c>
      <c r="D3040" s="89"/>
      <c r="E3040" s="115" t="str">
        <f t="shared" si="195"/>
        <v/>
      </c>
      <c r="F3040" s="115" t="str">
        <f t="shared" si="196"/>
        <v/>
      </c>
      <c r="G3040" s="116" t="str">
        <f>IF(ISNONTEXT(D3040),"",E3040-MAX($F$2:F3039))</f>
        <v/>
      </c>
      <c r="H3040" s="100"/>
      <c r="I3040" s="79" t="str">
        <f ca="1">IF(D3040="N",COUNTIF(INDIRECT(ADDRESS(MATCH(Plages!$D$19,'Planning annuel mixing coater'!$B:$B),4)):D3040,"N"),IF(D3040="N1",COUNTIF($D$9:D3040,"N1"),""))</f>
        <v/>
      </c>
      <c r="J3040" s="101" t="str">
        <f>IF(D3040="","",COUNTA(D3040:D3040)-(COUNTA(D3040:D3040)-1))</f>
        <v/>
      </c>
    </row>
    <row r="3041" spans="1:10" thickBot="1">
      <c r="A3041" s="117"/>
      <c r="B3041" s="70">
        <f t="shared" si="193"/>
        <v>46833</v>
      </c>
      <c r="C3041" s="82" t="str">
        <f t="shared" si="194"/>
        <v>mardi</v>
      </c>
      <c r="D3041" s="87"/>
      <c r="E3041" s="115" t="str">
        <f t="shared" si="195"/>
        <v/>
      </c>
      <c r="F3041" s="115" t="str">
        <f t="shared" si="196"/>
        <v/>
      </c>
      <c r="G3041" s="116" t="str">
        <f>IF(ISNONTEXT(D3041),"",E3041-MAX($F$2:F3040))</f>
        <v/>
      </c>
      <c r="H3041" s="97"/>
      <c r="I3041" s="74" t="str">
        <f ca="1">IF(D3041="N",COUNTIF(INDIRECT(ADDRESS(MATCH(Plages!$D$19,'Planning annuel mixing coater'!$B:$B),4)):D3041,"N"),IF(D3041="N1",COUNTIF($D$9:D3041,"N1"),""))</f>
        <v/>
      </c>
      <c r="J3041" s="96" t="str">
        <f>IF(D3041="","",COUNTA(D3040:D3041)-(COUNTA(D3041:D3041)-1))</f>
        <v/>
      </c>
    </row>
    <row r="3042" spans="1:10" thickBot="1">
      <c r="A3042" s="117"/>
      <c r="B3042" s="70">
        <f t="shared" si="193"/>
        <v>46834</v>
      </c>
      <c r="C3042" s="82" t="str">
        <f t="shared" si="194"/>
        <v>mercredi</v>
      </c>
      <c r="D3042" s="87"/>
      <c r="E3042" s="115" t="str">
        <f t="shared" si="195"/>
        <v/>
      </c>
      <c r="F3042" s="115" t="str">
        <f t="shared" si="196"/>
        <v/>
      </c>
      <c r="G3042" s="116" t="str">
        <f>IF(ISNONTEXT(D3042),"",E3042-MAX($F$2:F3041))</f>
        <v/>
      </c>
      <c r="H3042" s="97"/>
      <c r="I3042" s="74" t="str">
        <f ca="1">IF(D3042="N",COUNTIF(INDIRECT(ADDRESS(MATCH(Plages!$D$19,'Planning annuel mixing coater'!$B:$B),4)):D3042,"N"),IF(D3042="N1",COUNTIF($D$9:D3042,"N1"),""))</f>
        <v/>
      </c>
      <c r="J3042" s="96" t="str">
        <f>IF(D3042="","",COUNTA(D3040:D3042)-(COUNTA(D3042:D3042)-1))</f>
        <v/>
      </c>
    </row>
    <row r="3043" spans="1:10" thickBot="1">
      <c r="A3043" s="117"/>
      <c r="B3043" s="70">
        <f t="shared" si="193"/>
        <v>46835</v>
      </c>
      <c r="C3043" s="82" t="str">
        <f t="shared" si="194"/>
        <v>jeudi</v>
      </c>
      <c r="D3043" s="87"/>
      <c r="E3043" s="115" t="str">
        <f t="shared" si="195"/>
        <v/>
      </c>
      <c r="F3043" s="115" t="str">
        <f t="shared" si="196"/>
        <v/>
      </c>
      <c r="G3043" s="116" t="str">
        <f>IF(ISNONTEXT(D3043),"",E3043-MAX($F$2:F3042))</f>
        <v/>
      </c>
      <c r="H3043" s="97"/>
      <c r="I3043" s="74" t="str">
        <f ca="1">IF(D3043="N",COUNTIF(INDIRECT(ADDRESS(MATCH(Plages!$D$19,'Planning annuel mixing coater'!$B:$B),4)):D3043,"N"),IF(D3043="N1",COUNTIF($D$9:D3043,"N1"),""))</f>
        <v/>
      </c>
      <c r="J3043" s="96" t="str">
        <f>IF(D3043="","",COUNTA(D3040:D3043)-(COUNTA(D3043:D3043)-1))</f>
        <v/>
      </c>
    </row>
    <row r="3044" spans="1:10" thickBot="1">
      <c r="A3044" s="117"/>
      <c r="B3044" s="70">
        <f t="shared" si="193"/>
        <v>46836</v>
      </c>
      <c r="C3044" s="82" t="str">
        <f t="shared" si="194"/>
        <v>vendredi</v>
      </c>
      <c r="D3044" s="87"/>
      <c r="E3044" s="115" t="str">
        <f t="shared" si="195"/>
        <v/>
      </c>
      <c r="F3044" s="115" t="str">
        <f t="shared" si="196"/>
        <v/>
      </c>
      <c r="G3044" s="116" t="str">
        <f>IF(ISNONTEXT(D3044),"",E3044-MAX($F$2:F3043))</f>
        <v/>
      </c>
      <c r="H3044" s="97"/>
      <c r="I3044" s="74" t="str">
        <f ca="1">IF(D3044="N",COUNTIF(INDIRECT(ADDRESS(MATCH(Plages!$D$19,'Planning annuel mixing coater'!$B:$B),4)):D3044,"N"),IF(D3044="N1",COUNTIF($D$9:D3044,"N1"),""))</f>
        <v/>
      </c>
      <c r="J3044" s="96" t="str">
        <f>IF(D3044="","",COUNTA(D3040:D3044)-(COUNTA(D3044:D3044)-1))</f>
        <v/>
      </c>
    </row>
    <row r="3045" spans="1:10" thickBot="1">
      <c r="A3045" s="117"/>
      <c r="B3045" s="70">
        <f t="shared" si="193"/>
        <v>46837</v>
      </c>
      <c r="C3045" s="82" t="str">
        <f t="shared" si="194"/>
        <v>samedi</v>
      </c>
      <c r="D3045" s="87"/>
      <c r="E3045" s="115" t="str">
        <f t="shared" si="195"/>
        <v/>
      </c>
      <c r="F3045" s="115" t="str">
        <f t="shared" si="196"/>
        <v/>
      </c>
      <c r="G3045" s="116" t="str">
        <f>IF(ISNONTEXT(D3045),"",E3045-MAX($F$2:F3044))</f>
        <v/>
      </c>
      <c r="H3045" s="97"/>
      <c r="I3045" s="74" t="str">
        <f ca="1">IF(D3045="N",COUNTIF(INDIRECT(ADDRESS(MATCH(Plages!$D$19,'Planning annuel mixing coater'!$B:$B),4)):D3045,"N"),IF(D3045="N1",COUNTIF($D$9:D3045,"N1"),""))</f>
        <v/>
      </c>
      <c r="J3045" s="96" t="str">
        <f>IF(D3045="","",COUNTA(D3040:D3045)-(COUNTA(D3045:D3045)-1))</f>
        <v/>
      </c>
    </row>
    <row r="3046" spans="1:10" thickBot="1">
      <c r="A3046" s="117"/>
      <c r="B3046" s="70">
        <f t="shared" si="193"/>
        <v>46838</v>
      </c>
      <c r="C3046" s="82" t="str">
        <f t="shared" si="194"/>
        <v>dimanche</v>
      </c>
      <c r="D3046" s="87"/>
      <c r="E3046" s="115" t="str">
        <f t="shared" si="195"/>
        <v/>
      </c>
      <c r="F3046" s="115" t="str">
        <f t="shared" si="196"/>
        <v/>
      </c>
      <c r="G3046" s="116" t="str">
        <f>IF(ISNONTEXT(D3046),"",E3046-MAX($F$2:F3045))</f>
        <v/>
      </c>
      <c r="H3046" s="98"/>
      <c r="I3046" s="74" t="str">
        <f ca="1">IF(D3046="N",COUNTIF(INDIRECT(ADDRESS(MATCH(Plages!$D$19,'Planning annuel mixing coater'!$B:$B),4)):D3046,"N"),IF(D3046="N1",COUNTIF($D$9:D3046,"N1"),""))</f>
        <v/>
      </c>
      <c r="J3046" s="96" t="str">
        <f>IF(D3046="","",COUNTA(D3040:D3046)-(COUNTA(D3046:D3046)-1))</f>
        <v/>
      </c>
    </row>
    <row r="3047" spans="1:10" thickBot="1">
      <c r="A3047" s="117"/>
      <c r="B3047" s="70">
        <f t="shared" si="193"/>
        <v>46839</v>
      </c>
      <c r="C3047" s="82" t="str">
        <f t="shared" si="194"/>
        <v>lundi</v>
      </c>
      <c r="D3047" s="87"/>
      <c r="E3047" s="115" t="str">
        <f t="shared" si="195"/>
        <v/>
      </c>
      <c r="F3047" s="115" t="str">
        <f t="shared" si="196"/>
        <v/>
      </c>
      <c r="G3047" s="116" t="str">
        <f>IF(ISNONTEXT(D3047),"",E3047-MAX($F$2:F3046))</f>
        <v/>
      </c>
      <c r="H3047" s="97"/>
      <c r="I3047" s="74" t="str">
        <f ca="1">IF(D3047="N",COUNTIF(INDIRECT(ADDRESS(MATCH(Plages!$D$19,'Planning annuel mixing coater'!$B:$B),4)):D3047,"N"),IF(D3047="N1",COUNTIF($D$9:D3047,"N1"),""))</f>
        <v/>
      </c>
      <c r="J3047" s="96" t="str">
        <f>IF(D3047="","",COUNTA(D3040:D3047)-(COUNTA(D3047:D3047)-1))</f>
        <v/>
      </c>
    </row>
    <row r="3048" spans="1:10" thickBot="1">
      <c r="A3048" s="117"/>
      <c r="B3048" s="70">
        <f t="shared" si="193"/>
        <v>46840</v>
      </c>
      <c r="C3048" s="82" t="str">
        <f t="shared" si="194"/>
        <v>mardi</v>
      </c>
      <c r="D3048" s="87"/>
      <c r="E3048" s="115" t="str">
        <f t="shared" si="195"/>
        <v/>
      </c>
      <c r="F3048" s="115" t="str">
        <f t="shared" si="196"/>
        <v/>
      </c>
      <c r="G3048" s="116" t="str">
        <f>IF(ISNONTEXT(D3048),"",E3048-MAX($F$2:F3047))</f>
        <v/>
      </c>
      <c r="H3048" s="97"/>
      <c r="I3048" s="74" t="str">
        <f ca="1">IF(D3048="N",COUNTIF(INDIRECT(ADDRESS(MATCH(Plages!$D$19,'Planning annuel mixing coater'!$B:$B),4)):D3048,"N"),IF(D3048="N1",COUNTIF($D$9:D3048,"N1"),""))</f>
        <v/>
      </c>
      <c r="J3048" s="96" t="str">
        <f>IF(D3048="","",COUNTA(D3040:D3048)-(COUNTA(D3048:D3048)-1))</f>
        <v/>
      </c>
    </row>
    <row r="3049" spans="1:10" thickBot="1">
      <c r="A3049" s="117"/>
      <c r="B3049" s="70">
        <f t="shared" si="193"/>
        <v>46841</v>
      </c>
      <c r="C3049" s="82" t="str">
        <f t="shared" si="194"/>
        <v>mercredi</v>
      </c>
      <c r="D3049" s="87"/>
      <c r="E3049" s="115" t="str">
        <f t="shared" si="195"/>
        <v/>
      </c>
      <c r="F3049" s="115" t="str">
        <f t="shared" si="196"/>
        <v/>
      </c>
      <c r="G3049" s="116" t="str">
        <f>IF(ISNONTEXT(D3049),"",E3049-MAX($F$2:F3048))</f>
        <v/>
      </c>
      <c r="H3049" s="97"/>
      <c r="I3049" s="74" t="str">
        <f ca="1">IF(D3049="N",COUNTIF(INDIRECT(ADDRESS(MATCH(Plages!$D$19,'Planning annuel mixing coater'!$B:$B),4)):D3049,"N"),IF(D3049="N1",COUNTIF($D$9:D3049,"N1"),""))</f>
        <v/>
      </c>
      <c r="J3049" s="96" t="str">
        <f>IF(D3049="","",COUNTA(D3040:D3049)-(COUNTA(D3049:D3049)-1))</f>
        <v/>
      </c>
    </row>
    <row r="3050" spans="1:10" thickBot="1">
      <c r="A3050" s="117"/>
      <c r="B3050" s="70">
        <f t="shared" si="193"/>
        <v>46842</v>
      </c>
      <c r="C3050" s="82" t="str">
        <f t="shared" si="194"/>
        <v>jeudi</v>
      </c>
      <c r="D3050" s="87"/>
      <c r="E3050" s="115" t="str">
        <f t="shared" si="195"/>
        <v/>
      </c>
      <c r="F3050" s="115" t="str">
        <f t="shared" si="196"/>
        <v/>
      </c>
      <c r="G3050" s="116" t="str">
        <f>IF(ISNONTEXT(D3050),"",E3050-MAX($F$2:F3049))</f>
        <v/>
      </c>
      <c r="H3050" s="97"/>
      <c r="I3050" s="74" t="str">
        <f ca="1">IF(D3050="N",COUNTIF(INDIRECT(ADDRESS(MATCH(Plages!$D$19,'Planning annuel mixing coater'!$B:$B),4)):D3050,"N"),IF(D3050="N1",COUNTIF($D$9:D3050,"N1"),""))</f>
        <v/>
      </c>
      <c r="J3050" s="96" t="str">
        <f>IF(D3050="","",COUNTA(D3040:D3050)-(COUNTA(D3050:D3050)-1))</f>
        <v/>
      </c>
    </row>
    <row r="3051" spans="1:10" thickBot="1">
      <c r="A3051" s="117"/>
      <c r="B3051" s="70">
        <f t="shared" si="193"/>
        <v>46843</v>
      </c>
      <c r="C3051" s="82" t="str">
        <f t="shared" si="194"/>
        <v>vendredi</v>
      </c>
      <c r="D3051" s="87"/>
      <c r="E3051" s="115" t="str">
        <f t="shared" si="195"/>
        <v/>
      </c>
      <c r="F3051" s="115" t="str">
        <f t="shared" si="196"/>
        <v/>
      </c>
      <c r="G3051" s="116" t="str">
        <f>IF(ISNONTEXT(D3051),"",E3051-MAX($F$2:F3050))</f>
        <v/>
      </c>
      <c r="H3051" s="97"/>
      <c r="I3051" s="74" t="str">
        <f ca="1">IF(D3051="N",COUNTIF(INDIRECT(ADDRESS(MATCH(Plages!$D$19,'Planning annuel mixing coater'!$B:$B),4)):D3051,"N"),IF(D3051="N1",COUNTIF($D$9:D3051,"N1"),""))</f>
        <v/>
      </c>
      <c r="J3051" s="96" t="str">
        <f>IF(D3051="","",COUNTA(D3040:D3051)-(COUNTA(D3051:D3051)-1))</f>
        <v/>
      </c>
    </row>
    <row r="3052" spans="1:10" thickBot="1">
      <c r="A3052" s="117"/>
      <c r="B3052" s="70">
        <f t="shared" si="193"/>
        <v>46844</v>
      </c>
      <c r="C3052" s="82" t="str">
        <f t="shared" si="194"/>
        <v>samedi</v>
      </c>
      <c r="D3052" s="87"/>
      <c r="E3052" s="115" t="str">
        <f t="shared" si="195"/>
        <v/>
      </c>
      <c r="F3052" s="115" t="str">
        <f t="shared" si="196"/>
        <v/>
      </c>
      <c r="G3052" s="116" t="str">
        <f>IF(ISNONTEXT(D3052),"",E3052-MAX($F$2:F3051))</f>
        <v/>
      </c>
      <c r="H3052" s="97"/>
      <c r="I3052" s="74" t="str">
        <f ca="1">IF(D3052="N",COUNTIF(INDIRECT(ADDRESS(MATCH(Plages!$D$19,'Planning annuel mixing coater'!$B:$B),4)):D3052,"N"),IF(D3052="N1",COUNTIF($D$9:D3052,"N1"),""))</f>
        <v/>
      </c>
      <c r="J3052" s="96" t="str">
        <f>IF(D3052="","",COUNTA(D3040:D3052)-(COUNTA(D3052:D3052)-1))</f>
        <v/>
      </c>
    </row>
    <row r="3053" spans="1:10" s="77" customFormat="1" thickBot="1">
      <c r="A3053" s="117"/>
      <c r="B3053" s="75">
        <f t="shared" si="193"/>
        <v>46845</v>
      </c>
      <c r="C3053" s="83" t="str">
        <f t="shared" si="194"/>
        <v>dimanche</v>
      </c>
      <c r="D3053" s="88"/>
      <c r="E3053" s="115" t="str">
        <f t="shared" si="195"/>
        <v/>
      </c>
      <c r="F3053" s="115" t="str">
        <f t="shared" si="196"/>
        <v/>
      </c>
      <c r="G3053" s="116" t="str">
        <f>IF(ISNONTEXT(D3053),"",E3053-MAX($F$2:F3052))</f>
        <v/>
      </c>
      <c r="H3053" s="98"/>
      <c r="I3053" s="76" t="str">
        <f ca="1">IF(D3053="N",COUNTIF(INDIRECT(ADDRESS(MATCH(Plages!$D$19,'Planning annuel mixing coater'!$B:$B),4)):D3053,"N"),IF(D3053="N1",COUNTIF($D$9:D3053,"N1"),""))</f>
        <v/>
      </c>
      <c r="J3053" s="99" t="str">
        <f>IF(D3053="","",COUNTA(D3040:D3053)-(COUNTA(D3053:D3053)-1))</f>
        <v/>
      </c>
    </row>
    <row r="3054" spans="1:10" ht="16.5" thickTop="1" thickBot="1">
      <c r="A3054" s="117"/>
      <c r="B3054" s="78">
        <f t="shared" si="193"/>
        <v>46846</v>
      </c>
      <c r="C3054" s="81" t="str">
        <f t="shared" si="194"/>
        <v>lundi</v>
      </c>
      <c r="D3054" s="89"/>
      <c r="E3054" s="115" t="str">
        <f t="shared" si="195"/>
        <v/>
      </c>
      <c r="F3054" s="115" t="str">
        <f t="shared" si="196"/>
        <v/>
      </c>
      <c r="G3054" s="116" t="str">
        <f>IF(ISNONTEXT(D3054),"",E3054-MAX($F$2:F3053))</f>
        <v/>
      </c>
      <c r="H3054" s="100"/>
      <c r="I3054" s="79" t="str">
        <f ca="1">IF(D3054="N",COUNTIF(INDIRECT(ADDRESS(MATCH(Plages!$D$19,'Planning annuel mixing coater'!$B:$B),4)):D3054,"N"),IF(D3054="N1",COUNTIF($D$9:D3054,"N1"),""))</f>
        <v/>
      </c>
      <c r="J3054" s="101" t="str">
        <f>IF(D3054="","",COUNTA(D3054:D3054)-(COUNTA(D3054:D3054)-1))</f>
        <v/>
      </c>
    </row>
    <row r="3055" spans="1:10" thickBot="1">
      <c r="A3055" s="117"/>
      <c r="B3055" s="70">
        <f t="shared" si="193"/>
        <v>46847</v>
      </c>
      <c r="C3055" s="82" t="str">
        <f t="shared" si="194"/>
        <v>mardi</v>
      </c>
      <c r="D3055" s="87"/>
      <c r="E3055" s="115" t="str">
        <f t="shared" si="195"/>
        <v/>
      </c>
      <c r="F3055" s="115" t="str">
        <f t="shared" si="196"/>
        <v/>
      </c>
      <c r="G3055" s="116" t="str">
        <f>IF(ISNONTEXT(D3055),"",E3055-MAX($F$2:F3054))</f>
        <v/>
      </c>
      <c r="H3055" s="97"/>
      <c r="I3055" s="74" t="str">
        <f ca="1">IF(D3055="N",COUNTIF(INDIRECT(ADDRESS(MATCH(Plages!$D$19,'Planning annuel mixing coater'!$B:$B),4)):D3055,"N"),IF(D3055="N1",COUNTIF($D$9:D3055,"N1"),""))</f>
        <v/>
      </c>
      <c r="J3055" s="96" t="str">
        <f>IF(D3055="","",COUNTA(D3054:D3055)-(COUNTA(D3055:D3055)-1))</f>
        <v/>
      </c>
    </row>
    <row r="3056" spans="1:10" thickBot="1">
      <c r="A3056" s="117"/>
      <c r="B3056" s="70">
        <f t="shared" si="193"/>
        <v>46848</v>
      </c>
      <c r="C3056" s="82" t="str">
        <f t="shared" si="194"/>
        <v>mercredi</v>
      </c>
      <c r="D3056" s="87"/>
      <c r="E3056" s="115" t="str">
        <f t="shared" si="195"/>
        <v/>
      </c>
      <c r="F3056" s="115" t="str">
        <f t="shared" si="196"/>
        <v/>
      </c>
      <c r="G3056" s="116" t="str">
        <f>IF(ISNONTEXT(D3056),"",E3056-MAX($F$2:F3055))</f>
        <v/>
      </c>
      <c r="H3056" s="97"/>
      <c r="I3056" s="74" t="str">
        <f ca="1">IF(D3056="N",COUNTIF(INDIRECT(ADDRESS(MATCH(Plages!$D$19,'Planning annuel mixing coater'!$B:$B),4)):D3056,"N"),IF(D3056="N1",COUNTIF($D$9:D3056,"N1"),""))</f>
        <v/>
      </c>
      <c r="J3056" s="96" t="str">
        <f>IF(D3056="","",COUNTA(D3054:D3056)-(COUNTA(D3056:D3056)-1))</f>
        <v/>
      </c>
    </row>
    <row r="3057" spans="1:10" thickBot="1">
      <c r="A3057" s="117"/>
      <c r="B3057" s="70">
        <f t="shared" si="193"/>
        <v>46849</v>
      </c>
      <c r="C3057" s="82" t="str">
        <f t="shared" si="194"/>
        <v>jeudi</v>
      </c>
      <c r="D3057" s="87"/>
      <c r="E3057" s="115" t="str">
        <f t="shared" si="195"/>
        <v/>
      </c>
      <c r="F3057" s="115" t="str">
        <f t="shared" si="196"/>
        <v/>
      </c>
      <c r="G3057" s="116" t="str">
        <f>IF(ISNONTEXT(D3057),"",E3057-MAX($F$2:F3056))</f>
        <v/>
      </c>
      <c r="H3057" s="97"/>
      <c r="I3057" s="74" t="str">
        <f ca="1">IF(D3057="N",COUNTIF(INDIRECT(ADDRESS(MATCH(Plages!$D$19,'Planning annuel mixing coater'!$B:$B),4)):D3057,"N"),IF(D3057="N1",COUNTIF($D$9:D3057,"N1"),""))</f>
        <v/>
      </c>
      <c r="J3057" s="96" t="str">
        <f>IF(D3057="","",COUNTA(D3054:D3057)-(COUNTA(D3057:D3057)-1))</f>
        <v/>
      </c>
    </row>
    <row r="3058" spans="1:10" thickBot="1">
      <c r="A3058" s="117"/>
      <c r="B3058" s="70">
        <f t="shared" si="193"/>
        <v>46850</v>
      </c>
      <c r="C3058" s="82" t="str">
        <f t="shared" si="194"/>
        <v>vendredi</v>
      </c>
      <c r="D3058" s="87"/>
      <c r="E3058" s="115" t="str">
        <f t="shared" si="195"/>
        <v/>
      </c>
      <c r="F3058" s="115" t="str">
        <f t="shared" si="196"/>
        <v/>
      </c>
      <c r="G3058" s="116" t="str">
        <f>IF(ISNONTEXT(D3058),"",E3058-MAX($F$2:F3057))</f>
        <v/>
      </c>
      <c r="H3058" s="97"/>
      <c r="I3058" s="74" t="str">
        <f ca="1">IF(D3058="N",COUNTIF(INDIRECT(ADDRESS(MATCH(Plages!$D$19,'Planning annuel mixing coater'!$B:$B),4)):D3058,"N"),IF(D3058="N1",COUNTIF($D$9:D3058,"N1"),""))</f>
        <v/>
      </c>
      <c r="J3058" s="96" t="str">
        <f>IF(D3058="","",COUNTA(D3054:D3058)-(COUNTA(D3058:D3058)-1))</f>
        <v/>
      </c>
    </row>
    <row r="3059" spans="1:10" thickBot="1">
      <c r="A3059" s="117"/>
      <c r="B3059" s="70">
        <f t="shared" si="193"/>
        <v>46851</v>
      </c>
      <c r="C3059" s="82" t="str">
        <f t="shared" si="194"/>
        <v>samedi</v>
      </c>
      <c r="D3059" s="87"/>
      <c r="E3059" s="115" t="str">
        <f t="shared" si="195"/>
        <v/>
      </c>
      <c r="F3059" s="115" t="str">
        <f t="shared" si="196"/>
        <v/>
      </c>
      <c r="G3059" s="116" t="str">
        <f>IF(ISNONTEXT(D3059),"",E3059-MAX($F$2:F3058))</f>
        <v/>
      </c>
      <c r="H3059" s="97"/>
      <c r="I3059" s="74" t="str">
        <f ca="1">IF(D3059="N",COUNTIF(INDIRECT(ADDRESS(MATCH(Plages!$D$19,'Planning annuel mixing coater'!$B:$B),4)):D3059,"N"),IF(D3059="N1",COUNTIF($D$9:D3059,"N1"),""))</f>
        <v/>
      </c>
      <c r="J3059" s="96" t="str">
        <f>IF(D3059="","",COUNTA(D3054:D3059)-(COUNTA(D3059:D3059)-1))</f>
        <v/>
      </c>
    </row>
    <row r="3060" spans="1:10" thickBot="1">
      <c r="A3060" s="117"/>
      <c r="B3060" s="70">
        <f t="shared" si="193"/>
        <v>46852</v>
      </c>
      <c r="C3060" s="82" t="str">
        <f t="shared" si="194"/>
        <v>dimanche</v>
      </c>
      <c r="D3060" s="87"/>
      <c r="E3060" s="115" t="str">
        <f t="shared" si="195"/>
        <v/>
      </c>
      <c r="F3060" s="115" t="str">
        <f t="shared" si="196"/>
        <v/>
      </c>
      <c r="G3060" s="116" t="str">
        <f>IF(ISNONTEXT(D3060),"",E3060-MAX($F$2:F3059))</f>
        <v/>
      </c>
      <c r="H3060" s="98"/>
      <c r="I3060" s="74" t="str">
        <f ca="1">IF(D3060="N",COUNTIF(INDIRECT(ADDRESS(MATCH(Plages!$D$19,'Planning annuel mixing coater'!$B:$B),4)):D3060,"N"),IF(D3060="N1",COUNTIF($D$9:D3060,"N1"),""))</f>
        <v/>
      </c>
      <c r="J3060" s="96" t="str">
        <f>IF(D3060="","",COUNTA(D3054:D3060)-(COUNTA(D3060:D3060)-1))</f>
        <v/>
      </c>
    </row>
    <row r="3061" spans="1:10" thickBot="1">
      <c r="A3061" s="117"/>
      <c r="B3061" s="70">
        <f t="shared" si="193"/>
        <v>46853</v>
      </c>
      <c r="C3061" s="82" t="str">
        <f t="shared" si="194"/>
        <v>lundi</v>
      </c>
      <c r="D3061" s="87"/>
      <c r="E3061" s="115" t="str">
        <f t="shared" si="195"/>
        <v/>
      </c>
      <c r="F3061" s="115" t="str">
        <f t="shared" si="196"/>
        <v/>
      </c>
      <c r="G3061" s="116" t="str">
        <f>IF(ISNONTEXT(D3061),"",E3061-MAX($F$2:F3060))</f>
        <v/>
      </c>
      <c r="H3061" s="97"/>
      <c r="I3061" s="74" t="str">
        <f ca="1">IF(D3061="N",COUNTIF(INDIRECT(ADDRESS(MATCH(Plages!$D$19,'Planning annuel mixing coater'!$B:$B),4)):D3061,"N"),IF(D3061="N1",COUNTIF($D$9:D3061,"N1"),""))</f>
        <v/>
      </c>
      <c r="J3061" s="96" t="str">
        <f>IF(D3061="","",COUNTA(D3054:D3061)-(COUNTA(D3061:D3061)-1))</f>
        <v/>
      </c>
    </row>
    <row r="3062" spans="1:10" thickBot="1">
      <c r="A3062" s="117"/>
      <c r="B3062" s="70">
        <f t="shared" si="193"/>
        <v>46854</v>
      </c>
      <c r="C3062" s="82" t="str">
        <f t="shared" si="194"/>
        <v>mardi</v>
      </c>
      <c r="D3062" s="87"/>
      <c r="E3062" s="115" t="str">
        <f t="shared" si="195"/>
        <v/>
      </c>
      <c r="F3062" s="115" t="str">
        <f t="shared" si="196"/>
        <v/>
      </c>
      <c r="G3062" s="116" t="str">
        <f>IF(ISNONTEXT(D3062),"",E3062-MAX($F$2:F3061))</f>
        <v/>
      </c>
      <c r="H3062" s="97"/>
      <c r="I3062" s="74" t="str">
        <f ca="1">IF(D3062="N",COUNTIF(INDIRECT(ADDRESS(MATCH(Plages!$D$19,'Planning annuel mixing coater'!$B:$B),4)):D3062,"N"),IF(D3062="N1",COUNTIF($D$9:D3062,"N1"),""))</f>
        <v/>
      </c>
      <c r="J3062" s="96" t="str">
        <f>IF(D3062="","",COUNTA(D3054:D3062)-(COUNTA(D3062:D3062)-1))</f>
        <v/>
      </c>
    </row>
    <row r="3063" spans="1:10" thickBot="1">
      <c r="A3063" s="117"/>
      <c r="B3063" s="70">
        <f t="shared" si="193"/>
        <v>46855</v>
      </c>
      <c r="C3063" s="82" t="str">
        <f t="shared" si="194"/>
        <v>mercredi</v>
      </c>
      <c r="D3063" s="87"/>
      <c r="E3063" s="115" t="str">
        <f t="shared" si="195"/>
        <v/>
      </c>
      <c r="F3063" s="115" t="str">
        <f t="shared" si="196"/>
        <v/>
      </c>
      <c r="G3063" s="116" t="str">
        <f>IF(ISNONTEXT(D3063),"",E3063-MAX($F$2:F3062))</f>
        <v/>
      </c>
      <c r="H3063" s="97"/>
      <c r="I3063" s="74" t="str">
        <f ca="1">IF(D3063="N",COUNTIF(INDIRECT(ADDRESS(MATCH(Plages!$D$19,'Planning annuel mixing coater'!$B:$B),4)):D3063,"N"),IF(D3063="N1",COUNTIF($D$9:D3063,"N1"),""))</f>
        <v/>
      </c>
      <c r="J3063" s="96" t="str">
        <f>IF(D3063="","",COUNTA(D3054:D3063)-(COUNTA(D3063:D3063)-1))</f>
        <v/>
      </c>
    </row>
    <row r="3064" spans="1:10" thickBot="1">
      <c r="A3064" s="117"/>
      <c r="B3064" s="70">
        <f t="shared" si="193"/>
        <v>46856</v>
      </c>
      <c r="C3064" s="82" t="str">
        <f t="shared" si="194"/>
        <v>jeudi</v>
      </c>
      <c r="D3064" s="87"/>
      <c r="E3064" s="115" t="str">
        <f t="shared" si="195"/>
        <v/>
      </c>
      <c r="F3064" s="115" t="str">
        <f t="shared" si="196"/>
        <v/>
      </c>
      <c r="G3064" s="116" t="str">
        <f>IF(ISNONTEXT(D3064),"",E3064-MAX($F$2:F3063))</f>
        <v/>
      </c>
      <c r="H3064" s="97"/>
      <c r="I3064" s="74" t="str">
        <f ca="1">IF(D3064="N",COUNTIF(INDIRECT(ADDRESS(MATCH(Plages!$D$19,'Planning annuel mixing coater'!$B:$B),4)):D3064,"N"),IF(D3064="N1",COUNTIF($D$9:D3064,"N1"),""))</f>
        <v/>
      </c>
      <c r="J3064" s="96" t="str">
        <f>IF(D3064="","",COUNTA(D3054:D3064)-(COUNTA(D3064:D3064)-1))</f>
        <v/>
      </c>
    </row>
    <row r="3065" spans="1:10" thickBot="1">
      <c r="A3065" s="117"/>
      <c r="B3065" s="70">
        <f t="shared" si="193"/>
        <v>46857</v>
      </c>
      <c r="C3065" s="82" t="str">
        <f t="shared" si="194"/>
        <v>vendredi</v>
      </c>
      <c r="D3065" s="87"/>
      <c r="E3065" s="115" t="str">
        <f t="shared" si="195"/>
        <v/>
      </c>
      <c r="F3065" s="115" t="str">
        <f t="shared" si="196"/>
        <v/>
      </c>
      <c r="G3065" s="116" t="str">
        <f>IF(ISNONTEXT(D3065),"",E3065-MAX($F$2:F3064))</f>
        <v/>
      </c>
      <c r="H3065" s="97"/>
      <c r="I3065" s="74" t="str">
        <f ca="1">IF(D3065="N",COUNTIF(INDIRECT(ADDRESS(MATCH(Plages!$D$19,'Planning annuel mixing coater'!$B:$B),4)):D3065,"N"),IF(D3065="N1",COUNTIF($D$9:D3065,"N1"),""))</f>
        <v/>
      </c>
      <c r="J3065" s="96" t="str">
        <f>IF(D3065="","",COUNTA(D3054:D3065)-(COUNTA(D3065:D3065)-1))</f>
        <v/>
      </c>
    </row>
    <row r="3066" spans="1:10" thickBot="1">
      <c r="A3066" s="117"/>
      <c r="B3066" s="70">
        <f t="shared" si="193"/>
        <v>46858</v>
      </c>
      <c r="C3066" s="82" t="str">
        <f t="shared" si="194"/>
        <v>samedi</v>
      </c>
      <c r="D3066" s="87"/>
      <c r="E3066" s="115" t="str">
        <f t="shared" si="195"/>
        <v/>
      </c>
      <c r="F3066" s="115" t="str">
        <f t="shared" si="196"/>
        <v/>
      </c>
      <c r="G3066" s="116" t="str">
        <f>IF(ISNONTEXT(D3066),"",E3066-MAX($F$2:F3065))</f>
        <v/>
      </c>
      <c r="H3066" s="97"/>
      <c r="I3066" s="74" t="str">
        <f ca="1">IF(D3066="N",COUNTIF(INDIRECT(ADDRESS(MATCH(Plages!$D$19,'Planning annuel mixing coater'!$B:$B),4)):D3066,"N"),IF(D3066="N1",COUNTIF($D$9:D3066,"N1"),""))</f>
        <v/>
      </c>
      <c r="J3066" s="96" t="str">
        <f>IF(D3066="","",COUNTA(D3054:D3066)-(COUNTA(D3066:D3066)-1))</f>
        <v/>
      </c>
    </row>
    <row r="3067" spans="1:10" s="77" customFormat="1" thickBot="1">
      <c r="A3067" s="117"/>
      <c r="B3067" s="75">
        <f t="shared" si="193"/>
        <v>46859</v>
      </c>
      <c r="C3067" s="83" t="str">
        <f t="shared" si="194"/>
        <v>dimanche</v>
      </c>
      <c r="D3067" s="88"/>
      <c r="E3067" s="115" t="str">
        <f t="shared" si="195"/>
        <v/>
      </c>
      <c r="F3067" s="115" t="str">
        <f t="shared" si="196"/>
        <v/>
      </c>
      <c r="G3067" s="116" t="str">
        <f>IF(ISNONTEXT(D3067),"",E3067-MAX($F$2:F3066))</f>
        <v/>
      </c>
      <c r="H3067" s="98"/>
      <c r="I3067" s="76" t="str">
        <f ca="1">IF(D3067="N",COUNTIF(INDIRECT(ADDRESS(MATCH(Plages!$D$19,'Planning annuel mixing coater'!$B:$B),4)):D3067,"N"),IF(D3067="N1",COUNTIF($D$9:D3067,"N1"),""))</f>
        <v/>
      </c>
      <c r="J3067" s="99" t="str">
        <f>IF(D3067="","",COUNTA(D3054:D3067)-(COUNTA(D3067:D3067)-1))</f>
        <v/>
      </c>
    </row>
    <row r="3068" spans="1:10" ht="16.5" thickTop="1" thickBot="1">
      <c r="A3068" s="117"/>
      <c r="B3068" s="78">
        <f t="shared" si="193"/>
        <v>46860</v>
      </c>
      <c r="C3068" s="81" t="str">
        <f t="shared" si="194"/>
        <v>lundi</v>
      </c>
      <c r="D3068" s="89"/>
      <c r="E3068" s="115" t="str">
        <f t="shared" si="195"/>
        <v/>
      </c>
      <c r="F3068" s="115" t="str">
        <f t="shared" si="196"/>
        <v/>
      </c>
      <c r="G3068" s="116" t="str">
        <f>IF(ISNONTEXT(D3068),"",E3068-MAX($F$2:F3067))</f>
        <v/>
      </c>
      <c r="H3068" s="100"/>
      <c r="I3068" s="79" t="str">
        <f ca="1">IF(D3068="N",COUNTIF(INDIRECT(ADDRESS(MATCH(Plages!$D$19,'Planning annuel mixing coater'!$B:$B),4)):D3068,"N"),IF(D3068="N1",COUNTIF($D$9:D3068,"N1"),""))</f>
        <v/>
      </c>
      <c r="J3068" s="101" t="str">
        <f>IF(D3068="","",COUNTA(D3068:D3068)-(COUNTA(D3068:D3068)-1))</f>
        <v/>
      </c>
    </row>
    <row r="3069" spans="1:10" thickBot="1">
      <c r="A3069" s="117"/>
      <c r="B3069" s="70">
        <f t="shared" si="193"/>
        <v>46861</v>
      </c>
      <c r="C3069" s="82" t="str">
        <f t="shared" si="194"/>
        <v>mardi</v>
      </c>
      <c r="D3069" s="87"/>
      <c r="E3069" s="115" t="str">
        <f t="shared" si="195"/>
        <v/>
      </c>
      <c r="F3069" s="115" t="str">
        <f t="shared" si="196"/>
        <v/>
      </c>
      <c r="G3069" s="116" t="str">
        <f>IF(ISNONTEXT(D3069),"",E3069-MAX($F$2:F3068))</f>
        <v/>
      </c>
      <c r="H3069" s="97"/>
      <c r="I3069" s="74" t="str">
        <f ca="1">IF(D3069="N",COUNTIF(INDIRECT(ADDRESS(MATCH(Plages!$D$19,'Planning annuel mixing coater'!$B:$B),4)):D3069,"N"),IF(D3069="N1",COUNTIF($D$9:D3069,"N1"),""))</f>
        <v/>
      </c>
      <c r="J3069" s="96" t="str">
        <f>IF(D3069="","",COUNTA(D3068:D3069)-(COUNTA(D3069:D3069)-1))</f>
        <v/>
      </c>
    </row>
    <row r="3070" spans="1:10" thickBot="1">
      <c r="A3070" s="117"/>
      <c r="B3070" s="70">
        <f t="shared" si="193"/>
        <v>46862</v>
      </c>
      <c r="C3070" s="82" t="str">
        <f t="shared" si="194"/>
        <v>mercredi</v>
      </c>
      <c r="D3070" s="87"/>
      <c r="E3070" s="115" t="str">
        <f t="shared" si="195"/>
        <v/>
      </c>
      <c r="F3070" s="115" t="str">
        <f t="shared" si="196"/>
        <v/>
      </c>
      <c r="G3070" s="116" t="str">
        <f>IF(ISNONTEXT(D3070),"",E3070-MAX($F$2:F3069))</f>
        <v/>
      </c>
      <c r="H3070" s="97"/>
      <c r="I3070" s="74" t="str">
        <f ca="1">IF(D3070="N",COUNTIF(INDIRECT(ADDRESS(MATCH(Plages!$D$19,'Planning annuel mixing coater'!$B:$B),4)):D3070,"N"),IF(D3070="N1",COUNTIF($D$9:D3070,"N1"),""))</f>
        <v/>
      </c>
      <c r="J3070" s="96" t="str">
        <f>IF(D3070="","",COUNTA(D3068:D3070)-(COUNTA(D3070:D3070)-1))</f>
        <v/>
      </c>
    </row>
    <row r="3071" spans="1:10" thickBot="1">
      <c r="A3071" s="117"/>
      <c r="B3071" s="70">
        <f t="shared" si="193"/>
        <v>46863</v>
      </c>
      <c r="C3071" s="82" t="str">
        <f t="shared" si="194"/>
        <v>jeudi</v>
      </c>
      <c r="D3071" s="87"/>
      <c r="E3071" s="115" t="str">
        <f t="shared" si="195"/>
        <v/>
      </c>
      <c r="F3071" s="115" t="str">
        <f t="shared" si="196"/>
        <v/>
      </c>
      <c r="G3071" s="116" t="str">
        <f>IF(ISNONTEXT(D3071),"",E3071-MAX($F$2:F3070))</f>
        <v/>
      </c>
      <c r="H3071" s="97"/>
      <c r="I3071" s="74" t="str">
        <f ca="1">IF(D3071="N",COUNTIF(INDIRECT(ADDRESS(MATCH(Plages!$D$19,'Planning annuel mixing coater'!$B:$B),4)):D3071,"N"),IF(D3071="N1",COUNTIF($D$9:D3071,"N1"),""))</f>
        <v/>
      </c>
      <c r="J3071" s="96" t="str">
        <f>IF(D3071="","",COUNTA(D3068:D3071)-(COUNTA(D3071:D3071)-1))</f>
        <v/>
      </c>
    </row>
    <row r="3072" spans="1:10" thickBot="1">
      <c r="A3072" s="117"/>
      <c r="B3072" s="70">
        <f t="shared" si="193"/>
        <v>46864</v>
      </c>
      <c r="C3072" s="82" t="str">
        <f t="shared" si="194"/>
        <v>vendredi</v>
      </c>
      <c r="D3072" s="87"/>
      <c r="E3072" s="115" t="str">
        <f t="shared" si="195"/>
        <v/>
      </c>
      <c r="F3072" s="115" t="str">
        <f t="shared" si="196"/>
        <v/>
      </c>
      <c r="G3072" s="116" t="str">
        <f>IF(ISNONTEXT(D3072),"",E3072-MAX($F$2:F3071))</f>
        <v/>
      </c>
      <c r="H3072" s="97"/>
      <c r="I3072" s="74" t="str">
        <f ca="1">IF(D3072="N",COUNTIF(INDIRECT(ADDRESS(MATCH(Plages!$D$19,'Planning annuel mixing coater'!$B:$B),4)):D3072,"N"),IF(D3072="N1",COUNTIF($D$9:D3072,"N1"),""))</f>
        <v/>
      </c>
      <c r="J3072" s="96" t="str">
        <f>IF(D3072="","",COUNTA(D3068:D3072)-(COUNTA(D3072:D3072)-1))</f>
        <v/>
      </c>
    </row>
    <row r="3073" spans="1:10" thickBot="1">
      <c r="A3073" s="117"/>
      <c r="B3073" s="70">
        <f t="shared" si="193"/>
        <v>46865</v>
      </c>
      <c r="C3073" s="82" t="str">
        <f t="shared" si="194"/>
        <v>samedi</v>
      </c>
      <c r="D3073" s="87"/>
      <c r="E3073" s="115" t="str">
        <f t="shared" si="195"/>
        <v/>
      </c>
      <c r="F3073" s="115" t="str">
        <f t="shared" si="196"/>
        <v/>
      </c>
      <c r="G3073" s="116" t="str">
        <f>IF(ISNONTEXT(D3073),"",E3073-MAX($F$2:F3072))</f>
        <v/>
      </c>
      <c r="H3073" s="97"/>
      <c r="I3073" s="74" t="str">
        <f ca="1">IF(D3073="N",COUNTIF(INDIRECT(ADDRESS(MATCH(Plages!$D$19,'Planning annuel mixing coater'!$B:$B),4)):D3073,"N"),IF(D3073="N1",COUNTIF($D$9:D3073,"N1"),""))</f>
        <v/>
      </c>
      <c r="J3073" s="96" t="str">
        <f>IF(D3073="","",COUNTA(D3068:D3073)-(COUNTA(D3073:D3073)-1))</f>
        <v/>
      </c>
    </row>
    <row r="3074" spans="1:10" thickBot="1">
      <c r="A3074" s="117"/>
      <c r="B3074" s="70">
        <f t="shared" si="193"/>
        <v>46866</v>
      </c>
      <c r="C3074" s="82" t="str">
        <f t="shared" si="194"/>
        <v>dimanche</v>
      </c>
      <c r="D3074" s="87"/>
      <c r="E3074" s="115" t="str">
        <f t="shared" si="195"/>
        <v/>
      </c>
      <c r="F3074" s="115" t="str">
        <f t="shared" si="196"/>
        <v/>
      </c>
      <c r="G3074" s="116" t="str">
        <f>IF(ISNONTEXT(D3074),"",E3074-MAX($F$2:F3073))</f>
        <v/>
      </c>
      <c r="H3074" s="98"/>
      <c r="I3074" s="74" t="str">
        <f ca="1">IF(D3074="N",COUNTIF(INDIRECT(ADDRESS(MATCH(Plages!$D$19,'Planning annuel mixing coater'!$B:$B),4)):D3074,"N"),IF(D3074="N1",COUNTIF($D$9:D3074,"N1"),""))</f>
        <v/>
      </c>
      <c r="J3074" s="96" t="str">
        <f>IF(D3074="","",COUNTA(D3068:D3074)-(COUNTA(D3074:D3074)-1))</f>
        <v/>
      </c>
    </row>
    <row r="3075" spans="1:10" thickBot="1">
      <c r="A3075" s="117"/>
      <c r="B3075" s="70">
        <f t="shared" si="193"/>
        <v>46867</v>
      </c>
      <c r="C3075" s="82" t="str">
        <f t="shared" si="194"/>
        <v>lundi</v>
      </c>
      <c r="D3075" s="87"/>
      <c r="E3075" s="115" t="str">
        <f t="shared" si="195"/>
        <v/>
      </c>
      <c r="F3075" s="115" t="str">
        <f t="shared" si="196"/>
        <v/>
      </c>
      <c r="G3075" s="116" t="str">
        <f>IF(ISNONTEXT(D3075),"",E3075-MAX($F$2:F3074))</f>
        <v/>
      </c>
      <c r="H3075" s="97"/>
      <c r="I3075" s="74" t="str">
        <f ca="1">IF(D3075="N",COUNTIF(INDIRECT(ADDRESS(MATCH(Plages!$D$19,'Planning annuel mixing coater'!$B:$B),4)):D3075,"N"),IF(D3075="N1",COUNTIF($D$9:D3075,"N1"),""))</f>
        <v/>
      </c>
      <c r="J3075" s="96" t="str">
        <f>IF(D3075="","",COUNTA(D3068:D3075)-(COUNTA(D3075:D3075)-1))</f>
        <v/>
      </c>
    </row>
    <row r="3076" spans="1:10" thickBot="1">
      <c r="A3076" s="117"/>
      <c r="B3076" s="70">
        <f t="shared" ref="B3076:B3139" si="197">IF(B3075="","",B3075+1)</f>
        <v>46868</v>
      </c>
      <c r="C3076" s="82" t="str">
        <f t="shared" si="194"/>
        <v>mardi</v>
      </c>
      <c r="D3076" s="87"/>
      <c r="E3076" s="115" t="str">
        <f t="shared" si="195"/>
        <v/>
      </c>
      <c r="F3076" s="115" t="str">
        <f t="shared" si="196"/>
        <v/>
      </c>
      <c r="G3076" s="116" t="str">
        <f>IF(ISNONTEXT(D3076),"",E3076-MAX($F$2:F3075))</f>
        <v/>
      </c>
      <c r="H3076" s="97"/>
      <c r="I3076" s="74" t="str">
        <f ca="1">IF(D3076="N",COUNTIF(INDIRECT(ADDRESS(MATCH(Plages!$D$19,'Planning annuel mixing coater'!$B:$B),4)):D3076,"N"),IF(D3076="N1",COUNTIF($D$9:D3076,"N1"),""))</f>
        <v/>
      </c>
      <c r="J3076" s="96" t="str">
        <f>IF(D3076="","",COUNTA(D3068:D3076)-(COUNTA(D3076:D3076)-1))</f>
        <v/>
      </c>
    </row>
    <row r="3077" spans="1:10" thickBot="1">
      <c r="A3077" s="117"/>
      <c r="B3077" s="70">
        <f t="shared" si="197"/>
        <v>46869</v>
      </c>
      <c r="C3077" s="82" t="str">
        <f t="shared" si="194"/>
        <v>mercredi</v>
      </c>
      <c r="D3077" s="87"/>
      <c r="E3077" s="115" t="str">
        <f t="shared" si="195"/>
        <v/>
      </c>
      <c r="F3077" s="115" t="str">
        <f t="shared" si="196"/>
        <v/>
      </c>
      <c r="G3077" s="116" t="str">
        <f>IF(ISNONTEXT(D3077),"",E3077-MAX($F$2:F3076))</f>
        <v/>
      </c>
      <c r="H3077" s="97"/>
      <c r="I3077" s="74" t="str">
        <f ca="1">IF(D3077="N",COUNTIF(INDIRECT(ADDRESS(MATCH(Plages!$D$19,'Planning annuel mixing coater'!$B:$B),4)):D3077,"N"),IF(D3077="N1",COUNTIF($D$9:D3077,"N1"),""))</f>
        <v/>
      </c>
      <c r="J3077" s="96" t="str">
        <f>IF(D3077="","",COUNTA(D3068:D3077)-(COUNTA(D3077:D3077)-1))</f>
        <v/>
      </c>
    </row>
    <row r="3078" spans="1:10" thickBot="1">
      <c r="A3078" s="117"/>
      <c r="B3078" s="70">
        <f t="shared" si="197"/>
        <v>46870</v>
      </c>
      <c r="C3078" s="82" t="str">
        <f t="shared" si="194"/>
        <v>jeudi</v>
      </c>
      <c r="D3078" s="87"/>
      <c r="E3078" s="115" t="str">
        <f t="shared" si="195"/>
        <v/>
      </c>
      <c r="F3078" s="115" t="str">
        <f t="shared" si="196"/>
        <v/>
      </c>
      <c r="G3078" s="116" t="str">
        <f>IF(ISNONTEXT(D3078),"",E3078-MAX($F$2:F3077))</f>
        <v/>
      </c>
      <c r="H3078" s="97"/>
      <c r="I3078" s="74" t="str">
        <f ca="1">IF(D3078="N",COUNTIF(INDIRECT(ADDRESS(MATCH(Plages!$D$19,'Planning annuel mixing coater'!$B:$B),4)):D3078,"N"),IF(D3078="N1",COUNTIF($D$9:D3078,"N1"),""))</f>
        <v/>
      </c>
      <c r="J3078" s="96" t="str">
        <f>IF(D3078="","",COUNTA(D3068:D3078)-(COUNTA(D3078:D3078)-1))</f>
        <v/>
      </c>
    </row>
    <row r="3079" spans="1:10" thickBot="1">
      <c r="A3079" s="117"/>
      <c r="B3079" s="70">
        <f t="shared" si="197"/>
        <v>46871</v>
      </c>
      <c r="C3079" s="82" t="str">
        <f t="shared" si="194"/>
        <v>vendredi</v>
      </c>
      <c r="D3079" s="87"/>
      <c r="E3079" s="115" t="str">
        <f t="shared" si="195"/>
        <v/>
      </c>
      <c r="F3079" s="115" t="str">
        <f t="shared" si="196"/>
        <v/>
      </c>
      <c r="G3079" s="116" t="str">
        <f>IF(ISNONTEXT(D3079),"",E3079-MAX($F$2:F3078))</f>
        <v/>
      </c>
      <c r="H3079" s="97"/>
      <c r="I3079" s="74" t="str">
        <f ca="1">IF(D3079="N",COUNTIF(INDIRECT(ADDRESS(MATCH(Plages!$D$19,'Planning annuel mixing coater'!$B:$B),4)):D3079,"N"),IF(D3079="N1",COUNTIF($D$9:D3079,"N1"),""))</f>
        <v/>
      </c>
      <c r="J3079" s="96" t="str">
        <f>IF(D3079="","",COUNTA(D3068:D3079)-(COUNTA(D3079:D3079)-1))</f>
        <v/>
      </c>
    </row>
    <row r="3080" spans="1:10" thickBot="1">
      <c r="A3080" s="117"/>
      <c r="B3080" s="70">
        <f t="shared" si="197"/>
        <v>46872</v>
      </c>
      <c r="C3080" s="82" t="str">
        <f t="shared" si="194"/>
        <v>samedi</v>
      </c>
      <c r="D3080" s="87"/>
      <c r="E3080" s="115" t="str">
        <f t="shared" si="195"/>
        <v/>
      </c>
      <c r="F3080" s="115" t="str">
        <f t="shared" si="196"/>
        <v/>
      </c>
      <c r="G3080" s="116" t="str">
        <f>IF(ISNONTEXT(D3080),"",E3080-MAX($F$2:F3079))</f>
        <v/>
      </c>
      <c r="H3080" s="97"/>
      <c r="I3080" s="74" t="str">
        <f ca="1">IF(D3080="N",COUNTIF(INDIRECT(ADDRESS(MATCH(Plages!$D$19,'Planning annuel mixing coater'!$B:$B),4)):D3080,"N"),IF(D3080="N1",COUNTIF($D$9:D3080,"N1"),""))</f>
        <v/>
      </c>
      <c r="J3080" s="96" t="str">
        <f>IF(D3080="","",COUNTA(D3068:D3080)-(COUNTA(D3080:D3080)-1))</f>
        <v/>
      </c>
    </row>
    <row r="3081" spans="1:10" s="77" customFormat="1" thickBot="1">
      <c r="A3081" s="117"/>
      <c r="B3081" s="75">
        <f t="shared" si="197"/>
        <v>46873</v>
      </c>
      <c r="C3081" s="83" t="str">
        <f t="shared" si="194"/>
        <v>dimanche</v>
      </c>
      <c r="D3081" s="88"/>
      <c r="E3081" s="115" t="str">
        <f t="shared" si="195"/>
        <v/>
      </c>
      <c r="F3081" s="115" t="str">
        <f t="shared" si="196"/>
        <v/>
      </c>
      <c r="G3081" s="116" t="str">
        <f>IF(ISNONTEXT(D3081),"",E3081-MAX($F$2:F3080))</f>
        <v/>
      </c>
      <c r="H3081" s="98"/>
      <c r="I3081" s="76" t="str">
        <f ca="1">IF(D3081="N",COUNTIF(INDIRECT(ADDRESS(MATCH(Plages!$D$19,'Planning annuel mixing coater'!$B:$B),4)):D3081,"N"),IF(D3081="N1",COUNTIF($D$9:D3081,"N1"),""))</f>
        <v/>
      </c>
      <c r="J3081" s="99" t="str">
        <f>IF(D3081="","",COUNTA(D3068:D3081)-(COUNTA(D3081:D3081)-1))</f>
        <v/>
      </c>
    </row>
    <row r="3082" spans="1:10" ht="16.5" thickTop="1" thickBot="1">
      <c r="A3082" s="117"/>
      <c r="B3082" s="78">
        <f t="shared" si="197"/>
        <v>46874</v>
      </c>
      <c r="C3082" s="81" t="str">
        <f t="shared" si="194"/>
        <v>lundi</v>
      </c>
      <c r="D3082" s="89"/>
      <c r="E3082" s="115" t="str">
        <f t="shared" si="195"/>
        <v/>
      </c>
      <c r="F3082" s="115" t="str">
        <f t="shared" si="196"/>
        <v/>
      </c>
      <c r="G3082" s="116" t="str">
        <f>IF(ISNONTEXT(D3082),"",E3082-MAX($F$2:F3081))</f>
        <v/>
      </c>
      <c r="H3082" s="100"/>
      <c r="I3082" s="79" t="str">
        <f ca="1">IF(D3082="N",COUNTIF(INDIRECT(ADDRESS(MATCH(Plages!$D$19,'Planning annuel mixing coater'!$B:$B),4)):D3082,"N"),IF(D3082="N1",COUNTIF($D$9:D3082,"N1"),""))</f>
        <v/>
      </c>
      <c r="J3082" s="101" t="str">
        <f>IF(D3082="","",COUNTA(D3082:D3082)-(COUNTA(D3082:D3082)-1))</f>
        <v/>
      </c>
    </row>
    <row r="3083" spans="1:10" thickBot="1">
      <c r="A3083" s="117"/>
      <c r="B3083" s="70">
        <f t="shared" si="197"/>
        <v>46875</v>
      </c>
      <c r="C3083" s="82" t="str">
        <f t="shared" si="194"/>
        <v>mardi</v>
      </c>
      <c r="D3083" s="87"/>
      <c r="E3083" s="115" t="str">
        <f t="shared" si="195"/>
        <v/>
      </c>
      <c r="F3083" s="115" t="str">
        <f t="shared" si="196"/>
        <v/>
      </c>
      <c r="G3083" s="116" t="str">
        <f>IF(ISNONTEXT(D3083),"",E3083-MAX($F$2:F3082))</f>
        <v/>
      </c>
      <c r="H3083" s="97"/>
      <c r="I3083" s="74" t="str">
        <f ca="1">IF(D3083="N",COUNTIF(INDIRECT(ADDRESS(MATCH(Plages!$D$19,'Planning annuel mixing coater'!$B:$B),4)):D3083,"N"),IF(D3083="N1",COUNTIF($D$9:D3083,"N1"),""))</f>
        <v/>
      </c>
      <c r="J3083" s="96" t="str">
        <f>IF(D3083="","",COUNTA(D3082:D3083)-(COUNTA(D3083:D3083)-1))</f>
        <v/>
      </c>
    </row>
    <row r="3084" spans="1:10" thickBot="1">
      <c r="A3084" s="117"/>
      <c r="B3084" s="70">
        <f t="shared" si="197"/>
        <v>46876</v>
      </c>
      <c r="C3084" s="82" t="str">
        <f t="shared" si="194"/>
        <v>mercredi</v>
      </c>
      <c r="D3084" s="87"/>
      <c r="E3084" s="115" t="str">
        <f t="shared" si="195"/>
        <v/>
      </c>
      <c r="F3084" s="115" t="str">
        <f t="shared" si="196"/>
        <v/>
      </c>
      <c r="G3084" s="116" t="str">
        <f>IF(ISNONTEXT(D3084),"",E3084-MAX($F$2:F3083))</f>
        <v/>
      </c>
      <c r="H3084" s="97"/>
      <c r="I3084" s="74" t="str">
        <f ca="1">IF(D3084="N",COUNTIF(INDIRECT(ADDRESS(MATCH(Plages!$D$19,'Planning annuel mixing coater'!$B:$B),4)):D3084,"N"),IF(D3084="N1",COUNTIF($D$9:D3084,"N1"),""))</f>
        <v/>
      </c>
      <c r="J3084" s="96" t="str">
        <f>IF(D3084="","",COUNTA(D3082:D3084)-(COUNTA(D3084:D3084)-1))</f>
        <v/>
      </c>
    </row>
    <row r="3085" spans="1:10" thickBot="1">
      <c r="A3085" s="117"/>
      <c r="B3085" s="70">
        <f t="shared" si="197"/>
        <v>46877</v>
      </c>
      <c r="C3085" s="82" t="str">
        <f t="shared" si="194"/>
        <v>jeudi</v>
      </c>
      <c r="D3085" s="87"/>
      <c r="E3085" s="115" t="str">
        <f t="shared" si="195"/>
        <v/>
      </c>
      <c r="F3085" s="115" t="str">
        <f t="shared" si="196"/>
        <v/>
      </c>
      <c r="G3085" s="116" t="str">
        <f>IF(ISNONTEXT(D3085),"",E3085-MAX($F$2:F3084))</f>
        <v/>
      </c>
      <c r="H3085" s="97"/>
      <c r="I3085" s="74" t="str">
        <f ca="1">IF(D3085="N",COUNTIF(INDIRECT(ADDRESS(MATCH(Plages!$D$19,'Planning annuel mixing coater'!$B:$B),4)):D3085,"N"),IF(D3085="N1",COUNTIF($D$9:D3085,"N1"),""))</f>
        <v/>
      </c>
      <c r="J3085" s="96" t="str">
        <f>IF(D3085="","",COUNTA(D3082:D3085)-(COUNTA(D3085:D3085)-1))</f>
        <v/>
      </c>
    </row>
    <row r="3086" spans="1:10" thickBot="1">
      <c r="A3086" s="117"/>
      <c r="B3086" s="70">
        <f t="shared" si="197"/>
        <v>46878</v>
      </c>
      <c r="C3086" s="82" t="str">
        <f t="shared" si="194"/>
        <v>vendredi</v>
      </c>
      <c r="D3086" s="87"/>
      <c r="E3086" s="115" t="str">
        <f t="shared" si="195"/>
        <v/>
      </c>
      <c r="F3086" s="115" t="str">
        <f t="shared" si="196"/>
        <v/>
      </c>
      <c r="G3086" s="116" t="str">
        <f>IF(ISNONTEXT(D3086),"",E3086-MAX($F$2:F3085))</f>
        <v/>
      </c>
      <c r="H3086" s="97"/>
      <c r="I3086" s="74" t="str">
        <f ca="1">IF(D3086="N",COUNTIF(INDIRECT(ADDRESS(MATCH(Plages!$D$19,'Planning annuel mixing coater'!$B:$B),4)):D3086,"N"),IF(D3086="N1",COUNTIF($D$9:D3086,"N1"),""))</f>
        <v/>
      </c>
      <c r="J3086" s="96" t="str">
        <f>IF(D3086="","",COUNTA(D3082:D3086)-(COUNTA(D3086:D3086)-1))</f>
        <v/>
      </c>
    </row>
    <row r="3087" spans="1:10" thickBot="1">
      <c r="A3087" s="117"/>
      <c r="B3087" s="70">
        <f t="shared" si="197"/>
        <v>46879</v>
      </c>
      <c r="C3087" s="82" t="str">
        <f t="shared" si="194"/>
        <v>samedi</v>
      </c>
      <c r="D3087" s="87"/>
      <c r="E3087" s="115" t="str">
        <f t="shared" si="195"/>
        <v/>
      </c>
      <c r="F3087" s="115" t="str">
        <f t="shared" si="196"/>
        <v/>
      </c>
      <c r="G3087" s="116" t="str">
        <f>IF(ISNONTEXT(D3087),"",E3087-MAX($F$2:F3086))</f>
        <v/>
      </c>
      <c r="H3087" s="97"/>
      <c r="I3087" s="74" t="str">
        <f ca="1">IF(D3087="N",COUNTIF(INDIRECT(ADDRESS(MATCH(Plages!$D$19,'Planning annuel mixing coater'!$B:$B),4)):D3087,"N"),IF(D3087="N1",COUNTIF($D$9:D3087,"N1"),""))</f>
        <v/>
      </c>
      <c r="J3087" s="96" t="str">
        <f>IF(D3087="","",COUNTA(D3082:D3087)-(COUNTA(D3087:D3087)-1))</f>
        <v/>
      </c>
    </row>
    <row r="3088" spans="1:10" thickBot="1">
      <c r="A3088" s="117"/>
      <c r="B3088" s="70">
        <f t="shared" si="197"/>
        <v>46880</v>
      </c>
      <c r="C3088" s="82" t="str">
        <f t="shared" si="194"/>
        <v>dimanche</v>
      </c>
      <c r="D3088" s="87"/>
      <c r="E3088" s="115" t="str">
        <f t="shared" si="195"/>
        <v/>
      </c>
      <c r="F3088" s="115" t="str">
        <f t="shared" si="196"/>
        <v/>
      </c>
      <c r="G3088" s="116" t="str">
        <f>IF(ISNONTEXT(D3088),"",E3088-MAX($F$2:F3087))</f>
        <v/>
      </c>
      <c r="H3088" s="98"/>
      <c r="I3088" s="74" t="str">
        <f ca="1">IF(D3088="N",COUNTIF(INDIRECT(ADDRESS(MATCH(Plages!$D$19,'Planning annuel mixing coater'!$B:$B),4)):D3088,"N"),IF(D3088="N1",COUNTIF($D$9:D3088,"N1"),""))</f>
        <v/>
      </c>
      <c r="J3088" s="96" t="str">
        <f>IF(D3088="","",COUNTA(D3082:D3088)-(COUNTA(D3088:D3088)-1))</f>
        <v/>
      </c>
    </row>
    <row r="3089" spans="1:10" thickBot="1">
      <c r="A3089" s="117"/>
      <c r="B3089" s="70">
        <f t="shared" si="197"/>
        <v>46881</v>
      </c>
      <c r="C3089" s="82" t="str">
        <f t="shared" si="194"/>
        <v>lundi</v>
      </c>
      <c r="D3089" s="87"/>
      <c r="E3089" s="115" t="str">
        <f t="shared" si="195"/>
        <v/>
      </c>
      <c r="F3089" s="115" t="str">
        <f t="shared" si="196"/>
        <v/>
      </c>
      <c r="G3089" s="116" t="str">
        <f>IF(ISNONTEXT(D3089),"",E3089-MAX($F$2:F3088))</f>
        <v/>
      </c>
      <c r="H3089" s="97"/>
      <c r="I3089" s="74" t="str">
        <f ca="1">IF(D3089="N",COUNTIF(INDIRECT(ADDRESS(MATCH(Plages!$D$19,'Planning annuel mixing coater'!$B:$B),4)):D3089,"N"),IF(D3089="N1",COUNTIF($D$9:D3089,"N1"),""))</f>
        <v/>
      </c>
      <c r="J3089" s="96" t="str">
        <f>IF(D3089="","",COUNTA(D3082:D3089)-(COUNTA(D3089:D3089)-1))</f>
        <v/>
      </c>
    </row>
    <row r="3090" spans="1:10" thickBot="1">
      <c r="A3090" s="117"/>
      <c r="B3090" s="70">
        <f t="shared" si="197"/>
        <v>46882</v>
      </c>
      <c r="C3090" s="82" t="str">
        <f t="shared" si="194"/>
        <v>mardi</v>
      </c>
      <c r="D3090" s="87"/>
      <c r="E3090" s="115" t="str">
        <f t="shared" si="195"/>
        <v/>
      </c>
      <c r="F3090" s="115" t="str">
        <f t="shared" si="196"/>
        <v/>
      </c>
      <c r="G3090" s="116" t="str">
        <f>IF(ISNONTEXT(D3090),"",E3090-MAX($F$2:F3089))</f>
        <v/>
      </c>
      <c r="H3090" s="97"/>
      <c r="I3090" s="74" t="str">
        <f ca="1">IF(D3090="N",COUNTIF(INDIRECT(ADDRESS(MATCH(Plages!$D$19,'Planning annuel mixing coater'!$B:$B),4)):D3090,"N"),IF(D3090="N1",COUNTIF($D$9:D3090,"N1"),""))</f>
        <v/>
      </c>
      <c r="J3090" s="96" t="str">
        <f>IF(D3090="","",COUNTA(D3082:D3090)-(COUNTA(D3090:D3090)-1))</f>
        <v/>
      </c>
    </row>
    <row r="3091" spans="1:10" thickBot="1">
      <c r="A3091" s="117"/>
      <c r="B3091" s="70">
        <f t="shared" si="197"/>
        <v>46883</v>
      </c>
      <c r="C3091" s="82" t="str">
        <f t="shared" si="194"/>
        <v>mercredi</v>
      </c>
      <c r="D3091" s="87"/>
      <c r="E3091" s="115" t="str">
        <f t="shared" si="195"/>
        <v/>
      </c>
      <c r="F3091" s="115" t="str">
        <f t="shared" si="196"/>
        <v/>
      </c>
      <c r="G3091" s="116" t="str">
        <f>IF(ISNONTEXT(D3091),"",E3091-MAX($F$2:F3090))</f>
        <v/>
      </c>
      <c r="H3091" s="97"/>
      <c r="I3091" s="74" t="str">
        <f ca="1">IF(D3091="N",COUNTIF(INDIRECT(ADDRESS(MATCH(Plages!$D$19,'Planning annuel mixing coater'!$B:$B),4)):D3091,"N"),IF(D3091="N1",COUNTIF($D$9:D3091,"N1"),""))</f>
        <v/>
      </c>
      <c r="J3091" s="96" t="str">
        <f>IF(D3091="","",COUNTA(D3082:D3091)-(COUNTA(D3091:D3091)-1))</f>
        <v/>
      </c>
    </row>
    <row r="3092" spans="1:10" thickBot="1">
      <c r="A3092" s="117"/>
      <c r="B3092" s="70">
        <f t="shared" si="197"/>
        <v>46884</v>
      </c>
      <c r="C3092" s="82" t="str">
        <f t="shared" si="194"/>
        <v>jeudi</v>
      </c>
      <c r="D3092" s="87"/>
      <c r="E3092" s="115" t="str">
        <f t="shared" si="195"/>
        <v/>
      </c>
      <c r="F3092" s="115" t="str">
        <f t="shared" si="196"/>
        <v/>
      </c>
      <c r="G3092" s="116" t="str">
        <f>IF(ISNONTEXT(D3092),"",E3092-MAX($F$2:F3091))</f>
        <v/>
      </c>
      <c r="H3092" s="97"/>
      <c r="I3092" s="74" t="str">
        <f ca="1">IF(D3092="N",COUNTIF(INDIRECT(ADDRESS(MATCH(Plages!$D$19,'Planning annuel mixing coater'!$B:$B),4)):D3092,"N"),IF(D3092="N1",COUNTIF($D$9:D3092,"N1"),""))</f>
        <v/>
      </c>
      <c r="J3092" s="96" t="str">
        <f>IF(D3092="","",COUNTA(D3082:D3092)-(COUNTA(D3092:D3092)-1))</f>
        <v/>
      </c>
    </row>
    <row r="3093" spans="1:10" thickBot="1">
      <c r="A3093" s="117"/>
      <c r="B3093" s="70">
        <f t="shared" si="197"/>
        <v>46885</v>
      </c>
      <c r="C3093" s="82" t="str">
        <f t="shared" si="194"/>
        <v>vendredi</v>
      </c>
      <c r="D3093" s="87"/>
      <c r="E3093" s="115" t="str">
        <f t="shared" si="195"/>
        <v/>
      </c>
      <c r="F3093" s="115" t="str">
        <f t="shared" si="196"/>
        <v/>
      </c>
      <c r="G3093" s="116" t="str">
        <f>IF(ISNONTEXT(D3093),"",E3093-MAX($F$2:F3092))</f>
        <v/>
      </c>
      <c r="H3093" s="97"/>
      <c r="I3093" s="74" t="str">
        <f ca="1">IF(D3093="N",COUNTIF(INDIRECT(ADDRESS(MATCH(Plages!$D$19,'Planning annuel mixing coater'!$B:$B),4)):D3093,"N"),IF(D3093="N1",COUNTIF($D$9:D3093,"N1"),""))</f>
        <v/>
      </c>
      <c r="J3093" s="96" t="str">
        <f>IF(D3093="","",COUNTA(D3082:D3093)-(COUNTA(D3093:D3093)-1))</f>
        <v/>
      </c>
    </row>
    <row r="3094" spans="1:10" thickBot="1">
      <c r="A3094" s="117"/>
      <c r="B3094" s="70">
        <f t="shared" si="197"/>
        <v>46886</v>
      </c>
      <c r="C3094" s="82" t="str">
        <f t="shared" si="194"/>
        <v>samedi</v>
      </c>
      <c r="D3094" s="87"/>
      <c r="E3094" s="115" t="str">
        <f t="shared" si="195"/>
        <v/>
      </c>
      <c r="F3094" s="115" t="str">
        <f t="shared" si="196"/>
        <v/>
      </c>
      <c r="G3094" s="116" t="str">
        <f>IF(ISNONTEXT(D3094),"",E3094-MAX($F$2:F3093))</f>
        <v/>
      </c>
      <c r="H3094" s="97"/>
      <c r="I3094" s="74" t="str">
        <f ca="1">IF(D3094="N",COUNTIF(INDIRECT(ADDRESS(MATCH(Plages!$D$19,'Planning annuel mixing coater'!$B:$B),4)):D3094,"N"),IF(D3094="N1",COUNTIF($D$9:D3094,"N1"),""))</f>
        <v/>
      </c>
      <c r="J3094" s="96" t="str">
        <f>IF(D3094="","",COUNTA(D3082:D3094)-(COUNTA(D3094:D3094)-1))</f>
        <v/>
      </c>
    </row>
    <row r="3095" spans="1:10" s="77" customFormat="1" thickBot="1">
      <c r="A3095" s="117"/>
      <c r="B3095" s="75">
        <f t="shared" si="197"/>
        <v>46887</v>
      </c>
      <c r="C3095" s="83" t="str">
        <f t="shared" si="194"/>
        <v>dimanche</v>
      </c>
      <c r="D3095" s="88"/>
      <c r="E3095" s="115" t="str">
        <f t="shared" si="195"/>
        <v/>
      </c>
      <c r="F3095" s="115" t="str">
        <f t="shared" si="196"/>
        <v/>
      </c>
      <c r="G3095" s="116" t="str">
        <f>IF(ISNONTEXT(D3095),"",E3095-MAX($F$2:F3094))</f>
        <v/>
      </c>
      <c r="H3095" s="98"/>
      <c r="I3095" s="76" t="str">
        <f ca="1">IF(D3095="N",COUNTIF(INDIRECT(ADDRESS(MATCH(Plages!$D$19,'Planning annuel mixing coater'!$B:$B),4)):D3095,"N"),IF(D3095="N1",COUNTIF($D$9:D3095,"N1"),""))</f>
        <v/>
      </c>
      <c r="J3095" s="99" t="str">
        <f>IF(D3095="","",COUNTA(D3082:D3095)-(COUNTA(D3095:D3095)-1))</f>
        <v/>
      </c>
    </row>
    <row r="3096" spans="1:10" ht="16.5" thickTop="1" thickBot="1">
      <c r="A3096" s="117"/>
      <c r="B3096" s="78">
        <f t="shared" si="197"/>
        <v>46888</v>
      </c>
      <c r="C3096" s="81" t="str">
        <f t="shared" si="194"/>
        <v>lundi</v>
      </c>
      <c r="D3096" s="89"/>
      <c r="E3096" s="115" t="str">
        <f t="shared" si="195"/>
        <v/>
      </c>
      <c r="F3096" s="115" t="str">
        <f t="shared" si="196"/>
        <v/>
      </c>
      <c r="G3096" s="116" t="str">
        <f>IF(ISNONTEXT(D3096),"",E3096-MAX($F$2:F3095))</f>
        <v/>
      </c>
      <c r="H3096" s="100"/>
      <c r="I3096" s="79" t="str">
        <f ca="1">IF(D3096="N",COUNTIF(INDIRECT(ADDRESS(MATCH(Plages!$D$19,'Planning annuel mixing coater'!$B:$B),4)):D3096,"N"),IF(D3096="N1",COUNTIF($D$9:D3096,"N1"),""))</f>
        <v/>
      </c>
      <c r="J3096" s="101" t="str">
        <f>IF(D3096="","",COUNTA(D3096:D3096)-(COUNTA(D3096:D3096)-1))</f>
        <v/>
      </c>
    </row>
    <row r="3097" spans="1:10" thickBot="1">
      <c r="A3097" s="117"/>
      <c r="B3097" s="70">
        <f t="shared" si="197"/>
        <v>46889</v>
      </c>
      <c r="C3097" s="82" t="str">
        <f t="shared" si="194"/>
        <v>mardi</v>
      </c>
      <c r="D3097" s="87"/>
      <c r="E3097" s="115" t="str">
        <f t="shared" si="195"/>
        <v/>
      </c>
      <c r="F3097" s="115" t="str">
        <f t="shared" si="196"/>
        <v/>
      </c>
      <c r="G3097" s="116" t="str">
        <f>IF(ISNONTEXT(D3097),"",E3097-MAX($F$2:F3096))</f>
        <v/>
      </c>
      <c r="H3097" s="97"/>
      <c r="I3097" s="74" t="str">
        <f ca="1">IF(D3097="N",COUNTIF(INDIRECT(ADDRESS(MATCH(Plages!$D$19,'Planning annuel mixing coater'!$B:$B),4)):D3097,"N"),IF(D3097="N1",COUNTIF($D$9:D3097,"N1"),""))</f>
        <v/>
      </c>
      <c r="J3097" s="96" t="str">
        <f>IF(D3097="","",COUNTA(D3096:D3097)-(COUNTA(D3097:D3097)-1))</f>
        <v/>
      </c>
    </row>
    <row r="3098" spans="1:10" thickBot="1">
      <c r="A3098" s="117"/>
      <c r="B3098" s="70">
        <f t="shared" si="197"/>
        <v>46890</v>
      </c>
      <c r="C3098" s="82" t="str">
        <f t="shared" si="194"/>
        <v>mercredi</v>
      </c>
      <c r="D3098" s="87"/>
      <c r="E3098" s="115" t="str">
        <f t="shared" si="195"/>
        <v/>
      </c>
      <c r="F3098" s="115" t="str">
        <f t="shared" si="196"/>
        <v/>
      </c>
      <c r="G3098" s="116" t="str">
        <f>IF(ISNONTEXT(D3098),"",E3098-MAX($F$2:F3097))</f>
        <v/>
      </c>
      <c r="H3098" s="97"/>
      <c r="I3098" s="74" t="str">
        <f ca="1">IF(D3098="N",COUNTIF(INDIRECT(ADDRESS(MATCH(Plages!$D$19,'Planning annuel mixing coater'!$B:$B),4)):D3098,"N"),IF(D3098="N1",COUNTIF($D$9:D3098,"N1"),""))</f>
        <v/>
      </c>
      <c r="J3098" s="96" t="str">
        <f>IF(D3098="","",COUNTA(D3096:D3098)-(COUNTA(D3098:D3098)-1))</f>
        <v/>
      </c>
    </row>
    <row r="3099" spans="1:10" thickBot="1">
      <c r="A3099" s="117"/>
      <c r="B3099" s="70">
        <f t="shared" si="197"/>
        <v>46891</v>
      </c>
      <c r="C3099" s="82" t="str">
        <f t="shared" si="194"/>
        <v>jeudi</v>
      </c>
      <c r="D3099" s="87"/>
      <c r="E3099" s="115" t="str">
        <f t="shared" si="195"/>
        <v/>
      </c>
      <c r="F3099" s="115" t="str">
        <f t="shared" si="196"/>
        <v/>
      </c>
      <c r="G3099" s="116" t="str">
        <f>IF(ISNONTEXT(D3099),"",E3099-MAX($F$2:F3098))</f>
        <v/>
      </c>
      <c r="H3099" s="97"/>
      <c r="I3099" s="74" t="str">
        <f ca="1">IF(D3099="N",COUNTIF(INDIRECT(ADDRESS(MATCH(Plages!$D$19,'Planning annuel mixing coater'!$B:$B),4)):D3099,"N"),IF(D3099="N1",COUNTIF($D$9:D3099,"N1"),""))</f>
        <v/>
      </c>
      <c r="J3099" s="96" t="str">
        <f>IF(D3099="","",COUNTA(D3096:D3099)-(COUNTA(D3099:D3099)-1))</f>
        <v/>
      </c>
    </row>
    <row r="3100" spans="1:10" thickBot="1">
      <c r="A3100" s="117"/>
      <c r="B3100" s="70">
        <f t="shared" si="197"/>
        <v>46892</v>
      </c>
      <c r="C3100" s="82" t="str">
        <f t="shared" si="194"/>
        <v>vendredi</v>
      </c>
      <c r="D3100" s="87"/>
      <c r="E3100" s="115" t="str">
        <f t="shared" si="195"/>
        <v/>
      </c>
      <c r="F3100" s="115" t="str">
        <f t="shared" si="196"/>
        <v/>
      </c>
      <c r="G3100" s="116" t="str">
        <f>IF(ISNONTEXT(D3100),"",E3100-MAX($F$2:F3099))</f>
        <v/>
      </c>
      <c r="H3100" s="97"/>
      <c r="I3100" s="74" t="str">
        <f ca="1">IF(D3100="N",COUNTIF(INDIRECT(ADDRESS(MATCH(Plages!$D$19,'Planning annuel mixing coater'!$B:$B),4)):D3100,"N"),IF(D3100="N1",COUNTIF($D$9:D3100,"N1"),""))</f>
        <v/>
      </c>
      <c r="J3100" s="96" t="str">
        <f>IF(D3100="","",COUNTA(D3096:D3100)-(COUNTA(D3100:D3100)-1))</f>
        <v/>
      </c>
    </row>
    <row r="3101" spans="1:10" thickBot="1">
      <c r="A3101" s="117"/>
      <c r="B3101" s="70">
        <f t="shared" si="197"/>
        <v>46893</v>
      </c>
      <c r="C3101" s="82" t="str">
        <f t="shared" si="194"/>
        <v>samedi</v>
      </c>
      <c r="D3101" s="87"/>
      <c r="E3101" s="115" t="str">
        <f t="shared" si="195"/>
        <v/>
      </c>
      <c r="F3101" s="115" t="str">
        <f t="shared" si="196"/>
        <v/>
      </c>
      <c r="G3101" s="116" t="str">
        <f>IF(ISNONTEXT(D3101),"",E3101-MAX($F$2:F3100))</f>
        <v/>
      </c>
      <c r="H3101" s="97"/>
      <c r="I3101" s="74" t="str">
        <f ca="1">IF(D3101="N",COUNTIF(INDIRECT(ADDRESS(MATCH(Plages!$D$19,'Planning annuel mixing coater'!$B:$B),4)):D3101,"N"),IF(D3101="N1",COUNTIF($D$9:D3101,"N1"),""))</f>
        <v/>
      </c>
      <c r="J3101" s="96" t="str">
        <f>IF(D3101="","",COUNTA(D3096:D3101)-(COUNTA(D3101:D3101)-1))</f>
        <v/>
      </c>
    </row>
    <row r="3102" spans="1:10" thickBot="1">
      <c r="A3102" s="117"/>
      <c r="B3102" s="70">
        <f t="shared" si="197"/>
        <v>46894</v>
      </c>
      <c r="C3102" s="82" t="str">
        <f t="shared" ref="C3102:C3165" si="198">IF(B3102="","",TEXT(B3102,"jjjj"))</f>
        <v>dimanche</v>
      </c>
      <c r="D3102" s="87"/>
      <c r="E3102" s="115" t="str">
        <f t="shared" ref="E3102:E3165" si="199">IF(D3102="","",B3102+VLOOKUP(D3102,Plageh,2,0))</f>
        <v/>
      </c>
      <c r="F3102" s="115" t="str">
        <f t="shared" ref="F3102:F3165" si="200">IF(D3102="","",B3102+VLOOKUP(D3102,Plageh,3,0))</f>
        <v/>
      </c>
      <c r="G3102" s="116" t="str">
        <f>IF(ISNONTEXT(D3102),"",E3102-MAX($F$2:F3101))</f>
        <v/>
      </c>
      <c r="H3102" s="98"/>
      <c r="I3102" s="74" t="str">
        <f ca="1">IF(D3102="N",COUNTIF(INDIRECT(ADDRESS(MATCH(Plages!$D$19,'Planning annuel mixing coater'!$B:$B),4)):D3102,"N"),IF(D3102="N1",COUNTIF($D$9:D3102,"N1"),""))</f>
        <v/>
      </c>
      <c r="J3102" s="96" t="str">
        <f>IF(D3102="","",COUNTA(D3096:D3102)-(COUNTA(D3102:D3102)-1))</f>
        <v/>
      </c>
    </row>
    <row r="3103" spans="1:10" thickBot="1">
      <c r="A3103" s="117"/>
      <c r="B3103" s="70">
        <f t="shared" si="197"/>
        <v>46895</v>
      </c>
      <c r="C3103" s="82" t="str">
        <f t="shared" si="198"/>
        <v>lundi</v>
      </c>
      <c r="D3103" s="87"/>
      <c r="E3103" s="115" t="str">
        <f t="shared" si="199"/>
        <v/>
      </c>
      <c r="F3103" s="115" t="str">
        <f t="shared" si="200"/>
        <v/>
      </c>
      <c r="G3103" s="116" t="str">
        <f>IF(ISNONTEXT(D3103),"",E3103-MAX($F$2:F3102))</f>
        <v/>
      </c>
      <c r="H3103" s="97"/>
      <c r="I3103" s="74" t="str">
        <f ca="1">IF(D3103="N",COUNTIF(INDIRECT(ADDRESS(MATCH(Plages!$D$19,'Planning annuel mixing coater'!$B:$B),4)):D3103,"N"),IF(D3103="N1",COUNTIF($D$9:D3103,"N1"),""))</f>
        <v/>
      </c>
      <c r="J3103" s="96" t="str">
        <f>IF(D3103="","",COUNTA(D3096:D3103)-(COUNTA(D3103:D3103)-1))</f>
        <v/>
      </c>
    </row>
    <row r="3104" spans="1:10" thickBot="1">
      <c r="A3104" s="117"/>
      <c r="B3104" s="70">
        <f t="shared" si="197"/>
        <v>46896</v>
      </c>
      <c r="C3104" s="82" t="str">
        <f t="shared" si="198"/>
        <v>mardi</v>
      </c>
      <c r="D3104" s="87"/>
      <c r="E3104" s="115" t="str">
        <f t="shared" si="199"/>
        <v/>
      </c>
      <c r="F3104" s="115" t="str">
        <f t="shared" si="200"/>
        <v/>
      </c>
      <c r="G3104" s="116" t="str">
        <f>IF(ISNONTEXT(D3104),"",E3104-MAX($F$2:F3103))</f>
        <v/>
      </c>
      <c r="H3104" s="97"/>
      <c r="I3104" s="74" t="str">
        <f ca="1">IF(D3104="N",COUNTIF(INDIRECT(ADDRESS(MATCH(Plages!$D$19,'Planning annuel mixing coater'!$B:$B),4)):D3104,"N"),IF(D3104="N1",COUNTIF($D$9:D3104,"N1"),""))</f>
        <v/>
      </c>
      <c r="J3104" s="96" t="str">
        <f>IF(D3104="","",COUNTA(D3096:D3104)-(COUNTA(D3104:D3104)-1))</f>
        <v/>
      </c>
    </row>
    <row r="3105" spans="1:10" thickBot="1">
      <c r="A3105" s="117"/>
      <c r="B3105" s="70">
        <f t="shared" si="197"/>
        <v>46897</v>
      </c>
      <c r="C3105" s="82" t="str">
        <f t="shared" si="198"/>
        <v>mercredi</v>
      </c>
      <c r="D3105" s="87"/>
      <c r="E3105" s="115" t="str">
        <f t="shared" si="199"/>
        <v/>
      </c>
      <c r="F3105" s="115" t="str">
        <f t="shared" si="200"/>
        <v/>
      </c>
      <c r="G3105" s="116" t="str">
        <f>IF(ISNONTEXT(D3105),"",E3105-MAX($F$2:F3104))</f>
        <v/>
      </c>
      <c r="H3105" s="97"/>
      <c r="I3105" s="74" t="str">
        <f ca="1">IF(D3105="N",COUNTIF(INDIRECT(ADDRESS(MATCH(Plages!$D$19,'Planning annuel mixing coater'!$B:$B),4)):D3105,"N"),IF(D3105="N1",COUNTIF($D$9:D3105,"N1"),""))</f>
        <v/>
      </c>
      <c r="J3105" s="96" t="str">
        <f>IF(D3105="","",COUNTA(D3096:D3105)-(COUNTA(D3105:D3105)-1))</f>
        <v/>
      </c>
    </row>
    <row r="3106" spans="1:10" thickBot="1">
      <c r="A3106" s="117"/>
      <c r="B3106" s="70">
        <f t="shared" si="197"/>
        <v>46898</v>
      </c>
      <c r="C3106" s="82" t="str">
        <f t="shared" si="198"/>
        <v>jeudi</v>
      </c>
      <c r="D3106" s="87"/>
      <c r="E3106" s="115" t="str">
        <f t="shared" si="199"/>
        <v/>
      </c>
      <c r="F3106" s="115" t="str">
        <f t="shared" si="200"/>
        <v/>
      </c>
      <c r="G3106" s="116" t="str">
        <f>IF(ISNONTEXT(D3106),"",E3106-MAX($F$2:F3105))</f>
        <v/>
      </c>
      <c r="H3106" s="97"/>
      <c r="I3106" s="74" t="str">
        <f ca="1">IF(D3106="N",COUNTIF(INDIRECT(ADDRESS(MATCH(Plages!$D$19,'Planning annuel mixing coater'!$B:$B),4)):D3106,"N"),IF(D3106="N1",COUNTIF($D$9:D3106,"N1"),""))</f>
        <v/>
      </c>
      <c r="J3106" s="96" t="str">
        <f>IF(D3106="","",COUNTA(D3096:D3106)-(COUNTA(D3106:D3106)-1))</f>
        <v/>
      </c>
    </row>
    <row r="3107" spans="1:10" thickBot="1">
      <c r="A3107" s="117"/>
      <c r="B3107" s="70">
        <f t="shared" si="197"/>
        <v>46899</v>
      </c>
      <c r="C3107" s="82" t="str">
        <f t="shared" si="198"/>
        <v>vendredi</v>
      </c>
      <c r="D3107" s="87"/>
      <c r="E3107" s="115" t="str">
        <f t="shared" si="199"/>
        <v/>
      </c>
      <c r="F3107" s="115" t="str">
        <f t="shared" si="200"/>
        <v/>
      </c>
      <c r="G3107" s="116" t="str">
        <f>IF(ISNONTEXT(D3107),"",E3107-MAX($F$2:F3106))</f>
        <v/>
      </c>
      <c r="H3107" s="97"/>
      <c r="I3107" s="74" t="str">
        <f ca="1">IF(D3107="N",COUNTIF(INDIRECT(ADDRESS(MATCH(Plages!$D$19,'Planning annuel mixing coater'!$B:$B),4)):D3107,"N"),IF(D3107="N1",COUNTIF($D$9:D3107,"N1"),""))</f>
        <v/>
      </c>
      <c r="J3107" s="96" t="str">
        <f>IF(D3107="","",COUNTA(D3096:D3107)-(COUNTA(D3107:D3107)-1))</f>
        <v/>
      </c>
    </row>
    <row r="3108" spans="1:10" thickBot="1">
      <c r="A3108" s="117"/>
      <c r="B3108" s="70">
        <f t="shared" si="197"/>
        <v>46900</v>
      </c>
      <c r="C3108" s="82" t="str">
        <f t="shared" si="198"/>
        <v>samedi</v>
      </c>
      <c r="D3108" s="87"/>
      <c r="E3108" s="115" t="str">
        <f t="shared" si="199"/>
        <v/>
      </c>
      <c r="F3108" s="115" t="str">
        <f t="shared" si="200"/>
        <v/>
      </c>
      <c r="G3108" s="116" t="str">
        <f>IF(ISNONTEXT(D3108),"",E3108-MAX($F$2:F3107))</f>
        <v/>
      </c>
      <c r="H3108" s="97"/>
      <c r="I3108" s="74" t="str">
        <f ca="1">IF(D3108="N",COUNTIF(INDIRECT(ADDRESS(MATCH(Plages!$D$19,'Planning annuel mixing coater'!$B:$B),4)):D3108,"N"),IF(D3108="N1",COUNTIF($D$9:D3108,"N1"),""))</f>
        <v/>
      </c>
      <c r="J3108" s="96" t="str">
        <f>IF(D3108="","",COUNTA(D3096:D3108)-(COUNTA(D3108:D3108)-1))</f>
        <v/>
      </c>
    </row>
    <row r="3109" spans="1:10" s="77" customFormat="1" thickBot="1">
      <c r="A3109" s="117"/>
      <c r="B3109" s="75">
        <f t="shared" si="197"/>
        <v>46901</v>
      </c>
      <c r="C3109" s="83" t="str">
        <f t="shared" si="198"/>
        <v>dimanche</v>
      </c>
      <c r="D3109" s="88"/>
      <c r="E3109" s="115" t="str">
        <f t="shared" si="199"/>
        <v/>
      </c>
      <c r="F3109" s="115" t="str">
        <f t="shared" si="200"/>
        <v/>
      </c>
      <c r="G3109" s="116" t="str">
        <f>IF(ISNONTEXT(D3109),"",E3109-MAX($F$2:F3108))</f>
        <v/>
      </c>
      <c r="H3109" s="98"/>
      <c r="I3109" s="76" t="str">
        <f ca="1">IF(D3109="N",COUNTIF(INDIRECT(ADDRESS(MATCH(Plages!$D$19,'Planning annuel mixing coater'!$B:$B),4)):D3109,"N"),IF(D3109="N1",COUNTIF($D$9:D3109,"N1"),""))</f>
        <v/>
      </c>
      <c r="J3109" s="99" t="str">
        <f>IF(D3109="","",COUNTA(D3096:D3109)-(COUNTA(D3109:D3109)-1))</f>
        <v/>
      </c>
    </row>
    <row r="3110" spans="1:10" ht="16.5" thickTop="1" thickBot="1">
      <c r="A3110" s="117"/>
      <c r="B3110" s="78">
        <f t="shared" si="197"/>
        <v>46902</v>
      </c>
      <c r="C3110" s="81" t="str">
        <f t="shared" si="198"/>
        <v>lundi</v>
      </c>
      <c r="D3110" s="89"/>
      <c r="E3110" s="115" t="str">
        <f t="shared" si="199"/>
        <v/>
      </c>
      <c r="F3110" s="115" t="str">
        <f t="shared" si="200"/>
        <v/>
      </c>
      <c r="G3110" s="116" t="str">
        <f>IF(ISNONTEXT(D3110),"",E3110-MAX($F$2:F3109))</f>
        <v/>
      </c>
      <c r="H3110" s="100"/>
      <c r="I3110" s="79" t="str">
        <f ca="1">IF(D3110="N",COUNTIF(INDIRECT(ADDRESS(MATCH(Plages!$D$19,'Planning annuel mixing coater'!$B:$B),4)):D3110,"N"),IF(D3110="N1",COUNTIF($D$9:D3110,"N1"),""))</f>
        <v/>
      </c>
      <c r="J3110" s="101" t="str">
        <f>IF(D3110="","",COUNTA(D3110:D3110)-(COUNTA(D3110:D3110)-1))</f>
        <v/>
      </c>
    </row>
    <row r="3111" spans="1:10" thickBot="1">
      <c r="A3111" s="117"/>
      <c r="B3111" s="70">
        <f t="shared" si="197"/>
        <v>46903</v>
      </c>
      <c r="C3111" s="82" t="str">
        <f t="shared" si="198"/>
        <v>mardi</v>
      </c>
      <c r="D3111" s="87"/>
      <c r="E3111" s="115" t="str">
        <f t="shared" si="199"/>
        <v/>
      </c>
      <c r="F3111" s="115" t="str">
        <f t="shared" si="200"/>
        <v/>
      </c>
      <c r="G3111" s="116" t="str">
        <f>IF(ISNONTEXT(D3111),"",E3111-MAX($F$2:F3110))</f>
        <v/>
      </c>
      <c r="H3111" s="97"/>
      <c r="I3111" s="74" t="str">
        <f ca="1">IF(D3111="N",COUNTIF(INDIRECT(ADDRESS(MATCH(Plages!$D$19,'Planning annuel mixing coater'!$B:$B),4)):D3111,"N"),IF(D3111="N1",COUNTIF($D$9:D3111,"N1"),""))</f>
        <v/>
      </c>
      <c r="J3111" s="96" t="str">
        <f>IF(D3111="","",COUNTA(D3110:D3111)-(COUNTA(D3111:D3111)-1))</f>
        <v/>
      </c>
    </row>
    <row r="3112" spans="1:10" thickBot="1">
      <c r="A3112" s="117"/>
      <c r="B3112" s="70">
        <f t="shared" si="197"/>
        <v>46904</v>
      </c>
      <c r="C3112" s="82" t="str">
        <f t="shared" si="198"/>
        <v>mercredi</v>
      </c>
      <c r="D3112" s="87"/>
      <c r="E3112" s="115" t="str">
        <f t="shared" si="199"/>
        <v/>
      </c>
      <c r="F3112" s="115" t="str">
        <f t="shared" si="200"/>
        <v/>
      </c>
      <c r="G3112" s="116" t="str">
        <f>IF(ISNONTEXT(D3112),"",E3112-MAX($F$2:F3111))</f>
        <v/>
      </c>
      <c r="H3112" s="97"/>
      <c r="I3112" s="74" t="str">
        <f ca="1">IF(D3112="N",COUNTIF(INDIRECT(ADDRESS(MATCH(Plages!$D$19,'Planning annuel mixing coater'!$B:$B),4)):D3112,"N"),IF(D3112="N1",COUNTIF($D$9:D3112,"N1"),""))</f>
        <v/>
      </c>
      <c r="J3112" s="96" t="str">
        <f>IF(D3112="","",COUNTA(D3110:D3112)-(COUNTA(D3112:D3112)-1))</f>
        <v/>
      </c>
    </row>
    <row r="3113" spans="1:10" thickBot="1">
      <c r="A3113" s="117"/>
      <c r="B3113" s="70">
        <f t="shared" si="197"/>
        <v>46905</v>
      </c>
      <c r="C3113" s="82" t="str">
        <f t="shared" si="198"/>
        <v>jeudi</v>
      </c>
      <c r="D3113" s="87"/>
      <c r="E3113" s="115" t="str">
        <f t="shared" si="199"/>
        <v/>
      </c>
      <c r="F3113" s="115" t="str">
        <f t="shared" si="200"/>
        <v/>
      </c>
      <c r="G3113" s="116" t="str">
        <f>IF(ISNONTEXT(D3113),"",E3113-MAX($F$2:F3112))</f>
        <v/>
      </c>
      <c r="H3113" s="97"/>
      <c r="I3113" s="74" t="str">
        <f ca="1">IF(D3113="N",COUNTIF(INDIRECT(ADDRESS(MATCH(Plages!$D$19,'Planning annuel mixing coater'!$B:$B),4)):D3113,"N"),IF(D3113="N1",COUNTIF($D$9:D3113,"N1"),""))</f>
        <v/>
      </c>
      <c r="J3113" s="96" t="str">
        <f>IF(D3113="","",COUNTA(D3110:D3113)-(COUNTA(D3113:D3113)-1))</f>
        <v/>
      </c>
    </row>
    <row r="3114" spans="1:10" thickBot="1">
      <c r="A3114" s="117"/>
      <c r="B3114" s="70">
        <f t="shared" si="197"/>
        <v>46906</v>
      </c>
      <c r="C3114" s="82" t="str">
        <f t="shared" si="198"/>
        <v>vendredi</v>
      </c>
      <c r="D3114" s="87"/>
      <c r="E3114" s="115" t="str">
        <f t="shared" si="199"/>
        <v/>
      </c>
      <c r="F3114" s="115" t="str">
        <f t="shared" si="200"/>
        <v/>
      </c>
      <c r="G3114" s="116" t="str">
        <f>IF(ISNONTEXT(D3114),"",E3114-MAX($F$2:F3113))</f>
        <v/>
      </c>
      <c r="H3114" s="97"/>
      <c r="I3114" s="74" t="str">
        <f ca="1">IF(D3114="N",COUNTIF(INDIRECT(ADDRESS(MATCH(Plages!$D$19,'Planning annuel mixing coater'!$B:$B),4)):D3114,"N"),IF(D3114="N1",COUNTIF($D$9:D3114,"N1"),""))</f>
        <v/>
      </c>
      <c r="J3114" s="96" t="str">
        <f>IF(D3114="","",COUNTA(D3110:D3114)-(COUNTA(D3114:D3114)-1))</f>
        <v/>
      </c>
    </row>
    <row r="3115" spans="1:10" thickBot="1">
      <c r="A3115" s="117"/>
      <c r="B3115" s="70">
        <f t="shared" si="197"/>
        <v>46907</v>
      </c>
      <c r="C3115" s="82" t="str">
        <f t="shared" si="198"/>
        <v>samedi</v>
      </c>
      <c r="D3115" s="87"/>
      <c r="E3115" s="115" t="str">
        <f t="shared" si="199"/>
        <v/>
      </c>
      <c r="F3115" s="115" t="str">
        <f t="shared" si="200"/>
        <v/>
      </c>
      <c r="G3115" s="116" t="str">
        <f>IF(ISNONTEXT(D3115),"",E3115-MAX($F$2:F3114))</f>
        <v/>
      </c>
      <c r="H3115" s="97"/>
      <c r="I3115" s="74" t="str">
        <f ca="1">IF(D3115="N",COUNTIF(INDIRECT(ADDRESS(MATCH(Plages!$D$19,'Planning annuel mixing coater'!$B:$B),4)):D3115,"N"),IF(D3115="N1",COUNTIF($D$9:D3115,"N1"),""))</f>
        <v/>
      </c>
      <c r="J3115" s="96" t="str">
        <f>IF(D3115="","",COUNTA(D3110:D3115)-(COUNTA(D3115:D3115)-1))</f>
        <v/>
      </c>
    </row>
    <row r="3116" spans="1:10" thickBot="1">
      <c r="A3116" s="117"/>
      <c r="B3116" s="70">
        <f t="shared" si="197"/>
        <v>46908</v>
      </c>
      <c r="C3116" s="82" t="str">
        <f t="shared" si="198"/>
        <v>dimanche</v>
      </c>
      <c r="D3116" s="87"/>
      <c r="E3116" s="115" t="str">
        <f t="shared" si="199"/>
        <v/>
      </c>
      <c r="F3116" s="115" t="str">
        <f t="shared" si="200"/>
        <v/>
      </c>
      <c r="G3116" s="116" t="str">
        <f>IF(ISNONTEXT(D3116),"",E3116-MAX($F$2:F3115))</f>
        <v/>
      </c>
      <c r="H3116" s="98"/>
      <c r="I3116" s="74" t="str">
        <f ca="1">IF(D3116="N",COUNTIF(INDIRECT(ADDRESS(MATCH(Plages!$D$19,'Planning annuel mixing coater'!$B:$B),4)):D3116,"N"),IF(D3116="N1",COUNTIF($D$9:D3116,"N1"),""))</f>
        <v/>
      </c>
      <c r="J3116" s="96" t="str">
        <f>IF(D3116="","",COUNTA(D3110:D3116)-(COUNTA(D3116:D3116)-1))</f>
        <v/>
      </c>
    </row>
    <row r="3117" spans="1:10" thickBot="1">
      <c r="A3117" s="117"/>
      <c r="B3117" s="70">
        <f t="shared" si="197"/>
        <v>46909</v>
      </c>
      <c r="C3117" s="82" t="str">
        <f t="shared" si="198"/>
        <v>lundi</v>
      </c>
      <c r="D3117" s="87"/>
      <c r="E3117" s="115" t="str">
        <f t="shared" si="199"/>
        <v/>
      </c>
      <c r="F3117" s="115" t="str">
        <f t="shared" si="200"/>
        <v/>
      </c>
      <c r="G3117" s="116" t="str">
        <f>IF(ISNONTEXT(D3117),"",E3117-MAX($F$2:F3116))</f>
        <v/>
      </c>
      <c r="H3117" s="97"/>
      <c r="I3117" s="74" t="str">
        <f ca="1">IF(D3117="N",COUNTIF(INDIRECT(ADDRESS(MATCH(Plages!$D$19,'Planning annuel mixing coater'!$B:$B),4)):D3117,"N"),IF(D3117="N1",COUNTIF($D$9:D3117,"N1"),""))</f>
        <v/>
      </c>
      <c r="J3117" s="96" t="str">
        <f>IF(D3117="","",COUNTA(D3110:D3117)-(COUNTA(D3117:D3117)-1))</f>
        <v/>
      </c>
    </row>
    <row r="3118" spans="1:10" thickBot="1">
      <c r="A3118" s="117"/>
      <c r="B3118" s="70">
        <f t="shared" si="197"/>
        <v>46910</v>
      </c>
      <c r="C3118" s="82" t="str">
        <f t="shared" si="198"/>
        <v>mardi</v>
      </c>
      <c r="D3118" s="87"/>
      <c r="E3118" s="115" t="str">
        <f t="shared" si="199"/>
        <v/>
      </c>
      <c r="F3118" s="115" t="str">
        <f t="shared" si="200"/>
        <v/>
      </c>
      <c r="G3118" s="116" t="str">
        <f>IF(ISNONTEXT(D3118),"",E3118-MAX($F$2:F3117))</f>
        <v/>
      </c>
      <c r="H3118" s="97"/>
      <c r="I3118" s="74" t="str">
        <f ca="1">IF(D3118="N",COUNTIF(INDIRECT(ADDRESS(MATCH(Plages!$D$19,'Planning annuel mixing coater'!$B:$B),4)):D3118,"N"),IF(D3118="N1",COUNTIF($D$9:D3118,"N1"),""))</f>
        <v/>
      </c>
      <c r="J3118" s="96" t="str">
        <f>IF(D3118="","",COUNTA(D3110:D3118)-(COUNTA(D3118:D3118)-1))</f>
        <v/>
      </c>
    </row>
    <row r="3119" spans="1:10" thickBot="1">
      <c r="A3119" s="117"/>
      <c r="B3119" s="70">
        <f t="shared" si="197"/>
        <v>46911</v>
      </c>
      <c r="C3119" s="82" t="str">
        <f t="shared" si="198"/>
        <v>mercredi</v>
      </c>
      <c r="D3119" s="87"/>
      <c r="E3119" s="115" t="str">
        <f t="shared" si="199"/>
        <v/>
      </c>
      <c r="F3119" s="115" t="str">
        <f t="shared" si="200"/>
        <v/>
      </c>
      <c r="G3119" s="116" t="str">
        <f>IF(ISNONTEXT(D3119),"",E3119-MAX($F$2:F3118))</f>
        <v/>
      </c>
      <c r="H3119" s="97"/>
      <c r="I3119" s="74" t="str">
        <f ca="1">IF(D3119="N",COUNTIF(INDIRECT(ADDRESS(MATCH(Plages!$D$19,'Planning annuel mixing coater'!$B:$B),4)):D3119,"N"),IF(D3119="N1",COUNTIF($D$9:D3119,"N1"),""))</f>
        <v/>
      </c>
      <c r="J3119" s="96" t="str">
        <f>IF(D3119="","",COUNTA(D3110:D3119)-(COUNTA(D3119:D3119)-1))</f>
        <v/>
      </c>
    </row>
    <row r="3120" spans="1:10" thickBot="1">
      <c r="A3120" s="117"/>
      <c r="B3120" s="70">
        <f t="shared" si="197"/>
        <v>46912</v>
      </c>
      <c r="C3120" s="82" t="str">
        <f t="shared" si="198"/>
        <v>jeudi</v>
      </c>
      <c r="D3120" s="87"/>
      <c r="E3120" s="115" t="str">
        <f t="shared" si="199"/>
        <v/>
      </c>
      <c r="F3120" s="115" t="str">
        <f t="shared" si="200"/>
        <v/>
      </c>
      <c r="G3120" s="116" t="str">
        <f>IF(ISNONTEXT(D3120),"",E3120-MAX($F$2:F3119))</f>
        <v/>
      </c>
      <c r="H3120" s="97"/>
      <c r="I3120" s="74" t="str">
        <f ca="1">IF(D3120="N",COUNTIF(INDIRECT(ADDRESS(MATCH(Plages!$D$19,'Planning annuel mixing coater'!$B:$B),4)):D3120,"N"),IF(D3120="N1",COUNTIF($D$9:D3120,"N1"),""))</f>
        <v/>
      </c>
      <c r="J3120" s="96" t="str">
        <f>IF(D3120="","",COUNTA(D3110:D3120)-(COUNTA(D3120:D3120)-1))</f>
        <v/>
      </c>
    </row>
    <row r="3121" spans="1:10" thickBot="1">
      <c r="A3121" s="117"/>
      <c r="B3121" s="70">
        <f t="shared" si="197"/>
        <v>46913</v>
      </c>
      <c r="C3121" s="82" t="str">
        <f t="shared" si="198"/>
        <v>vendredi</v>
      </c>
      <c r="D3121" s="87"/>
      <c r="E3121" s="115" t="str">
        <f t="shared" si="199"/>
        <v/>
      </c>
      <c r="F3121" s="115" t="str">
        <f t="shared" si="200"/>
        <v/>
      </c>
      <c r="G3121" s="116" t="str">
        <f>IF(ISNONTEXT(D3121),"",E3121-MAX($F$2:F3120))</f>
        <v/>
      </c>
      <c r="H3121" s="97"/>
      <c r="I3121" s="74" t="str">
        <f ca="1">IF(D3121="N",COUNTIF(INDIRECT(ADDRESS(MATCH(Plages!$D$19,'Planning annuel mixing coater'!$B:$B),4)):D3121,"N"),IF(D3121="N1",COUNTIF($D$9:D3121,"N1"),""))</f>
        <v/>
      </c>
      <c r="J3121" s="96" t="str">
        <f>IF(D3121="","",COUNTA(D3110:D3121)-(COUNTA(D3121:D3121)-1))</f>
        <v/>
      </c>
    </row>
    <row r="3122" spans="1:10" thickBot="1">
      <c r="A3122" s="117"/>
      <c r="B3122" s="70">
        <f t="shared" si="197"/>
        <v>46914</v>
      </c>
      <c r="C3122" s="82" t="str">
        <f t="shared" si="198"/>
        <v>samedi</v>
      </c>
      <c r="D3122" s="87"/>
      <c r="E3122" s="115" t="str">
        <f t="shared" si="199"/>
        <v/>
      </c>
      <c r="F3122" s="115" t="str">
        <f t="shared" si="200"/>
        <v/>
      </c>
      <c r="G3122" s="116" t="str">
        <f>IF(ISNONTEXT(D3122),"",E3122-MAX($F$2:F3121))</f>
        <v/>
      </c>
      <c r="H3122" s="97"/>
      <c r="I3122" s="74" t="str">
        <f ca="1">IF(D3122="N",COUNTIF(INDIRECT(ADDRESS(MATCH(Plages!$D$19,'Planning annuel mixing coater'!$B:$B),4)):D3122,"N"),IF(D3122="N1",COUNTIF($D$9:D3122,"N1"),""))</f>
        <v/>
      </c>
      <c r="J3122" s="96" t="str">
        <f>IF(D3122="","",COUNTA(D3110:D3122)-(COUNTA(D3122:D3122)-1))</f>
        <v/>
      </c>
    </row>
    <row r="3123" spans="1:10" s="77" customFormat="1" thickBot="1">
      <c r="A3123" s="117"/>
      <c r="B3123" s="75">
        <f t="shared" si="197"/>
        <v>46915</v>
      </c>
      <c r="C3123" s="83" t="str">
        <f t="shared" si="198"/>
        <v>dimanche</v>
      </c>
      <c r="D3123" s="88"/>
      <c r="E3123" s="115" t="str">
        <f t="shared" si="199"/>
        <v/>
      </c>
      <c r="F3123" s="115" t="str">
        <f t="shared" si="200"/>
        <v/>
      </c>
      <c r="G3123" s="116" t="str">
        <f>IF(ISNONTEXT(D3123),"",E3123-MAX($F$2:F3122))</f>
        <v/>
      </c>
      <c r="H3123" s="98"/>
      <c r="I3123" s="76" t="str">
        <f ca="1">IF(D3123="N",COUNTIF(INDIRECT(ADDRESS(MATCH(Plages!$D$19,'Planning annuel mixing coater'!$B:$B),4)):D3123,"N"),IF(D3123="N1",COUNTIF($D$9:D3123,"N1"),""))</f>
        <v/>
      </c>
      <c r="J3123" s="99" t="str">
        <f>IF(D3123="","",COUNTA(D3110:D3123)-(COUNTA(D3123:D3123)-1))</f>
        <v/>
      </c>
    </row>
    <row r="3124" spans="1:10" ht="16.5" thickTop="1" thickBot="1">
      <c r="A3124" s="117"/>
      <c r="B3124" s="78">
        <f t="shared" si="197"/>
        <v>46916</v>
      </c>
      <c r="C3124" s="81" t="str">
        <f t="shared" si="198"/>
        <v>lundi</v>
      </c>
      <c r="D3124" s="89"/>
      <c r="E3124" s="115" t="str">
        <f t="shared" si="199"/>
        <v/>
      </c>
      <c r="F3124" s="115" t="str">
        <f t="shared" si="200"/>
        <v/>
      </c>
      <c r="G3124" s="116" t="str">
        <f>IF(ISNONTEXT(D3124),"",E3124-MAX($F$2:F3123))</f>
        <v/>
      </c>
      <c r="H3124" s="100"/>
      <c r="I3124" s="79" t="str">
        <f ca="1">IF(D3124="N",COUNTIF(INDIRECT(ADDRESS(MATCH(Plages!$D$19,'Planning annuel mixing coater'!$B:$B),4)):D3124,"N"),IF(D3124="N1",COUNTIF($D$9:D3124,"N1"),""))</f>
        <v/>
      </c>
      <c r="J3124" s="101" t="str">
        <f>IF(D3124="","",COUNTA(D3124:D3124)-(COUNTA(D3124:D3124)-1))</f>
        <v/>
      </c>
    </row>
    <row r="3125" spans="1:10" thickBot="1">
      <c r="A3125" s="117"/>
      <c r="B3125" s="70">
        <f t="shared" si="197"/>
        <v>46917</v>
      </c>
      <c r="C3125" s="82" t="str">
        <f t="shared" si="198"/>
        <v>mardi</v>
      </c>
      <c r="D3125" s="87"/>
      <c r="E3125" s="115" t="str">
        <f t="shared" si="199"/>
        <v/>
      </c>
      <c r="F3125" s="115" t="str">
        <f t="shared" si="200"/>
        <v/>
      </c>
      <c r="G3125" s="116" t="str">
        <f>IF(ISNONTEXT(D3125),"",E3125-MAX($F$2:F3124))</f>
        <v/>
      </c>
      <c r="H3125" s="97"/>
      <c r="I3125" s="74" t="str">
        <f ca="1">IF(D3125="N",COUNTIF(INDIRECT(ADDRESS(MATCH(Plages!$D$19,'Planning annuel mixing coater'!$B:$B),4)):D3125,"N"),IF(D3125="N1",COUNTIF($D$9:D3125,"N1"),""))</f>
        <v/>
      </c>
      <c r="J3125" s="96" t="str">
        <f>IF(D3125="","",COUNTA(D3124:D3125)-(COUNTA(D3125:D3125)-1))</f>
        <v/>
      </c>
    </row>
    <row r="3126" spans="1:10" thickBot="1">
      <c r="A3126" s="117"/>
      <c r="B3126" s="70">
        <f t="shared" si="197"/>
        <v>46918</v>
      </c>
      <c r="C3126" s="82" t="str">
        <f t="shared" si="198"/>
        <v>mercredi</v>
      </c>
      <c r="D3126" s="87"/>
      <c r="E3126" s="115" t="str">
        <f t="shared" si="199"/>
        <v/>
      </c>
      <c r="F3126" s="115" t="str">
        <f t="shared" si="200"/>
        <v/>
      </c>
      <c r="G3126" s="116" t="str">
        <f>IF(ISNONTEXT(D3126),"",E3126-MAX($F$2:F3125))</f>
        <v/>
      </c>
      <c r="H3126" s="97"/>
      <c r="I3126" s="74" t="str">
        <f ca="1">IF(D3126="N",COUNTIF(INDIRECT(ADDRESS(MATCH(Plages!$D$19,'Planning annuel mixing coater'!$B:$B),4)):D3126,"N"),IF(D3126="N1",COUNTIF($D$9:D3126,"N1"),""))</f>
        <v/>
      </c>
      <c r="J3126" s="96" t="str">
        <f>IF(D3126="","",COUNTA(D3124:D3126)-(COUNTA(D3126:D3126)-1))</f>
        <v/>
      </c>
    </row>
    <row r="3127" spans="1:10" thickBot="1">
      <c r="A3127" s="117"/>
      <c r="B3127" s="70">
        <f t="shared" si="197"/>
        <v>46919</v>
      </c>
      <c r="C3127" s="82" t="str">
        <f t="shared" si="198"/>
        <v>jeudi</v>
      </c>
      <c r="D3127" s="87"/>
      <c r="E3127" s="115" t="str">
        <f t="shared" si="199"/>
        <v/>
      </c>
      <c r="F3127" s="115" t="str">
        <f t="shared" si="200"/>
        <v/>
      </c>
      <c r="G3127" s="116" t="str">
        <f>IF(ISNONTEXT(D3127),"",E3127-MAX($F$2:F3126))</f>
        <v/>
      </c>
      <c r="H3127" s="97"/>
      <c r="I3127" s="74" t="str">
        <f ca="1">IF(D3127="N",COUNTIF(INDIRECT(ADDRESS(MATCH(Plages!$D$19,'Planning annuel mixing coater'!$B:$B),4)):D3127,"N"),IF(D3127="N1",COUNTIF($D$9:D3127,"N1"),""))</f>
        <v/>
      </c>
      <c r="J3127" s="96" t="str">
        <f>IF(D3127="","",COUNTA(D3124:D3127)-(COUNTA(D3127:D3127)-1))</f>
        <v/>
      </c>
    </row>
    <row r="3128" spans="1:10" thickBot="1">
      <c r="A3128" s="117"/>
      <c r="B3128" s="70">
        <f t="shared" si="197"/>
        <v>46920</v>
      </c>
      <c r="C3128" s="82" t="str">
        <f t="shared" si="198"/>
        <v>vendredi</v>
      </c>
      <c r="D3128" s="87"/>
      <c r="E3128" s="115" t="str">
        <f t="shared" si="199"/>
        <v/>
      </c>
      <c r="F3128" s="115" t="str">
        <f t="shared" si="200"/>
        <v/>
      </c>
      <c r="G3128" s="116" t="str">
        <f>IF(ISNONTEXT(D3128),"",E3128-MAX($F$2:F3127))</f>
        <v/>
      </c>
      <c r="H3128" s="97"/>
      <c r="I3128" s="74" t="str">
        <f ca="1">IF(D3128="N",COUNTIF(INDIRECT(ADDRESS(MATCH(Plages!$D$19,'Planning annuel mixing coater'!$B:$B),4)):D3128,"N"),IF(D3128="N1",COUNTIF($D$9:D3128,"N1"),""))</f>
        <v/>
      </c>
      <c r="J3128" s="96" t="str">
        <f>IF(D3128="","",COUNTA(D3124:D3128)-(COUNTA(D3128:D3128)-1))</f>
        <v/>
      </c>
    </row>
    <row r="3129" spans="1:10" thickBot="1">
      <c r="A3129" s="117"/>
      <c r="B3129" s="70">
        <f t="shared" si="197"/>
        <v>46921</v>
      </c>
      <c r="C3129" s="82" t="str">
        <f t="shared" si="198"/>
        <v>samedi</v>
      </c>
      <c r="D3129" s="87"/>
      <c r="E3129" s="115" t="str">
        <f t="shared" si="199"/>
        <v/>
      </c>
      <c r="F3129" s="115" t="str">
        <f t="shared" si="200"/>
        <v/>
      </c>
      <c r="G3129" s="116" t="str">
        <f>IF(ISNONTEXT(D3129),"",E3129-MAX($F$2:F3128))</f>
        <v/>
      </c>
      <c r="H3129" s="97"/>
      <c r="I3129" s="74" t="str">
        <f ca="1">IF(D3129="N",COUNTIF(INDIRECT(ADDRESS(MATCH(Plages!$D$19,'Planning annuel mixing coater'!$B:$B),4)):D3129,"N"),IF(D3129="N1",COUNTIF($D$9:D3129,"N1"),""))</f>
        <v/>
      </c>
      <c r="J3129" s="96" t="str">
        <f>IF(D3129="","",COUNTA(D3124:D3129)-(COUNTA(D3129:D3129)-1))</f>
        <v/>
      </c>
    </row>
    <row r="3130" spans="1:10" thickBot="1">
      <c r="A3130" s="117"/>
      <c r="B3130" s="70">
        <f t="shared" si="197"/>
        <v>46922</v>
      </c>
      <c r="C3130" s="82" t="str">
        <f t="shared" si="198"/>
        <v>dimanche</v>
      </c>
      <c r="D3130" s="87"/>
      <c r="E3130" s="115" t="str">
        <f t="shared" si="199"/>
        <v/>
      </c>
      <c r="F3130" s="115" t="str">
        <f t="shared" si="200"/>
        <v/>
      </c>
      <c r="G3130" s="116" t="str">
        <f>IF(ISNONTEXT(D3130),"",E3130-MAX($F$2:F3129))</f>
        <v/>
      </c>
      <c r="H3130" s="98"/>
      <c r="I3130" s="74" t="str">
        <f ca="1">IF(D3130="N",COUNTIF(INDIRECT(ADDRESS(MATCH(Plages!$D$19,'Planning annuel mixing coater'!$B:$B),4)):D3130,"N"),IF(D3130="N1",COUNTIF($D$9:D3130,"N1"),""))</f>
        <v/>
      </c>
      <c r="J3130" s="96" t="str">
        <f>IF(D3130="","",COUNTA(D3124:D3130)-(COUNTA(D3130:D3130)-1))</f>
        <v/>
      </c>
    </row>
    <row r="3131" spans="1:10" thickBot="1">
      <c r="A3131" s="117"/>
      <c r="B3131" s="70">
        <f t="shared" si="197"/>
        <v>46923</v>
      </c>
      <c r="C3131" s="82" t="str">
        <f t="shared" si="198"/>
        <v>lundi</v>
      </c>
      <c r="D3131" s="87"/>
      <c r="E3131" s="115" t="str">
        <f t="shared" si="199"/>
        <v/>
      </c>
      <c r="F3131" s="115" t="str">
        <f t="shared" si="200"/>
        <v/>
      </c>
      <c r="G3131" s="116" t="str">
        <f>IF(ISNONTEXT(D3131),"",E3131-MAX($F$2:F3130))</f>
        <v/>
      </c>
      <c r="H3131" s="97"/>
      <c r="I3131" s="74" t="str">
        <f ca="1">IF(D3131="N",COUNTIF(INDIRECT(ADDRESS(MATCH(Plages!$D$19,'Planning annuel mixing coater'!$B:$B),4)):D3131,"N"),IF(D3131="N1",COUNTIF($D$9:D3131,"N1"),""))</f>
        <v/>
      </c>
      <c r="J3131" s="96" t="str">
        <f>IF(D3131="","",COUNTA(D3124:D3131)-(COUNTA(D3131:D3131)-1))</f>
        <v/>
      </c>
    </row>
    <row r="3132" spans="1:10" thickBot="1">
      <c r="A3132" s="117"/>
      <c r="B3132" s="70">
        <f t="shared" si="197"/>
        <v>46924</v>
      </c>
      <c r="C3132" s="82" t="str">
        <f t="shared" si="198"/>
        <v>mardi</v>
      </c>
      <c r="D3132" s="87"/>
      <c r="E3132" s="115" t="str">
        <f t="shared" si="199"/>
        <v/>
      </c>
      <c r="F3132" s="115" t="str">
        <f t="shared" si="200"/>
        <v/>
      </c>
      <c r="G3132" s="116" t="str">
        <f>IF(ISNONTEXT(D3132),"",E3132-MAX($F$2:F3131))</f>
        <v/>
      </c>
      <c r="H3132" s="97"/>
      <c r="I3132" s="74" t="str">
        <f ca="1">IF(D3132="N",COUNTIF(INDIRECT(ADDRESS(MATCH(Plages!$D$19,'Planning annuel mixing coater'!$B:$B),4)):D3132,"N"),IF(D3132="N1",COUNTIF($D$9:D3132,"N1"),""))</f>
        <v/>
      </c>
      <c r="J3132" s="96" t="str">
        <f>IF(D3132="","",COUNTA(D3124:D3132)-(COUNTA(D3132:D3132)-1))</f>
        <v/>
      </c>
    </row>
    <row r="3133" spans="1:10" thickBot="1">
      <c r="A3133" s="117"/>
      <c r="B3133" s="70">
        <f t="shared" si="197"/>
        <v>46925</v>
      </c>
      <c r="C3133" s="82" t="str">
        <f t="shared" si="198"/>
        <v>mercredi</v>
      </c>
      <c r="D3133" s="87"/>
      <c r="E3133" s="115" t="str">
        <f t="shared" si="199"/>
        <v/>
      </c>
      <c r="F3133" s="115" t="str">
        <f t="shared" si="200"/>
        <v/>
      </c>
      <c r="G3133" s="116" t="str">
        <f>IF(ISNONTEXT(D3133),"",E3133-MAX($F$2:F3132))</f>
        <v/>
      </c>
      <c r="H3133" s="97"/>
      <c r="I3133" s="74" t="str">
        <f ca="1">IF(D3133="N",COUNTIF(INDIRECT(ADDRESS(MATCH(Plages!$D$19,'Planning annuel mixing coater'!$B:$B),4)):D3133,"N"),IF(D3133="N1",COUNTIF($D$9:D3133,"N1"),""))</f>
        <v/>
      </c>
      <c r="J3133" s="96" t="str">
        <f>IF(D3133="","",COUNTA(D3124:D3133)-(COUNTA(D3133:D3133)-1))</f>
        <v/>
      </c>
    </row>
    <row r="3134" spans="1:10" thickBot="1">
      <c r="A3134" s="117"/>
      <c r="B3134" s="70">
        <f t="shared" si="197"/>
        <v>46926</v>
      </c>
      <c r="C3134" s="82" t="str">
        <f t="shared" si="198"/>
        <v>jeudi</v>
      </c>
      <c r="D3134" s="87"/>
      <c r="E3134" s="115" t="str">
        <f t="shared" si="199"/>
        <v/>
      </c>
      <c r="F3134" s="115" t="str">
        <f t="shared" si="200"/>
        <v/>
      </c>
      <c r="G3134" s="116" t="str">
        <f>IF(ISNONTEXT(D3134),"",E3134-MAX($F$2:F3133))</f>
        <v/>
      </c>
      <c r="H3134" s="97"/>
      <c r="I3134" s="74" t="str">
        <f ca="1">IF(D3134="N",COUNTIF(INDIRECT(ADDRESS(MATCH(Plages!$D$19,'Planning annuel mixing coater'!$B:$B),4)):D3134,"N"),IF(D3134="N1",COUNTIF($D$9:D3134,"N1"),""))</f>
        <v/>
      </c>
      <c r="J3134" s="96" t="str">
        <f>IF(D3134="","",COUNTA(D3124:D3134)-(COUNTA(D3134:D3134)-1))</f>
        <v/>
      </c>
    </row>
    <row r="3135" spans="1:10" thickBot="1">
      <c r="A3135" s="117"/>
      <c r="B3135" s="70">
        <f t="shared" si="197"/>
        <v>46927</v>
      </c>
      <c r="C3135" s="82" t="str">
        <f t="shared" si="198"/>
        <v>vendredi</v>
      </c>
      <c r="D3135" s="87"/>
      <c r="E3135" s="115" t="str">
        <f t="shared" si="199"/>
        <v/>
      </c>
      <c r="F3135" s="115" t="str">
        <f t="shared" si="200"/>
        <v/>
      </c>
      <c r="G3135" s="116" t="str">
        <f>IF(ISNONTEXT(D3135),"",E3135-MAX($F$2:F3134))</f>
        <v/>
      </c>
      <c r="H3135" s="97"/>
      <c r="I3135" s="74" t="str">
        <f ca="1">IF(D3135="N",COUNTIF(INDIRECT(ADDRESS(MATCH(Plages!$D$19,'Planning annuel mixing coater'!$B:$B),4)):D3135,"N"),IF(D3135="N1",COUNTIF($D$9:D3135,"N1"),""))</f>
        <v/>
      </c>
      <c r="J3135" s="96" t="str">
        <f>IF(D3135="","",COUNTA(D3124:D3135)-(COUNTA(D3135:D3135)-1))</f>
        <v/>
      </c>
    </row>
    <row r="3136" spans="1:10" thickBot="1">
      <c r="A3136" s="117"/>
      <c r="B3136" s="70">
        <f t="shared" si="197"/>
        <v>46928</v>
      </c>
      <c r="C3136" s="82" t="str">
        <f t="shared" si="198"/>
        <v>samedi</v>
      </c>
      <c r="D3136" s="87"/>
      <c r="E3136" s="115" t="str">
        <f t="shared" si="199"/>
        <v/>
      </c>
      <c r="F3136" s="115" t="str">
        <f t="shared" si="200"/>
        <v/>
      </c>
      <c r="G3136" s="116" t="str">
        <f>IF(ISNONTEXT(D3136),"",E3136-MAX($F$2:F3135))</f>
        <v/>
      </c>
      <c r="H3136" s="97"/>
      <c r="I3136" s="74" t="str">
        <f ca="1">IF(D3136="N",COUNTIF(INDIRECT(ADDRESS(MATCH(Plages!$D$19,'Planning annuel mixing coater'!$B:$B),4)):D3136,"N"),IF(D3136="N1",COUNTIF($D$9:D3136,"N1"),""))</f>
        <v/>
      </c>
      <c r="J3136" s="96" t="str">
        <f>IF(D3136="","",COUNTA(D3124:D3136)-(COUNTA(D3136:D3136)-1))</f>
        <v/>
      </c>
    </row>
    <row r="3137" spans="1:10" s="77" customFormat="1" thickBot="1">
      <c r="A3137" s="117"/>
      <c r="B3137" s="75">
        <f t="shared" si="197"/>
        <v>46929</v>
      </c>
      <c r="C3137" s="83" t="str">
        <f t="shared" si="198"/>
        <v>dimanche</v>
      </c>
      <c r="D3137" s="88"/>
      <c r="E3137" s="115" t="str">
        <f t="shared" si="199"/>
        <v/>
      </c>
      <c r="F3137" s="115" t="str">
        <f t="shared" si="200"/>
        <v/>
      </c>
      <c r="G3137" s="116" t="str">
        <f>IF(ISNONTEXT(D3137),"",E3137-MAX($F$2:F3136))</f>
        <v/>
      </c>
      <c r="H3137" s="98"/>
      <c r="I3137" s="76" t="str">
        <f ca="1">IF(D3137="N",COUNTIF(INDIRECT(ADDRESS(MATCH(Plages!$D$19,'Planning annuel mixing coater'!$B:$B),4)):D3137,"N"),IF(D3137="N1",COUNTIF($D$9:D3137,"N1"),""))</f>
        <v/>
      </c>
      <c r="J3137" s="99" t="str">
        <f>IF(D3137="","",COUNTA(D3124:D3137)-(COUNTA(D3137:D3137)-1))</f>
        <v/>
      </c>
    </row>
    <row r="3138" spans="1:10" ht="16.5" thickTop="1" thickBot="1">
      <c r="A3138" s="117"/>
      <c r="B3138" s="78">
        <f t="shared" si="197"/>
        <v>46930</v>
      </c>
      <c r="C3138" s="81" t="str">
        <f t="shared" si="198"/>
        <v>lundi</v>
      </c>
      <c r="D3138" s="89"/>
      <c r="E3138" s="115" t="str">
        <f t="shared" si="199"/>
        <v/>
      </c>
      <c r="F3138" s="115" t="str">
        <f t="shared" si="200"/>
        <v/>
      </c>
      <c r="G3138" s="116" t="str">
        <f>IF(ISNONTEXT(D3138),"",E3138-MAX($F$2:F3137))</f>
        <v/>
      </c>
      <c r="H3138" s="100"/>
      <c r="I3138" s="79" t="str">
        <f ca="1">IF(D3138="N",COUNTIF(INDIRECT(ADDRESS(MATCH(Plages!$D$19,'Planning annuel mixing coater'!$B:$B),4)):D3138,"N"),IF(D3138="N1",COUNTIF($D$9:D3138,"N1"),""))</f>
        <v/>
      </c>
      <c r="J3138" s="101" t="str">
        <f>IF(D3138="","",COUNTA(D3138:D3138)-(COUNTA(D3138:D3138)-1))</f>
        <v/>
      </c>
    </row>
    <row r="3139" spans="1:10" thickBot="1">
      <c r="A3139" s="117"/>
      <c r="B3139" s="70">
        <f t="shared" si="197"/>
        <v>46931</v>
      </c>
      <c r="C3139" s="82" t="str">
        <f t="shared" si="198"/>
        <v>mardi</v>
      </c>
      <c r="D3139" s="87"/>
      <c r="E3139" s="115" t="str">
        <f t="shared" si="199"/>
        <v/>
      </c>
      <c r="F3139" s="115" t="str">
        <f t="shared" si="200"/>
        <v/>
      </c>
      <c r="G3139" s="116" t="str">
        <f>IF(ISNONTEXT(D3139),"",E3139-MAX($F$2:F3138))</f>
        <v/>
      </c>
      <c r="H3139" s="97"/>
      <c r="I3139" s="74" t="str">
        <f ca="1">IF(D3139="N",COUNTIF(INDIRECT(ADDRESS(MATCH(Plages!$D$19,'Planning annuel mixing coater'!$B:$B),4)):D3139,"N"),IF(D3139="N1",COUNTIF($D$9:D3139,"N1"),""))</f>
        <v/>
      </c>
      <c r="J3139" s="96" t="str">
        <f>IF(D3139="","",COUNTA(D3138:D3139)-(COUNTA(D3139:D3139)-1))</f>
        <v/>
      </c>
    </row>
    <row r="3140" spans="1:10" thickBot="1">
      <c r="A3140" s="117"/>
      <c r="B3140" s="70">
        <f t="shared" ref="B3140:B3203" si="201">IF(B3139="","",B3139+1)</f>
        <v>46932</v>
      </c>
      <c r="C3140" s="82" t="str">
        <f t="shared" si="198"/>
        <v>mercredi</v>
      </c>
      <c r="D3140" s="87"/>
      <c r="E3140" s="115" t="str">
        <f t="shared" si="199"/>
        <v/>
      </c>
      <c r="F3140" s="115" t="str">
        <f t="shared" si="200"/>
        <v/>
      </c>
      <c r="G3140" s="116" t="str">
        <f>IF(ISNONTEXT(D3140),"",E3140-MAX($F$2:F3139))</f>
        <v/>
      </c>
      <c r="H3140" s="97"/>
      <c r="I3140" s="74" t="str">
        <f ca="1">IF(D3140="N",COUNTIF(INDIRECT(ADDRESS(MATCH(Plages!$D$19,'Planning annuel mixing coater'!$B:$B),4)):D3140,"N"),IF(D3140="N1",COUNTIF($D$9:D3140,"N1"),""))</f>
        <v/>
      </c>
      <c r="J3140" s="96" t="str">
        <f>IF(D3140="","",COUNTA(D3138:D3140)-(COUNTA(D3140:D3140)-1))</f>
        <v/>
      </c>
    </row>
    <row r="3141" spans="1:10" thickBot="1">
      <c r="A3141" s="117"/>
      <c r="B3141" s="70">
        <f t="shared" si="201"/>
        <v>46933</v>
      </c>
      <c r="C3141" s="82" t="str">
        <f t="shared" si="198"/>
        <v>jeudi</v>
      </c>
      <c r="D3141" s="87"/>
      <c r="E3141" s="115" t="str">
        <f t="shared" si="199"/>
        <v/>
      </c>
      <c r="F3141" s="115" t="str">
        <f t="shared" si="200"/>
        <v/>
      </c>
      <c r="G3141" s="116" t="str">
        <f>IF(ISNONTEXT(D3141),"",E3141-MAX($F$2:F3140))</f>
        <v/>
      </c>
      <c r="H3141" s="97"/>
      <c r="I3141" s="74" t="str">
        <f ca="1">IF(D3141="N",COUNTIF(INDIRECT(ADDRESS(MATCH(Plages!$D$19,'Planning annuel mixing coater'!$B:$B),4)):D3141,"N"),IF(D3141="N1",COUNTIF($D$9:D3141,"N1"),""))</f>
        <v/>
      </c>
      <c r="J3141" s="96" t="str">
        <f>IF(D3141="","",COUNTA(D3138:D3141)-(COUNTA(D3141:D3141)-1))</f>
        <v/>
      </c>
    </row>
    <row r="3142" spans="1:10" thickBot="1">
      <c r="A3142" s="117"/>
      <c r="B3142" s="70">
        <f t="shared" si="201"/>
        <v>46934</v>
      </c>
      <c r="C3142" s="82" t="str">
        <f t="shared" si="198"/>
        <v>vendredi</v>
      </c>
      <c r="D3142" s="87"/>
      <c r="E3142" s="115" t="str">
        <f t="shared" si="199"/>
        <v/>
      </c>
      <c r="F3142" s="115" t="str">
        <f t="shared" si="200"/>
        <v/>
      </c>
      <c r="G3142" s="116" t="str">
        <f>IF(ISNONTEXT(D3142),"",E3142-MAX($F$2:F3141))</f>
        <v/>
      </c>
      <c r="H3142" s="97"/>
      <c r="I3142" s="74" t="str">
        <f ca="1">IF(D3142="N",COUNTIF(INDIRECT(ADDRESS(MATCH(Plages!$D$19,'Planning annuel mixing coater'!$B:$B),4)):D3142,"N"),IF(D3142="N1",COUNTIF($D$9:D3142,"N1"),""))</f>
        <v/>
      </c>
      <c r="J3142" s="96" t="str">
        <f>IF(D3142="","",COUNTA(D3138:D3142)-(COUNTA(D3142:D3142)-1))</f>
        <v/>
      </c>
    </row>
    <row r="3143" spans="1:10" thickBot="1">
      <c r="A3143" s="117"/>
      <c r="B3143" s="70">
        <f t="shared" si="201"/>
        <v>46935</v>
      </c>
      <c r="C3143" s="82" t="str">
        <f t="shared" si="198"/>
        <v>samedi</v>
      </c>
      <c r="D3143" s="87"/>
      <c r="E3143" s="115" t="str">
        <f t="shared" si="199"/>
        <v/>
      </c>
      <c r="F3143" s="115" t="str">
        <f t="shared" si="200"/>
        <v/>
      </c>
      <c r="G3143" s="116" t="str">
        <f>IF(ISNONTEXT(D3143),"",E3143-MAX($F$2:F3142))</f>
        <v/>
      </c>
      <c r="H3143" s="97"/>
      <c r="I3143" s="74" t="str">
        <f ca="1">IF(D3143="N",COUNTIF(INDIRECT(ADDRESS(MATCH(Plages!$D$19,'Planning annuel mixing coater'!$B:$B),4)):D3143,"N"),IF(D3143="N1",COUNTIF($D$9:D3143,"N1"),""))</f>
        <v/>
      </c>
      <c r="J3143" s="96" t="str">
        <f>IF(D3143="","",COUNTA(D3138:D3143)-(COUNTA(D3143:D3143)-1))</f>
        <v/>
      </c>
    </row>
    <row r="3144" spans="1:10" thickBot="1">
      <c r="A3144" s="117"/>
      <c r="B3144" s="70">
        <f t="shared" si="201"/>
        <v>46936</v>
      </c>
      <c r="C3144" s="82" t="str">
        <f t="shared" si="198"/>
        <v>dimanche</v>
      </c>
      <c r="D3144" s="87"/>
      <c r="E3144" s="115" t="str">
        <f t="shared" si="199"/>
        <v/>
      </c>
      <c r="F3144" s="115" t="str">
        <f t="shared" si="200"/>
        <v/>
      </c>
      <c r="G3144" s="116" t="str">
        <f>IF(ISNONTEXT(D3144),"",E3144-MAX($F$2:F3143))</f>
        <v/>
      </c>
      <c r="H3144" s="98"/>
      <c r="I3144" s="74" t="str">
        <f ca="1">IF(D3144="N",COUNTIF(INDIRECT(ADDRESS(MATCH(Plages!$D$19,'Planning annuel mixing coater'!$B:$B),4)):D3144,"N"),IF(D3144="N1",COUNTIF($D$9:D3144,"N1"),""))</f>
        <v/>
      </c>
      <c r="J3144" s="96" t="str">
        <f>IF(D3144="","",COUNTA(D3138:D3144)-(COUNTA(D3144:D3144)-1))</f>
        <v/>
      </c>
    </row>
    <row r="3145" spans="1:10" thickBot="1">
      <c r="A3145" s="117"/>
      <c r="B3145" s="70">
        <f t="shared" si="201"/>
        <v>46937</v>
      </c>
      <c r="C3145" s="82" t="str">
        <f t="shared" si="198"/>
        <v>lundi</v>
      </c>
      <c r="D3145" s="87"/>
      <c r="E3145" s="115" t="str">
        <f t="shared" si="199"/>
        <v/>
      </c>
      <c r="F3145" s="115" t="str">
        <f t="shared" si="200"/>
        <v/>
      </c>
      <c r="G3145" s="116" t="str">
        <f>IF(ISNONTEXT(D3145),"",E3145-MAX($F$2:F3144))</f>
        <v/>
      </c>
      <c r="H3145" s="97"/>
      <c r="I3145" s="74" t="str">
        <f ca="1">IF(D3145="N",COUNTIF(INDIRECT(ADDRESS(MATCH(Plages!$D$19,'Planning annuel mixing coater'!$B:$B),4)):D3145,"N"),IF(D3145="N1",COUNTIF($D$9:D3145,"N1"),""))</f>
        <v/>
      </c>
      <c r="J3145" s="96" t="str">
        <f>IF(D3145="","",COUNTA(D3138:D3145)-(COUNTA(D3145:D3145)-1))</f>
        <v/>
      </c>
    </row>
    <row r="3146" spans="1:10" thickBot="1">
      <c r="A3146" s="117"/>
      <c r="B3146" s="70">
        <f t="shared" si="201"/>
        <v>46938</v>
      </c>
      <c r="C3146" s="82" t="str">
        <f t="shared" si="198"/>
        <v>mardi</v>
      </c>
      <c r="D3146" s="87"/>
      <c r="E3146" s="115" t="str">
        <f t="shared" si="199"/>
        <v/>
      </c>
      <c r="F3146" s="115" t="str">
        <f t="shared" si="200"/>
        <v/>
      </c>
      <c r="G3146" s="116" t="str">
        <f>IF(ISNONTEXT(D3146),"",E3146-MAX($F$2:F3145))</f>
        <v/>
      </c>
      <c r="H3146" s="97"/>
      <c r="I3146" s="74" t="str">
        <f ca="1">IF(D3146="N",COUNTIF(INDIRECT(ADDRESS(MATCH(Plages!$D$19,'Planning annuel mixing coater'!$B:$B),4)):D3146,"N"),IF(D3146="N1",COUNTIF($D$9:D3146,"N1"),""))</f>
        <v/>
      </c>
      <c r="J3146" s="96" t="str">
        <f>IF(D3146="","",COUNTA(D3138:D3146)-(COUNTA(D3146:D3146)-1))</f>
        <v/>
      </c>
    </row>
    <row r="3147" spans="1:10" thickBot="1">
      <c r="A3147" s="117"/>
      <c r="B3147" s="70">
        <f t="shared" si="201"/>
        <v>46939</v>
      </c>
      <c r="C3147" s="82" t="str">
        <f t="shared" si="198"/>
        <v>mercredi</v>
      </c>
      <c r="D3147" s="87"/>
      <c r="E3147" s="115" t="str">
        <f t="shared" si="199"/>
        <v/>
      </c>
      <c r="F3147" s="115" t="str">
        <f t="shared" si="200"/>
        <v/>
      </c>
      <c r="G3147" s="116" t="str">
        <f>IF(ISNONTEXT(D3147),"",E3147-MAX($F$2:F3146))</f>
        <v/>
      </c>
      <c r="H3147" s="97"/>
      <c r="I3147" s="74" t="str">
        <f ca="1">IF(D3147="N",COUNTIF(INDIRECT(ADDRESS(MATCH(Plages!$D$19,'Planning annuel mixing coater'!$B:$B),4)):D3147,"N"),IF(D3147="N1",COUNTIF($D$9:D3147,"N1"),""))</f>
        <v/>
      </c>
      <c r="J3147" s="96" t="str">
        <f>IF(D3147="","",COUNTA(D3138:D3147)-(COUNTA(D3147:D3147)-1))</f>
        <v/>
      </c>
    </row>
    <row r="3148" spans="1:10" thickBot="1">
      <c r="A3148" s="117"/>
      <c r="B3148" s="70">
        <f t="shared" si="201"/>
        <v>46940</v>
      </c>
      <c r="C3148" s="82" t="str">
        <f t="shared" si="198"/>
        <v>jeudi</v>
      </c>
      <c r="D3148" s="87"/>
      <c r="E3148" s="115" t="str">
        <f t="shared" si="199"/>
        <v/>
      </c>
      <c r="F3148" s="115" t="str">
        <f t="shared" si="200"/>
        <v/>
      </c>
      <c r="G3148" s="116" t="str">
        <f>IF(ISNONTEXT(D3148),"",E3148-MAX($F$2:F3147))</f>
        <v/>
      </c>
      <c r="H3148" s="97"/>
      <c r="I3148" s="74" t="str">
        <f ca="1">IF(D3148="N",COUNTIF(INDIRECT(ADDRESS(MATCH(Plages!$D$19,'Planning annuel mixing coater'!$B:$B),4)):D3148,"N"),IF(D3148="N1",COUNTIF($D$9:D3148,"N1"),""))</f>
        <v/>
      </c>
      <c r="J3148" s="96" t="str">
        <f>IF(D3148="","",COUNTA(D3138:D3148)-(COUNTA(D3148:D3148)-1))</f>
        <v/>
      </c>
    </row>
    <row r="3149" spans="1:10" thickBot="1">
      <c r="A3149" s="117"/>
      <c r="B3149" s="70">
        <f t="shared" si="201"/>
        <v>46941</v>
      </c>
      <c r="C3149" s="82" t="str">
        <f t="shared" si="198"/>
        <v>vendredi</v>
      </c>
      <c r="D3149" s="87"/>
      <c r="E3149" s="115" t="str">
        <f t="shared" si="199"/>
        <v/>
      </c>
      <c r="F3149" s="115" t="str">
        <f t="shared" si="200"/>
        <v/>
      </c>
      <c r="G3149" s="116" t="str">
        <f>IF(ISNONTEXT(D3149),"",E3149-MAX($F$2:F3148))</f>
        <v/>
      </c>
      <c r="H3149" s="97"/>
      <c r="I3149" s="74" t="str">
        <f ca="1">IF(D3149="N",COUNTIF(INDIRECT(ADDRESS(MATCH(Plages!$D$19,'Planning annuel mixing coater'!$B:$B),4)):D3149,"N"),IF(D3149="N1",COUNTIF($D$9:D3149,"N1"),""))</f>
        <v/>
      </c>
      <c r="J3149" s="96" t="str">
        <f>IF(D3149="","",COUNTA(D3138:D3149)-(COUNTA(D3149:D3149)-1))</f>
        <v/>
      </c>
    </row>
    <row r="3150" spans="1:10" thickBot="1">
      <c r="A3150" s="117"/>
      <c r="B3150" s="70">
        <f t="shared" si="201"/>
        <v>46942</v>
      </c>
      <c r="C3150" s="82" t="str">
        <f t="shared" si="198"/>
        <v>samedi</v>
      </c>
      <c r="D3150" s="87"/>
      <c r="E3150" s="115" t="str">
        <f t="shared" si="199"/>
        <v/>
      </c>
      <c r="F3150" s="115" t="str">
        <f t="shared" si="200"/>
        <v/>
      </c>
      <c r="G3150" s="116" t="str">
        <f>IF(ISNONTEXT(D3150),"",E3150-MAX($F$2:F3149))</f>
        <v/>
      </c>
      <c r="H3150" s="97"/>
      <c r="I3150" s="74" t="str">
        <f ca="1">IF(D3150="N",COUNTIF(INDIRECT(ADDRESS(MATCH(Plages!$D$19,'Planning annuel mixing coater'!$B:$B),4)):D3150,"N"),IF(D3150="N1",COUNTIF($D$9:D3150,"N1"),""))</f>
        <v/>
      </c>
      <c r="J3150" s="96" t="str">
        <f>IF(D3150="","",COUNTA(D3138:D3150)-(COUNTA(D3150:D3150)-1))</f>
        <v/>
      </c>
    </row>
    <row r="3151" spans="1:10" s="77" customFormat="1" thickBot="1">
      <c r="A3151" s="117"/>
      <c r="B3151" s="75">
        <f t="shared" si="201"/>
        <v>46943</v>
      </c>
      <c r="C3151" s="83" t="str">
        <f t="shared" si="198"/>
        <v>dimanche</v>
      </c>
      <c r="D3151" s="88"/>
      <c r="E3151" s="115" t="str">
        <f t="shared" si="199"/>
        <v/>
      </c>
      <c r="F3151" s="115" t="str">
        <f t="shared" si="200"/>
        <v/>
      </c>
      <c r="G3151" s="116" t="str">
        <f>IF(ISNONTEXT(D3151),"",E3151-MAX($F$2:F3150))</f>
        <v/>
      </c>
      <c r="H3151" s="98"/>
      <c r="I3151" s="76" t="str">
        <f ca="1">IF(D3151="N",COUNTIF(INDIRECT(ADDRESS(MATCH(Plages!$D$19,'Planning annuel mixing coater'!$B:$B),4)):D3151,"N"),IF(D3151="N1",COUNTIF($D$9:D3151,"N1"),""))</f>
        <v/>
      </c>
      <c r="J3151" s="99" t="str">
        <f>IF(D3151="","",COUNTA(D3138:D3151)-(COUNTA(D3151:D3151)-1))</f>
        <v/>
      </c>
    </row>
    <row r="3152" spans="1:10" ht="16.5" thickTop="1" thickBot="1">
      <c r="A3152" s="117"/>
      <c r="B3152" s="78">
        <f t="shared" si="201"/>
        <v>46944</v>
      </c>
      <c r="C3152" s="81" t="str">
        <f t="shared" si="198"/>
        <v>lundi</v>
      </c>
      <c r="D3152" s="89"/>
      <c r="E3152" s="115" t="str">
        <f t="shared" si="199"/>
        <v/>
      </c>
      <c r="F3152" s="115" t="str">
        <f t="shared" si="200"/>
        <v/>
      </c>
      <c r="G3152" s="116" t="str">
        <f>IF(ISNONTEXT(D3152),"",E3152-MAX($F$2:F3151))</f>
        <v/>
      </c>
      <c r="H3152" s="100"/>
      <c r="I3152" s="79" t="str">
        <f ca="1">IF(D3152="N",COUNTIF(INDIRECT(ADDRESS(MATCH(Plages!$D$19,'Planning annuel mixing coater'!$B:$B),4)):D3152,"N"),IF(D3152="N1",COUNTIF($D$9:D3152,"N1"),""))</f>
        <v/>
      </c>
      <c r="J3152" s="101" t="str">
        <f>IF(D3152="","",COUNTA(D3152:D3152)-(COUNTA(D3152:D3152)-1))</f>
        <v/>
      </c>
    </row>
    <row r="3153" spans="1:10" thickBot="1">
      <c r="A3153" s="117"/>
      <c r="B3153" s="70">
        <f t="shared" si="201"/>
        <v>46945</v>
      </c>
      <c r="C3153" s="82" t="str">
        <f t="shared" si="198"/>
        <v>mardi</v>
      </c>
      <c r="D3153" s="87"/>
      <c r="E3153" s="115" t="str">
        <f t="shared" si="199"/>
        <v/>
      </c>
      <c r="F3153" s="115" t="str">
        <f t="shared" si="200"/>
        <v/>
      </c>
      <c r="G3153" s="116" t="str">
        <f>IF(ISNONTEXT(D3153),"",E3153-MAX($F$2:F3152))</f>
        <v/>
      </c>
      <c r="H3153" s="97"/>
      <c r="I3153" s="74" t="str">
        <f ca="1">IF(D3153="N",COUNTIF(INDIRECT(ADDRESS(MATCH(Plages!$D$19,'Planning annuel mixing coater'!$B:$B),4)):D3153,"N"),IF(D3153="N1",COUNTIF($D$9:D3153,"N1"),""))</f>
        <v/>
      </c>
      <c r="J3153" s="96" t="str">
        <f>IF(D3153="","",COUNTA(D3152:D3153)-(COUNTA(D3153:D3153)-1))</f>
        <v/>
      </c>
    </row>
    <row r="3154" spans="1:10" thickBot="1">
      <c r="A3154" s="117"/>
      <c r="B3154" s="70">
        <f t="shared" si="201"/>
        <v>46946</v>
      </c>
      <c r="C3154" s="82" t="str">
        <f t="shared" si="198"/>
        <v>mercredi</v>
      </c>
      <c r="D3154" s="87"/>
      <c r="E3154" s="115" t="str">
        <f t="shared" si="199"/>
        <v/>
      </c>
      <c r="F3154" s="115" t="str">
        <f t="shared" si="200"/>
        <v/>
      </c>
      <c r="G3154" s="116" t="str">
        <f>IF(ISNONTEXT(D3154),"",E3154-MAX($F$2:F3153))</f>
        <v/>
      </c>
      <c r="H3154" s="97"/>
      <c r="I3154" s="74" t="str">
        <f ca="1">IF(D3154="N",COUNTIF(INDIRECT(ADDRESS(MATCH(Plages!$D$19,'Planning annuel mixing coater'!$B:$B),4)):D3154,"N"),IF(D3154="N1",COUNTIF($D$9:D3154,"N1"),""))</f>
        <v/>
      </c>
      <c r="J3154" s="96" t="str">
        <f>IF(D3154="","",COUNTA(D3152:D3154)-(COUNTA(D3154:D3154)-1))</f>
        <v/>
      </c>
    </row>
    <row r="3155" spans="1:10" thickBot="1">
      <c r="A3155" s="117"/>
      <c r="B3155" s="70">
        <f t="shared" si="201"/>
        <v>46947</v>
      </c>
      <c r="C3155" s="82" t="str">
        <f t="shared" si="198"/>
        <v>jeudi</v>
      </c>
      <c r="D3155" s="87"/>
      <c r="E3155" s="115" t="str">
        <f t="shared" si="199"/>
        <v/>
      </c>
      <c r="F3155" s="115" t="str">
        <f t="shared" si="200"/>
        <v/>
      </c>
      <c r="G3155" s="116" t="str">
        <f>IF(ISNONTEXT(D3155),"",E3155-MAX($F$2:F3154))</f>
        <v/>
      </c>
      <c r="H3155" s="97"/>
      <c r="I3155" s="74" t="str">
        <f ca="1">IF(D3155="N",COUNTIF(INDIRECT(ADDRESS(MATCH(Plages!$D$19,'Planning annuel mixing coater'!$B:$B),4)):D3155,"N"),IF(D3155="N1",COUNTIF($D$9:D3155,"N1"),""))</f>
        <v/>
      </c>
      <c r="J3155" s="96" t="str">
        <f>IF(D3155="","",COUNTA(D3152:D3155)-(COUNTA(D3155:D3155)-1))</f>
        <v/>
      </c>
    </row>
    <row r="3156" spans="1:10" thickBot="1">
      <c r="A3156" s="117"/>
      <c r="B3156" s="70">
        <f t="shared" si="201"/>
        <v>46948</v>
      </c>
      <c r="C3156" s="82" t="str">
        <f t="shared" si="198"/>
        <v>vendredi</v>
      </c>
      <c r="D3156" s="87"/>
      <c r="E3156" s="115" t="str">
        <f t="shared" si="199"/>
        <v/>
      </c>
      <c r="F3156" s="115" t="str">
        <f t="shared" si="200"/>
        <v/>
      </c>
      <c r="G3156" s="116" t="str">
        <f>IF(ISNONTEXT(D3156),"",E3156-MAX($F$2:F3155))</f>
        <v/>
      </c>
      <c r="H3156" s="97"/>
      <c r="I3156" s="74" t="str">
        <f ca="1">IF(D3156="N",COUNTIF(INDIRECT(ADDRESS(MATCH(Plages!$D$19,'Planning annuel mixing coater'!$B:$B),4)):D3156,"N"),IF(D3156="N1",COUNTIF($D$9:D3156,"N1"),""))</f>
        <v/>
      </c>
      <c r="J3156" s="96" t="str">
        <f>IF(D3156="","",COUNTA(D3152:D3156)-(COUNTA(D3156:D3156)-1))</f>
        <v/>
      </c>
    </row>
    <row r="3157" spans="1:10" thickBot="1">
      <c r="A3157" s="117"/>
      <c r="B3157" s="70">
        <f t="shared" si="201"/>
        <v>46949</v>
      </c>
      <c r="C3157" s="82" t="str">
        <f t="shared" si="198"/>
        <v>samedi</v>
      </c>
      <c r="D3157" s="87"/>
      <c r="E3157" s="115" t="str">
        <f t="shared" si="199"/>
        <v/>
      </c>
      <c r="F3157" s="115" t="str">
        <f t="shared" si="200"/>
        <v/>
      </c>
      <c r="G3157" s="116" t="str">
        <f>IF(ISNONTEXT(D3157),"",E3157-MAX($F$2:F3156))</f>
        <v/>
      </c>
      <c r="H3157" s="97"/>
      <c r="I3157" s="74" t="str">
        <f ca="1">IF(D3157="N",COUNTIF(INDIRECT(ADDRESS(MATCH(Plages!$D$19,'Planning annuel mixing coater'!$B:$B),4)):D3157,"N"),IF(D3157="N1",COUNTIF($D$9:D3157,"N1"),""))</f>
        <v/>
      </c>
      <c r="J3157" s="96" t="str">
        <f>IF(D3157="","",COUNTA(D3152:D3157)-(COUNTA(D3157:D3157)-1))</f>
        <v/>
      </c>
    </row>
    <row r="3158" spans="1:10" thickBot="1">
      <c r="A3158" s="117"/>
      <c r="B3158" s="70">
        <f t="shared" si="201"/>
        <v>46950</v>
      </c>
      <c r="C3158" s="82" t="str">
        <f t="shared" si="198"/>
        <v>dimanche</v>
      </c>
      <c r="D3158" s="87"/>
      <c r="E3158" s="115" t="str">
        <f t="shared" si="199"/>
        <v/>
      </c>
      <c r="F3158" s="115" t="str">
        <f t="shared" si="200"/>
        <v/>
      </c>
      <c r="G3158" s="116" t="str">
        <f>IF(ISNONTEXT(D3158),"",E3158-MAX($F$2:F3157))</f>
        <v/>
      </c>
      <c r="H3158" s="98"/>
      <c r="I3158" s="74" t="str">
        <f ca="1">IF(D3158="N",COUNTIF(INDIRECT(ADDRESS(MATCH(Plages!$D$19,'Planning annuel mixing coater'!$B:$B),4)):D3158,"N"),IF(D3158="N1",COUNTIF($D$9:D3158,"N1"),""))</f>
        <v/>
      </c>
      <c r="J3158" s="96" t="str">
        <f>IF(D3158="","",COUNTA(D3152:D3158)-(COUNTA(D3158:D3158)-1))</f>
        <v/>
      </c>
    </row>
    <row r="3159" spans="1:10" thickBot="1">
      <c r="A3159" s="117"/>
      <c r="B3159" s="70">
        <f t="shared" si="201"/>
        <v>46951</v>
      </c>
      <c r="C3159" s="82" t="str">
        <f t="shared" si="198"/>
        <v>lundi</v>
      </c>
      <c r="D3159" s="87"/>
      <c r="E3159" s="115" t="str">
        <f t="shared" si="199"/>
        <v/>
      </c>
      <c r="F3159" s="115" t="str">
        <f t="shared" si="200"/>
        <v/>
      </c>
      <c r="G3159" s="116" t="str">
        <f>IF(ISNONTEXT(D3159),"",E3159-MAX($F$2:F3158))</f>
        <v/>
      </c>
      <c r="H3159" s="97"/>
      <c r="I3159" s="74" t="str">
        <f ca="1">IF(D3159="N",COUNTIF(INDIRECT(ADDRESS(MATCH(Plages!$D$19,'Planning annuel mixing coater'!$B:$B),4)):D3159,"N"),IF(D3159="N1",COUNTIF($D$9:D3159,"N1"),""))</f>
        <v/>
      </c>
      <c r="J3159" s="96" t="str">
        <f>IF(D3159="","",COUNTA(D3152:D3159)-(COUNTA(D3159:D3159)-1))</f>
        <v/>
      </c>
    </row>
    <row r="3160" spans="1:10" thickBot="1">
      <c r="A3160" s="117"/>
      <c r="B3160" s="70">
        <f t="shared" si="201"/>
        <v>46952</v>
      </c>
      <c r="C3160" s="82" t="str">
        <f t="shared" si="198"/>
        <v>mardi</v>
      </c>
      <c r="D3160" s="87"/>
      <c r="E3160" s="115" t="str">
        <f t="shared" si="199"/>
        <v/>
      </c>
      <c r="F3160" s="115" t="str">
        <f t="shared" si="200"/>
        <v/>
      </c>
      <c r="G3160" s="116" t="str">
        <f>IF(ISNONTEXT(D3160),"",E3160-MAX($F$2:F3159))</f>
        <v/>
      </c>
      <c r="H3160" s="97"/>
      <c r="I3160" s="74" t="str">
        <f ca="1">IF(D3160="N",COUNTIF(INDIRECT(ADDRESS(MATCH(Plages!$D$19,'Planning annuel mixing coater'!$B:$B),4)):D3160,"N"),IF(D3160="N1",COUNTIF($D$9:D3160,"N1"),""))</f>
        <v/>
      </c>
      <c r="J3160" s="96" t="str">
        <f>IF(D3160="","",COUNTA(D3152:D3160)-(COUNTA(D3160:D3160)-1))</f>
        <v/>
      </c>
    </row>
    <row r="3161" spans="1:10" thickBot="1">
      <c r="A3161" s="117"/>
      <c r="B3161" s="70">
        <f t="shared" si="201"/>
        <v>46953</v>
      </c>
      <c r="C3161" s="82" t="str">
        <f t="shared" si="198"/>
        <v>mercredi</v>
      </c>
      <c r="D3161" s="87"/>
      <c r="E3161" s="115" t="str">
        <f t="shared" si="199"/>
        <v/>
      </c>
      <c r="F3161" s="115" t="str">
        <f t="shared" si="200"/>
        <v/>
      </c>
      <c r="G3161" s="116" t="str">
        <f>IF(ISNONTEXT(D3161),"",E3161-MAX($F$2:F3160))</f>
        <v/>
      </c>
      <c r="H3161" s="97"/>
      <c r="I3161" s="74" t="str">
        <f ca="1">IF(D3161="N",COUNTIF(INDIRECT(ADDRESS(MATCH(Plages!$D$19,'Planning annuel mixing coater'!$B:$B),4)):D3161,"N"),IF(D3161="N1",COUNTIF($D$9:D3161,"N1"),""))</f>
        <v/>
      </c>
      <c r="J3161" s="96" t="str">
        <f>IF(D3161="","",COUNTA(D3152:D3161)-(COUNTA(D3161:D3161)-1))</f>
        <v/>
      </c>
    </row>
    <row r="3162" spans="1:10" thickBot="1">
      <c r="A3162" s="117"/>
      <c r="B3162" s="70">
        <f t="shared" si="201"/>
        <v>46954</v>
      </c>
      <c r="C3162" s="82" t="str">
        <f t="shared" si="198"/>
        <v>jeudi</v>
      </c>
      <c r="D3162" s="87"/>
      <c r="E3162" s="115" t="str">
        <f t="shared" si="199"/>
        <v/>
      </c>
      <c r="F3162" s="115" t="str">
        <f t="shared" si="200"/>
        <v/>
      </c>
      <c r="G3162" s="116" t="str">
        <f>IF(ISNONTEXT(D3162),"",E3162-MAX($F$2:F3161))</f>
        <v/>
      </c>
      <c r="H3162" s="97"/>
      <c r="I3162" s="74" t="str">
        <f ca="1">IF(D3162="N",COUNTIF(INDIRECT(ADDRESS(MATCH(Plages!$D$19,'Planning annuel mixing coater'!$B:$B),4)):D3162,"N"),IF(D3162="N1",COUNTIF($D$9:D3162,"N1"),""))</f>
        <v/>
      </c>
      <c r="J3162" s="96" t="str">
        <f>IF(D3162="","",COUNTA(D3152:D3162)-(COUNTA(D3162:D3162)-1))</f>
        <v/>
      </c>
    </row>
    <row r="3163" spans="1:10" thickBot="1">
      <c r="A3163" s="117"/>
      <c r="B3163" s="70">
        <f t="shared" si="201"/>
        <v>46955</v>
      </c>
      <c r="C3163" s="82" t="str">
        <f t="shared" si="198"/>
        <v>vendredi</v>
      </c>
      <c r="D3163" s="87"/>
      <c r="E3163" s="115" t="str">
        <f t="shared" si="199"/>
        <v/>
      </c>
      <c r="F3163" s="115" t="str">
        <f t="shared" si="200"/>
        <v/>
      </c>
      <c r="G3163" s="116" t="str">
        <f>IF(ISNONTEXT(D3163),"",E3163-MAX($F$2:F3162))</f>
        <v/>
      </c>
      <c r="H3163" s="97"/>
      <c r="I3163" s="74" t="str">
        <f ca="1">IF(D3163="N",COUNTIF(INDIRECT(ADDRESS(MATCH(Plages!$D$19,'Planning annuel mixing coater'!$B:$B),4)):D3163,"N"),IF(D3163="N1",COUNTIF($D$9:D3163,"N1"),""))</f>
        <v/>
      </c>
      <c r="J3163" s="96" t="str">
        <f>IF(D3163="","",COUNTA(D3152:D3163)-(COUNTA(D3163:D3163)-1))</f>
        <v/>
      </c>
    </row>
    <row r="3164" spans="1:10" thickBot="1">
      <c r="A3164" s="117"/>
      <c r="B3164" s="70">
        <f t="shared" si="201"/>
        <v>46956</v>
      </c>
      <c r="C3164" s="82" t="str">
        <f t="shared" si="198"/>
        <v>samedi</v>
      </c>
      <c r="D3164" s="87"/>
      <c r="E3164" s="115" t="str">
        <f t="shared" si="199"/>
        <v/>
      </c>
      <c r="F3164" s="115" t="str">
        <f t="shared" si="200"/>
        <v/>
      </c>
      <c r="G3164" s="116" t="str">
        <f>IF(ISNONTEXT(D3164),"",E3164-MAX($F$2:F3163))</f>
        <v/>
      </c>
      <c r="H3164" s="97"/>
      <c r="I3164" s="74" t="str">
        <f ca="1">IF(D3164="N",COUNTIF(INDIRECT(ADDRESS(MATCH(Plages!$D$19,'Planning annuel mixing coater'!$B:$B),4)):D3164,"N"),IF(D3164="N1",COUNTIF($D$9:D3164,"N1"),""))</f>
        <v/>
      </c>
      <c r="J3164" s="96" t="str">
        <f>IF(D3164="","",COUNTA(D3152:D3164)-(COUNTA(D3164:D3164)-1))</f>
        <v/>
      </c>
    </row>
    <row r="3165" spans="1:10" s="77" customFormat="1" thickBot="1">
      <c r="A3165" s="117"/>
      <c r="B3165" s="75">
        <f t="shared" si="201"/>
        <v>46957</v>
      </c>
      <c r="C3165" s="83" t="str">
        <f t="shared" si="198"/>
        <v>dimanche</v>
      </c>
      <c r="D3165" s="88"/>
      <c r="E3165" s="115" t="str">
        <f t="shared" si="199"/>
        <v/>
      </c>
      <c r="F3165" s="115" t="str">
        <f t="shared" si="200"/>
        <v/>
      </c>
      <c r="G3165" s="116" t="str">
        <f>IF(ISNONTEXT(D3165),"",E3165-MAX($F$2:F3164))</f>
        <v/>
      </c>
      <c r="H3165" s="98"/>
      <c r="I3165" s="76" t="str">
        <f ca="1">IF(D3165="N",COUNTIF(INDIRECT(ADDRESS(MATCH(Plages!$D$19,'Planning annuel mixing coater'!$B:$B),4)):D3165,"N"),IF(D3165="N1",COUNTIF($D$9:D3165,"N1"),""))</f>
        <v/>
      </c>
      <c r="J3165" s="99" t="str">
        <f>IF(D3165="","",COUNTA(D3152:D3165)-(COUNTA(D3165:D3165)-1))</f>
        <v/>
      </c>
    </row>
    <row r="3166" spans="1:10" ht="16.5" thickTop="1" thickBot="1">
      <c r="A3166" s="117"/>
      <c r="B3166" s="78">
        <f t="shared" si="201"/>
        <v>46958</v>
      </c>
      <c r="C3166" s="81" t="str">
        <f t="shared" ref="C3166:C3229" si="202">IF(B3166="","",TEXT(B3166,"jjjj"))</f>
        <v>lundi</v>
      </c>
      <c r="D3166" s="89"/>
      <c r="E3166" s="115" t="str">
        <f t="shared" ref="E3166:E3229" si="203">IF(D3166="","",B3166+VLOOKUP(D3166,Plageh,2,0))</f>
        <v/>
      </c>
      <c r="F3166" s="115" t="str">
        <f t="shared" ref="F3166:F3229" si="204">IF(D3166="","",B3166+VLOOKUP(D3166,Plageh,3,0))</f>
        <v/>
      </c>
      <c r="G3166" s="116" t="str">
        <f>IF(ISNONTEXT(D3166),"",E3166-MAX($F$2:F3165))</f>
        <v/>
      </c>
      <c r="H3166" s="100"/>
      <c r="I3166" s="79" t="str">
        <f ca="1">IF(D3166="N",COUNTIF(INDIRECT(ADDRESS(MATCH(Plages!$D$19,'Planning annuel mixing coater'!$B:$B),4)):D3166,"N"),IF(D3166="N1",COUNTIF($D$9:D3166,"N1"),""))</f>
        <v/>
      </c>
      <c r="J3166" s="101" t="str">
        <f>IF(D3166="","",COUNTA(D3166:D3166)-(COUNTA(D3166:D3166)-1))</f>
        <v/>
      </c>
    </row>
    <row r="3167" spans="1:10" thickBot="1">
      <c r="A3167" s="117"/>
      <c r="B3167" s="70">
        <f t="shared" si="201"/>
        <v>46959</v>
      </c>
      <c r="C3167" s="82" t="str">
        <f t="shared" si="202"/>
        <v>mardi</v>
      </c>
      <c r="D3167" s="87"/>
      <c r="E3167" s="115" t="str">
        <f t="shared" si="203"/>
        <v/>
      </c>
      <c r="F3167" s="115" t="str">
        <f t="shared" si="204"/>
        <v/>
      </c>
      <c r="G3167" s="116" t="str">
        <f>IF(ISNONTEXT(D3167),"",E3167-MAX($F$2:F3166))</f>
        <v/>
      </c>
      <c r="H3167" s="97"/>
      <c r="I3167" s="74" t="str">
        <f ca="1">IF(D3167="N",COUNTIF(INDIRECT(ADDRESS(MATCH(Plages!$D$19,'Planning annuel mixing coater'!$B:$B),4)):D3167,"N"),IF(D3167="N1",COUNTIF($D$9:D3167,"N1"),""))</f>
        <v/>
      </c>
      <c r="J3167" s="96" t="str">
        <f>IF(D3167="","",COUNTA(D3166:D3167)-(COUNTA(D3167:D3167)-1))</f>
        <v/>
      </c>
    </row>
    <row r="3168" spans="1:10" thickBot="1">
      <c r="A3168" s="117"/>
      <c r="B3168" s="70">
        <f t="shared" si="201"/>
        <v>46960</v>
      </c>
      <c r="C3168" s="82" t="str">
        <f t="shared" si="202"/>
        <v>mercredi</v>
      </c>
      <c r="D3168" s="87"/>
      <c r="E3168" s="115" t="str">
        <f t="shared" si="203"/>
        <v/>
      </c>
      <c r="F3168" s="115" t="str">
        <f t="shared" si="204"/>
        <v/>
      </c>
      <c r="G3168" s="116" t="str">
        <f>IF(ISNONTEXT(D3168),"",E3168-MAX($F$2:F3167))</f>
        <v/>
      </c>
      <c r="H3168" s="97"/>
      <c r="I3168" s="74" t="str">
        <f ca="1">IF(D3168="N",COUNTIF(INDIRECT(ADDRESS(MATCH(Plages!$D$19,'Planning annuel mixing coater'!$B:$B),4)):D3168,"N"),IF(D3168="N1",COUNTIF($D$9:D3168,"N1"),""))</f>
        <v/>
      </c>
      <c r="J3168" s="96" t="str">
        <f>IF(D3168="","",COUNTA(D3166:D3168)-(COUNTA(D3168:D3168)-1))</f>
        <v/>
      </c>
    </row>
    <row r="3169" spans="1:10" thickBot="1">
      <c r="A3169" s="117"/>
      <c r="B3169" s="70">
        <f t="shared" si="201"/>
        <v>46961</v>
      </c>
      <c r="C3169" s="82" t="str">
        <f t="shared" si="202"/>
        <v>jeudi</v>
      </c>
      <c r="D3169" s="87"/>
      <c r="E3169" s="115" t="str">
        <f t="shared" si="203"/>
        <v/>
      </c>
      <c r="F3169" s="115" t="str">
        <f t="shared" si="204"/>
        <v/>
      </c>
      <c r="G3169" s="116" t="str">
        <f>IF(ISNONTEXT(D3169),"",E3169-MAX($F$2:F3168))</f>
        <v/>
      </c>
      <c r="H3169" s="97"/>
      <c r="I3169" s="74" t="str">
        <f ca="1">IF(D3169="N",COUNTIF(INDIRECT(ADDRESS(MATCH(Plages!$D$19,'Planning annuel mixing coater'!$B:$B),4)):D3169,"N"),IF(D3169="N1",COUNTIF($D$9:D3169,"N1"),""))</f>
        <v/>
      </c>
      <c r="J3169" s="96" t="str">
        <f>IF(D3169="","",COUNTA(D3166:D3169)-(COUNTA(D3169:D3169)-1))</f>
        <v/>
      </c>
    </row>
    <row r="3170" spans="1:10" thickBot="1">
      <c r="A3170" s="117"/>
      <c r="B3170" s="70">
        <f t="shared" si="201"/>
        <v>46962</v>
      </c>
      <c r="C3170" s="82" t="str">
        <f t="shared" si="202"/>
        <v>vendredi</v>
      </c>
      <c r="D3170" s="87"/>
      <c r="E3170" s="115" t="str">
        <f t="shared" si="203"/>
        <v/>
      </c>
      <c r="F3170" s="115" t="str">
        <f t="shared" si="204"/>
        <v/>
      </c>
      <c r="G3170" s="116" t="str">
        <f>IF(ISNONTEXT(D3170),"",E3170-MAX($F$2:F3169))</f>
        <v/>
      </c>
      <c r="H3170" s="97"/>
      <c r="I3170" s="74" t="str">
        <f ca="1">IF(D3170="N",COUNTIF(INDIRECT(ADDRESS(MATCH(Plages!$D$19,'Planning annuel mixing coater'!$B:$B),4)):D3170,"N"),IF(D3170="N1",COUNTIF($D$9:D3170,"N1"),""))</f>
        <v/>
      </c>
      <c r="J3170" s="96" t="str">
        <f>IF(D3170="","",COUNTA(D3166:D3170)-(COUNTA(D3170:D3170)-1))</f>
        <v/>
      </c>
    </row>
    <row r="3171" spans="1:10" thickBot="1">
      <c r="A3171" s="117"/>
      <c r="B3171" s="70">
        <f t="shared" si="201"/>
        <v>46963</v>
      </c>
      <c r="C3171" s="82" t="str">
        <f t="shared" si="202"/>
        <v>samedi</v>
      </c>
      <c r="D3171" s="87"/>
      <c r="E3171" s="115" t="str">
        <f t="shared" si="203"/>
        <v/>
      </c>
      <c r="F3171" s="115" t="str">
        <f t="shared" si="204"/>
        <v/>
      </c>
      <c r="G3171" s="116" t="str">
        <f>IF(ISNONTEXT(D3171),"",E3171-MAX($F$2:F3170))</f>
        <v/>
      </c>
      <c r="H3171" s="97"/>
      <c r="I3171" s="74" t="str">
        <f ca="1">IF(D3171="N",COUNTIF(INDIRECT(ADDRESS(MATCH(Plages!$D$19,'Planning annuel mixing coater'!$B:$B),4)):D3171,"N"),IF(D3171="N1",COUNTIF($D$9:D3171,"N1"),""))</f>
        <v/>
      </c>
      <c r="J3171" s="96" t="str">
        <f>IF(D3171="","",COUNTA(D3166:D3171)-(COUNTA(D3171:D3171)-1))</f>
        <v/>
      </c>
    </row>
    <row r="3172" spans="1:10" thickBot="1">
      <c r="A3172" s="117"/>
      <c r="B3172" s="70">
        <f t="shared" si="201"/>
        <v>46964</v>
      </c>
      <c r="C3172" s="82" t="str">
        <f t="shared" si="202"/>
        <v>dimanche</v>
      </c>
      <c r="D3172" s="87"/>
      <c r="E3172" s="115" t="str">
        <f t="shared" si="203"/>
        <v/>
      </c>
      <c r="F3172" s="115" t="str">
        <f t="shared" si="204"/>
        <v/>
      </c>
      <c r="G3172" s="116" t="str">
        <f>IF(ISNONTEXT(D3172),"",E3172-MAX($F$2:F3171))</f>
        <v/>
      </c>
      <c r="H3172" s="98"/>
      <c r="I3172" s="74" t="str">
        <f ca="1">IF(D3172="N",COUNTIF(INDIRECT(ADDRESS(MATCH(Plages!$D$19,'Planning annuel mixing coater'!$B:$B),4)):D3172,"N"),IF(D3172="N1",COUNTIF($D$9:D3172,"N1"),""))</f>
        <v/>
      </c>
      <c r="J3172" s="96" t="str">
        <f>IF(D3172="","",COUNTA(D3166:D3172)-(COUNTA(D3172:D3172)-1))</f>
        <v/>
      </c>
    </row>
    <row r="3173" spans="1:10" thickBot="1">
      <c r="A3173" s="117"/>
      <c r="B3173" s="70">
        <f t="shared" si="201"/>
        <v>46965</v>
      </c>
      <c r="C3173" s="82" t="str">
        <f t="shared" si="202"/>
        <v>lundi</v>
      </c>
      <c r="D3173" s="87"/>
      <c r="E3173" s="115" t="str">
        <f t="shared" si="203"/>
        <v/>
      </c>
      <c r="F3173" s="115" t="str">
        <f t="shared" si="204"/>
        <v/>
      </c>
      <c r="G3173" s="116" t="str">
        <f>IF(ISNONTEXT(D3173),"",E3173-MAX($F$2:F3172))</f>
        <v/>
      </c>
      <c r="H3173" s="97"/>
      <c r="I3173" s="74" t="str">
        <f ca="1">IF(D3173="N",COUNTIF(INDIRECT(ADDRESS(MATCH(Plages!$D$19,'Planning annuel mixing coater'!$B:$B),4)):D3173,"N"),IF(D3173="N1",COUNTIF($D$9:D3173,"N1"),""))</f>
        <v/>
      </c>
      <c r="J3173" s="96" t="str">
        <f>IF(D3173="","",COUNTA(D3166:D3173)-(COUNTA(D3173:D3173)-1))</f>
        <v/>
      </c>
    </row>
    <row r="3174" spans="1:10" thickBot="1">
      <c r="A3174" s="117"/>
      <c r="B3174" s="70">
        <f t="shared" si="201"/>
        <v>46966</v>
      </c>
      <c r="C3174" s="82" t="str">
        <f t="shared" si="202"/>
        <v>mardi</v>
      </c>
      <c r="D3174" s="87"/>
      <c r="E3174" s="115" t="str">
        <f t="shared" si="203"/>
        <v/>
      </c>
      <c r="F3174" s="115" t="str">
        <f t="shared" si="204"/>
        <v/>
      </c>
      <c r="G3174" s="116" t="str">
        <f>IF(ISNONTEXT(D3174),"",E3174-MAX($F$2:F3173))</f>
        <v/>
      </c>
      <c r="H3174" s="97"/>
      <c r="I3174" s="74" t="str">
        <f ca="1">IF(D3174="N",COUNTIF(INDIRECT(ADDRESS(MATCH(Plages!$D$19,'Planning annuel mixing coater'!$B:$B),4)):D3174,"N"),IF(D3174="N1",COUNTIF($D$9:D3174,"N1"),""))</f>
        <v/>
      </c>
      <c r="J3174" s="96" t="str">
        <f>IF(D3174="","",COUNTA(D3166:D3174)-(COUNTA(D3174:D3174)-1))</f>
        <v/>
      </c>
    </row>
    <row r="3175" spans="1:10" thickBot="1">
      <c r="A3175" s="117"/>
      <c r="B3175" s="70">
        <f t="shared" si="201"/>
        <v>46967</v>
      </c>
      <c r="C3175" s="82" t="str">
        <f t="shared" si="202"/>
        <v>mercredi</v>
      </c>
      <c r="D3175" s="87"/>
      <c r="E3175" s="115" t="str">
        <f t="shared" si="203"/>
        <v/>
      </c>
      <c r="F3175" s="115" t="str">
        <f t="shared" si="204"/>
        <v/>
      </c>
      <c r="G3175" s="116" t="str">
        <f>IF(ISNONTEXT(D3175),"",E3175-MAX($F$2:F3174))</f>
        <v/>
      </c>
      <c r="H3175" s="97"/>
      <c r="I3175" s="74" t="str">
        <f ca="1">IF(D3175="N",COUNTIF(INDIRECT(ADDRESS(MATCH(Plages!$D$19,'Planning annuel mixing coater'!$B:$B),4)):D3175,"N"),IF(D3175="N1",COUNTIF($D$9:D3175,"N1"),""))</f>
        <v/>
      </c>
      <c r="J3175" s="96" t="str">
        <f>IF(D3175="","",COUNTA(D3166:D3175)-(COUNTA(D3175:D3175)-1))</f>
        <v/>
      </c>
    </row>
    <row r="3176" spans="1:10" thickBot="1">
      <c r="A3176" s="117"/>
      <c r="B3176" s="70">
        <f t="shared" si="201"/>
        <v>46968</v>
      </c>
      <c r="C3176" s="82" t="str">
        <f t="shared" si="202"/>
        <v>jeudi</v>
      </c>
      <c r="D3176" s="87"/>
      <c r="E3176" s="115" t="str">
        <f t="shared" si="203"/>
        <v/>
      </c>
      <c r="F3176" s="115" t="str">
        <f t="shared" si="204"/>
        <v/>
      </c>
      <c r="G3176" s="116" t="str">
        <f>IF(ISNONTEXT(D3176),"",E3176-MAX($F$2:F3175))</f>
        <v/>
      </c>
      <c r="H3176" s="97"/>
      <c r="I3176" s="74" t="str">
        <f ca="1">IF(D3176="N",COUNTIF(INDIRECT(ADDRESS(MATCH(Plages!$D$19,'Planning annuel mixing coater'!$B:$B),4)):D3176,"N"),IF(D3176="N1",COUNTIF($D$9:D3176,"N1"),""))</f>
        <v/>
      </c>
      <c r="J3176" s="96" t="str">
        <f>IF(D3176="","",COUNTA(D3166:D3176)-(COUNTA(D3176:D3176)-1))</f>
        <v/>
      </c>
    </row>
    <row r="3177" spans="1:10" thickBot="1">
      <c r="A3177" s="117"/>
      <c r="B3177" s="70">
        <f t="shared" si="201"/>
        <v>46969</v>
      </c>
      <c r="C3177" s="82" t="str">
        <f t="shared" si="202"/>
        <v>vendredi</v>
      </c>
      <c r="D3177" s="87"/>
      <c r="E3177" s="115" t="str">
        <f t="shared" si="203"/>
        <v/>
      </c>
      <c r="F3177" s="115" t="str">
        <f t="shared" si="204"/>
        <v/>
      </c>
      <c r="G3177" s="116" t="str">
        <f>IF(ISNONTEXT(D3177),"",E3177-MAX($F$2:F3176))</f>
        <v/>
      </c>
      <c r="H3177" s="97"/>
      <c r="I3177" s="74" t="str">
        <f ca="1">IF(D3177="N",COUNTIF(INDIRECT(ADDRESS(MATCH(Plages!$D$19,'Planning annuel mixing coater'!$B:$B),4)):D3177,"N"),IF(D3177="N1",COUNTIF($D$9:D3177,"N1"),""))</f>
        <v/>
      </c>
      <c r="J3177" s="96" t="str">
        <f>IF(D3177="","",COUNTA(D3166:D3177)-(COUNTA(D3177:D3177)-1))</f>
        <v/>
      </c>
    </row>
    <row r="3178" spans="1:10" thickBot="1">
      <c r="A3178" s="117"/>
      <c r="B3178" s="70">
        <f t="shared" si="201"/>
        <v>46970</v>
      </c>
      <c r="C3178" s="82" t="str">
        <f t="shared" si="202"/>
        <v>samedi</v>
      </c>
      <c r="D3178" s="87"/>
      <c r="E3178" s="115" t="str">
        <f t="shared" si="203"/>
        <v/>
      </c>
      <c r="F3178" s="115" t="str">
        <f t="shared" si="204"/>
        <v/>
      </c>
      <c r="G3178" s="116" t="str">
        <f>IF(ISNONTEXT(D3178),"",E3178-MAX($F$2:F3177))</f>
        <v/>
      </c>
      <c r="H3178" s="97"/>
      <c r="I3178" s="74" t="str">
        <f ca="1">IF(D3178="N",COUNTIF(INDIRECT(ADDRESS(MATCH(Plages!$D$19,'Planning annuel mixing coater'!$B:$B),4)):D3178,"N"),IF(D3178="N1",COUNTIF($D$9:D3178,"N1"),""))</f>
        <v/>
      </c>
      <c r="J3178" s="96" t="str">
        <f>IF(D3178="","",COUNTA(D3166:D3178)-(COUNTA(D3178:D3178)-1))</f>
        <v/>
      </c>
    </row>
    <row r="3179" spans="1:10" s="77" customFormat="1" thickBot="1">
      <c r="A3179" s="117"/>
      <c r="B3179" s="75">
        <f t="shared" si="201"/>
        <v>46971</v>
      </c>
      <c r="C3179" s="83" t="str">
        <f t="shared" si="202"/>
        <v>dimanche</v>
      </c>
      <c r="D3179" s="88"/>
      <c r="E3179" s="115" t="str">
        <f t="shared" si="203"/>
        <v/>
      </c>
      <c r="F3179" s="115" t="str">
        <f t="shared" si="204"/>
        <v/>
      </c>
      <c r="G3179" s="116" t="str">
        <f>IF(ISNONTEXT(D3179),"",E3179-MAX($F$2:F3178))</f>
        <v/>
      </c>
      <c r="H3179" s="98"/>
      <c r="I3179" s="76" t="str">
        <f ca="1">IF(D3179="N",COUNTIF(INDIRECT(ADDRESS(MATCH(Plages!$D$19,'Planning annuel mixing coater'!$B:$B),4)):D3179,"N"),IF(D3179="N1",COUNTIF($D$9:D3179,"N1"),""))</f>
        <v/>
      </c>
      <c r="J3179" s="99" t="str">
        <f>IF(D3179="","",COUNTA(D3166:D3179)-(COUNTA(D3179:D3179)-1))</f>
        <v/>
      </c>
    </row>
    <row r="3180" spans="1:10" ht="16.5" thickTop="1" thickBot="1">
      <c r="A3180" s="117"/>
      <c r="B3180" s="78">
        <f t="shared" si="201"/>
        <v>46972</v>
      </c>
      <c r="C3180" s="81" t="str">
        <f t="shared" si="202"/>
        <v>lundi</v>
      </c>
      <c r="D3180" s="89"/>
      <c r="E3180" s="115" t="str">
        <f t="shared" si="203"/>
        <v/>
      </c>
      <c r="F3180" s="115" t="str">
        <f t="shared" si="204"/>
        <v/>
      </c>
      <c r="G3180" s="116" t="str">
        <f>IF(ISNONTEXT(D3180),"",E3180-MAX($F$2:F3179))</f>
        <v/>
      </c>
      <c r="H3180" s="100"/>
      <c r="I3180" s="79" t="str">
        <f ca="1">IF(D3180="N",COUNTIF(INDIRECT(ADDRESS(MATCH(Plages!$D$19,'Planning annuel mixing coater'!$B:$B),4)):D3180,"N"),IF(D3180="N1",COUNTIF($D$9:D3180,"N1"),""))</f>
        <v/>
      </c>
      <c r="J3180" s="101" t="str">
        <f>IF(D3180="","",COUNTA(D3180:D3180)-(COUNTA(D3180:D3180)-1))</f>
        <v/>
      </c>
    </row>
    <row r="3181" spans="1:10" thickBot="1">
      <c r="A3181" s="117"/>
      <c r="B3181" s="70">
        <f t="shared" si="201"/>
        <v>46973</v>
      </c>
      <c r="C3181" s="82" t="str">
        <f t="shared" si="202"/>
        <v>mardi</v>
      </c>
      <c r="D3181" s="87"/>
      <c r="E3181" s="115" t="str">
        <f t="shared" si="203"/>
        <v/>
      </c>
      <c r="F3181" s="115" t="str">
        <f t="shared" si="204"/>
        <v/>
      </c>
      <c r="G3181" s="116" t="str">
        <f>IF(ISNONTEXT(D3181),"",E3181-MAX($F$2:F3180))</f>
        <v/>
      </c>
      <c r="H3181" s="97"/>
      <c r="I3181" s="74" t="str">
        <f ca="1">IF(D3181="N",COUNTIF(INDIRECT(ADDRESS(MATCH(Plages!$D$19,'Planning annuel mixing coater'!$B:$B),4)):D3181,"N"),IF(D3181="N1",COUNTIF($D$9:D3181,"N1"),""))</f>
        <v/>
      </c>
      <c r="J3181" s="96" t="str">
        <f>IF(D3181="","",COUNTA(D3180:D3181)-(COUNTA(D3181:D3181)-1))</f>
        <v/>
      </c>
    </row>
    <row r="3182" spans="1:10" thickBot="1">
      <c r="A3182" s="117"/>
      <c r="B3182" s="70">
        <f t="shared" si="201"/>
        <v>46974</v>
      </c>
      <c r="C3182" s="82" t="str">
        <f t="shared" si="202"/>
        <v>mercredi</v>
      </c>
      <c r="D3182" s="87"/>
      <c r="E3182" s="115" t="str">
        <f t="shared" si="203"/>
        <v/>
      </c>
      <c r="F3182" s="115" t="str">
        <f t="shared" si="204"/>
        <v/>
      </c>
      <c r="G3182" s="116" t="str">
        <f>IF(ISNONTEXT(D3182),"",E3182-MAX($F$2:F3181))</f>
        <v/>
      </c>
      <c r="H3182" s="97"/>
      <c r="I3182" s="74" t="str">
        <f ca="1">IF(D3182="N",COUNTIF(INDIRECT(ADDRESS(MATCH(Plages!$D$19,'Planning annuel mixing coater'!$B:$B),4)):D3182,"N"),IF(D3182="N1",COUNTIF($D$9:D3182,"N1"),""))</f>
        <v/>
      </c>
      <c r="J3182" s="96" t="str">
        <f>IF(D3182="","",COUNTA(D3180:D3182)-(COUNTA(D3182:D3182)-1))</f>
        <v/>
      </c>
    </row>
    <row r="3183" spans="1:10" thickBot="1">
      <c r="A3183" s="117"/>
      <c r="B3183" s="70">
        <f t="shared" si="201"/>
        <v>46975</v>
      </c>
      <c r="C3183" s="82" t="str">
        <f t="shared" si="202"/>
        <v>jeudi</v>
      </c>
      <c r="D3183" s="87"/>
      <c r="E3183" s="115" t="str">
        <f t="shared" si="203"/>
        <v/>
      </c>
      <c r="F3183" s="115" t="str">
        <f t="shared" si="204"/>
        <v/>
      </c>
      <c r="G3183" s="116" t="str">
        <f>IF(ISNONTEXT(D3183),"",E3183-MAX($F$2:F3182))</f>
        <v/>
      </c>
      <c r="H3183" s="97"/>
      <c r="I3183" s="74" t="str">
        <f ca="1">IF(D3183="N",COUNTIF(INDIRECT(ADDRESS(MATCH(Plages!$D$19,'Planning annuel mixing coater'!$B:$B),4)):D3183,"N"),IF(D3183="N1",COUNTIF($D$9:D3183,"N1"),""))</f>
        <v/>
      </c>
      <c r="J3183" s="96" t="str">
        <f>IF(D3183="","",COUNTA(D3180:D3183)-(COUNTA(D3183:D3183)-1))</f>
        <v/>
      </c>
    </row>
    <row r="3184" spans="1:10" thickBot="1">
      <c r="A3184" s="117"/>
      <c r="B3184" s="70">
        <f t="shared" si="201"/>
        <v>46976</v>
      </c>
      <c r="C3184" s="82" t="str">
        <f t="shared" si="202"/>
        <v>vendredi</v>
      </c>
      <c r="D3184" s="87"/>
      <c r="E3184" s="115" t="str">
        <f t="shared" si="203"/>
        <v/>
      </c>
      <c r="F3184" s="115" t="str">
        <f t="shared" si="204"/>
        <v/>
      </c>
      <c r="G3184" s="116" t="str">
        <f>IF(ISNONTEXT(D3184),"",E3184-MAX($F$2:F3183))</f>
        <v/>
      </c>
      <c r="H3184" s="97"/>
      <c r="I3184" s="74" t="str">
        <f ca="1">IF(D3184="N",COUNTIF(INDIRECT(ADDRESS(MATCH(Plages!$D$19,'Planning annuel mixing coater'!$B:$B),4)):D3184,"N"),IF(D3184="N1",COUNTIF($D$9:D3184,"N1"),""))</f>
        <v/>
      </c>
      <c r="J3184" s="96" t="str">
        <f>IF(D3184="","",COUNTA(D3180:D3184)-(COUNTA(D3184:D3184)-1))</f>
        <v/>
      </c>
    </row>
    <row r="3185" spans="1:10" thickBot="1">
      <c r="A3185" s="117"/>
      <c r="B3185" s="70">
        <f t="shared" si="201"/>
        <v>46977</v>
      </c>
      <c r="C3185" s="82" t="str">
        <f t="shared" si="202"/>
        <v>samedi</v>
      </c>
      <c r="D3185" s="87"/>
      <c r="E3185" s="115" t="str">
        <f t="shared" si="203"/>
        <v/>
      </c>
      <c r="F3185" s="115" t="str">
        <f t="shared" si="204"/>
        <v/>
      </c>
      <c r="G3185" s="116" t="str">
        <f>IF(ISNONTEXT(D3185),"",E3185-MAX($F$2:F3184))</f>
        <v/>
      </c>
      <c r="H3185" s="97"/>
      <c r="I3185" s="74" t="str">
        <f ca="1">IF(D3185="N",COUNTIF(INDIRECT(ADDRESS(MATCH(Plages!$D$19,'Planning annuel mixing coater'!$B:$B),4)):D3185,"N"),IF(D3185="N1",COUNTIF($D$9:D3185,"N1"),""))</f>
        <v/>
      </c>
      <c r="J3185" s="96" t="str">
        <f>IF(D3185="","",COUNTA(D3180:D3185)-(COUNTA(D3185:D3185)-1))</f>
        <v/>
      </c>
    </row>
    <row r="3186" spans="1:10" thickBot="1">
      <c r="A3186" s="117"/>
      <c r="B3186" s="70">
        <f t="shared" si="201"/>
        <v>46978</v>
      </c>
      <c r="C3186" s="82" t="str">
        <f t="shared" si="202"/>
        <v>dimanche</v>
      </c>
      <c r="D3186" s="87"/>
      <c r="E3186" s="115" t="str">
        <f t="shared" si="203"/>
        <v/>
      </c>
      <c r="F3186" s="115" t="str">
        <f t="shared" si="204"/>
        <v/>
      </c>
      <c r="G3186" s="116" t="str">
        <f>IF(ISNONTEXT(D3186),"",E3186-MAX($F$2:F3185))</f>
        <v/>
      </c>
      <c r="H3186" s="98"/>
      <c r="I3186" s="74" t="str">
        <f ca="1">IF(D3186="N",COUNTIF(INDIRECT(ADDRESS(MATCH(Plages!$D$19,'Planning annuel mixing coater'!$B:$B),4)):D3186,"N"),IF(D3186="N1",COUNTIF($D$9:D3186,"N1"),""))</f>
        <v/>
      </c>
      <c r="J3186" s="96" t="str">
        <f>IF(D3186="","",COUNTA(D3180:D3186)-(COUNTA(D3186:D3186)-1))</f>
        <v/>
      </c>
    </row>
    <row r="3187" spans="1:10" thickBot="1">
      <c r="A3187" s="117"/>
      <c r="B3187" s="70">
        <f t="shared" si="201"/>
        <v>46979</v>
      </c>
      <c r="C3187" s="82" t="str">
        <f t="shared" si="202"/>
        <v>lundi</v>
      </c>
      <c r="D3187" s="87"/>
      <c r="E3187" s="115" t="str">
        <f t="shared" si="203"/>
        <v/>
      </c>
      <c r="F3187" s="115" t="str">
        <f t="shared" si="204"/>
        <v/>
      </c>
      <c r="G3187" s="116" t="str">
        <f>IF(ISNONTEXT(D3187),"",E3187-MAX($F$2:F3186))</f>
        <v/>
      </c>
      <c r="H3187" s="97"/>
      <c r="I3187" s="74" t="str">
        <f ca="1">IF(D3187="N",COUNTIF(INDIRECT(ADDRESS(MATCH(Plages!$D$19,'Planning annuel mixing coater'!$B:$B),4)):D3187,"N"),IF(D3187="N1",COUNTIF($D$9:D3187,"N1"),""))</f>
        <v/>
      </c>
      <c r="J3187" s="96" t="str">
        <f>IF(D3187="","",COUNTA(D3180:D3187)-(COUNTA(D3187:D3187)-1))</f>
        <v/>
      </c>
    </row>
    <row r="3188" spans="1:10" thickBot="1">
      <c r="A3188" s="117"/>
      <c r="B3188" s="70">
        <f t="shared" si="201"/>
        <v>46980</v>
      </c>
      <c r="C3188" s="82" t="str">
        <f t="shared" si="202"/>
        <v>mardi</v>
      </c>
      <c r="D3188" s="87"/>
      <c r="E3188" s="115" t="str">
        <f t="shared" si="203"/>
        <v/>
      </c>
      <c r="F3188" s="115" t="str">
        <f t="shared" si="204"/>
        <v/>
      </c>
      <c r="G3188" s="116" t="str">
        <f>IF(ISNONTEXT(D3188),"",E3188-MAX($F$2:F3187))</f>
        <v/>
      </c>
      <c r="H3188" s="97"/>
      <c r="I3188" s="74" t="str">
        <f ca="1">IF(D3188="N",COUNTIF(INDIRECT(ADDRESS(MATCH(Plages!$D$19,'Planning annuel mixing coater'!$B:$B),4)):D3188,"N"),IF(D3188="N1",COUNTIF($D$9:D3188,"N1"),""))</f>
        <v/>
      </c>
      <c r="J3188" s="96" t="str">
        <f>IF(D3188="","",COUNTA(D3180:D3188)-(COUNTA(D3188:D3188)-1))</f>
        <v/>
      </c>
    </row>
    <row r="3189" spans="1:10" thickBot="1">
      <c r="A3189" s="117"/>
      <c r="B3189" s="70">
        <f t="shared" si="201"/>
        <v>46981</v>
      </c>
      <c r="C3189" s="82" t="str">
        <f t="shared" si="202"/>
        <v>mercredi</v>
      </c>
      <c r="D3189" s="87"/>
      <c r="E3189" s="115" t="str">
        <f t="shared" si="203"/>
        <v/>
      </c>
      <c r="F3189" s="115" t="str">
        <f t="shared" si="204"/>
        <v/>
      </c>
      <c r="G3189" s="116" t="str">
        <f>IF(ISNONTEXT(D3189),"",E3189-MAX($F$2:F3188))</f>
        <v/>
      </c>
      <c r="H3189" s="97"/>
      <c r="I3189" s="74" t="str">
        <f ca="1">IF(D3189="N",COUNTIF(INDIRECT(ADDRESS(MATCH(Plages!$D$19,'Planning annuel mixing coater'!$B:$B),4)):D3189,"N"),IF(D3189="N1",COUNTIF($D$9:D3189,"N1"),""))</f>
        <v/>
      </c>
      <c r="J3189" s="96" t="str">
        <f>IF(D3189="","",COUNTA(D3180:D3189)-(COUNTA(D3189:D3189)-1))</f>
        <v/>
      </c>
    </row>
    <row r="3190" spans="1:10" thickBot="1">
      <c r="A3190" s="117"/>
      <c r="B3190" s="70">
        <f t="shared" si="201"/>
        <v>46982</v>
      </c>
      <c r="C3190" s="82" t="str">
        <f t="shared" si="202"/>
        <v>jeudi</v>
      </c>
      <c r="D3190" s="87"/>
      <c r="E3190" s="115" t="str">
        <f t="shared" si="203"/>
        <v/>
      </c>
      <c r="F3190" s="115" t="str">
        <f t="shared" si="204"/>
        <v/>
      </c>
      <c r="G3190" s="116" t="str">
        <f>IF(ISNONTEXT(D3190),"",E3190-MAX($F$2:F3189))</f>
        <v/>
      </c>
      <c r="H3190" s="97"/>
      <c r="I3190" s="74" t="str">
        <f ca="1">IF(D3190="N",COUNTIF(INDIRECT(ADDRESS(MATCH(Plages!$D$19,'Planning annuel mixing coater'!$B:$B),4)):D3190,"N"),IF(D3190="N1",COUNTIF($D$9:D3190,"N1"),""))</f>
        <v/>
      </c>
      <c r="J3190" s="96" t="str">
        <f>IF(D3190="","",COUNTA(D3180:D3190)-(COUNTA(D3190:D3190)-1))</f>
        <v/>
      </c>
    </row>
    <row r="3191" spans="1:10" thickBot="1">
      <c r="A3191" s="117"/>
      <c r="B3191" s="70">
        <f t="shared" si="201"/>
        <v>46983</v>
      </c>
      <c r="C3191" s="82" t="str">
        <f t="shared" si="202"/>
        <v>vendredi</v>
      </c>
      <c r="D3191" s="87"/>
      <c r="E3191" s="115" t="str">
        <f t="shared" si="203"/>
        <v/>
      </c>
      <c r="F3191" s="115" t="str">
        <f t="shared" si="204"/>
        <v/>
      </c>
      <c r="G3191" s="116" t="str">
        <f>IF(ISNONTEXT(D3191),"",E3191-MAX($F$2:F3190))</f>
        <v/>
      </c>
      <c r="H3191" s="97"/>
      <c r="I3191" s="74" t="str">
        <f ca="1">IF(D3191="N",COUNTIF(INDIRECT(ADDRESS(MATCH(Plages!$D$19,'Planning annuel mixing coater'!$B:$B),4)):D3191,"N"),IF(D3191="N1",COUNTIF($D$9:D3191,"N1"),""))</f>
        <v/>
      </c>
      <c r="J3191" s="96" t="str">
        <f>IF(D3191="","",COUNTA(D3180:D3191)-(COUNTA(D3191:D3191)-1))</f>
        <v/>
      </c>
    </row>
    <row r="3192" spans="1:10" thickBot="1">
      <c r="A3192" s="117"/>
      <c r="B3192" s="70">
        <f t="shared" si="201"/>
        <v>46984</v>
      </c>
      <c r="C3192" s="82" t="str">
        <f t="shared" si="202"/>
        <v>samedi</v>
      </c>
      <c r="D3192" s="87"/>
      <c r="E3192" s="115" t="str">
        <f t="shared" si="203"/>
        <v/>
      </c>
      <c r="F3192" s="115" t="str">
        <f t="shared" si="204"/>
        <v/>
      </c>
      <c r="G3192" s="116" t="str">
        <f>IF(ISNONTEXT(D3192),"",E3192-MAX($F$2:F3191))</f>
        <v/>
      </c>
      <c r="H3192" s="97"/>
      <c r="I3192" s="74" t="str">
        <f ca="1">IF(D3192="N",COUNTIF(INDIRECT(ADDRESS(MATCH(Plages!$D$19,'Planning annuel mixing coater'!$B:$B),4)):D3192,"N"),IF(D3192="N1",COUNTIF($D$9:D3192,"N1"),""))</f>
        <v/>
      </c>
      <c r="J3192" s="96" t="str">
        <f>IF(D3192="","",COUNTA(D3180:D3192)-(COUNTA(D3192:D3192)-1))</f>
        <v/>
      </c>
    </row>
    <row r="3193" spans="1:10" s="77" customFormat="1" thickBot="1">
      <c r="A3193" s="117"/>
      <c r="B3193" s="75">
        <f t="shared" si="201"/>
        <v>46985</v>
      </c>
      <c r="C3193" s="83" t="str">
        <f t="shared" si="202"/>
        <v>dimanche</v>
      </c>
      <c r="D3193" s="88"/>
      <c r="E3193" s="115" t="str">
        <f t="shared" si="203"/>
        <v/>
      </c>
      <c r="F3193" s="115" t="str">
        <f t="shared" si="204"/>
        <v/>
      </c>
      <c r="G3193" s="116" t="str">
        <f>IF(ISNONTEXT(D3193),"",E3193-MAX($F$2:F3192))</f>
        <v/>
      </c>
      <c r="H3193" s="98"/>
      <c r="I3193" s="76" t="str">
        <f ca="1">IF(D3193="N",COUNTIF(INDIRECT(ADDRESS(MATCH(Plages!$D$19,'Planning annuel mixing coater'!$B:$B),4)):D3193,"N"),IF(D3193="N1",COUNTIF($D$9:D3193,"N1"),""))</f>
        <v/>
      </c>
      <c r="J3193" s="99" t="str">
        <f>IF(D3193="","",COUNTA(D3180:D3193)-(COUNTA(D3193:D3193)-1))</f>
        <v/>
      </c>
    </row>
    <row r="3194" spans="1:10" ht="16.5" thickTop="1" thickBot="1">
      <c r="A3194" s="117"/>
      <c r="B3194" s="78">
        <f t="shared" si="201"/>
        <v>46986</v>
      </c>
      <c r="C3194" s="81" t="str">
        <f t="shared" si="202"/>
        <v>lundi</v>
      </c>
      <c r="D3194" s="89"/>
      <c r="E3194" s="115" t="str">
        <f t="shared" si="203"/>
        <v/>
      </c>
      <c r="F3194" s="115" t="str">
        <f t="shared" si="204"/>
        <v/>
      </c>
      <c r="G3194" s="116" t="str">
        <f>IF(ISNONTEXT(D3194),"",E3194-MAX($F$2:F3193))</f>
        <v/>
      </c>
      <c r="H3194" s="100"/>
      <c r="I3194" s="79" t="str">
        <f ca="1">IF(D3194="N",COUNTIF(INDIRECT(ADDRESS(MATCH(Plages!$D$19,'Planning annuel mixing coater'!$B:$B),4)):D3194,"N"),IF(D3194="N1",COUNTIF($D$9:D3194,"N1"),""))</f>
        <v/>
      </c>
      <c r="J3194" s="101" t="str">
        <f>IF(D3194="","",COUNTA(D3194:D3194)-(COUNTA(D3194:D3194)-1))</f>
        <v/>
      </c>
    </row>
    <row r="3195" spans="1:10" thickBot="1">
      <c r="A3195" s="117"/>
      <c r="B3195" s="70">
        <f t="shared" si="201"/>
        <v>46987</v>
      </c>
      <c r="C3195" s="82" t="str">
        <f t="shared" si="202"/>
        <v>mardi</v>
      </c>
      <c r="D3195" s="87"/>
      <c r="E3195" s="115" t="str">
        <f t="shared" si="203"/>
        <v/>
      </c>
      <c r="F3195" s="115" t="str">
        <f t="shared" si="204"/>
        <v/>
      </c>
      <c r="G3195" s="116" t="str">
        <f>IF(ISNONTEXT(D3195),"",E3195-MAX($F$2:F3194))</f>
        <v/>
      </c>
      <c r="H3195" s="97"/>
      <c r="I3195" s="74" t="str">
        <f ca="1">IF(D3195="N",COUNTIF(INDIRECT(ADDRESS(MATCH(Plages!$D$19,'Planning annuel mixing coater'!$B:$B),4)):D3195,"N"),IF(D3195="N1",COUNTIF($D$9:D3195,"N1"),""))</f>
        <v/>
      </c>
      <c r="J3195" s="96" t="str">
        <f>IF(D3195="","",COUNTA(D3194:D3195)-(COUNTA(D3195:D3195)-1))</f>
        <v/>
      </c>
    </row>
    <row r="3196" spans="1:10" thickBot="1">
      <c r="A3196" s="117"/>
      <c r="B3196" s="70">
        <f t="shared" si="201"/>
        <v>46988</v>
      </c>
      <c r="C3196" s="82" t="str">
        <f t="shared" si="202"/>
        <v>mercredi</v>
      </c>
      <c r="D3196" s="87"/>
      <c r="E3196" s="115" t="str">
        <f t="shared" si="203"/>
        <v/>
      </c>
      <c r="F3196" s="115" t="str">
        <f t="shared" si="204"/>
        <v/>
      </c>
      <c r="G3196" s="116" t="str">
        <f>IF(ISNONTEXT(D3196),"",E3196-MAX($F$2:F3195))</f>
        <v/>
      </c>
      <c r="H3196" s="97"/>
      <c r="I3196" s="74" t="str">
        <f ca="1">IF(D3196="N",COUNTIF(INDIRECT(ADDRESS(MATCH(Plages!$D$19,'Planning annuel mixing coater'!$B:$B),4)):D3196,"N"),IF(D3196="N1",COUNTIF($D$9:D3196,"N1"),""))</f>
        <v/>
      </c>
      <c r="J3196" s="96" t="str">
        <f>IF(D3196="","",COUNTA(D3194:D3196)-(COUNTA(D3196:D3196)-1))</f>
        <v/>
      </c>
    </row>
    <row r="3197" spans="1:10" thickBot="1">
      <c r="A3197" s="117"/>
      <c r="B3197" s="70">
        <f t="shared" si="201"/>
        <v>46989</v>
      </c>
      <c r="C3197" s="82" t="str">
        <f t="shared" si="202"/>
        <v>jeudi</v>
      </c>
      <c r="D3197" s="87"/>
      <c r="E3197" s="115" t="str">
        <f t="shared" si="203"/>
        <v/>
      </c>
      <c r="F3197" s="115" t="str">
        <f t="shared" si="204"/>
        <v/>
      </c>
      <c r="G3197" s="116" t="str">
        <f>IF(ISNONTEXT(D3197),"",E3197-MAX($F$2:F3196))</f>
        <v/>
      </c>
      <c r="H3197" s="97"/>
      <c r="I3197" s="74" t="str">
        <f ca="1">IF(D3197="N",COUNTIF(INDIRECT(ADDRESS(MATCH(Plages!$D$19,'Planning annuel mixing coater'!$B:$B),4)):D3197,"N"),IF(D3197="N1",COUNTIF($D$9:D3197,"N1"),""))</f>
        <v/>
      </c>
      <c r="J3197" s="96" t="str">
        <f>IF(D3197="","",COUNTA(D3194:D3197)-(COUNTA(D3197:D3197)-1))</f>
        <v/>
      </c>
    </row>
    <row r="3198" spans="1:10" thickBot="1">
      <c r="A3198" s="117"/>
      <c r="B3198" s="70">
        <f t="shared" si="201"/>
        <v>46990</v>
      </c>
      <c r="C3198" s="82" t="str">
        <f t="shared" si="202"/>
        <v>vendredi</v>
      </c>
      <c r="D3198" s="87"/>
      <c r="E3198" s="115" t="str">
        <f t="shared" si="203"/>
        <v/>
      </c>
      <c r="F3198" s="115" t="str">
        <f t="shared" si="204"/>
        <v/>
      </c>
      <c r="G3198" s="116" t="str">
        <f>IF(ISNONTEXT(D3198),"",E3198-MAX($F$2:F3197))</f>
        <v/>
      </c>
      <c r="H3198" s="97"/>
      <c r="I3198" s="74" t="str">
        <f ca="1">IF(D3198="N",COUNTIF(INDIRECT(ADDRESS(MATCH(Plages!$D$19,'Planning annuel mixing coater'!$B:$B),4)):D3198,"N"),IF(D3198="N1",COUNTIF($D$9:D3198,"N1"),""))</f>
        <v/>
      </c>
      <c r="J3198" s="96" t="str">
        <f>IF(D3198="","",COUNTA(D3194:D3198)-(COUNTA(D3198:D3198)-1))</f>
        <v/>
      </c>
    </row>
    <row r="3199" spans="1:10" thickBot="1">
      <c r="A3199" s="117"/>
      <c r="B3199" s="70">
        <f t="shared" si="201"/>
        <v>46991</v>
      </c>
      <c r="C3199" s="82" t="str">
        <f t="shared" si="202"/>
        <v>samedi</v>
      </c>
      <c r="D3199" s="87"/>
      <c r="E3199" s="115" t="str">
        <f t="shared" si="203"/>
        <v/>
      </c>
      <c r="F3199" s="115" t="str">
        <f t="shared" si="204"/>
        <v/>
      </c>
      <c r="G3199" s="116" t="str">
        <f>IF(ISNONTEXT(D3199),"",E3199-MAX($F$2:F3198))</f>
        <v/>
      </c>
      <c r="H3199" s="97"/>
      <c r="I3199" s="74" t="str">
        <f ca="1">IF(D3199="N",COUNTIF(INDIRECT(ADDRESS(MATCH(Plages!$D$19,'Planning annuel mixing coater'!$B:$B),4)):D3199,"N"),IF(D3199="N1",COUNTIF($D$9:D3199,"N1"),""))</f>
        <v/>
      </c>
      <c r="J3199" s="96" t="str">
        <f>IF(D3199="","",COUNTA(D3194:D3199)-(COUNTA(D3199:D3199)-1))</f>
        <v/>
      </c>
    </row>
    <row r="3200" spans="1:10" thickBot="1">
      <c r="A3200" s="117"/>
      <c r="B3200" s="70">
        <f t="shared" si="201"/>
        <v>46992</v>
      </c>
      <c r="C3200" s="82" t="str">
        <f t="shared" si="202"/>
        <v>dimanche</v>
      </c>
      <c r="D3200" s="87"/>
      <c r="E3200" s="115" t="str">
        <f t="shared" si="203"/>
        <v/>
      </c>
      <c r="F3200" s="115" t="str">
        <f t="shared" si="204"/>
        <v/>
      </c>
      <c r="G3200" s="116" t="str">
        <f>IF(ISNONTEXT(D3200),"",E3200-MAX($F$2:F3199))</f>
        <v/>
      </c>
      <c r="H3200" s="98"/>
      <c r="I3200" s="74" t="str">
        <f ca="1">IF(D3200="N",COUNTIF(INDIRECT(ADDRESS(MATCH(Plages!$D$19,'Planning annuel mixing coater'!$B:$B),4)):D3200,"N"),IF(D3200="N1",COUNTIF($D$9:D3200,"N1"),""))</f>
        <v/>
      </c>
      <c r="J3200" s="96" t="str">
        <f>IF(D3200="","",COUNTA(D3194:D3200)-(COUNTA(D3200:D3200)-1))</f>
        <v/>
      </c>
    </row>
    <row r="3201" spans="1:10" thickBot="1">
      <c r="A3201" s="117"/>
      <c r="B3201" s="70">
        <f t="shared" si="201"/>
        <v>46993</v>
      </c>
      <c r="C3201" s="82" t="str">
        <f t="shared" si="202"/>
        <v>lundi</v>
      </c>
      <c r="D3201" s="87"/>
      <c r="E3201" s="115" t="str">
        <f t="shared" si="203"/>
        <v/>
      </c>
      <c r="F3201" s="115" t="str">
        <f t="shared" si="204"/>
        <v/>
      </c>
      <c r="G3201" s="116" t="str">
        <f>IF(ISNONTEXT(D3201),"",E3201-MAX($F$2:F3200))</f>
        <v/>
      </c>
      <c r="H3201" s="97"/>
      <c r="I3201" s="74" t="str">
        <f ca="1">IF(D3201="N",COUNTIF(INDIRECT(ADDRESS(MATCH(Plages!$D$19,'Planning annuel mixing coater'!$B:$B),4)):D3201,"N"),IF(D3201="N1",COUNTIF($D$9:D3201,"N1"),""))</f>
        <v/>
      </c>
      <c r="J3201" s="96" t="str">
        <f>IF(D3201="","",COUNTA(D3194:D3201)-(COUNTA(D3201:D3201)-1))</f>
        <v/>
      </c>
    </row>
    <row r="3202" spans="1:10" thickBot="1">
      <c r="A3202" s="117"/>
      <c r="B3202" s="70">
        <f t="shared" si="201"/>
        <v>46994</v>
      </c>
      <c r="C3202" s="82" t="str">
        <f t="shared" si="202"/>
        <v>mardi</v>
      </c>
      <c r="D3202" s="87"/>
      <c r="E3202" s="115" t="str">
        <f t="shared" si="203"/>
        <v/>
      </c>
      <c r="F3202" s="115" t="str">
        <f t="shared" si="204"/>
        <v/>
      </c>
      <c r="G3202" s="116" t="str">
        <f>IF(ISNONTEXT(D3202),"",E3202-MAX($F$2:F3201))</f>
        <v/>
      </c>
      <c r="H3202" s="97"/>
      <c r="I3202" s="74" t="str">
        <f ca="1">IF(D3202="N",COUNTIF(INDIRECT(ADDRESS(MATCH(Plages!$D$19,'Planning annuel mixing coater'!$B:$B),4)):D3202,"N"),IF(D3202="N1",COUNTIF($D$9:D3202,"N1"),""))</f>
        <v/>
      </c>
      <c r="J3202" s="96" t="str">
        <f>IF(D3202="","",COUNTA(D3194:D3202)-(COUNTA(D3202:D3202)-1))</f>
        <v/>
      </c>
    </row>
    <row r="3203" spans="1:10" thickBot="1">
      <c r="A3203" s="117"/>
      <c r="B3203" s="70">
        <f t="shared" si="201"/>
        <v>46995</v>
      </c>
      <c r="C3203" s="82" t="str">
        <f t="shared" si="202"/>
        <v>mercredi</v>
      </c>
      <c r="D3203" s="87"/>
      <c r="E3203" s="115" t="str">
        <f t="shared" si="203"/>
        <v/>
      </c>
      <c r="F3203" s="115" t="str">
        <f t="shared" si="204"/>
        <v/>
      </c>
      <c r="G3203" s="116" t="str">
        <f>IF(ISNONTEXT(D3203),"",E3203-MAX($F$2:F3202))</f>
        <v/>
      </c>
      <c r="H3203" s="97"/>
      <c r="I3203" s="74" t="str">
        <f ca="1">IF(D3203="N",COUNTIF(INDIRECT(ADDRESS(MATCH(Plages!$D$19,'Planning annuel mixing coater'!$B:$B),4)):D3203,"N"),IF(D3203="N1",COUNTIF($D$9:D3203,"N1"),""))</f>
        <v/>
      </c>
      <c r="J3203" s="96" t="str">
        <f>IF(D3203="","",COUNTA(D3194:D3203)-(COUNTA(D3203:D3203)-1))</f>
        <v/>
      </c>
    </row>
    <row r="3204" spans="1:10" thickBot="1">
      <c r="A3204" s="117"/>
      <c r="B3204" s="70">
        <f t="shared" ref="B3204:B3267" si="205">IF(B3203="","",B3203+1)</f>
        <v>46996</v>
      </c>
      <c r="C3204" s="82" t="str">
        <f t="shared" si="202"/>
        <v>jeudi</v>
      </c>
      <c r="D3204" s="87"/>
      <c r="E3204" s="115" t="str">
        <f t="shared" si="203"/>
        <v/>
      </c>
      <c r="F3204" s="115" t="str">
        <f t="shared" si="204"/>
        <v/>
      </c>
      <c r="G3204" s="116" t="str">
        <f>IF(ISNONTEXT(D3204),"",E3204-MAX($F$2:F3203))</f>
        <v/>
      </c>
      <c r="H3204" s="97"/>
      <c r="I3204" s="74" t="str">
        <f ca="1">IF(D3204="N",COUNTIF(INDIRECT(ADDRESS(MATCH(Plages!$D$19,'Planning annuel mixing coater'!$B:$B),4)):D3204,"N"),IF(D3204="N1",COUNTIF($D$9:D3204,"N1"),""))</f>
        <v/>
      </c>
      <c r="J3204" s="96" t="str">
        <f>IF(D3204="","",COUNTA(D3194:D3204)-(COUNTA(D3204:D3204)-1))</f>
        <v/>
      </c>
    </row>
    <row r="3205" spans="1:10" thickBot="1">
      <c r="A3205" s="117"/>
      <c r="B3205" s="70">
        <f t="shared" si="205"/>
        <v>46997</v>
      </c>
      <c r="C3205" s="82" t="str">
        <f t="shared" si="202"/>
        <v>vendredi</v>
      </c>
      <c r="D3205" s="87"/>
      <c r="E3205" s="115" t="str">
        <f t="shared" si="203"/>
        <v/>
      </c>
      <c r="F3205" s="115" t="str">
        <f t="shared" si="204"/>
        <v/>
      </c>
      <c r="G3205" s="116" t="str">
        <f>IF(ISNONTEXT(D3205),"",E3205-MAX($F$2:F3204))</f>
        <v/>
      </c>
      <c r="H3205" s="97"/>
      <c r="I3205" s="74" t="str">
        <f ca="1">IF(D3205="N",COUNTIF(INDIRECT(ADDRESS(MATCH(Plages!$D$19,'Planning annuel mixing coater'!$B:$B),4)):D3205,"N"),IF(D3205="N1",COUNTIF($D$9:D3205,"N1"),""))</f>
        <v/>
      </c>
      <c r="J3205" s="96" t="str">
        <f>IF(D3205="","",COUNTA(D3194:D3205)-(COUNTA(D3205:D3205)-1))</f>
        <v/>
      </c>
    </row>
    <row r="3206" spans="1:10" thickBot="1">
      <c r="A3206" s="117"/>
      <c r="B3206" s="70">
        <f t="shared" si="205"/>
        <v>46998</v>
      </c>
      <c r="C3206" s="82" t="str">
        <f t="shared" si="202"/>
        <v>samedi</v>
      </c>
      <c r="D3206" s="87"/>
      <c r="E3206" s="115" t="str">
        <f t="shared" si="203"/>
        <v/>
      </c>
      <c r="F3206" s="115" t="str">
        <f t="shared" si="204"/>
        <v/>
      </c>
      <c r="G3206" s="116" t="str">
        <f>IF(ISNONTEXT(D3206),"",E3206-MAX($F$2:F3205))</f>
        <v/>
      </c>
      <c r="H3206" s="97"/>
      <c r="I3206" s="74" t="str">
        <f ca="1">IF(D3206="N",COUNTIF(INDIRECT(ADDRESS(MATCH(Plages!$D$19,'Planning annuel mixing coater'!$B:$B),4)):D3206,"N"),IF(D3206="N1",COUNTIF($D$9:D3206,"N1"),""))</f>
        <v/>
      </c>
      <c r="J3206" s="96" t="str">
        <f>IF(D3206="","",COUNTA(D3194:D3206)-(COUNTA(D3206:D3206)-1))</f>
        <v/>
      </c>
    </row>
    <row r="3207" spans="1:10" s="77" customFormat="1" thickBot="1">
      <c r="A3207" s="117"/>
      <c r="B3207" s="75">
        <f t="shared" si="205"/>
        <v>46999</v>
      </c>
      <c r="C3207" s="83" t="str">
        <f t="shared" si="202"/>
        <v>dimanche</v>
      </c>
      <c r="D3207" s="88"/>
      <c r="E3207" s="115" t="str">
        <f t="shared" si="203"/>
        <v/>
      </c>
      <c r="F3207" s="115" t="str">
        <f t="shared" si="204"/>
        <v/>
      </c>
      <c r="G3207" s="116" t="str">
        <f>IF(ISNONTEXT(D3207),"",E3207-MAX($F$2:F3206))</f>
        <v/>
      </c>
      <c r="H3207" s="98"/>
      <c r="I3207" s="76" t="str">
        <f ca="1">IF(D3207="N",COUNTIF(INDIRECT(ADDRESS(MATCH(Plages!$D$19,'Planning annuel mixing coater'!$B:$B),4)):D3207,"N"),IF(D3207="N1",COUNTIF($D$9:D3207,"N1"),""))</f>
        <v/>
      </c>
      <c r="J3207" s="99" t="str">
        <f>IF(D3207="","",COUNTA(D3194:D3207)-(COUNTA(D3207:D3207)-1))</f>
        <v/>
      </c>
    </row>
    <row r="3208" spans="1:10" ht="16.5" thickTop="1" thickBot="1">
      <c r="A3208" s="117"/>
      <c r="B3208" s="78">
        <f t="shared" si="205"/>
        <v>47000</v>
      </c>
      <c r="C3208" s="81" t="str">
        <f t="shared" si="202"/>
        <v>lundi</v>
      </c>
      <c r="D3208" s="89"/>
      <c r="E3208" s="115" t="str">
        <f t="shared" si="203"/>
        <v/>
      </c>
      <c r="F3208" s="115" t="str">
        <f t="shared" si="204"/>
        <v/>
      </c>
      <c r="G3208" s="116" t="str">
        <f>IF(ISNONTEXT(D3208),"",E3208-MAX($F$2:F3207))</f>
        <v/>
      </c>
      <c r="H3208" s="100"/>
      <c r="I3208" s="79" t="str">
        <f ca="1">IF(D3208="N",COUNTIF(INDIRECT(ADDRESS(MATCH(Plages!$D$19,'Planning annuel mixing coater'!$B:$B),4)):D3208,"N"),IF(D3208="N1",COUNTIF($D$9:D3208,"N1"),""))</f>
        <v/>
      </c>
      <c r="J3208" s="101" t="str">
        <f>IF(D3208="","",COUNTA(D3208:D3208)-(COUNTA(D3208:D3208)-1))</f>
        <v/>
      </c>
    </row>
    <row r="3209" spans="1:10" thickBot="1">
      <c r="A3209" s="117"/>
      <c r="B3209" s="70">
        <f t="shared" si="205"/>
        <v>47001</v>
      </c>
      <c r="C3209" s="82" t="str">
        <f t="shared" si="202"/>
        <v>mardi</v>
      </c>
      <c r="D3209" s="87"/>
      <c r="E3209" s="115" t="str">
        <f t="shared" si="203"/>
        <v/>
      </c>
      <c r="F3209" s="115" t="str">
        <f t="shared" si="204"/>
        <v/>
      </c>
      <c r="G3209" s="116" t="str">
        <f>IF(ISNONTEXT(D3209),"",E3209-MAX($F$2:F3208))</f>
        <v/>
      </c>
      <c r="H3209" s="97"/>
      <c r="I3209" s="74" t="str">
        <f ca="1">IF(D3209="N",COUNTIF(INDIRECT(ADDRESS(MATCH(Plages!$D$19,'Planning annuel mixing coater'!$B:$B),4)):D3209,"N"),IF(D3209="N1",COUNTIF($D$9:D3209,"N1"),""))</f>
        <v/>
      </c>
      <c r="J3209" s="96" t="str">
        <f>IF(D3209="","",COUNTA(D3208:D3209)-(COUNTA(D3209:D3209)-1))</f>
        <v/>
      </c>
    </row>
    <row r="3210" spans="1:10" thickBot="1">
      <c r="A3210" s="117"/>
      <c r="B3210" s="70">
        <f t="shared" si="205"/>
        <v>47002</v>
      </c>
      <c r="C3210" s="82" t="str">
        <f t="shared" si="202"/>
        <v>mercredi</v>
      </c>
      <c r="D3210" s="87"/>
      <c r="E3210" s="115" t="str">
        <f t="shared" si="203"/>
        <v/>
      </c>
      <c r="F3210" s="115" t="str">
        <f t="shared" si="204"/>
        <v/>
      </c>
      <c r="G3210" s="116" t="str">
        <f>IF(ISNONTEXT(D3210),"",E3210-MAX($F$2:F3209))</f>
        <v/>
      </c>
      <c r="H3210" s="97"/>
      <c r="I3210" s="74" t="str">
        <f ca="1">IF(D3210="N",COUNTIF(INDIRECT(ADDRESS(MATCH(Plages!$D$19,'Planning annuel mixing coater'!$B:$B),4)):D3210,"N"),IF(D3210="N1",COUNTIF($D$9:D3210,"N1"),""))</f>
        <v/>
      </c>
      <c r="J3210" s="96" t="str">
        <f>IF(D3210="","",COUNTA(D3208:D3210)-(COUNTA(D3210:D3210)-1))</f>
        <v/>
      </c>
    </row>
    <row r="3211" spans="1:10" thickBot="1">
      <c r="A3211" s="117"/>
      <c r="B3211" s="70">
        <f t="shared" si="205"/>
        <v>47003</v>
      </c>
      <c r="C3211" s="82" t="str">
        <f t="shared" si="202"/>
        <v>jeudi</v>
      </c>
      <c r="D3211" s="87"/>
      <c r="E3211" s="115" t="str">
        <f t="shared" si="203"/>
        <v/>
      </c>
      <c r="F3211" s="115" t="str">
        <f t="shared" si="204"/>
        <v/>
      </c>
      <c r="G3211" s="116" t="str">
        <f>IF(ISNONTEXT(D3211),"",E3211-MAX($F$2:F3210))</f>
        <v/>
      </c>
      <c r="H3211" s="97"/>
      <c r="I3211" s="74" t="str">
        <f ca="1">IF(D3211="N",COUNTIF(INDIRECT(ADDRESS(MATCH(Plages!$D$19,'Planning annuel mixing coater'!$B:$B),4)):D3211,"N"),IF(D3211="N1",COUNTIF($D$9:D3211,"N1"),""))</f>
        <v/>
      </c>
      <c r="J3211" s="96" t="str">
        <f>IF(D3211="","",COUNTA(D3208:D3211)-(COUNTA(D3211:D3211)-1))</f>
        <v/>
      </c>
    </row>
    <row r="3212" spans="1:10" thickBot="1">
      <c r="A3212" s="117"/>
      <c r="B3212" s="70">
        <f t="shared" si="205"/>
        <v>47004</v>
      </c>
      <c r="C3212" s="82" t="str">
        <f t="shared" si="202"/>
        <v>vendredi</v>
      </c>
      <c r="D3212" s="87"/>
      <c r="E3212" s="115" t="str">
        <f t="shared" si="203"/>
        <v/>
      </c>
      <c r="F3212" s="115" t="str">
        <f t="shared" si="204"/>
        <v/>
      </c>
      <c r="G3212" s="116" t="str">
        <f>IF(ISNONTEXT(D3212),"",E3212-MAX($F$2:F3211))</f>
        <v/>
      </c>
      <c r="H3212" s="97"/>
      <c r="I3212" s="74" t="str">
        <f ca="1">IF(D3212="N",COUNTIF(INDIRECT(ADDRESS(MATCH(Plages!$D$19,'Planning annuel mixing coater'!$B:$B),4)):D3212,"N"),IF(D3212="N1",COUNTIF($D$9:D3212,"N1"),""))</f>
        <v/>
      </c>
      <c r="J3212" s="96" t="str">
        <f>IF(D3212="","",COUNTA(D3208:D3212)-(COUNTA(D3212:D3212)-1))</f>
        <v/>
      </c>
    </row>
    <row r="3213" spans="1:10" thickBot="1">
      <c r="A3213" s="117"/>
      <c r="B3213" s="70">
        <f t="shared" si="205"/>
        <v>47005</v>
      </c>
      <c r="C3213" s="82" t="str">
        <f t="shared" si="202"/>
        <v>samedi</v>
      </c>
      <c r="D3213" s="87"/>
      <c r="E3213" s="115" t="str">
        <f t="shared" si="203"/>
        <v/>
      </c>
      <c r="F3213" s="115" t="str">
        <f t="shared" si="204"/>
        <v/>
      </c>
      <c r="G3213" s="116" t="str">
        <f>IF(ISNONTEXT(D3213),"",E3213-MAX($F$2:F3212))</f>
        <v/>
      </c>
      <c r="H3213" s="97"/>
      <c r="I3213" s="74" t="str">
        <f ca="1">IF(D3213="N",COUNTIF(INDIRECT(ADDRESS(MATCH(Plages!$D$19,'Planning annuel mixing coater'!$B:$B),4)):D3213,"N"),IF(D3213="N1",COUNTIF($D$9:D3213,"N1"),""))</f>
        <v/>
      </c>
      <c r="J3213" s="96" t="str">
        <f>IF(D3213="","",COUNTA(D3208:D3213)-(COUNTA(D3213:D3213)-1))</f>
        <v/>
      </c>
    </row>
    <row r="3214" spans="1:10" thickBot="1">
      <c r="A3214" s="117"/>
      <c r="B3214" s="70">
        <f t="shared" si="205"/>
        <v>47006</v>
      </c>
      <c r="C3214" s="82" t="str">
        <f t="shared" si="202"/>
        <v>dimanche</v>
      </c>
      <c r="D3214" s="87"/>
      <c r="E3214" s="115" t="str">
        <f t="shared" si="203"/>
        <v/>
      </c>
      <c r="F3214" s="115" t="str">
        <f t="shared" si="204"/>
        <v/>
      </c>
      <c r="G3214" s="116" t="str">
        <f>IF(ISNONTEXT(D3214),"",E3214-MAX($F$2:F3213))</f>
        <v/>
      </c>
      <c r="H3214" s="98"/>
      <c r="I3214" s="74" t="str">
        <f ca="1">IF(D3214="N",COUNTIF(INDIRECT(ADDRESS(MATCH(Plages!$D$19,'Planning annuel mixing coater'!$B:$B),4)):D3214,"N"),IF(D3214="N1",COUNTIF($D$9:D3214,"N1"),""))</f>
        <v/>
      </c>
      <c r="J3214" s="96" t="str">
        <f>IF(D3214="","",COUNTA(D3208:D3214)-(COUNTA(D3214:D3214)-1))</f>
        <v/>
      </c>
    </row>
    <row r="3215" spans="1:10" thickBot="1">
      <c r="A3215" s="117"/>
      <c r="B3215" s="70">
        <f t="shared" si="205"/>
        <v>47007</v>
      </c>
      <c r="C3215" s="82" t="str">
        <f t="shared" si="202"/>
        <v>lundi</v>
      </c>
      <c r="D3215" s="87"/>
      <c r="E3215" s="115" t="str">
        <f t="shared" si="203"/>
        <v/>
      </c>
      <c r="F3215" s="115" t="str">
        <f t="shared" si="204"/>
        <v/>
      </c>
      <c r="G3215" s="116" t="str">
        <f>IF(ISNONTEXT(D3215),"",E3215-MAX($F$2:F3214))</f>
        <v/>
      </c>
      <c r="H3215" s="97"/>
      <c r="I3215" s="74" t="str">
        <f ca="1">IF(D3215="N",COUNTIF(INDIRECT(ADDRESS(MATCH(Plages!$D$19,'Planning annuel mixing coater'!$B:$B),4)):D3215,"N"),IF(D3215="N1",COUNTIF($D$9:D3215,"N1"),""))</f>
        <v/>
      </c>
      <c r="J3215" s="96" t="str">
        <f>IF(D3215="","",COUNTA(D3208:D3215)-(COUNTA(D3215:D3215)-1))</f>
        <v/>
      </c>
    </row>
    <row r="3216" spans="1:10" thickBot="1">
      <c r="A3216" s="117"/>
      <c r="B3216" s="70">
        <f t="shared" si="205"/>
        <v>47008</v>
      </c>
      <c r="C3216" s="82" t="str">
        <f t="shared" si="202"/>
        <v>mardi</v>
      </c>
      <c r="D3216" s="87"/>
      <c r="E3216" s="115" t="str">
        <f t="shared" si="203"/>
        <v/>
      </c>
      <c r="F3216" s="115" t="str">
        <f t="shared" si="204"/>
        <v/>
      </c>
      <c r="G3216" s="116" t="str">
        <f>IF(ISNONTEXT(D3216),"",E3216-MAX($F$2:F3215))</f>
        <v/>
      </c>
      <c r="H3216" s="97"/>
      <c r="I3216" s="74" t="str">
        <f ca="1">IF(D3216="N",COUNTIF(INDIRECT(ADDRESS(MATCH(Plages!$D$19,'Planning annuel mixing coater'!$B:$B),4)):D3216,"N"),IF(D3216="N1",COUNTIF($D$9:D3216,"N1"),""))</f>
        <v/>
      </c>
      <c r="J3216" s="96" t="str">
        <f>IF(D3216="","",COUNTA(D3208:D3216)-(COUNTA(D3216:D3216)-1))</f>
        <v/>
      </c>
    </row>
    <row r="3217" spans="1:10" thickBot="1">
      <c r="A3217" s="117"/>
      <c r="B3217" s="70">
        <f t="shared" si="205"/>
        <v>47009</v>
      </c>
      <c r="C3217" s="82" t="str">
        <f t="shared" si="202"/>
        <v>mercredi</v>
      </c>
      <c r="D3217" s="87"/>
      <c r="E3217" s="115" t="str">
        <f t="shared" si="203"/>
        <v/>
      </c>
      <c r="F3217" s="115" t="str">
        <f t="shared" si="204"/>
        <v/>
      </c>
      <c r="G3217" s="116" t="str">
        <f>IF(ISNONTEXT(D3217),"",E3217-MAX($F$2:F3216))</f>
        <v/>
      </c>
      <c r="H3217" s="97"/>
      <c r="I3217" s="74" t="str">
        <f ca="1">IF(D3217="N",COUNTIF(INDIRECT(ADDRESS(MATCH(Plages!$D$19,'Planning annuel mixing coater'!$B:$B),4)):D3217,"N"),IF(D3217="N1",COUNTIF($D$9:D3217,"N1"),""))</f>
        <v/>
      </c>
      <c r="J3217" s="96" t="str">
        <f>IF(D3217="","",COUNTA(D3208:D3217)-(COUNTA(D3217:D3217)-1))</f>
        <v/>
      </c>
    </row>
    <row r="3218" spans="1:10" thickBot="1">
      <c r="A3218" s="117"/>
      <c r="B3218" s="70">
        <f t="shared" si="205"/>
        <v>47010</v>
      </c>
      <c r="C3218" s="82" t="str">
        <f t="shared" si="202"/>
        <v>jeudi</v>
      </c>
      <c r="D3218" s="87"/>
      <c r="E3218" s="115" t="str">
        <f t="shared" si="203"/>
        <v/>
      </c>
      <c r="F3218" s="115" t="str">
        <f t="shared" si="204"/>
        <v/>
      </c>
      <c r="G3218" s="116" t="str">
        <f>IF(ISNONTEXT(D3218),"",E3218-MAX($F$2:F3217))</f>
        <v/>
      </c>
      <c r="H3218" s="97"/>
      <c r="I3218" s="74" t="str">
        <f ca="1">IF(D3218="N",COUNTIF(INDIRECT(ADDRESS(MATCH(Plages!$D$19,'Planning annuel mixing coater'!$B:$B),4)):D3218,"N"),IF(D3218="N1",COUNTIF($D$9:D3218,"N1"),""))</f>
        <v/>
      </c>
      <c r="J3218" s="96" t="str">
        <f>IF(D3218="","",COUNTA(D3208:D3218)-(COUNTA(D3218:D3218)-1))</f>
        <v/>
      </c>
    </row>
    <row r="3219" spans="1:10" thickBot="1">
      <c r="A3219" s="117"/>
      <c r="B3219" s="70">
        <f t="shared" si="205"/>
        <v>47011</v>
      </c>
      <c r="C3219" s="82" t="str">
        <f t="shared" si="202"/>
        <v>vendredi</v>
      </c>
      <c r="D3219" s="87"/>
      <c r="E3219" s="115" t="str">
        <f t="shared" si="203"/>
        <v/>
      </c>
      <c r="F3219" s="115" t="str">
        <f t="shared" si="204"/>
        <v/>
      </c>
      <c r="G3219" s="116" t="str">
        <f>IF(ISNONTEXT(D3219),"",E3219-MAX($F$2:F3218))</f>
        <v/>
      </c>
      <c r="H3219" s="97"/>
      <c r="I3219" s="74" t="str">
        <f ca="1">IF(D3219="N",COUNTIF(INDIRECT(ADDRESS(MATCH(Plages!$D$19,'Planning annuel mixing coater'!$B:$B),4)):D3219,"N"),IF(D3219="N1",COUNTIF($D$9:D3219,"N1"),""))</f>
        <v/>
      </c>
      <c r="J3219" s="96" t="str">
        <f>IF(D3219="","",COUNTA(D3208:D3219)-(COUNTA(D3219:D3219)-1))</f>
        <v/>
      </c>
    </row>
    <row r="3220" spans="1:10" thickBot="1">
      <c r="A3220" s="117"/>
      <c r="B3220" s="70">
        <f t="shared" si="205"/>
        <v>47012</v>
      </c>
      <c r="C3220" s="82" t="str">
        <f t="shared" si="202"/>
        <v>samedi</v>
      </c>
      <c r="D3220" s="87"/>
      <c r="E3220" s="115" t="str">
        <f t="shared" si="203"/>
        <v/>
      </c>
      <c r="F3220" s="115" t="str">
        <f t="shared" si="204"/>
        <v/>
      </c>
      <c r="G3220" s="116" t="str">
        <f>IF(ISNONTEXT(D3220),"",E3220-MAX($F$2:F3219))</f>
        <v/>
      </c>
      <c r="H3220" s="97"/>
      <c r="I3220" s="74" t="str">
        <f ca="1">IF(D3220="N",COUNTIF(INDIRECT(ADDRESS(MATCH(Plages!$D$19,'Planning annuel mixing coater'!$B:$B),4)):D3220,"N"),IF(D3220="N1",COUNTIF($D$9:D3220,"N1"),""))</f>
        <v/>
      </c>
      <c r="J3220" s="96" t="str">
        <f>IF(D3220="","",COUNTA(D3208:D3220)-(COUNTA(D3220:D3220)-1))</f>
        <v/>
      </c>
    </row>
    <row r="3221" spans="1:10" s="77" customFormat="1" thickBot="1">
      <c r="A3221" s="117"/>
      <c r="B3221" s="75">
        <f t="shared" si="205"/>
        <v>47013</v>
      </c>
      <c r="C3221" s="83" t="str">
        <f t="shared" si="202"/>
        <v>dimanche</v>
      </c>
      <c r="D3221" s="88"/>
      <c r="E3221" s="115" t="str">
        <f t="shared" si="203"/>
        <v/>
      </c>
      <c r="F3221" s="115" t="str">
        <f t="shared" si="204"/>
        <v/>
      </c>
      <c r="G3221" s="116" t="str">
        <f>IF(ISNONTEXT(D3221),"",E3221-MAX($F$2:F3220))</f>
        <v/>
      </c>
      <c r="H3221" s="98"/>
      <c r="I3221" s="76" t="str">
        <f ca="1">IF(D3221="N",COUNTIF(INDIRECT(ADDRESS(MATCH(Plages!$D$19,'Planning annuel mixing coater'!$B:$B),4)):D3221,"N"),IF(D3221="N1",COUNTIF($D$9:D3221,"N1"),""))</f>
        <v/>
      </c>
      <c r="J3221" s="99" t="str">
        <f>IF(D3221="","",COUNTA(D3208:D3221)-(COUNTA(D3221:D3221)-1))</f>
        <v/>
      </c>
    </row>
    <row r="3222" spans="1:10" ht="16.5" thickTop="1" thickBot="1">
      <c r="A3222" s="117"/>
      <c r="B3222" s="78">
        <f t="shared" si="205"/>
        <v>47014</v>
      </c>
      <c r="C3222" s="81" t="str">
        <f t="shared" si="202"/>
        <v>lundi</v>
      </c>
      <c r="D3222" s="89"/>
      <c r="E3222" s="115" t="str">
        <f t="shared" si="203"/>
        <v/>
      </c>
      <c r="F3222" s="115" t="str">
        <f t="shared" si="204"/>
        <v/>
      </c>
      <c r="G3222" s="116" t="str">
        <f>IF(ISNONTEXT(D3222),"",E3222-MAX($F$2:F3221))</f>
        <v/>
      </c>
      <c r="H3222" s="100"/>
      <c r="I3222" s="79" t="str">
        <f ca="1">IF(D3222="N",COUNTIF(INDIRECT(ADDRESS(MATCH(Plages!$D$19,'Planning annuel mixing coater'!$B:$B),4)):D3222,"N"),IF(D3222="N1",COUNTIF($D$9:D3222,"N1"),""))</f>
        <v/>
      </c>
      <c r="J3222" s="101" t="str">
        <f>IF(D3222="","",COUNTA(D3222:D3222)-(COUNTA(D3222:D3222)-1))</f>
        <v/>
      </c>
    </row>
    <row r="3223" spans="1:10" thickBot="1">
      <c r="A3223" s="117"/>
      <c r="B3223" s="70">
        <f t="shared" si="205"/>
        <v>47015</v>
      </c>
      <c r="C3223" s="82" t="str">
        <f t="shared" si="202"/>
        <v>mardi</v>
      </c>
      <c r="D3223" s="87"/>
      <c r="E3223" s="115" t="str">
        <f t="shared" si="203"/>
        <v/>
      </c>
      <c r="F3223" s="115" t="str">
        <f t="shared" si="204"/>
        <v/>
      </c>
      <c r="G3223" s="116" t="str">
        <f>IF(ISNONTEXT(D3223),"",E3223-MAX($F$2:F3222))</f>
        <v/>
      </c>
      <c r="H3223" s="97"/>
      <c r="I3223" s="74" t="str">
        <f ca="1">IF(D3223="N",COUNTIF(INDIRECT(ADDRESS(MATCH(Plages!$D$19,'Planning annuel mixing coater'!$B:$B),4)):D3223,"N"),IF(D3223="N1",COUNTIF($D$9:D3223,"N1"),""))</f>
        <v/>
      </c>
      <c r="J3223" s="96" t="str">
        <f>IF(D3223="","",COUNTA(D3222:D3223)-(COUNTA(D3223:D3223)-1))</f>
        <v/>
      </c>
    </row>
    <row r="3224" spans="1:10" thickBot="1">
      <c r="A3224" s="117"/>
      <c r="B3224" s="70">
        <f t="shared" si="205"/>
        <v>47016</v>
      </c>
      <c r="C3224" s="82" t="str">
        <f t="shared" si="202"/>
        <v>mercredi</v>
      </c>
      <c r="D3224" s="87"/>
      <c r="E3224" s="115" t="str">
        <f t="shared" si="203"/>
        <v/>
      </c>
      <c r="F3224" s="115" t="str">
        <f t="shared" si="204"/>
        <v/>
      </c>
      <c r="G3224" s="116" t="str">
        <f>IF(ISNONTEXT(D3224),"",E3224-MAX($F$2:F3223))</f>
        <v/>
      </c>
      <c r="H3224" s="97"/>
      <c r="I3224" s="74" t="str">
        <f ca="1">IF(D3224="N",COUNTIF(INDIRECT(ADDRESS(MATCH(Plages!$D$19,'Planning annuel mixing coater'!$B:$B),4)):D3224,"N"),IF(D3224="N1",COUNTIF($D$9:D3224,"N1"),""))</f>
        <v/>
      </c>
      <c r="J3224" s="96" t="str">
        <f>IF(D3224="","",COUNTA(D3222:D3224)-(COUNTA(D3224:D3224)-1))</f>
        <v/>
      </c>
    </row>
    <row r="3225" spans="1:10" thickBot="1">
      <c r="A3225" s="117"/>
      <c r="B3225" s="70">
        <f t="shared" si="205"/>
        <v>47017</v>
      </c>
      <c r="C3225" s="82" t="str">
        <f t="shared" si="202"/>
        <v>jeudi</v>
      </c>
      <c r="D3225" s="87"/>
      <c r="E3225" s="115" t="str">
        <f t="shared" si="203"/>
        <v/>
      </c>
      <c r="F3225" s="115" t="str">
        <f t="shared" si="204"/>
        <v/>
      </c>
      <c r="G3225" s="116" t="str">
        <f>IF(ISNONTEXT(D3225),"",E3225-MAX($F$2:F3224))</f>
        <v/>
      </c>
      <c r="H3225" s="97"/>
      <c r="I3225" s="74" t="str">
        <f ca="1">IF(D3225="N",COUNTIF(INDIRECT(ADDRESS(MATCH(Plages!$D$19,'Planning annuel mixing coater'!$B:$B),4)):D3225,"N"),IF(D3225="N1",COUNTIF($D$9:D3225,"N1"),""))</f>
        <v/>
      </c>
      <c r="J3225" s="96" t="str">
        <f>IF(D3225="","",COUNTA(D3222:D3225)-(COUNTA(D3225:D3225)-1))</f>
        <v/>
      </c>
    </row>
    <row r="3226" spans="1:10" thickBot="1">
      <c r="A3226" s="117"/>
      <c r="B3226" s="70">
        <f t="shared" si="205"/>
        <v>47018</v>
      </c>
      <c r="C3226" s="82" t="str">
        <f t="shared" si="202"/>
        <v>vendredi</v>
      </c>
      <c r="D3226" s="87"/>
      <c r="E3226" s="115" t="str">
        <f t="shared" si="203"/>
        <v/>
      </c>
      <c r="F3226" s="115" t="str">
        <f t="shared" si="204"/>
        <v/>
      </c>
      <c r="G3226" s="116" t="str">
        <f>IF(ISNONTEXT(D3226),"",E3226-MAX($F$2:F3225))</f>
        <v/>
      </c>
      <c r="H3226" s="97"/>
      <c r="I3226" s="74" t="str">
        <f ca="1">IF(D3226="N",COUNTIF(INDIRECT(ADDRESS(MATCH(Plages!$D$19,'Planning annuel mixing coater'!$B:$B),4)):D3226,"N"),IF(D3226="N1",COUNTIF($D$9:D3226,"N1"),""))</f>
        <v/>
      </c>
      <c r="J3226" s="96" t="str">
        <f>IF(D3226="","",COUNTA(D3222:D3226)-(COUNTA(D3226:D3226)-1))</f>
        <v/>
      </c>
    </row>
    <row r="3227" spans="1:10" thickBot="1">
      <c r="A3227" s="117"/>
      <c r="B3227" s="70">
        <f t="shared" si="205"/>
        <v>47019</v>
      </c>
      <c r="C3227" s="82" t="str">
        <f t="shared" si="202"/>
        <v>samedi</v>
      </c>
      <c r="D3227" s="87"/>
      <c r="E3227" s="115" t="str">
        <f t="shared" si="203"/>
        <v/>
      </c>
      <c r="F3227" s="115" t="str">
        <f t="shared" si="204"/>
        <v/>
      </c>
      <c r="G3227" s="116" t="str">
        <f>IF(ISNONTEXT(D3227),"",E3227-MAX($F$2:F3226))</f>
        <v/>
      </c>
      <c r="H3227" s="97"/>
      <c r="I3227" s="74" t="str">
        <f ca="1">IF(D3227="N",COUNTIF(INDIRECT(ADDRESS(MATCH(Plages!$D$19,'Planning annuel mixing coater'!$B:$B),4)):D3227,"N"),IF(D3227="N1",COUNTIF($D$9:D3227,"N1"),""))</f>
        <v/>
      </c>
      <c r="J3227" s="96" t="str">
        <f>IF(D3227="","",COUNTA(D3222:D3227)-(COUNTA(D3227:D3227)-1))</f>
        <v/>
      </c>
    </row>
    <row r="3228" spans="1:10" thickBot="1">
      <c r="A3228" s="117"/>
      <c r="B3228" s="70">
        <f t="shared" si="205"/>
        <v>47020</v>
      </c>
      <c r="C3228" s="82" t="str">
        <f t="shared" si="202"/>
        <v>dimanche</v>
      </c>
      <c r="D3228" s="87"/>
      <c r="E3228" s="115" t="str">
        <f t="shared" si="203"/>
        <v/>
      </c>
      <c r="F3228" s="115" t="str">
        <f t="shared" si="204"/>
        <v/>
      </c>
      <c r="G3228" s="116" t="str">
        <f>IF(ISNONTEXT(D3228),"",E3228-MAX($F$2:F3227))</f>
        <v/>
      </c>
      <c r="H3228" s="98"/>
      <c r="I3228" s="74" t="str">
        <f ca="1">IF(D3228="N",COUNTIF(INDIRECT(ADDRESS(MATCH(Plages!$D$19,'Planning annuel mixing coater'!$B:$B),4)):D3228,"N"),IF(D3228="N1",COUNTIF($D$9:D3228,"N1"),""))</f>
        <v/>
      </c>
      <c r="J3228" s="96" t="str">
        <f>IF(D3228="","",COUNTA(D3222:D3228)-(COUNTA(D3228:D3228)-1))</f>
        <v/>
      </c>
    </row>
    <row r="3229" spans="1:10" thickBot="1">
      <c r="A3229" s="117"/>
      <c r="B3229" s="70">
        <f t="shared" si="205"/>
        <v>47021</v>
      </c>
      <c r="C3229" s="82" t="str">
        <f t="shared" si="202"/>
        <v>lundi</v>
      </c>
      <c r="D3229" s="87"/>
      <c r="E3229" s="115" t="str">
        <f t="shared" si="203"/>
        <v/>
      </c>
      <c r="F3229" s="115" t="str">
        <f t="shared" si="204"/>
        <v/>
      </c>
      <c r="G3229" s="116" t="str">
        <f>IF(ISNONTEXT(D3229),"",E3229-MAX($F$2:F3228))</f>
        <v/>
      </c>
      <c r="H3229" s="97"/>
      <c r="I3229" s="74" t="str">
        <f ca="1">IF(D3229="N",COUNTIF(INDIRECT(ADDRESS(MATCH(Plages!$D$19,'Planning annuel mixing coater'!$B:$B),4)):D3229,"N"),IF(D3229="N1",COUNTIF($D$9:D3229,"N1"),""))</f>
        <v/>
      </c>
      <c r="J3229" s="96" t="str">
        <f>IF(D3229="","",COUNTA(D3222:D3229)-(COUNTA(D3229:D3229)-1))</f>
        <v/>
      </c>
    </row>
    <row r="3230" spans="1:10" thickBot="1">
      <c r="A3230" s="117"/>
      <c r="B3230" s="70">
        <f t="shared" si="205"/>
        <v>47022</v>
      </c>
      <c r="C3230" s="82" t="str">
        <f t="shared" ref="C3230:C3293" si="206">IF(B3230="","",TEXT(B3230,"jjjj"))</f>
        <v>mardi</v>
      </c>
      <c r="D3230" s="87"/>
      <c r="E3230" s="115" t="str">
        <f t="shared" ref="E3230:E3293" si="207">IF(D3230="","",B3230+VLOOKUP(D3230,Plageh,2,0))</f>
        <v/>
      </c>
      <c r="F3230" s="115" t="str">
        <f t="shared" ref="F3230:F3293" si="208">IF(D3230="","",B3230+VLOOKUP(D3230,Plageh,3,0))</f>
        <v/>
      </c>
      <c r="G3230" s="116" t="str">
        <f>IF(ISNONTEXT(D3230),"",E3230-MAX($F$2:F3229))</f>
        <v/>
      </c>
      <c r="H3230" s="97"/>
      <c r="I3230" s="74" t="str">
        <f ca="1">IF(D3230="N",COUNTIF(INDIRECT(ADDRESS(MATCH(Plages!$D$19,'Planning annuel mixing coater'!$B:$B),4)):D3230,"N"),IF(D3230="N1",COUNTIF($D$9:D3230,"N1"),""))</f>
        <v/>
      </c>
      <c r="J3230" s="96" t="str">
        <f>IF(D3230="","",COUNTA(D3222:D3230)-(COUNTA(D3230:D3230)-1))</f>
        <v/>
      </c>
    </row>
    <row r="3231" spans="1:10" thickBot="1">
      <c r="A3231" s="117"/>
      <c r="B3231" s="70">
        <f t="shared" si="205"/>
        <v>47023</v>
      </c>
      <c r="C3231" s="82" t="str">
        <f t="shared" si="206"/>
        <v>mercredi</v>
      </c>
      <c r="D3231" s="87"/>
      <c r="E3231" s="115" t="str">
        <f t="shared" si="207"/>
        <v/>
      </c>
      <c r="F3231" s="115" t="str">
        <f t="shared" si="208"/>
        <v/>
      </c>
      <c r="G3231" s="116" t="str">
        <f>IF(ISNONTEXT(D3231),"",E3231-MAX($F$2:F3230))</f>
        <v/>
      </c>
      <c r="H3231" s="97"/>
      <c r="I3231" s="74" t="str">
        <f ca="1">IF(D3231="N",COUNTIF(INDIRECT(ADDRESS(MATCH(Plages!$D$19,'Planning annuel mixing coater'!$B:$B),4)):D3231,"N"),IF(D3231="N1",COUNTIF($D$9:D3231,"N1"),""))</f>
        <v/>
      </c>
      <c r="J3231" s="96" t="str">
        <f>IF(D3231="","",COUNTA(D3222:D3231)-(COUNTA(D3231:D3231)-1))</f>
        <v/>
      </c>
    </row>
    <row r="3232" spans="1:10" thickBot="1">
      <c r="A3232" s="117"/>
      <c r="B3232" s="70">
        <f t="shared" si="205"/>
        <v>47024</v>
      </c>
      <c r="C3232" s="82" t="str">
        <f t="shared" si="206"/>
        <v>jeudi</v>
      </c>
      <c r="D3232" s="87"/>
      <c r="E3232" s="115" t="str">
        <f t="shared" si="207"/>
        <v/>
      </c>
      <c r="F3232" s="115" t="str">
        <f t="shared" si="208"/>
        <v/>
      </c>
      <c r="G3232" s="116" t="str">
        <f>IF(ISNONTEXT(D3232),"",E3232-MAX($F$2:F3231))</f>
        <v/>
      </c>
      <c r="H3232" s="97"/>
      <c r="I3232" s="74" t="str">
        <f ca="1">IF(D3232="N",COUNTIF(INDIRECT(ADDRESS(MATCH(Plages!$D$19,'Planning annuel mixing coater'!$B:$B),4)):D3232,"N"),IF(D3232="N1",COUNTIF($D$9:D3232,"N1"),""))</f>
        <v/>
      </c>
      <c r="J3232" s="96" t="str">
        <f>IF(D3232="","",COUNTA(D3222:D3232)-(COUNTA(D3232:D3232)-1))</f>
        <v/>
      </c>
    </row>
    <row r="3233" spans="1:10" thickBot="1">
      <c r="A3233" s="117"/>
      <c r="B3233" s="70">
        <f t="shared" si="205"/>
        <v>47025</v>
      </c>
      <c r="C3233" s="82" t="str">
        <f t="shared" si="206"/>
        <v>vendredi</v>
      </c>
      <c r="D3233" s="87"/>
      <c r="E3233" s="115" t="str">
        <f t="shared" si="207"/>
        <v/>
      </c>
      <c r="F3233" s="115" t="str">
        <f t="shared" si="208"/>
        <v/>
      </c>
      <c r="G3233" s="116" t="str">
        <f>IF(ISNONTEXT(D3233),"",E3233-MAX($F$2:F3232))</f>
        <v/>
      </c>
      <c r="H3233" s="97"/>
      <c r="I3233" s="74" t="str">
        <f ca="1">IF(D3233="N",COUNTIF(INDIRECT(ADDRESS(MATCH(Plages!$D$19,'Planning annuel mixing coater'!$B:$B),4)):D3233,"N"),IF(D3233="N1",COUNTIF($D$9:D3233,"N1"),""))</f>
        <v/>
      </c>
      <c r="J3233" s="96" t="str">
        <f>IF(D3233="","",COUNTA(D3222:D3233)-(COUNTA(D3233:D3233)-1))</f>
        <v/>
      </c>
    </row>
    <row r="3234" spans="1:10" thickBot="1">
      <c r="A3234" s="117"/>
      <c r="B3234" s="70">
        <f t="shared" si="205"/>
        <v>47026</v>
      </c>
      <c r="C3234" s="82" t="str">
        <f t="shared" si="206"/>
        <v>samedi</v>
      </c>
      <c r="D3234" s="87"/>
      <c r="E3234" s="115" t="str">
        <f t="shared" si="207"/>
        <v/>
      </c>
      <c r="F3234" s="115" t="str">
        <f t="shared" si="208"/>
        <v/>
      </c>
      <c r="G3234" s="116" t="str">
        <f>IF(ISNONTEXT(D3234),"",E3234-MAX($F$2:F3233))</f>
        <v/>
      </c>
      <c r="H3234" s="97"/>
      <c r="I3234" s="74" t="str">
        <f ca="1">IF(D3234="N",COUNTIF(INDIRECT(ADDRESS(MATCH(Plages!$D$19,'Planning annuel mixing coater'!$B:$B),4)):D3234,"N"),IF(D3234="N1",COUNTIF($D$9:D3234,"N1"),""))</f>
        <v/>
      </c>
      <c r="J3234" s="96" t="str">
        <f>IF(D3234="","",COUNTA(D3222:D3234)-(COUNTA(D3234:D3234)-1))</f>
        <v/>
      </c>
    </row>
    <row r="3235" spans="1:10" s="77" customFormat="1" thickBot="1">
      <c r="A3235" s="117"/>
      <c r="B3235" s="75">
        <f t="shared" si="205"/>
        <v>47027</v>
      </c>
      <c r="C3235" s="83" t="str">
        <f t="shared" si="206"/>
        <v>dimanche</v>
      </c>
      <c r="D3235" s="88"/>
      <c r="E3235" s="115" t="str">
        <f t="shared" si="207"/>
        <v/>
      </c>
      <c r="F3235" s="115" t="str">
        <f t="shared" si="208"/>
        <v/>
      </c>
      <c r="G3235" s="116" t="str">
        <f>IF(ISNONTEXT(D3235),"",E3235-MAX($F$2:F3234))</f>
        <v/>
      </c>
      <c r="H3235" s="98"/>
      <c r="I3235" s="76" t="str">
        <f ca="1">IF(D3235="N",COUNTIF(INDIRECT(ADDRESS(MATCH(Plages!$D$19,'Planning annuel mixing coater'!$B:$B),4)):D3235,"N"),IF(D3235="N1",COUNTIF($D$9:D3235,"N1"),""))</f>
        <v/>
      </c>
      <c r="J3235" s="99" t="str">
        <f>IF(D3235="","",COUNTA(D3222:D3235)-(COUNTA(D3235:D3235)-1))</f>
        <v/>
      </c>
    </row>
    <row r="3236" spans="1:10" ht="16.5" thickTop="1" thickBot="1">
      <c r="A3236" s="117"/>
      <c r="B3236" s="78">
        <f t="shared" si="205"/>
        <v>47028</v>
      </c>
      <c r="C3236" s="81" t="str">
        <f t="shared" si="206"/>
        <v>lundi</v>
      </c>
      <c r="D3236" s="89"/>
      <c r="E3236" s="115" t="str">
        <f t="shared" si="207"/>
        <v/>
      </c>
      <c r="F3236" s="115" t="str">
        <f t="shared" si="208"/>
        <v/>
      </c>
      <c r="G3236" s="116" t="str">
        <f>IF(ISNONTEXT(D3236),"",E3236-MAX($F$2:F3235))</f>
        <v/>
      </c>
      <c r="H3236" s="100"/>
      <c r="I3236" s="79" t="str">
        <f ca="1">IF(D3236="N",COUNTIF(INDIRECT(ADDRESS(MATCH(Plages!$D$19,'Planning annuel mixing coater'!$B:$B),4)):D3236,"N"),IF(D3236="N1",COUNTIF($D$9:D3236,"N1"),""))</f>
        <v/>
      </c>
      <c r="J3236" s="101" t="str">
        <f>IF(D3236="","",COUNTA(D3236:D3236)-(COUNTA(D3236:D3236)-1))</f>
        <v/>
      </c>
    </row>
    <row r="3237" spans="1:10" thickBot="1">
      <c r="A3237" s="117"/>
      <c r="B3237" s="70">
        <f t="shared" si="205"/>
        <v>47029</v>
      </c>
      <c r="C3237" s="82" t="str">
        <f t="shared" si="206"/>
        <v>mardi</v>
      </c>
      <c r="D3237" s="87"/>
      <c r="E3237" s="115" t="str">
        <f t="shared" si="207"/>
        <v/>
      </c>
      <c r="F3237" s="115" t="str">
        <f t="shared" si="208"/>
        <v/>
      </c>
      <c r="G3237" s="116" t="str">
        <f>IF(ISNONTEXT(D3237),"",E3237-MAX($F$2:F3236))</f>
        <v/>
      </c>
      <c r="H3237" s="97"/>
      <c r="I3237" s="74" t="str">
        <f ca="1">IF(D3237="N",COUNTIF(INDIRECT(ADDRESS(MATCH(Plages!$D$19,'Planning annuel mixing coater'!$B:$B),4)):D3237,"N"),IF(D3237="N1",COUNTIF($D$9:D3237,"N1"),""))</f>
        <v/>
      </c>
      <c r="J3237" s="96" t="str">
        <f>IF(D3237="","",COUNTA(D3236:D3237)-(COUNTA(D3237:D3237)-1))</f>
        <v/>
      </c>
    </row>
    <row r="3238" spans="1:10" thickBot="1">
      <c r="A3238" s="117"/>
      <c r="B3238" s="70">
        <f t="shared" si="205"/>
        <v>47030</v>
      </c>
      <c r="C3238" s="82" t="str">
        <f t="shared" si="206"/>
        <v>mercredi</v>
      </c>
      <c r="D3238" s="87"/>
      <c r="E3238" s="115" t="str">
        <f t="shared" si="207"/>
        <v/>
      </c>
      <c r="F3238" s="115" t="str">
        <f t="shared" si="208"/>
        <v/>
      </c>
      <c r="G3238" s="116" t="str">
        <f>IF(ISNONTEXT(D3238),"",E3238-MAX($F$2:F3237))</f>
        <v/>
      </c>
      <c r="H3238" s="97"/>
      <c r="I3238" s="74" t="str">
        <f ca="1">IF(D3238="N",COUNTIF(INDIRECT(ADDRESS(MATCH(Plages!$D$19,'Planning annuel mixing coater'!$B:$B),4)):D3238,"N"),IF(D3238="N1",COUNTIF($D$9:D3238,"N1"),""))</f>
        <v/>
      </c>
      <c r="J3238" s="96" t="str">
        <f>IF(D3238="","",COUNTA(D3236:D3238)-(COUNTA(D3238:D3238)-1))</f>
        <v/>
      </c>
    </row>
    <row r="3239" spans="1:10" thickBot="1">
      <c r="A3239" s="117"/>
      <c r="B3239" s="70">
        <f t="shared" si="205"/>
        <v>47031</v>
      </c>
      <c r="C3239" s="82" t="str">
        <f t="shared" si="206"/>
        <v>jeudi</v>
      </c>
      <c r="D3239" s="87"/>
      <c r="E3239" s="115" t="str">
        <f t="shared" si="207"/>
        <v/>
      </c>
      <c r="F3239" s="115" t="str">
        <f t="shared" si="208"/>
        <v/>
      </c>
      <c r="G3239" s="116" t="str">
        <f>IF(ISNONTEXT(D3239),"",E3239-MAX($F$2:F3238))</f>
        <v/>
      </c>
      <c r="H3239" s="97"/>
      <c r="I3239" s="74" t="str">
        <f ca="1">IF(D3239="N",COUNTIF(INDIRECT(ADDRESS(MATCH(Plages!$D$19,'Planning annuel mixing coater'!$B:$B),4)):D3239,"N"),IF(D3239="N1",COUNTIF($D$9:D3239,"N1"),""))</f>
        <v/>
      </c>
      <c r="J3239" s="96" t="str">
        <f>IF(D3239="","",COUNTA(D3236:D3239)-(COUNTA(D3239:D3239)-1))</f>
        <v/>
      </c>
    </row>
    <row r="3240" spans="1:10" thickBot="1">
      <c r="A3240" s="117"/>
      <c r="B3240" s="70">
        <f t="shared" si="205"/>
        <v>47032</v>
      </c>
      <c r="C3240" s="82" t="str">
        <f t="shared" si="206"/>
        <v>vendredi</v>
      </c>
      <c r="D3240" s="87"/>
      <c r="E3240" s="115" t="str">
        <f t="shared" si="207"/>
        <v/>
      </c>
      <c r="F3240" s="115" t="str">
        <f t="shared" si="208"/>
        <v/>
      </c>
      <c r="G3240" s="116" t="str">
        <f>IF(ISNONTEXT(D3240),"",E3240-MAX($F$2:F3239))</f>
        <v/>
      </c>
      <c r="H3240" s="97"/>
      <c r="I3240" s="74" t="str">
        <f ca="1">IF(D3240="N",COUNTIF(INDIRECT(ADDRESS(MATCH(Plages!$D$19,'Planning annuel mixing coater'!$B:$B),4)):D3240,"N"),IF(D3240="N1",COUNTIF($D$9:D3240,"N1"),""))</f>
        <v/>
      </c>
      <c r="J3240" s="96" t="str">
        <f>IF(D3240="","",COUNTA(D3236:D3240)-(COUNTA(D3240:D3240)-1))</f>
        <v/>
      </c>
    </row>
    <row r="3241" spans="1:10" thickBot="1">
      <c r="A3241" s="117"/>
      <c r="B3241" s="70">
        <f t="shared" si="205"/>
        <v>47033</v>
      </c>
      <c r="C3241" s="82" t="str">
        <f t="shared" si="206"/>
        <v>samedi</v>
      </c>
      <c r="D3241" s="87"/>
      <c r="E3241" s="115" t="str">
        <f t="shared" si="207"/>
        <v/>
      </c>
      <c r="F3241" s="115" t="str">
        <f t="shared" si="208"/>
        <v/>
      </c>
      <c r="G3241" s="116" t="str">
        <f>IF(ISNONTEXT(D3241),"",E3241-MAX($F$2:F3240))</f>
        <v/>
      </c>
      <c r="H3241" s="97"/>
      <c r="I3241" s="74" t="str">
        <f ca="1">IF(D3241="N",COUNTIF(INDIRECT(ADDRESS(MATCH(Plages!$D$19,'Planning annuel mixing coater'!$B:$B),4)):D3241,"N"),IF(D3241="N1",COUNTIF($D$9:D3241,"N1"),""))</f>
        <v/>
      </c>
      <c r="J3241" s="96" t="str">
        <f>IF(D3241="","",COUNTA(D3236:D3241)-(COUNTA(D3241:D3241)-1))</f>
        <v/>
      </c>
    </row>
    <row r="3242" spans="1:10" thickBot="1">
      <c r="A3242" s="117"/>
      <c r="B3242" s="70">
        <f t="shared" si="205"/>
        <v>47034</v>
      </c>
      <c r="C3242" s="82" t="str">
        <f t="shared" si="206"/>
        <v>dimanche</v>
      </c>
      <c r="D3242" s="87"/>
      <c r="E3242" s="115" t="str">
        <f t="shared" si="207"/>
        <v/>
      </c>
      <c r="F3242" s="115" t="str">
        <f t="shared" si="208"/>
        <v/>
      </c>
      <c r="G3242" s="116" t="str">
        <f>IF(ISNONTEXT(D3242),"",E3242-MAX($F$2:F3241))</f>
        <v/>
      </c>
      <c r="H3242" s="98"/>
      <c r="I3242" s="74" t="str">
        <f ca="1">IF(D3242="N",COUNTIF(INDIRECT(ADDRESS(MATCH(Plages!$D$19,'Planning annuel mixing coater'!$B:$B),4)):D3242,"N"),IF(D3242="N1",COUNTIF($D$9:D3242,"N1"),""))</f>
        <v/>
      </c>
      <c r="J3242" s="96" t="str">
        <f>IF(D3242="","",COUNTA(D3236:D3242)-(COUNTA(D3242:D3242)-1))</f>
        <v/>
      </c>
    </row>
    <row r="3243" spans="1:10" thickBot="1">
      <c r="A3243" s="117"/>
      <c r="B3243" s="70">
        <f t="shared" si="205"/>
        <v>47035</v>
      </c>
      <c r="C3243" s="82" t="str">
        <f t="shared" si="206"/>
        <v>lundi</v>
      </c>
      <c r="D3243" s="87"/>
      <c r="E3243" s="115" t="str">
        <f t="shared" si="207"/>
        <v/>
      </c>
      <c r="F3243" s="115" t="str">
        <f t="shared" si="208"/>
        <v/>
      </c>
      <c r="G3243" s="116" t="str">
        <f>IF(ISNONTEXT(D3243),"",E3243-MAX($F$2:F3242))</f>
        <v/>
      </c>
      <c r="H3243" s="97"/>
      <c r="I3243" s="74" t="str">
        <f ca="1">IF(D3243="N",COUNTIF(INDIRECT(ADDRESS(MATCH(Plages!$D$19,'Planning annuel mixing coater'!$B:$B),4)):D3243,"N"),IF(D3243="N1",COUNTIF($D$9:D3243,"N1"),""))</f>
        <v/>
      </c>
      <c r="J3243" s="96" t="str">
        <f>IF(D3243="","",COUNTA(D3236:D3243)-(COUNTA(D3243:D3243)-1))</f>
        <v/>
      </c>
    </row>
    <row r="3244" spans="1:10" thickBot="1">
      <c r="A3244" s="117"/>
      <c r="B3244" s="70">
        <f t="shared" si="205"/>
        <v>47036</v>
      </c>
      <c r="C3244" s="82" t="str">
        <f t="shared" si="206"/>
        <v>mardi</v>
      </c>
      <c r="D3244" s="87"/>
      <c r="E3244" s="115" t="str">
        <f t="shared" si="207"/>
        <v/>
      </c>
      <c r="F3244" s="115" t="str">
        <f t="shared" si="208"/>
        <v/>
      </c>
      <c r="G3244" s="116" t="str">
        <f>IF(ISNONTEXT(D3244),"",E3244-MAX($F$2:F3243))</f>
        <v/>
      </c>
      <c r="H3244" s="97"/>
      <c r="I3244" s="74" t="str">
        <f ca="1">IF(D3244="N",COUNTIF(INDIRECT(ADDRESS(MATCH(Plages!$D$19,'Planning annuel mixing coater'!$B:$B),4)):D3244,"N"),IF(D3244="N1",COUNTIF($D$9:D3244,"N1"),""))</f>
        <v/>
      </c>
      <c r="J3244" s="96" t="str">
        <f>IF(D3244="","",COUNTA(D3236:D3244)-(COUNTA(D3244:D3244)-1))</f>
        <v/>
      </c>
    </row>
    <row r="3245" spans="1:10" thickBot="1">
      <c r="A3245" s="117"/>
      <c r="B3245" s="70">
        <f t="shared" si="205"/>
        <v>47037</v>
      </c>
      <c r="C3245" s="82" t="str">
        <f t="shared" si="206"/>
        <v>mercredi</v>
      </c>
      <c r="D3245" s="87"/>
      <c r="E3245" s="115" t="str">
        <f t="shared" si="207"/>
        <v/>
      </c>
      <c r="F3245" s="115" t="str">
        <f t="shared" si="208"/>
        <v/>
      </c>
      <c r="G3245" s="116" t="str">
        <f>IF(ISNONTEXT(D3245),"",E3245-MAX($F$2:F3244))</f>
        <v/>
      </c>
      <c r="H3245" s="97"/>
      <c r="I3245" s="74" t="str">
        <f ca="1">IF(D3245="N",COUNTIF(INDIRECT(ADDRESS(MATCH(Plages!$D$19,'Planning annuel mixing coater'!$B:$B),4)):D3245,"N"),IF(D3245="N1",COUNTIF($D$9:D3245,"N1"),""))</f>
        <v/>
      </c>
      <c r="J3245" s="96" t="str">
        <f>IF(D3245="","",COUNTA(D3236:D3245)-(COUNTA(D3245:D3245)-1))</f>
        <v/>
      </c>
    </row>
    <row r="3246" spans="1:10" thickBot="1">
      <c r="A3246" s="117"/>
      <c r="B3246" s="70">
        <f t="shared" si="205"/>
        <v>47038</v>
      </c>
      <c r="C3246" s="82" t="str">
        <f t="shared" si="206"/>
        <v>jeudi</v>
      </c>
      <c r="D3246" s="87"/>
      <c r="E3246" s="115" t="str">
        <f t="shared" si="207"/>
        <v/>
      </c>
      <c r="F3246" s="115" t="str">
        <f t="shared" si="208"/>
        <v/>
      </c>
      <c r="G3246" s="116" t="str">
        <f>IF(ISNONTEXT(D3246),"",E3246-MAX($F$2:F3245))</f>
        <v/>
      </c>
      <c r="H3246" s="97"/>
      <c r="I3246" s="74" t="str">
        <f ca="1">IF(D3246="N",COUNTIF(INDIRECT(ADDRESS(MATCH(Plages!$D$19,'Planning annuel mixing coater'!$B:$B),4)):D3246,"N"),IF(D3246="N1",COUNTIF($D$9:D3246,"N1"),""))</f>
        <v/>
      </c>
      <c r="J3246" s="96" t="str">
        <f>IF(D3246="","",COUNTA(D3236:D3246)-(COUNTA(D3246:D3246)-1))</f>
        <v/>
      </c>
    </row>
    <row r="3247" spans="1:10" thickBot="1">
      <c r="A3247" s="117"/>
      <c r="B3247" s="70">
        <f t="shared" si="205"/>
        <v>47039</v>
      </c>
      <c r="C3247" s="82" t="str">
        <f t="shared" si="206"/>
        <v>vendredi</v>
      </c>
      <c r="D3247" s="87"/>
      <c r="E3247" s="115" t="str">
        <f t="shared" si="207"/>
        <v/>
      </c>
      <c r="F3247" s="115" t="str">
        <f t="shared" si="208"/>
        <v/>
      </c>
      <c r="G3247" s="116" t="str">
        <f>IF(ISNONTEXT(D3247),"",E3247-MAX($F$2:F3246))</f>
        <v/>
      </c>
      <c r="H3247" s="97"/>
      <c r="I3247" s="74" t="str">
        <f ca="1">IF(D3247="N",COUNTIF(INDIRECT(ADDRESS(MATCH(Plages!$D$19,'Planning annuel mixing coater'!$B:$B),4)):D3247,"N"),IF(D3247="N1",COUNTIF($D$9:D3247,"N1"),""))</f>
        <v/>
      </c>
      <c r="J3247" s="96" t="str">
        <f>IF(D3247="","",COUNTA(D3236:D3247)-(COUNTA(D3247:D3247)-1))</f>
        <v/>
      </c>
    </row>
    <row r="3248" spans="1:10" thickBot="1">
      <c r="A3248" s="117"/>
      <c r="B3248" s="70">
        <f t="shared" si="205"/>
        <v>47040</v>
      </c>
      <c r="C3248" s="82" t="str">
        <f t="shared" si="206"/>
        <v>samedi</v>
      </c>
      <c r="D3248" s="87"/>
      <c r="E3248" s="115" t="str">
        <f t="shared" si="207"/>
        <v/>
      </c>
      <c r="F3248" s="115" t="str">
        <f t="shared" si="208"/>
        <v/>
      </c>
      <c r="G3248" s="116" t="str">
        <f>IF(ISNONTEXT(D3248),"",E3248-MAX($F$2:F3247))</f>
        <v/>
      </c>
      <c r="H3248" s="97"/>
      <c r="I3248" s="74" t="str">
        <f ca="1">IF(D3248="N",COUNTIF(INDIRECT(ADDRESS(MATCH(Plages!$D$19,'Planning annuel mixing coater'!$B:$B),4)):D3248,"N"),IF(D3248="N1",COUNTIF($D$9:D3248,"N1"),""))</f>
        <v/>
      </c>
      <c r="J3248" s="96" t="str">
        <f>IF(D3248="","",COUNTA(D3236:D3248)-(COUNTA(D3248:D3248)-1))</f>
        <v/>
      </c>
    </row>
    <row r="3249" spans="1:10" s="77" customFormat="1" thickBot="1">
      <c r="A3249" s="117"/>
      <c r="B3249" s="75">
        <f t="shared" si="205"/>
        <v>47041</v>
      </c>
      <c r="C3249" s="83" t="str">
        <f t="shared" si="206"/>
        <v>dimanche</v>
      </c>
      <c r="D3249" s="88"/>
      <c r="E3249" s="115" t="str">
        <f t="shared" si="207"/>
        <v/>
      </c>
      <c r="F3249" s="115" t="str">
        <f t="shared" si="208"/>
        <v/>
      </c>
      <c r="G3249" s="116" t="str">
        <f>IF(ISNONTEXT(D3249),"",E3249-MAX($F$2:F3248))</f>
        <v/>
      </c>
      <c r="H3249" s="98"/>
      <c r="I3249" s="76" t="str">
        <f ca="1">IF(D3249="N",COUNTIF(INDIRECT(ADDRESS(MATCH(Plages!$D$19,'Planning annuel mixing coater'!$B:$B),4)):D3249,"N"),IF(D3249="N1",COUNTIF($D$9:D3249,"N1"),""))</f>
        <v/>
      </c>
      <c r="J3249" s="99" t="str">
        <f>IF(D3249="","",COUNTA(D3236:D3249)-(COUNTA(D3249:D3249)-1))</f>
        <v/>
      </c>
    </row>
    <row r="3250" spans="1:10" ht="16.5" thickTop="1" thickBot="1">
      <c r="A3250" s="117"/>
      <c r="B3250" s="78">
        <f t="shared" si="205"/>
        <v>47042</v>
      </c>
      <c r="C3250" s="81" t="str">
        <f t="shared" si="206"/>
        <v>lundi</v>
      </c>
      <c r="D3250" s="89"/>
      <c r="E3250" s="115" t="str">
        <f t="shared" si="207"/>
        <v/>
      </c>
      <c r="F3250" s="115" t="str">
        <f t="shared" si="208"/>
        <v/>
      </c>
      <c r="G3250" s="116" t="str">
        <f>IF(ISNONTEXT(D3250),"",E3250-MAX($F$2:F3249))</f>
        <v/>
      </c>
      <c r="H3250" s="100"/>
      <c r="I3250" s="79" t="str">
        <f ca="1">IF(D3250="N",COUNTIF(INDIRECT(ADDRESS(MATCH(Plages!$D$19,'Planning annuel mixing coater'!$B:$B),4)):D3250,"N"),IF(D3250="N1",COUNTIF($D$9:D3250,"N1"),""))</f>
        <v/>
      </c>
      <c r="J3250" s="101" t="str">
        <f>IF(D3250="","",COUNTA(D3250:D3250)-(COUNTA(D3250:D3250)-1))</f>
        <v/>
      </c>
    </row>
    <row r="3251" spans="1:10" thickBot="1">
      <c r="A3251" s="117"/>
      <c r="B3251" s="70">
        <f t="shared" si="205"/>
        <v>47043</v>
      </c>
      <c r="C3251" s="82" t="str">
        <f t="shared" si="206"/>
        <v>mardi</v>
      </c>
      <c r="D3251" s="87"/>
      <c r="E3251" s="115" t="str">
        <f t="shared" si="207"/>
        <v/>
      </c>
      <c r="F3251" s="115" t="str">
        <f t="shared" si="208"/>
        <v/>
      </c>
      <c r="G3251" s="116" t="str">
        <f>IF(ISNONTEXT(D3251),"",E3251-MAX($F$2:F3250))</f>
        <v/>
      </c>
      <c r="H3251" s="97"/>
      <c r="I3251" s="74" t="str">
        <f ca="1">IF(D3251="N",COUNTIF(INDIRECT(ADDRESS(MATCH(Plages!$D$19,'Planning annuel mixing coater'!$B:$B),4)):D3251,"N"),IF(D3251="N1",COUNTIF($D$9:D3251,"N1"),""))</f>
        <v/>
      </c>
      <c r="J3251" s="96" t="str">
        <f>IF(D3251="","",COUNTA(D3250:D3251)-(COUNTA(D3251:D3251)-1))</f>
        <v/>
      </c>
    </row>
    <row r="3252" spans="1:10" thickBot="1">
      <c r="A3252" s="117"/>
      <c r="B3252" s="70">
        <f t="shared" si="205"/>
        <v>47044</v>
      </c>
      <c r="C3252" s="82" t="str">
        <f t="shared" si="206"/>
        <v>mercredi</v>
      </c>
      <c r="D3252" s="87"/>
      <c r="E3252" s="115" t="str">
        <f t="shared" si="207"/>
        <v/>
      </c>
      <c r="F3252" s="115" t="str">
        <f t="shared" si="208"/>
        <v/>
      </c>
      <c r="G3252" s="116" t="str">
        <f>IF(ISNONTEXT(D3252),"",E3252-MAX($F$2:F3251))</f>
        <v/>
      </c>
      <c r="H3252" s="97"/>
      <c r="I3252" s="74" t="str">
        <f ca="1">IF(D3252="N",COUNTIF(INDIRECT(ADDRESS(MATCH(Plages!$D$19,'Planning annuel mixing coater'!$B:$B),4)):D3252,"N"),IF(D3252="N1",COUNTIF($D$9:D3252,"N1"),""))</f>
        <v/>
      </c>
      <c r="J3252" s="96" t="str">
        <f>IF(D3252="","",COUNTA(D3250:D3252)-(COUNTA(D3252:D3252)-1))</f>
        <v/>
      </c>
    </row>
    <row r="3253" spans="1:10" thickBot="1">
      <c r="A3253" s="117"/>
      <c r="B3253" s="70">
        <f t="shared" si="205"/>
        <v>47045</v>
      </c>
      <c r="C3253" s="82" t="str">
        <f t="shared" si="206"/>
        <v>jeudi</v>
      </c>
      <c r="D3253" s="87"/>
      <c r="E3253" s="115" t="str">
        <f t="shared" si="207"/>
        <v/>
      </c>
      <c r="F3253" s="115" t="str">
        <f t="shared" si="208"/>
        <v/>
      </c>
      <c r="G3253" s="116" t="str">
        <f>IF(ISNONTEXT(D3253),"",E3253-MAX($F$2:F3252))</f>
        <v/>
      </c>
      <c r="H3253" s="97"/>
      <c r="I3253" s="74" t="str">
        <f ca="1">IF(D3253="N",COUNTIF(INDIRECT(ADDRESS(MATCH(Plages!$D$19,'Planning annuel mixing coater'!$B:$B),4)):D3253,"N"),IF(D3253="N1",COUNTIF($D$9:D3253,"N1"),""))</f>
        <v/>
      </c>
      <c r="J3253" s="96" t="str">
        <f>IF(D3253="","",COUNTA(D3250:D3253)-(COUNTA(D3253:D3253)-1))</f>
        <v/>
      </c>
    </row>
    <row r="3254" spans="1:10" thickBot="1">
      <c r="A3254" s="117"/>
      <c r="B3254" s="70">
        <f t="shared" si="205"/>
        <v>47046</v>
      </c>
      <c r="C3254" s="82" t="str">
        <f t="shared" si="206"/>
        <v>vendredi</v>
      </c>
      <c r="D3254" s="87"/>
      <c r="E3254" s="115" t="str">
        <f t="shared" si="207"/>
        <v/>
      </c>
      <c r="F3254" s="115" t="str">
        <f t="shared" si="208"/>
        <v/>
      </c>
      <c r="G3254" s="116" t="str">
        <f>IF(ISNONTEXT(D3254),"",E3254-MAX($F$2:F3253))</f>
        <v/>
      </c>
      <c r="H3254" s="97"/>
      <c r="I3254" s="74" t="str">
        <f ca="1">IF(D3254="N",COUNTIF(INDIRECT(ADDRESS(MATCH(Plages!$D$19,'Planning annuel mixing coater'!$B:$B),4)):D3254,"N"),IF(D3254="N1",COUNTIF($D$9:D3254,"N1"),""))</f>
        <v/>
      </c>
      <c r="J3254" s="96" t="str">
        <f>IF(D3254="","",COUNTA(D3250:D3254)-(COUNTA(D3254:D3254)-1))</f>
        <v/>
      </c>
    </row>
    <row r="3255" spans="1:10" thickBot="1">
      <c r="A3255" s="117"/>
      <c r="B3255" s="70">
        <f t="shared" si="205"/>
        <v>47047</v>
      </c>
      <c r="C3255" s="82" t="str">
        <f t="shared" si="206"/>
        <v>samedi</v>
      </c>
      <c r="D3255" s="87"/>
      <c r="E3255" s="115" t="str">
        <f t="shared" si="207"/>
        <v/>
      </c>
      <c r="F3255" s="115" t="str">
        <f t="shared" si="208"/>
        <v/>
      </c>
      <c r="G3255" s="116" t="str">
        <f>IF(ISNONTEXT(D3255),"",E3255-MAX($F$2:F3254))</f>
        <v/>
      </c>
      <c r="H3255" s="97"/>
      <c r="I3255" s="74" t="str">
        <f ca="1">IF(D3255="N",COUNTIF(INDIRECT(ADDRESS(MATCH(Plages!$D$19,'Planning annuel mixing coater'!$B:$B),4)):D3255,"N"),IF(D3255="N1",COUNTIF($D$9:D3255,"N1"),""))</f>
        <v/>
      </c>
      <c r="J3255" s="96" t="str">
        <f>IF(D3255="","",COUNTA(D3250:D3255)-(COUNTA(D3255:D3255)-1))</f>
        <v/>
      </c>
    </row>
    <row r="3256" spans="1:10" thickBot="1">
      <c r="A3256" s="117"/>
      <c r="B3256" s="70">
        <f t="shared" si="205"/>
        <v>47048</v>
      </c>
      <c r="C3256" s="82" t="str">
        <f t="shared" si="206"/>
        <v>dimanche</v>
      </c>
      <c r="D3256" s="87"/>
      <c r="E3256" s="115" t="str">
        <f t="shared" si="207"/>
        <v/>
      </c>
      <c r="F3256" s="115" t="str">
        <f t="shared" si="208"/>
        <v/>
      </c>
      <c r="G3256" s="116" t="str">
        <f>IF(ISNONTEXT(D3256),"",E3256-MAX($F$2:F3255))</f>
        <v/>
      </c>
      <c r="H3256" s="98"/>
      <c r="I3256" s="74" t="str">
        <f ca="1">IF(D3256="N",COUNTIF(INDIRECT(ADDRESS(MATCH(Plages!$D$19,'Planning annuel mixing coater'!$B:$B),4)):D3256,"N"),IF(D3256="N1",COUNTIF($D$9:D3256,"N1"),""))</f>
        <v/>
      </c>
      <c r="J3256" s="96" t="str">
        <f>IF(D3256="","",COUNTA(D3250:D3256)-(COUNTA(D3256:D3256)-1))</f>
        <v/>
      </c>
    </row>
    <row r="3257" spans="1:10" thickBot="1">
      <c r="A3257" s="117"/>
      <c r="B3257" s="70">
        <f t="shared" si="205"/>
        <v>47049</v>
      </c>
      <c r="C3257" s="82" t="str">
        <f t="shared" si="206"/>
        <v>lundi</v>
      </c>
      <c r="D3257" s="87"/>
      <c r="E3257" s="115" t="str">
        <f t="shared" si="207"/>
        <v/>
      </c>
      <c r="F3257" s="115" t="str">
        <f t="shared" si="208"/>
        <v/>
      </c>
      <c r="G3257" s="116" t="str">
        <f>IF(ISNONTEXT(D3257),"",E3257-MAX($F$2:F3256))</f>
        <v/>
      </c>
      <c r="H3257" s="97"/>
      <c r="I3257" s="74" t="str">
        <f ca="1">IF(D3257="N",COUNTIF(INDIRECT(ADDRESS(MATCH(Plages!$D$19,'Planning annuel mixing coater'!$B:$B),4)):D3257,"N"),IF(D3257="N1",COUNTIF($D$9:D3257,"N1"),""))</f>
        <v/>
      </c>
      <c r="J3257" s="96" t="str">
        <f>IF(D3257="","",COUNTA(D3250:D3257)-(COUNTA(D3257:D3257)-1))</f>
        <v/>
      </c>
    </row>
    <row r="3258" spans="1:10" thickBot="1">
      <c r="A3258" s="117"/>
      <c r="B3258" s="70">
        <f t="shared" si="205"/>
        <v>47050</v>
      </c>
      <c r="C3258" s="82" t="str">
        <f t="shared" si="206"/>
        <v>mardi</v>
      </c>
      <c r="D3258" s="87"/>
      <c r="E3258" s="115" t="str">
        <f t="shared" si="207"/>
        <v/>
      </c>
      <c r="F3258" s="115" t="str">
        <f t="shared" si="208"/>
        <v/>
      </c>
      <c r="G3258" s="116" t="str">
        <f>IF(ISNONTEXT(D3258),"",E3258-MAX($F$2:F3257))</f>
        <v/>
      </c>
      <c r="H3258" s="97"/>
      <c r="I3258" s="74" t="str">
        <f ca="1">IF(D3258="N",COUNTIF(INDIRECT(ADDRESS(MATCH(Plages!$D$19,'Planning annuel mixing coater'!$B:$B),4)):D3258,"N"),IF(D3258="N1",COUNTIF($D$9:D3258,"N1"),""))</f>
        <v/>
      </c>
      <c r="J3258" s="96" t="str">
        <f>IF(D3258="","",COUNTA(D3250:D3258)-(COUNTA(D3258:D3258)-1))</f>
        <v/>
      </c>
    </row>
    <row r="3259" spans="1:10" thickBot="1">
      <c r="A3259" s="117"/>
      <c r="B3259" s="70">
        <f t="shared" si="205"/>
        <v>47051</v>
      </c>
      <c r="C3259" s="82" t="str">
        <f t="shared" si="206"/>
        <v>mercredi</v>
      </c>
      <c r="D3259" s="87"/>
      <c r="E3259" s="115" t="str">
        <f t="shared" si="207"/>
        <v/>
      </c>
      <c r="F3259" s="115" t="str">
        <f t="shared" si="208"/>
        <v/>
      </c>
      <c r="G3259" s="116" t="str">
        <f>IF(ISNONTEXT(D3259),"",E3259-MAX($F$2:F3258))</f>
        <v/>
      </c>
      <c r="H3259" s="97"/>
      <c r="I3259" s="74" t="str">
        <f ca="1">IF(D3259="N",COUNTIF(INDIRECT(ADDRESS(MATCH(Plages!$D$19,'Planning annuel mixing coater'!$B:$B),4)):D3259,"N"),IF(D3259="N1",COUNTIF($D$9:D3259,"N1"),""))</f>
        <v/>
      </c>
      <c r="J3259" s="96" t="str">
        <f>IF(D3259="","",COUNTA(D3250:D3259)-(COUNTA(D3259:D3259)-1))</f>
        <v/>
      </c>
    </row>
    <row r="3260" spans="1:10" thickBot="1">
      <c r="A3260" s="117"/>
      <c r="B3260" s="70">
        <f t="shared" si="205"/>
        <v>47052</v>
      </c>
      <c r="C3260" s="82" t="str">
        <f t="shared" si="206"/>
        <v>jeudi</v>
      </c>
      <c r="D3260" s="87"/>
      <c r="E3260" s="115" t="str">
        <f t="shared" si="207"/>
        <v/>
      </c>
      <c r="F3260" s="115" t="str">
        <f t="shared" si="208"/>
        <v/>
      </c>
      <c r="G3260" s="116" t="str">
        <f>IF(ISNONTEXT(D3260),"",E3260-MAX($F$2:F3259))</f>
        <v/>
      </c>
      <c r="H3260" s="97"/>
      <c r="I3260" s="74" t="str">
        <f ca="1">IF(D3260="N",COUNTIF(INDIRECT(ADDRESS(MATCH(Plages!$D$19,'Planning annuel mixing coater'!$B:$B),4)):D3260,"N"),IF(D3260="N1",COUNTIF($D$9:D3260,"N1"),""))</f>
        <v/>
      </c>
      <c r="J3260" s="96" t="str">
        <f>IF(D3260="","",COUNTA(D3250:D3260)-(COUNTA(D3260:D3260)-1))</f>
        <v/>
      </c>
    </row>
    <row r="3261" spans="1:10" thickBot="1">
      <c r="A3261" s="117"/>
      <c r="B3261" s="70">
        <f t="shared" si="205"/>
        <v>47053</v>
      </c>
      <c r="C3261" s="82" t="str">
        <f t="shared" si="206"/>
        <v>vendredi</v>
      </c>
      <c r="D3261" s="87"/>
      <c r="E3261" s="115" t="str">
        <f t="shared" si="207"/>
        <v/>
      </c>
      <c r="F3261" s="115" t="str">
        <f t="shared" si="208"/>
        <v/>
      </c>
      <c r="G3261" s="116" t="str">
        <f>IF(ISNONTEXT(D3261),"",E3261-MAX($F$2:F3260))</f>
        <v/>
      </c>
      <c r="H3261" s="97"/>
      <c r="I3261" s="74" t="str">
        <f ca="1">IF(D3261="N",COUNTIF(INDIRECT(ADDRESS(MATCH(Plages!$D$19,'Planning annuel mixing coater'!$B:$B),4)):D3261,"N"),IF(D3261="N1",COUNTIF($D$9:D3261,"N1"),""))</f>
        <v/>
      </c>
      <c r="J3261" s="96" t="str">
        <f>IF(D3261="","",COUNTA(D3250:D3261)-(COUNTA(D3261:D3261)-1))</f>
        <v/>
      </c>
    </row>
    <row r="3262" spans="1:10" thickBot="1">
      <c r="A3262" s="117"/>
      <c r="B3262" s="70">
        <f t="shared" si="205"/>
        <v>47054</v>
      </c>
      <c r="C3262" s="82" t="str">
        <f t="shared" si="206"/>
        <v>samedi</v>
      </c>
      <c r="D3262" s="87"/>
      <c r="E3262" s="115" t="str">
        <f t="shared" si="207"/>
        <v/>
      </c>
      <c r="F3262" s="115" t="str">
        <f t="shared" si="208"/>
        <v/>
      </c>
      <c r="G3262" s="116" t="str">
        <f>IF(ISNONTEXT(D3262),"",E3262-MAX($F$2:F3261))</f>
        <v/>
      </c>
      <c r="H3262" s="97"/>
      <c r="I3262" s="74" t="str">
        <f ca="1">IF(D3262="N",COUNTIF(INDIRECT(ADDRESS(MATCH(Plages!$D$19,'Planning annuel mixing coater'!$B:$B),4)):D3262,"N"),IF(D3262="N1",COUNTIF($D$9:D3262,"N1"),""))</f>
        <v/>
      </c>
      <c r="J3262" s="96" t="str">
        <f>IF(D3262="","",COUNTA(D3250:D3262)-(COUNTA(D3262:D3262)-1))</f>
        <v/>
      </c>
    </row>
    <row r="3263" spans="1:10" s="77" customFormat="1" thickBot="1">
      <c r="A3263" s="117"/>
      <c r="B3263" s="75">
        <f t="shared" si="205"/>
        <v>47055</v>
      </c>
      <c r="C3263" s="83" t="str">
        <f t="shared" si="206"/>
        <v>dimanche</v>
      </c>
      <c r="D3263" s="88"/>
      <c r="E3263" s="115" t="str">
        <f t="shared" si="207"/>
        <v/>
      </c>
      <c r="F3263" s="115" t="str">
        <f t="shared" si="208"/>
        <v/>
      </c>
      <c r="G3263" s="116" t="str">
        <f>IF(ISNONTEXT(D3263),"",E3263-MAX($F$2:F3262))</f>
        <v/>
      </c>
      <c r="H3263" s="98"/>
      <c r="I3263" s="76" t="str">
        <f ca="1">IF(D3263="N",COUNTIF(INDIRECT(ADDRESS(MATCH(Plages!$D$19,'Planning annuel mixing coater'!$B:$B),4)):D3263,"N"),IF(D3263="N1",COUNTIF($D$9:D3263,"N1"),""))</f>
        <v/>
      </c>
      <c r="J3263" s="99" t="str">
        <f>IF(D3263="","",COUNTA(D3250:D3263)-(COUNTA(D3263:D3263)-1))</f>
        <v/>
      </c>
    </row>
    <row r="3264" spans="1:10" ht="16.5" thickTop="1" thickBot="1">
      <c r="A3264" s="117"/>
      <c r="B3264" s="78">
        <f t="shared" si="205"/>
        <v>47056</v>
      </c>
      <c r="C3264" s="81" t="str">
        <f t="shared" si="206"/>
        <v>lundi</v>
      </c>
      <c r="D3264" s="89"/>
      <c r="E3264" s="115" t="str">
        <f t="shared" si="207"/>
        <v/>
      </c>
      <c r="F3264" s="115" t="str">
        <f t="shared" si="208"/>
        <v/>
      </c>
      <c r="G3264" s="116" t="str">
        <f>IF(ISNONTEXT(D3264),"",E3264-MAX($F$2:F3263))</f>
        <v/>
      </c>
      <c r="H3264" s="100"/>
      <c r="I3264" s="79" t="str">
        <f ca="1">IF(D3264="N",COUNTIF(INDIRECT(ADDRESS(MATCH(Plages!$D$19,'Planning annuel mixing coater'!$B:$B),4)):D3264,"N"),IF(D3264="N1",COUNTIF($D$9:D3264,"N1"),""))</f>
        <v/>
      </c>
      <c r="J3264" s="101" t="str">
        <f>IF(D3264="","",COUNTA(D3264:D3264)-(COUNTA(D3264:D3264)-1))</f>
        <v/>
      </c>
    </row>
    <row r="3265" spans="1:10" thickBot="1">
      <c r="A3265" s="117"/>
      <c r="B3265" s="70">
        <f t="shared" si="205"/>
        <v>47057</v>
      </c>
      <c r="C3265" s="82" t="str">
        <f t="shared" si="206"/>
        <v>mardi</v>
      </c>
      <c r="D3265" s="87"/>
      <c r="E3265" s="115" t="str">
        <f t="shared" si="207"/>
        <v/>
      </c>
      <c r="F3265" s="115" t="str">
        <f t="shared" si="208"/>
        <v/>
      </c>
      <c r="G3265" s="116" t="str">
        <f>IF(ISNONTEXT(D3265),"",E3265-MAX($F$2:F3264))</f>
        <v/>
      </c>
      <c r="H3265" s="97"/>
      <c r="I3265" s="74" t="str">
        <f ca="1">IF(D3265="N",COUNTIF(INDIRECT(ADDRESS(MATCH(Plages!$D$19,'Planning annuel mixing coater'!$B:$B),4)):D3265,"N"),IF(D3265="N1",COUNTIF($D$9:D3265,"N1"),""))</f>
        <v/>
      </c>
      <c r="J3265" s="96" t="str">
        <f>IF(D3265="","",COUNTA(D3264:D3265)-(COUNTA(D3265:D3265)-1))</f>
        <v/>
      </c>
    </row>
    <row r="3266" spans="1:10" thickBot="1">
      <c r="A3266" s="117"/>
      <c r="B3266" s="70">
        <f t="shared" si="205"/>
        <v>47058</v>
      </c>
      <c r="C3266" s="82" t="str">
        <f t="shared" si="206"/>
        <v>mercredi</v>
      </c>
      <c r="D3266" s="87"/>
      <c r="E3266" s="115" t="str">
        <f t="shared" si="207"/>
        <v/>
      </c>
      <c r="F3266" s="115" t="str">
        <f t="shared" si="208"/>
        <v/>
      </c>
      <c r="G3266" s="116" t="str">
        <f>IF(ISNONTEXT(D3266),"",E3266-MAX($F$2:F3265))</f>
        <v/>
      </c>
      <c r="H3266" s="97"/>
      <c r="I3266" s="74" t="str">
        <f ca="1">IF(D3266="N",COUNTIF(INDIRECT(ADDRESS(MATCH(Plages!$D$19,'Planning annuel mixing coater'!$B:$B),4)):D3266,"N"),IF(D3266="N1",COUNTIF($D$9:D3266,"N1"),""))</f>
        <v/>
      </c>
      <c r="J3266" s="96" t="str">
        <f>IF(D3266="","",COUNTA(D3264:D3266)-(COUNTA(D3266:D3266)-1))</f>
        <v/>
      </c>
    </row>
    <row r="3267" spans="1:10" thickBot="1">
      <c r="A3267" s="117"/>
      <c r="B3267" s="70">
        <f t="shared" si="205"/>
        <v>47059</v>
      </c>
      <c r="C3267" s="82" t="str">
        <f t="shared" si="206"/>
        <v>jeudi</v>
      </c>
      <c r="D3267" s="87"/>
      <c r="E3267" s="115" t="str">
        <f t="shared" si="207"/>
        <v/>
      </c>
      <c r="F3267" s="115" t="str">
        <f t="shared" si="208"/>
        <v/>
      </c>
      <c r="G3267" s="116" t="str">
        <f>IF(ISNONTEXT(D3267),"",E3267-MAX($F$2:F3266))</f>
        <v/>
      </c>
      <c r="H3267" s="97"/>
      <c r="I3267" s="74" t="str">
        <f ca="1">IF(D3267="N",COUNTIF(INDIRECT(ADDRESS(MATCH(Plages!$D$19,'Planning annuel mixing coater'!$B:$B),4)):D3267,"N"),IF(D3267="N1",COUNTIF($D$9:D3267,"N1"),""))</f>
        <v/>
      </c>
      <c r="J3267" s="96" t="str">
        <f>IF(D3267="","",COUNTA(D3264:D3267)-(COUNTA(D3267:D3267)-1))</f>
        <v/>
      </c>
    </row>
    <row r="3268" spans="1:10" thickBot="1">
      <c r="A3268" s="117"/>
      <c r="B3268" s="70">
        <f t="shared" ref="B3268:B3331" si="209">IF(B3267="","",B3267+1)</f>
        <v>47060</v>
      </c>
      <c r="C3268" s="82" t="str">
        <f t="shared" si="206"/>
        <v>vendredi</v>
      </c>
      <c r="D3268" s="87"/>
      <c r="E3268" s="115" t="str">
        <f t="shared" si="207"/>
        <v/>
      </c>
      <c r="F3268" s="115" t="str">
        <f t="shared" si="208"/>
        <v/>
      </c>
      <c r="G3268" s="116" t="str">
        <f>IF(ISNONTEXT(D3268),"",E3268-MAX($F$2:F3267))</f>
        <v/>
      </c>
      <c r="H3268" s="97"/>
      <c r="I3268" s="74" t="str">
        <f ca="1">IF(D3268="N",COUNTIF(INDIRECT(ADDRESS(MATCH(Plages!$D$19,'Planning annuel mixing coater'!$B:$B),4)):D3268,"N"),IF(D3268="N1",COUNTIF($D$9:D3268,"N1"),""))</f>
        <v/>
      </c>
      <c r="J3268" s="96" t="str">
        <f>IF(D3268="","",COUNTA(D3264:D3268)-(COUNTA(D3268:D3268)-1))</f>
        <v/>
      </c>
    </row>
    <row r="3269" spans="1:10" thickBot="1">
      <c r="A3269" s="117"/>
      <c r="B3269" s="70">
        <f t="shared" si="209"/>
        <v>47061</v>
      </c>
      <c r="C3269" s="82" t="str">
        <f t="shared" si="206"/>
        <v>samedi</v>
      </c>
      <c r="D3269" s="87"/>
      <c r="E3269" s="115" t="str">
        <f t="shared" si="207"/>
        <v/>
      </c>
      <c r="F3269" s="115" t="str">
        <f t="shared" si="208"/>
        <v/>
      </c>
      <c r="G3269" s="116" t="str">
        <f>IF(ISNONTEXT(D3269),"",E3269-MAX($F$2:F3268))</f>
        <v/>
      </c>
      <c r="H3269" s="97"/>
      <c r="I3269" s="74" t="str">
        <f ca="1">IF(D3269="N",COUNTIF(INDIRECT(ADDRESS(MATCH(Plages!$D$19,'Planning annuel mixing coater'!$B:$B),4)):D3269,"N"),IF(D3269="N1",COUNTIF($D$9:D3269,"N1"),""))</f>
        <v/>
      </c>
      <c r="J3269" s="96" t="str">
        <f>IF(D3269="","",COUNTA(D3264:D3269)-(COUNTA(D3269:D3269)-1))</f>
        <v/>
      </c>
    </row>
    <row r="3270" spans="1:10" thickBot="1">
      <c r="A3270" s="117"/>
      <c r="B3270" s="70">
        <f t="shared" si="209"/>
        <v>47062</v>
      </c>
      <c r="C3270" s="82" t="str">
        <f t="shared" si="206"/>
        <v>dimanche</v>
      </c>
      <c r="D3270" s="87"/>
      <c r="E3270" s="115" t="str">
        <f t="shared" si="207"/>
        <v/>
      </c>
      <c r="F3270" s="115" t="str">
        <f t="shared" si="208"/>
        <v/>
      </c>
      <c r="G3270" s="116" t="str">
        <f>IF(ISNONTEXT(D3270),"",E3270-MAX($F$2:F3269))</f>
        <v/>
      </c>
      <c r="H3270" s="98"/>
      <c r="I3270" s="74" t="str">
        <f ca="1">IF(D3270="N",COUNTIF(INDIRECT(ADDRESS(MATCH(Plages!$D$19,'Planning annuel mixing coater'!$B:$B),4)):D3270,"N"),IF(D3270="N1",COUNTIF($D$9:D3270,"N1"),""))</f>
        <v/>
      </c>
      <c r="J3270" s="96" t="str">
        <f>IF(D3270="","",COUNTA(D3264:D3270)-(COUNTA(D3270:D3270)-1))</f>
        <v/>
      </c>
    </row>
    <row r="3271" spans="1:10" thickBot="1">
      <c r="A3271" s="117"/>
      <c r="B3271" s="70">
        <f t="shared" si="209"/>
        <v>47063</v>
      </c>
      <c r="C3271" s="82" t="str">
        <f t="shared" si="206"/>
        <v>lundi</v>
      </c>
      <c r="D3271" s="87"/>
      <c r="E3271" s="115" t="str">
        <f t="shared" si="207"/>
        <v/>
      </c>
      <c r="F3271" s="115" t="str">
        <f t="shared" si="208"/>
        <v/>
      </c>
      <c r="G3271" s="116" t="str">
        <f>IF(ISNONTEXT(D3271),"",E3271-MAX($F$2:F3270))</f>
        <v/>
      </c>
      <c r="H3271" s="97"/>
      <c r="I3271" s="74" t="str">
        <f ca="1">IF(D3271="N",COUNTIF(INDIRECT(ADDRESS(MATCH(Plages!$D$19,'Planning annuel mixing coater'!$B:$B),4)):D3271,"N"),IF(D3271="N1",COUNTIF($D$9:D3271,"N1"),""))</f>
        <v/>
      </c>
      <c r="J3271" s="96" t="str">
        <f>IF(D3271="","",COUNTA(D3264:D3271)-(COUNTA(D3271:D3271)-1))</f>
        <v/>
      </c>
    </row>
    <row r="3272" spans="1:10" thickBot="1">
      <c r="A3272" s="117"/>
      <c r="B3272" s="70">
        <f t="shared" si="209"/>
        <v>47064</v>
      </c>
      <c r="C3272" s="82" t="str">
        <f t="shared" si="206"/>
        <v>mardi</v>
      </c>
      <c r="D3272" s="87"/>
      <c r="E3272" s="115" t="str">
        <f t="shared" si="207"/>
        <v/>
      </c>
      <c r="F3272" s="115" t="str">
        <f t="shared" si="208"/>
        <v/>
      </c>
      <c r="G3272" s="116" t="str">
        <f>IF(ISNONTEXT(D3272),"",E3272-MAX($F$2:F3271))</f>
        <v/>
      </c>
      <c r="H3272" s="97"/>
      <c r="I3272" s="74" t="str">
        <f ca="1">IF(D3272="N",COUNTIF(INDIRECT(ADDRESS(MATCH(Plages!$D$19,'Planning annuel mixing coater'!$B:$B),4)):D3272,"N"),IF(D3272="N1",COUNTIF($D$9:D3272,"N1"),""))</f>
        <v/>
      </c>
      <c r="J3272" s="96" t="str">
        <f>IF(D3272="","",COUNTA(D3264:D3272)-(COUNTA(D3272:D3272)-1))</f>
        <v/>
      </c>
    </row>
    <row r="3273" spans="1:10" thickBot="1">
      <c r="A3273" s="117"/>
      <c r="B3273" s="70">
        <f t="shared" si="209"/>
        <v>47065</v>
      </c>
      <c r="C3273" s="82" t="str">
        <f t="shared" si="206"/>
        <v>mercredi</v>
      </c>
      <c r="D3273" s="87"/>
      <c r="E3273" s="115" t="str">
        <f t="shared" si="207"/>
        <v/>
      </c>
      <c r="F3273" s="115" t="str">
        <f t="shared" si="208"/>
        <v/>
      </c>
      <c r="G3273" s="116" t="str">
        <f>IF(ISNONTEXT(D3273),"",E3273-MAX($F$2:F3272))</f>
        <v/>
      </c>
      <c r="H3273" s="97"/>
      <c r="I3273" s="74" t="str">
        <f ca="1">IF(D3273="N",COUNTIF(INDIRECT(ADDRESS(MATCH(Plages!$D$19,'Planning annuel mixing coater'!$B:$B),4)):D3273,"N"),IF(D3273="N1",COUNTIF($D$9:D3273,"N1"),""))</f>
        <v/>
      </c>
      <c r="J3273" s="96" t="str">
        <f>IF(D3273="","",COUNTA(D3264:D3273)-(COUNTA(D3273:D3273)-1))</f>
        <v/>
      </c>
    </row>
    <row r="3274" spans="1:10" thickBot="1">
      <c r="A3274" s="117"/>
      <c r="B3274" s="70">
        <f t="shared" si="209"/>
        <v>47066</v>
      </c>
      <c r="C3274" s="82" t="str">
        <f t="shared" si="206"/>
        <v>jeudi</v>
      </c>
      <c r="D3274" s="87"/>
      <c r="E3274" s="115" t="str">
        <f t="shared" si="207"/>
        <v/>
      </c>
      <c r="F3274" s="115" t="str">
        <f t="shared" si="208"/>
        <v/>
      </c>
      <c r="G3274" s="116" t="str">
        <f>IF(ISNONTEXT(D3274),"",E3274-MAX($F$2:F3273))</f>
        <v/>
      </c>
      <c r="H3274" s="97"/>
      <c r="I3274" s="74" t="str">
        <f ca="1">IF(D3274="N",COUNTIF(INDIRECT(ADDRESS(MATCH(Plages!$D$19,'Planning annuel mixing coater'!$B:$B),4)):D3274,"N"),IF(D3274="N1",COUNTIF($D$9:D3274,"N1"),""))</f>
        <v/>
      </c>
      <c r="J3274" s="96" t="str">
        <f>IF(D3274="","",COUNTA(D3264:D3274)-(COUNTA(D3274:D3274)-1))</f>
        <v/>
      </c>
    </row>
    <row r="3275" spans="1:10" thickBot="1">
      <c r="A3275" s="117"/>
      <c r="B3275" s="70">
        <f t="shared" si="209"/>
        <v>47067</v>
      </c>
      <c r="C3275" s="82" t="str">
        <f t="shared" si="206"/>
        <v>vendredi</v>
      </c>
      <c r="D3275" s="87"/>
      <c r="E3275" s="115" t="str">
        <f t="shared" si="207"/>
        <v/>
      </c>
      <c r="F3275" s="115" t="str">
        <f t="shared" si="208"/>
        <v/>
      </c>
      <c r="G3275" s="116" t="str">
        <f>IF(ISNONTEXT(D3275),"",E3275-MAX($F$2:F3274))</f>
        <v/>
      </c>
      <c r="H3275" s="97"/>
      <c r="I3275" s="74" t="str">
        <f ca="1">IF(D3275="N",COUNTIF(INDIRECT(ADDRESS(MATCH(Plages!$D$19,'Planning annuel mixing coater'!$B:$B),4)):D3275,"N"),IF(D3275="N1",COUNTIF($D$9:D3275,"N1"),""))</f>
        <v/>
      </c>
      <c r="J3275" s="96" t="str">
        <f>IF(D3275="","",COUNTA(D3264:D3275)-(COUNTA(D3275:D3275)-1))</f>
        <v/>
      </c>
    </row>
    <row r="3276" spans="1:10" thickBot="1">
      <c r="A3276" s="117"/>
      <c r="B3276" s="70">
        <f t="shared" si="209"/>
        <v>47068</v>
      </c>
      <c r="C3276" s="82" t="str">
        <f t="shared" si="206"/>
        <v>samedi</v>
      </c>
      <c r="D3276" s="87"/>
      <c r="E3276" s="115" t="str">
        <f t="shared" si="207"/>
        <v/>
      </c>
      <c r="F3276" s="115" t="str">
        <f t="shared" si="208"/>
        <v/>
      </c>
      <c r="G3276" s="116" t="str">
        <f>IF(ISNONTEXT(D3276),"",E3276-MAX($F$2:F3275))</f>
        <v/>
      </c>
      <c r="H3276" s="97"/>
      <c r="I3276" s="74" t="str">
        <f ca="1">IF(D3276="N",COUNTIF(INDIRECT(ADDRESS(MATCH(Plages!$D$19,'Planning annuel mixing coater'!$B:$B),4)):D3276,"N"),IF(D3276="N1",COUNTIF($D$9:D3276,"N1"),""))</f>
        <v/>
      </c>
      <c r="J3276" s="96" t="str">
        <f>IF(D3276="","",COUNTA(D3264:D3276)-(COUNTA(D3276:D3276)-1))</f>
        <v/>
      </c>
    </row>
    <row r="3277" spans="1:10" s="77" customFormat="1" thickBot="1">
      <c r="A3277" s="117"/>
      <c r="B3277" s="75">
        <f t="shared" si="209"/>
        <v>47069</v>
      </c>
      <c r="C3277" s="83" t="str">
        <f t="shared" si="206"/>
        <v>dimanche</v>
      </c>
      <c r="D3277" s="88"/>
      <c r="E3277" s="115" t="str">
        <f t="shared" si="207"/>
        <v/>
      </c>
      <c r="F3277" s="115" t="str">
        <f t="shared" si="208"/>
        <v/>
      </c>
      <c r="G3277" s="116" t="str">
        <f>IF(ISNONTEXT(D3277),"",E3277-MAX($F$2:F3276))</f>
        <v/>
      </c>
      <c r="H3277" s="98"/>
      <c r="I3277" s="76" t="str">
        <f ca="1">IF(D3277="N",COUNTIF(INDIRECT(ADDRESS(MATCH(Plages!$D$19,'Planning annuel mixing coater'!$B:$B),4)):D3277,"N"),IF(D3277="N1",COUNTIF($D$9:D3277,"N1"),""))</f>
        <v/>
      </c>
      <c r="J3277" s="99" t="str">
        <f>IF(D3277="","",COUNTA(D3264:D3277)-(COUNTA(D3277:D3277)-1))</f>
        <v/>
      </c>
    </row>
    <row r="3278" spans="1:10" ht="16.5" thickTop="1" thickBot="1">
      <c r="A3278" s="117"/>
      <c r="B3278" s="78">
        <f t="shared" si="209"/>
        <v>47070</v>
      </c>
      <c r="C3278" s="81" t="str">
        <f t="shared" si="206"/>
        <v>lundi</v>
      </c>
      <c r="D3278" s="89"/>
      <c r="E3278" s="115" t="str">
        <f t="shared" si="207"/>
        <v/>
      </c>
      <c r="F3278" s="115" t="str">
        <f t="shared" si="208"/>
        <v/>
      </c>
      <c r="G3278" s="116" t="str">
        <f>IF(ISNONTEXT(D3278),"",E3278-MAX($F$2:F3277))</f>
        <v/>
      </c>
      <c r="H3278" s="100"/>
      <c r="I3278" s="79" t="str">
        <f ca="1">IF(D3278="N",COUNTIF(INDIRECT(ADDRESS(MATCH(Plages!$D$19,'Planning annuel mixing coater'!$B:$B),4)):D3278,"N"),IF(D3278="N1",COUNTIF($D$9:D3278,"N1"),""))</f>
        <v/>
      </c>
      <c r="J3278" s="101" t="str">
        <f>IF(D3278="","",COUNTA(D3278:D3278)-(COUNTA(D3278:D3278)-1))</f>
        <v/>
      </c>
    </row>
    <row r="3279" spans="1:10" thickBot="1">
      <c r="A3279" s="117"/>
      <c r="B3279" s="70">
        <f t="shared" si="209"/>
        <v>47071</v>
      </c>
      <c r="C3279" s="82" t="str">
        <f t="shared" si="206"/>
        <v>mardi</v>
      </c>
      <c r="D3279" s="87"/>
      <c r="E3279" s="115" t="str">
        <f t="shared" si="207"/>
        <v/>
      </c>
      <c r="F3279" s="115" t="str">
        <f t="shared" si="208"/>
        <v/>
      </c>
      <c r="G3279" s="116" t="str">
        <f>IF(ISNONTEXT(D3279),"",E3279-MAX($F$2:F3278))</f>
        <v/>
      </c>
      <c r="H3279" s="97"/>
      <c r="I3279" s="74" t="str">
        <f ca="1">IF(D3279="N",COUNTIF(INDIRECT(ADDRESS(MATCH(Plages!$D$19,'Planning annuel mixing coater'!$B:$B),4)):D3279,"N"),IF(D3279="N1",COUNTIF($D$9:D3279,"N1"),""))</f>
        <v/>
      </c>
      <c r="J3279" s="96" t="str">
        <f>IF(D3279="","",COUNTA(D3278:D3279)-(COUNTA(D3279:D3279)-1))</f>
        <v/>
      </c>
    </row>
    <row r="3280" spans="1:10" thickBot="1">
      <c r="A3280" s="117"/>
      <c r="B3280" s="70">
        <f t="shared" si="209"/>
        <v>47072</v>
      </c>
      <c r="C3280" s="82" t="str">
        <f t="shared" si="206"/>
        <v>mercredi</v>
      </c>
      <c r="D3280" s="87"/>
      <c r="E3280" s="115" t="str">
        <f t="shared" si="207"/>
        <v/>
      </c>
      <c r="F3280" s="115" t="str">
        <f t="shared" si="208"/>
        <v/>
      </c>
      <c r="G3280" s="116" t="str">
        <f>IF(ISNONTEXT(D3280),"",E3280-MAX($F$2:F3279))</f>
        <v/>
      </c>
      <c r="H3280" s="97"/>
      <c r="I3280" s="74" t="str">
        <f ca="1">IF(D3280="N",COUNTIF(INDIRECT(ADDRESS(MATCH(Plages!$D$19,'Planning annuel mixing coater'!$B:$B),4)):D3280,"N"),IF(D3280="N1",COUNTIF($D$9:D3280,"N1"),""))</f>
        <v/>
      </c>
      <c r="J3280" s="96" t="str">
        <f>IF(D3280="","",COUNTA(D3278:D3280)-(COUNTA(D3280:D3280)-1))</f>
        <v/>
      </c>
    </row>
    <row r="3281" spans="1:10" thickBot="1">
      <c r="A3281" s="117"/>
      <c r="B3281" s="70">
        <f t="shared" si="209"/>
        <v>47073</v>
      </c>
      <c r="C3281" s="82" t="str">
        <f t="shared" si="206"/>
        <v>jeudi</v>
      </c>
      <c r="D3281" s="87"/>
      <c r="E3281" s="115" t="str">
        <f t="shared" si="207"/>
        <v/>
      </c>
      <c r="F3281" s="115" t="str">
        <f t="shared" si="208"/>
        <v/>
      </c>
      <c r="G3281" s="116" t="str">
        <f>IF(ISNONTEXT(D3281),"",E3281-MAX($F$2:F3280))</f>
        <v/>
      </c>
      <c r="H3281" s="97"/>
      <c r="I3281" s="74" t="str">
        <f ca="1">IF(D3281="N",COUNTIF(INDIRECT(ADDRESS(MATCH(Plages!$D$19,'Planning annuel mixing coater'!$B:$B),4)):D3281,"N"),IF(D3281="N1",COUNTIF($D$9:D3281,"N1"),""))</f>
        <v/>
      </c>
      <c r="J3281" s="96" t="str">
        <f>IF(D3281="","",COUNTA(D3278:D3281)-(COUNTA(D3281:D3281)-1))</f>
        <v/>
      </c>
    </row>
    <row r="3282" spans="1:10" thickBot="1">
      <c r="A3282" s="117"/>
      <c r="B3282" s="70">
        <f t="shared" si="209"/>
        <v>47074</v>
      </c>
      <c r="C3282" s="82" t="str">
        <f t="shared" si="206"/>
        <v>vendredi</v>
      </c>
      <c r="D3282" s="87"/>
      <c r="E3282" s="115" t="str">
        <f t="shared" si="207"/>
        <v/>
      </c>
      <c r="F3282" s="115" t="str">
        <f t="shared" si="208"/>
        <v/>
      </c>
      <c r="G3282" s="116" t="str">
        <f>IF(ISNONTEXT(D3282),"",E3282-MAX($F$2:F3281))</f>
        <v/>
      </c>
      <c r="H3282" s="97"/>
      <c r="I3282" s="74" t="str">
        <f ca="1">IF(D3282="N",COUNTIF(INDIRECT(ADDRESS(MATCH(Plages!$D$19,'Planning annuel mixing coater'!$B:$B),4)):D3282,"N"),IF(D3282="N1",COUNTIF($D$9:D3282,"N1"),""))</f>
        <v/>
      </c>
      <c r="J3282" s="96" t="str">
        <f>IF(D3282="","",COUNTA(D3278:D3282)-(COUNTA(D3282:D3282)-1))</f>
        <v/>
      </c>
    </row>
    <row r="3283" spans="1:10" thickBot="1">
      <c r="A3283" s="117"/>
      <c r="B3283" s="70">
        <f t="shared" si="209"/>
        <v>47075</v>
      </c>
      <c r="C3283" s="82" t="str">
        <f t="shared" si="206"/>
        <v>samedi</v>
      </c>
      <c r="D3283" s="87"/>
      <c r="E3283" s="115" t="str">
        <f t="shared" si="207"/>
        <v/>
      </c>
      <c r="F3283" s="115" t="str">
        <f t="shared" si="208"/>
        <v/>
      </c>
      <c r="G3283" s="116" t="str">
        <f>IF(ISNONTEXT(D3283),"",E3283-MAX($F$2:F3282))</f>
        <v/>
      </c>
      <c r="H3283" s="97"/>
      <c r="I3283" s="74" t="str">
        <f ca="1">IF(D3283="N",COUNTIF(INDIRECT(ADDRESS(MATCH(Plages!$D$19,'Planning annuel mixing coater'!$B:$B),4)):D3283,"N"),IF(D3283="N1",COUNTIF($D$9:D3283,"N1"),""))</f>
        <v/>
      </c>
      <c r="J3283" s="96" t="str">
        <f>IF(D3283="","",COUNTA(D3278:D3283)-(COUNTA(D3283:D3283)-1))</f>
        <v/>
      </c>
    </row>
    <row r="3284" spans="1:10" thickBot="1">
      <c r="A3284" s="117"/>
      <c r="B3284" s="70">
        <f t="shared" si="209"/>
        <v>47076</v>
      </c>
      <c r="C3284" s="82" t="str">
        <f t="shared" si="206"/>
        <v>dimanche</v>
      </c>
      <c r="D3284" s="87"/>
      <c r="E3284" s="115" t="str">
        <f t="shared" si="207"/>
        <v/>
      </c>
      <c r="F3284" s="115" t="str">
        <f t="shared" si="208"/>
        <v/>
      </c>
      <c r="G3284" s="116" t="str">
        <f>IF(ISNONTEXT(D3284),"",E3284-MAX($F$2:F3283))</f>
        <v/>
      </c>
      <c r="H3284" s="98"/>
      <c r="I3284" s="74" t="str">
        <f ca="1">IF(D3284="N",COUNTIF(INDIRECT(ADDRESS(MATCH(Plages!$D$19,'Planning annuel mixing coater'!$B:$B),4)):D3284,"N"),IF(D3284="N1",COUNTIF($D$9:D3284,"N1"),""))</f>
        <v/>
      </c>
      <c r="J3284" s="96" t="str">
        <f>IF(D3284="","",COUNTA(D3278:D3284)-(COUNTA(D3284:D3284)-1))</f>
        <v/>
      </c>
    </row>
    <row r="3285" spans="1:10" thickBot="1">
      <c r="A3285" s="117"/>
      <c r="B3285" s="70">
        <f t="shared" si="209"/>
        <v>47077</v>
      </c>
      <c r="C3285" s="82" t="str">
        <f t="shared" si="206"/>
        <v>lundi</v>
      </c>
      <c r="D3285" s="87"/>
      <c r="E3285" s="115" t="str">
        <f t="shared" si="207"/>
        <v/>
      </c>
      <c r="F3285" s="115" t="str">
        <f t="shared" si="208"/>
        <v/>
      </c>
      <c r="G3285" s="116" t="str">
        <f>IF(ISNONTEXT(D3285),"",E3285-MAX($F$2:F3284))</f>
        <v/>
      </c>
      <c r="H3285" s="97"/>
      <c r="I3285" s="74" t="str">
        <f ca="1">IF(D3285="N",COUNTIF(INDIRECT(ADDRESS(MATCH(Plages!$D$19,'Planning annuel mixing coater'!$B:$B),4)):D3285,"N"),IF(D3285="N1",COUNTIF($D$9:D3285,"N1"),""))</f>
        <v/>
      </c>
      <c r="J3285" s="96" t="str">
        <f>IF(D3285="","",COUNTA(D3278:D3285)-(COUNTA(D3285:D3285)-1))</f>
        <v/>
      </c>
    </row>
    <row r="3286" spans="1:10" thickBot="1">
      <c r="A3286" s="117"/>
      <c r="B3286" s="70">
        <f t="shared" si="209"/>
        <v>47078</v>
      </c>
      <c r="C3286" s="82" t="str">
        <f t="shared" si="206"/>
        <v>mardi</v>
      </c>
      <c r="D3286" s="87"/>
      <c r="E3286" s="115" t="str">
        <f t="shared" si="207"/>
        <v/>
      </c>
      <c r="F3286" s="115" t="str">
        <f t="shared" si="208"/>
        <v/>
      </c>
      <c r="G3286" s="116" t="str">
        <f>IF(ISNONTEXT(D3286),"",E3286-MAX($F$2:F3285))</f>
        <v/>
      </c>
      <c r="H3286" s="97"/>
      <c r="I3286" s="74" t="str">
        <f ca="1">IF(D3286="N",COUNTIF(INDIRECT(ADDRESS(MATCH(Plages!$D$19,'Planning annuel mixing coater'!$B:$B),4)):D3286,"N"),IF(D3286="N1",COUNTIF($D$9:D3286,"N1"),""))</f>
        <v/>
      </c>
      <c r="J3286" s="96" t="str">
        <f>IF(D3286="","",COUNTA(D3278:D3286)-(COUNTA(D3286:D3286)-1))</f>
        <v/>
      </c>
    </row>
    <row r="3287" spans="1:10" thickBot="1">
      <c r="A3287" s="117"/>
      <c r="B3287" s="70">
        <f t="shared" si="209"/>
        <v>47079</v>
      </c>
      <c r="C3287" s="82" t="str">
        <f t="shared" si="206"/>
        <v>mercredi</v>
      </c>
      <c r="D3287" s="87"/>
      <c r="E3287" s="115" t="str">
        <f t="shared" si="207"/>
        <v/>
      </c>
      <c r="F3287" s="115" t="str">
        <f t="shared" si="208"/>
        <v/>
      </c>
      <c r="G3287" s="116" t="str">
        <f>IF(ISNONTEXT(D3287),"",E3287-MAX($F$2:F3286))</f>
        <v/>
      </c>
      <c r="H3287" s="97"/>
      <c r="I3287" s="74" t="str">
        <f ca="1">IF(D3287="N",COUNTIF(INDIRECT(ADDRESS(MATCH(Plages!$D$19,'Planning annuel mixing coater'!$B:$B),4)):D3287,"N"),IF(D3287="N1",COUNTIF($D$9:D3287,"N1"),""))</f>
        <v/>
      </c>
      <c r="J3287" s="96" t="str">
        <f>IF(D3287="","",COUNTA(D3278:D3287)-(COUNTA(D3287:D3287)-1))</f>
        <v/>
      </c>
    </row>
    <row r="3288" spans="1:10" thickBot="1">
      <c r="A3288" s="117"/>
      <c r="B3288" s="70">
        <f t="shared" si="209"/>
        <v>47080</v>
      </c>
      <c r="C3288" s="82" t="str">
        <f t="shared" si="206"/>
        <v>jeudi</v>
      </c>
      <c r="D3288" s="87"/>
      <c r="E3288" s="115" t="str">
        <f t="shared" si="207"/>
        <v/>
      </c>
      <c r="F3288" s="115" t="str">
        <f t="shared" si="208"/>
        <v/>
      </c>
      <c r="G3288" s="116" t="str">
        <f>IF(ISNONTEXT(D3288),"",E3288-MAX($F$2:F3287))</f>
        <v/>
      </c>
      <c r="H3288" s="97"/>
      <c r="I3288" s="74" t="str">
        <f ca="1">IF(D3288="N",COUNTIF(INDIRECT(ADDRESS(MATCH(Plages!$D$19,'Planning annuel mixing coater'!$B:$B),4)):D3288,"N"),IF(D3288="N1",COUNTIF($D$9:D3288,"N1"),""))</f>
        <v/>
      </c>
      <c r="J3288" s="96" t="str">
        <f>IF(D3288="","",COUNTA(D3278:D3288)-(COUNTA(D3288:D3288)-1))</f>
        <v/>
      </c>
    </row>
    <row r="3289" spans="1:10" thickBot="1">
      <c r="A3289" s="117"/>
      <c r="B3289" s="70">
        <f t="shared" si="209"/>
        <v>47081</v>
      </c>
      <c r="C3289" s="82" t="str">
        <f t="shared" si="206"/>
        <v>vendredi</v>
      </c>
      <c r="D3289" s="87"/>
      <c r="E3289" s="115" t="str">
        <f t="shared" si="207"/>
        <v/>
      </c>
      <c r="F3289" s="115" t="str">
        <f t="shared" si="208"/>
        <v/>
      </c>
      <c r="G3289" s="116" t="str">
        <f>IF(ISNONTEXT(D3289),"",E3289-MAX($F$2:F3288))</f>
        <v/>
      </c>
      <c r="H3289" s="97"/>
      <c r="I3289" s="74" t="str">
        <f ca="1">IF(D3289="N",COUNTIF(INDIRECT(ADDRESS(MATCH(Plages!$D$19,'Planning annuel mixing coater'!$B:$B),4)):D3289,"N"),IF(D3289="N1",COUNTIF($D$9:D3289,"N1"),""))</f>
        <v/>
      </c>
      <c r="J3289" s="96" t="str">
        <f>IF(D3289="","",COUNTA(D3278:D3289)-(COUNTA(D3289:D3289)-1))</f>
        <v/>
      </c>
    </row>
    <row r="3290" spans="1:10" thickBot="1">
      <c r="A3290" s="117"/>
      <c r="B3290" s="70">
        <f t="shared" si="209"/>
        <v>47082</v>
      </c>
      <c r="C3290" s="82" t="str">
        <f t="shared" si="206"/>
        <v>samedi</v>
      </c>
      <c r="D3290" s="87"/>
      <c r="E3290" s="115" t="str">
        <f t="shared" si="207"/>
        <v/>
      </c>
      <c r="F3290" s="115" t="str">
        <f t="shared" si="208"/>
        <v/>
      </c>
      <c r="G3290" s="116" t="str">
        <f>IF(ISNONTEXT(D3290),"",E3290-MAX($F$2:F3289))</f>
        <v/>
      </c>
      <c r="H3290" s="97"/>
      <c r="I3290" s="74" t="str">
        <f ca="1">IF(D3290="N",COUNTIF(INDIRECT(ADDRESS(MATCH(Plages!$D$19,'Planning annuel mixing coater'!$B:$B),4)):D3290,"N"),IF(D3290="N1",COUNTIF($D$9:D3290,"N1"),""))</f>
        <v/>
      </c>
      <c r="J3290" s="96" t="str">
        <f>IF(D3290="","",COUNTA(D3278:D3290)-(COUNTA(D3290:D3290)-1))</f>
        <v/>
      </c>
    </row>
    <row r="3291" spans="1:10" s="77" customFormat="1" thickBot="1">
      <c r="A3291" s="117"/>
      <c r="B3291" s="75">
        <f t="shared" si="209"/>
        <v>47083</v>
      </c>
      <c r="C3291" s="83" t="str">
        <f t="shared" si="206"/>
        <v>dimanche</v>
      </c>
      <c r="D3291" s="88"/>
      <c r="E3291" s="115" t="str">
        <f t="shared" si="207"/>
        <v/>
      </c>
      <c r="F3291" s="115" t="str">
        <f t="shared" si="208"/>
        <v/>
      </c>
      <c r="G3291" s="116" t="str">
        <f>IF(ISNONTEXT(D3291),"",E3291-MAX($F$2:F3290))</f>
        <v/>
      </c>
      <c r="H3291" s="98"/>
      <c r="I3291" s="76" t="str">
        <f ca="1">IF(D3291="N",COUNTIF(INDIRECT(ADDRESS(MATCH(Plages!$D$19,'Planning annuel mixing coater'!$B:$B),4)):D3291,"N"),IF(D3291="N1",COUNTIF($D$9:D3291,"N1"),""))</f>
        <v/>
      </c>
      <c r="J3291" s="99" t="str">
        <f>IF(D3291="","",COUNTA(D3278:D3291)-(COUNTA(D3291:D3291)-1))</f>
        <v/>
      </c>
    </row>
    <row r="3292" spans="1:10" ht="16.5" thickTop="1" thickBot="1">
      <c r="A3292" s="117"/>
      <c r="B3292" s="78">
        <f t="shared" si="209"/>
        <v>47084</v>
      </c>
      <c r="C3292" s="81" t="str">
        <f t="shared" si="206"/>
        <v>lundi</v>
      </c>
      <c r="D3292" s="89"/>
      <c r="E3292" s="115" t="str">
        <f t="shared" si="207"/>
        <v/>
      </c>
      <c r="F3292" s="115" t="str">
        <f t="shared" si="208"/>
        <v/>
      </c>
      <c r="G3292" s="116" t="str">
        <f>IF(ISNONTEXT(D3292),"",E3292-MAX($F$2:F3291))</f>
        <v/>
      </c>
      <c r="H3292" s="100"/>
      <c r="I3292" s="79" t="str">
        <f ca="1">IF(D3292="N",COUNTIF(INDIRECT(ADDRESS(MATCH(Plages!$D$19,'Planning annuel mixing coater'!$B:$B),4)):D3292,"N"),IF(D3292="N1",COUNTIF($D$9:D3292,"N1"),""))</f>
        <v/>
      </c>
      <c r="J3292" s="101" t="str">
        <f>IF(D3292="","",COUNTA(D3292:D3292)-(COUNTA(D3292:D3292)-1))</f>
        <v/>
      </c>
    </row>
    <row r="3293" spans="1:10" thickBot="1">
      <c r="A3293" s="117"/>
      <c r="B3293" s="70">
        <f t="shared" si="209"/>
        <v>47085</v>
      </c>
      <c r="C3293" s="82" t="str">
        <f t="shared" si="206"/>
        <v>mardi</v>
      </c>
      <c r="D3293" s="87"/>
      <c r="E3293" s="115" t="str">
        <f t="shared" si="207"/>
        <v/>
      </c>
      <c r="F3293" s="115" t="str">
        <f t="shared" si="208"/>
        <v/>
      </c>
      <c r="G3293" s="116" t="str">
        <f>IF(ISNONTEXT(D3293),"",E3293-MAX($F$2:F3292))</f>
        <v/>
      </c>
      <c r="H3293" s="97"/>
      <c r="I3293" s="74" t="str">
        <f ca="1">IF(D3293="N",COUNTIF(INDIRECT(ADDRESS(MATCH(Plages!$D$19,'Planning annuel mixing coater'!$B:$B),4)):D3293,"N"),IF(D3293="N1",COUNTIF($D$9:D3293,"N1"),""))</f>
        <v/>
      </c>
      <c r="J3293" s="96" t="str">
        <f>IF(D3293="","",COUNTA(D3292:D3293)-(COUNTA(D3293:D3293)-1))</f>
        <v/>
      </c>
    </row>
    <row r="3294" spans="1:10" thickBot="1">
      <c r="A3294" s="117"/>
      <c r="B3294" s="70">
        <f t="shared" si="209"/>
        <v>47086</v>
      </c>
      <c r="C3294" s="82" t="str">
        <f t="shared" ref="C3294:C3357" si="210">IF(B3294="","",TEXT(B3294,"jjjj"))</f>
        <v>mercredi</v>
      </c>
      <c r="D3294" s="87"/>
      <c r="E3294" s="115" t="str">
        <f t="shared" ref="E3294:E3357" si="211">IF(D3294="","",B3294+VLOOKUP(D3294,Plageh,2,0))</f>
        <v/>
      </c>
      <c r="F3294" s="115" t="str">
        <f t="shared" ref="F3294:F3357" si="212">IF(D3294="","",B3294+VLOOKUP(D3294,Plageh,3,0))</f>
        <v/>
      </c>
      <c r="G3294" s="116" t="str">
        <f>IF(ISNONTEXT(D3294),"",E3294-MAX($F$2:F3293))</f>
        <v/>
      </c>
      <c r="H3294" s="97"/>
      <c r="I3294" s="74" t="str">
        <f ca="1">IF(D3294="N",COUNTIF(INDIRECT(ADDRESS(MATCH(Plages!$D$19,'Planning annuel mixing coater'!$B:$B),4)):D3294,"N"),IF(D3294="N1",COUNTIF($D$9:D3294,"N1"),""))</f>
        <v/>
      </c>
      <c r="J3294" s="96" t="str">
        <f>IF(D3294="","",COUNTA(D3292:D3294)-(COUNTA(D3294:D3294)-1))</f>
        <v/>
      </c>
    </row>
    <row r="3295" spans="1:10" thickBot="1">
      <c r="A3295" s="117"/>
      <c r="B3295" s="70">
        <f t="shared" si="209"/>
        <v>47087</v>
      </c>
      <c r="C3295" s="82" t="str">
        <f t="shared" si="210"/>
        <v>jeudi</v>
      </c>
      <c r="D3295" s="87"/>
      <c r="E3295" s="115" t="str">
        <f t="shared" si="211"/>
        <v/>
      </c>
      <c r="F3295" s="115" t="str">
        <f t="shared" si="212"/>
        <v/>
      </c>
      <c r="G3295" s="116" t="str">
        <f>IF(ISNONTEXT(D3295),"",E3295-MAX($F$2:F3294))</f>
        <v/>
      </c>
      <c r="H3295" s="97"/>
      <c r="I3295" s="74" t="str">
        <f ca="1">IF(D3295="N",COUNTIF(INDIRECT(ADDRESS(MATCH(Plages!$D$19,'Planning annuel mixing coater'!$B:$B),4)):D3295,"N"),IF(D3295="N1",COUNTIF($D$9:D3295,"N1"),""))</f>
        <v/>
      </c>
      <c r="J3295" s="96" t="str">
        <f>IF(D3295="","",COUNTA(D3292:D3295)-(COUNTA(D3295:D3295)-1))</f>
        <v/>
      </c>
    </row>
    <row r="3296" spans="1:10" thickBot="1">
      <c r="A3296" s="117"/>
      <c r="B3296" s="70">
        <f t="shared" si="209"/>
        <v>47088</v>
      </c>
      <c r="C3296" s="82" t="str">
        <f t="shared" si="210"/>
        <v>vendredi</v>
      </c>
      <c r="D3296" s="87"/>
      <c r="E3296" s="115" t="str">
        <f t="shared" si="211"/>
        <v/>
      </c>
      <c r="F3296" s="115" t="str">
        <f t="shared" si="212"/>
        <v/>
      </c>
      <c r="G3296" s="116" t="str">
        <f>IF(ISNONTEXT(D3296),"",E3296-MAX($F$2:F3295))</f>
        <v/>
      </c>
      <c r="H3296" s="97"/>
      <c r="I3296" s="74" t="str">
        <f ca="1">IF(D3296="N",COUNTIF(INDIRECT(ADDRESS(MATCH(Plages!$D$19,'Planning annuel mixing coater'!$B:$B),4)):D3296,"N"),IF(D3296="N1",COUNTIF($D$9:D3296,"N1"),""))</f>
        <v/>
      </c>
      <c r="J3296" s="96" t="str">
        <f>IF(D3296="","",COUNTA(D3292:D3296)-(COUNTA(D3296:D3296)-1))</f>
        <v/>
      </c>
    </row>
    <row r="3297" spans="1:10" thickBot="1">
      <c r="A3297" s="117"/>
      <c r="B3297" s="70">
        <f t="shared" si="209"/>
        <v>47089</v>
      </c>
      <c r="C3297" s="82" t="str">
        <f t="shared" si="210"/>
        <v>samedi</v>
      </c>
      <c r="D3297" s="87"/>
      <c r="E3297" s="115" t="str">
        <f t="shared" si="211"/>
        <v/>
      </c>
      <c r="F3297" s="115" t="str">
        <f t="shared" si="212"/>
        <v/>
      </c>
      <c r="G3297" s="116" t="str">
        <f>IF(ISNONTEXT(D3297),"",E3297-MAX($F$2:F3296))</f>
        <v/>
      </c>
      <c r="H3297" s="97"/>
      <c r="I3297" s="74" t="str">
        <f ca="1">IF(D3297="N",COUNTIF(INDIRECT(ADDRESS(MATCH(Plages!$D$19,'Planning annuel mixing coater'!$B:$B),4)):D3297,"N"),IF(D3297="N1",COUNTIF($D$9:D3297,"N1"),""))</f>
        <v/>
      </c>
      <c r="J3297" s="96" t="str">
        <f>IF(D3297="","",COUNTA(D3292:D3297)-(COUNTA(D3297:D3297)-1))</f>
        <v/>
      </c>
    </row>
    <row r="3298" spans="1:10" thickBot="1">
      <c r="A3298" s="117"/>
      <c r="B3298" s="70">
        <f t="shared" si="209"/>
        <v>47090</v>
      </c>
      <c r="C3298" s="82" t="str">
        <f t="shared" si="210"/>
        <v>dimanche</v>
      </c>
      <c r="D3298" s="87"/>
      <c r="E3298" s="115" t="str">
        <f t="shared" si="211"/>
        <v/>
      </c>
      <c r="F3298" s="115" t="str">
        <f t="shared" si="212"/>
        <v/>
      </c>
      <c r="G3298" s="116" t="str">
        <f>IF(ISNONTEXT(D3298),"",E3298-MAX($F$2:F3297))</f>
        <v/>
      </c>
      <c r="H3298" s="98"/>
      <c r="I3298" s="74" t="str">
        <f ca="1">IF(D3298="N",COUNTIF(INDIRECT(ADDRESS(MATCH(Plages!$D$19,'Planning annuel mixing coater'!$B:$B),4)):D3298,"N"),IF(D3298="N1",COUNTIF($D$9:D3298,"N1"),""))</f>
        <v/>
      </c>
      <c r="J3298" s="96" t="str">
        <f>IF(D3298="","",COUNTA(D3292:D3298)-(COUNTA(D3298:D3298)-1))</f>
        <v/>
      </c>
    </row>
    <row r="3299" spans="1:10" thickBot="1">
      <c r="A3299" s="117"/>
      <c r="B3299" s="70">
        <f t="shared" si="209"/>
        <v>47091</v>
      </c>
      <c r="C3299" s="82" t="str">
        <f t="shared" si="210"/>
        <v>lundi</v>
      </c>
      <c r="D3299" s="87"/>
      <c r="E3299" s="115" t="str">
        <f t="shared" si="211"/>
        <v/>
      </c>
      <c r="F3299" s="115" t="str">
        <f t="shared" si="212"/>
        <v/>
      </c>
      <c r="G3299" s="116" t="str">
        <f>IF(ISNONTEXT(D3299),"",E3299-MAX($F$2:F3298))</f>
        <v/>
      </c>
      <c r="H3299" s="97"/>
      <c r="I3299" s="74" t="str">
        <f ca="1">IF(D3299="N",COUNTIF(INDIRECT(ADDRESS(MATCH(Plages!$D$19,'Planning annuel mixing coater'!$B:$B),4)):D3299,"N"),IF(D3299="N1",COUNTIF($D$9:D3299,"N1"),""))</f>
        <v/>
      </c>
      <c r="J3299" s="96" t="str">
        <f>IF(D3299="","",COUNTA(D3292:D3299)-(COUNTA(D3299:D3299)-1))</f>
        <v/>
      </c>
    </row>
    <row r="3300" spans="1:10" thickBot="1">
      <c r="A3300" s="117"/>
      <c r="B3300" s="70">
        <f t="shared" si="209"/>
        <v>47092</v>
      </c>
      <c r="C3300" s="82" t="str">
        <f t="shared" si="210"/>
        <v>mardi</v>
      </c>
      <c r="D3300" s="87"/>
      <c r="E3300" s="115" t="str">
        <f t="shared" si="211"/>
        <v/>
      </c>
      <c r="F3300" s="115" t="str">
        <f t="shared" si="212"/>
        <v/>
      </c>
      <c r="G3300" s="116" t="str">
        <f>IF(ISNONTEXT(D3300),"",E3300-MAX($F$2:F3299))</f>
        <v/>
      </c>
      <c r="H3300" s="97"/>
      <c r="I3300" s="74" t="str">
        <f ca="1">IF(D3300="N",COUNTIF(INDIRECT(ADDRESS(MATCH(Plages!$D$19,'Planning annuel mixing coater'!$B:$B),4)):D3300,"N"),IF(D3300="N1",COUNTIF($D$9:D3300,"N1"),""))</f>
        <v/>
      </c>
      <c r="J3300" s="96" t="str">
        <f>IF(D3300="","",COUNTA(D3292:D3300)-(COUNTA(D3300:D3300)-1))</f>
        <v/>
      </c>
    </row>
    <row r="3301" spans="1:10" thickBot="1">
      <c r="A3301" s="117"/>
      <c r="B3301" s="70">
        <f t="shared" si="209"/>
        <v>47093</v>
      </c>
      <c r="C3301" s="82" t="str">
        <f t="shared" si="210"/>
        <v>mercredi</v>
      </c>
      <c r="D3301" s="87"/>
      <c r="E3301" s="115" t="str">
        <f t="shared" si="211"/>
        <v/>
      </c>
      <c r="F3301" s="115" t="str">
        <f t="shared" si="212"/>
        <v/>
      </c>
      <c r="G3301" s="116" t="str">
        <f>IF(ISNONTEXT(D3301),"",E3301-MAX($F$2:F3300))</f>
        <v/>
      </c>
      <c r="H3301" s="97"/>
      <c r="I3301" s="74" t="str">
        <f ca="1">IF(D3301="N",COUNTIF(INDIRECT(ADDRESS(MATCH(Plages!$D$19,'Planning annuel mixing coater'!$B:$B),4)):D3301,"N"),IF(D3301="N1",COUNTIF($D$9:D3301,"N1"),""))</f>
        <v/>
      </c>
      <c r="J3301" s="96" t="str">
        <f>IF(D3301="","",COUNTA(D3292:D3301)-(COUNTA(D3301:D3301)-1))</f>
        <v/>
      </c>
    </row>
    <row r="3302" spans="1:10" thickBot="1">
      <c r="A3302" s="117"/>
      <c r="B3302" s="70">
        <f t="shared" si="209"/>
        <v>47094</v>
      </c>
      <c r="C3302" s="82" t="str">
        <f t="shared" si="210"/>
        <v>jeudi</v>
      </c>
      <c r="D3302" s="87"/>
      <c r="E3302" s="115" t="str">
        <f t="shared" si="211"/>
        <v/>
      </c>
      <c r="F3302" s="115" t="str">
        <f t="shared" si="212"/>
        <v/>
      </c>
      <c r="G3302" s="116" t="str">
        <f>IF(ISNONTEXT(D3302),"",E3302-MAX($F$2:F3301))</f>
        <v/>
      </c>
      <c r="H3302" s="97"/>
      <c r="I3302" s="74" t="str">
        <f ca="1">IF(D3302="N",COUNTIF(INDIRECT(ADDRESS(MATCH(Plages!$D$19,'Planning annuel mixing coater'!$B:$B),4)):D3302,"N"),IF(D3302="N1",COUNTIF($D$9:D3302,"N1"),""))</f>
        <v/>
      </c>
      <c r="J3302" s="96" t="str">
        <f>IF(D3302="","",COUNTA(D3292:D3302)-(COUNTA(D3302:D3302)-1))</f>
        <v/>
      </c>
    </row>
    <row r="3303" spans="1:10" thickBot="1">
      <c r="A3303" s="117"/>
      <c r="B3303" s="70">
        <f t="shared" si="209"/>
        <v>47095</v>
      </c>
      <c r="C3303" s="82" t="str">
        <f t="shared" si="210"/>
        <v>vendredi</v>
      </c>
      <c r="D3303" s="87"/>
      <c r="E3303" s="115" t="str">
        <f t="shared" si="211"/>
        <v/>
      </c>
      <c r="F3303" s="115" t="str">
        <f t="shared" si="212"/>
        <v/>
      </c>
      <c r="G3303" s="116" t="str">
        <f>IF(ISNONTEXT(D3303),"",E3303-MAX($F$2:F3302))</f>
        <v/>
      </c>
      <c r="H3303" s="97"/>
      <c r="I3303" s="74" t="str">
        <f ca="1">IF(D3303="N",COUNTIF(INDIRECT(ADDRESS(MATCH(Plages!$D$19,'Planning annuel mixing coater'!$B:$B),4)):D3303,"N"),IF(D3303="N1",COUNTIF($D$9:D3303,"N1"),""))</f>
        <v/>
      </c>
      <c r="J3303" s="96" t="str">
        <f>IF(D3303="","",COUNTA(D3292:D3303)-(COUNTA(D3303:D3303)-1))</f>
        <v/>
      </c>
    </row>
    <row r="3304" spans="1:10" thickBot="1">
      <c r="A3304" s="117"/>
      <c r="B3304" s="70">
        <f t="shared" si="209"/>
        <v>47096</v>
      </c>
      <c r="C3304" s="82" t="str">
        <f t="shared" si="210"/>
        <v>samedi</v>
      </c>
      <c r="D3304" s="87"/>
      <c r="E3304" s="115" t="str">
        <f t="shared" si="211"/>
        <v/>
      </c>
      <c r="F3304" s="115" t="str">
        <f t="shared" si="212"/>
        <v/>
      </c>
      <c r="G3304" s="116" t="str">
        <f>IF(ISNONTEXT(D3304),"",E3304-MAX($F$2:F3303))</f>
        <v/>
      </c>
      <c r="H3304" s="97"/>
      <c r="I3304" s="74" t="str">
        <f ca="1">IF(D3304="N",COUNTIF(INDIRECT(ADDRESS(MATCH(Plages!$D$19,'Planning annuel mixing coater'!$B:$B),4)):D3304,"N"),IF(D3304="N1",COUNTIF($D$9:D3304,"N1"),""))</f>
        <v/>
      </c>
      <c r="J3304" s="96" t="str">
        <f>IF(D3304="","",COUNTA(D3292:D3304)-(COUNTA(D3304:D3304)-1))</f>
        <v/>
      </c>
    </row>
    <row r="3305" spans="1:10" s="77" customFormat="1" thickBot="1">
      <c r="A3305" s="117"/>
      <c r="B3305" s="75">
        <f t="shared" si="209"/>
        <v>47097</v>
      </c>
      <c r="C3305" s="83" t="str">
        <f t="shared" si="210"/>
        <v>dimanche</v>
      </c>
      <c r="D3305" s="88"/>
      <c r="E3305" s="115" t="str">
        <f t="shared" si="211"/>
        <v/>
      </c>
      <c r="F3305" s="115" t="str">
        <f t="shared" si="212"/>
        <v/>
      </c>
      <c r="G3305" s="116" t="str">
        <f>IF(ISNONTEXT(D3305),"",E3305-MAX($F$2:F3304))</f>
        <v/>
      </c>
      <c r="H3305" s="98"/>
      <c r="I3305" s="76" t="str">
        <f ca="1">IF(D3305="N",COUNTIF(INDIRECT(ADDRESS(MATCH(Plages!$D$19,'Planning annuel mixing coater'!$B:$B),4)):D3305,"N"),IF(D3305="N1",COUNTIF($D$9:D3305,"N1"),""))</f>
        <v/>
      </c>
      <c r="J3305" s="99" t="str">
        <f>IF(D3305="","",COUNTA(D3292:D3305)-(COUNTA(D3305:D3305)-1))</f>
        <v/>
      </c>
    </row>
    <row r="3306" spans="1:10" ht="16.5" thickTop="1" thickBot="1">
      <c r="A3306" s="117"/>
      <c r="B3306" s="78">
        <f t="shared" si="209"/>
        <v>47098</v>
      </c>
      <c r="C3306" s="81" t="str">
        <f t="shared" si="210"/>
        <v>lundi</v>
      </c>
      <c r="D3306" s="89"/>
      <c r="E3306" s="115" t="str">
        <f t="shared" si="211"/>
        <v/>
      </c>
      <c r="F3306" s="115" t="str">
        <f t="shared" si="212"/>
        <v/>
      </c>
      <c r="G3306" s="116" t="str">
        <f>IF(ISNONTEXT(D3306),"",E3306-MAX($F$2:F3305))</f>
        <v/>
      </c>
      <c r="H3306" s="100"/>
      <c r="I3306" s="79" t="str">
        <f ca="1">IF(D3306="N",COUNTIF(INDIRECT(ADDRESS(MATCH(Plages!$D$19,'Planning annuel mixing coater'!$B:$B),4)):D3306,"N"),IF(D3306="N1",COUNTIF($D$9:D3306,"N1"),""))</f>
        <v/>
      </c>
      <c r="J3306" s="101" t="str">
        <f>IF(D3306="","",COUNTA(D3306:D3306)-(COUNTA(D3306:D3306)-1))</f>
        <v/>
      </c>
    </row>
    <row r="3307" spans="1:10" thickBot="1">
      <c r="A3307" s="117"/>
      <c r="B3307" s="70">
        <f t="shared" si="209"/>
        <v>47099</v>
      </c>
      <c r="C3307" s="82" t="str">
        <f t="shared" si="210"/>
        <v>mardi</v>
      </c>
      <c r="D3307" s="87"/>
      <c r="E3307" s="115" t="str">
        <f t="shared" si="211"/>
        <v/>
      </c>
      <c r="F3307" s="115" t="str">
        <f t="shared" si="212"/>
        <v/>
      </c>
      <c r="G3307" s="116" t="str">
        <f>IF(ISNONTEXT(D3307),"",E3307-MAX($F$2:F3306))</f>
        <v/>
      </c>
      <c r="H3307" s="97"/>
      <c r="I3307" s="74" t="str">
        <f ca="1">IF(D3307="N",COUNTIF(INDIRECT(ADDRESS(MATCH(Plages!$D$19,'Planning annuel mixing coater'!$B:$B),4)):D3307,"N"),IF(D3307="N1",COUNTIF($D$9:D3307,"N1"),""))</f>
        <v/>
      </c>
      <c r="J3307" s="96" t="str">
        <f>IF(D3307="","",COUNTA(D3306:D3307)-(COUNTA(D3307:D3307)-1))</f>
        <v/>
      </c>
    </row>
    <row r="3308" spans="1:10" thickBot="1">
      <c r="A3308" s="117"/>
      <c r="B3308" s="70">
        <f t="shared" si="209"/>
        <v>47100</v>
      </c>
      <c r="C3308" s="82" t="str">
        <f t="shared" si="210"/>
        <v>mercredi</v>
      </c>
      <c r="D3308" s="87"/>
      <c r="E3308" s="115" t="str">
        <f t="shared" si="211"/>
        <v/>
      </c>
      <c r="F3308" s="115" t="str">
        <f t="shared" si="212"/>
        <v/>
      </c>
      <c r="G3308" s="116" t="str">
        <f>IF(ISNONTEXT(D3308),"",E3308-MAX($F$2:F3307))</f>
        <v/>
      </c>
      <c r="H3308" s="97"/>
      <c r="I3308" s="74" t="str">
        <f ca="1">IF(D3308="N",COUNTIF(INDIRECT(ADDRESS(MATCH(Plages!$D$19,'Planning annuel mixing coater'!$B:$B),4)):D3308,"N"),IF(D3308="N1",COUNTIF($D$9:D3308,"N1"),""))</f>
        <v/>
      </c>
      <c r="J3308" s="96" t="str">
        <f>IF(D3308="","",COUNTA(D3306:D3308)-(COUNTA(D3308:D3308)-1))</f>
        <v/>
      </c>
    </row>
    <row r="3309" spans="1:10" thickBot="1">
      <c r="A3309" s="117"/>
      <c r="B3309" s="70">
        <f t="shared" si="209"/>
        <v>47101</v>
      </c>
      <c r="C3309" s="82" t="str">
        <f t="shared" si="210"/>
        <v>jeudi</v>
      </c>
      <c r="D3309" s="87"/>
      <c r="E3309" s="115" t="str">
        <f t="shared" si="211"/>
        <v/>
      </c>
      <c r="F3309" s="115" t="str">
        <f t="shared" si="212"/>
        <v/>
      </c>
      <c r="G3309" s="116" t="str">
        <f>IF(ISNONTEXT(D3309),"",E3309-MAX($F$2:F3308))</f>
        <v/>
      </c>
      <c r="H3309" s="97"/>
      <c r="I3309" s="74" t="str">
        <f ca="1">IF(D3309="N",COUNTIF(INDIRECT(ADDRESS(MATCH(Plages!$D$19,'Planning annuel mixing coater'!$B:$B),4)):D3309,"N"),IF(D3309="N1",COUNTIF($D$9:D3309,"N1"),""))</f>
        <v/>
      </c>
      <c r="J3309" s="96" t="str">
        <f>IF(D3309="","",COUNTA(D3306:D3309)-(COUNTA(D3309:D3309)-1))</f>
        <v/>
      </c>
    </row>
    <row r="3310" spans="1:10" thickBot="1">
      <c r="A3310" s="117"/>
      <c r="B3310" s="70">
        <f t="shared" si="209"/>
        <v>47102</v>
      </c>
      <c r="C3310" s="82" t="str">
        <f t="shared" si="210"/>
        <v>vendredi</v>
      </c>
      <c r="D3310" s="87"/>
      <c r="E3310" s="115" t="str">
        <f t="shared" si="211"/>
        <v/>
      </c>
      <c r="F3310" s="115" t="str">
        <f t="shared" si="212"/>
        <v/>
      </c>
      <c r="G3310" s="116" t="str">
        <f>IF(ISNONTEXT(D3310),"",E3310-MAX($F$2:F3309))</f>
        <v/>
      </c>
      <c r="H3310" s="97"/>
      <c r="I3310" s="74" t="str">
        <f ca="1">IF(D3310="N",COUNTIF(INDIRECT(ADDRESS(MATCH(Plages!$D$19,'Planning annuel mixing coater'!$B:$B),4)):D3310,"N"),IF(D3310="N1",COUNTIF($D$9:D3310,"N1"),""))</f>
        <v/>
      </c>
      <c r="J3310" s="96" t="str">
        <f>IF(D3310="","",COUNTA(D3306:D3310)-(COUNTA(D3310:D3310)-1))</f>
        <v/>
      </c>
    </row>
    <row r="3311" spans="1:10" thickBot="1">
      <c r="A3311" s="117"/>
      <c r="B3311" s="70">
        <f t="shared" si="209"/>
        <v>47103</v>
      </c>
      <c r="C3311" s="82" t="str">
        <f t="shared" si="210"/>
        <v>samedi</v>
      </c>
      <c r="D3311" s="87"/>
      <c r="E3311" s="115" t="str">
        <f t="shared" si="211"/>
        <v/>
      </c>
      <c r="F3311" s="115" t="str">
        <f t="shared" si="212"/>
        <v/>
      </c>
      <c r="G3311" s="116" t="str">
        <f>IF(ISNONTEXT(D3311),"",E3311-MAX($F$2:F3310))</f>
        <v/>
      </c>
      <c r="H3311" s="97"/>
      <c r="I3311" s="74" t="str">
        <f ca="1">IF(D3311="N",COUNTIF(INDIRECT(ADDRESS(MATCH(Plages!$D$19,'Planning annuel mixing coater'!$B:$B),4)):D3311,"N"),IF(D3311="N1",COUNTIF($D$9:D3311,"N1"),""))</f>
        <v/>
      </c>
      <c r="J3311" s="96" t="str">
        <f>IF(D3311="","",COUNTA(D3306:D3311)-(COUNTA(D3311:D3311)-1))</f>
        <v/>
      </c>
    </row>
    <row r="3312" spans="1:10" thickBot="1">
      <c r="A3312" s="117"/>
      <c r="B3312" s="70">
        <f t="shared" si="209"/>
        <v>47104</v>
      </c>
      <c r="C3312" s="82" t="str">
        <f t="shared" si="210"/>
        <v>dimanche</v>
      </c>
      <c r="D3312" s="87"/>
      <c r="E3312" s="115" t="str">
        <f t="shared" si="211"/>
        <v/>
      </c>
      <c r="F3312" s="115" t="str">
        <f t="shared" si="212"/>
        <v/>
      </c>
      <c r="G3312" s="116" t="str">
        <f>IF(ISNONTEXT(D3312),"",E3312-MAX($F$2:F3311))</f>
        <v/>
      </c>
      <c r="H3312" s="98"/>
      <c r="I3312" s="74" t="str">
        <f ca="1">IF(D3312="N",COUNTIF(INDIRECT(ADDRESS(MATCH(Plages!$D$19,'Planning annuel mixing coater'!$B:$B),4)):D3312,"N"),IF(D3312="N1",COUNTIF($D$9:D3312,"N1"),""))</f>
        <v/>
      </c>
      <c r="J3312" s="96" t="str">
        <f>IF(D3312="","",COUNTA(D3306:D3312)-(COUNTA(D3312:D3312)-1))</f>
        <v/>
      </c>
    </row>
    <row r="3313" spans="1:10" thickBot="1">
      <c r="A3313" s="117"/>
      <c r="B3313" s="70">
        <f t="shared" si="209"/>
        <v>47105</v>
      </c>
      <c r="C3313" s="82" t="str">
        <f t="shared" si="210"/>
        <v>lundi</v>
      </c>
      <c r="D3313" s="87"/>
      <c r="E3313" s="115" t="str">
        <f t="shared" si="211"/>
        <v/>
      </c>
      <c r="F3313" s="115" t="str">
        <f t="shared" si="212"/>
        <v/>
      </c>
      <c r="G3313" s="116" t="str">
        <f>IF(ISNONTEXT(D3313),"",E3313-MAX($F$2:F3312))</f>
        <v/>
      </c>
      <c r="H3313" s="97"/>
      <c r="I3313" s="74" t="str">
        <f ca="1">IF(D3313="N",COUNTIF(INDIRECT(ADDRESS(MATCH(Plages!$D$19,'Planning annuel mixing coater'!$B:$B),4)):D3313,"N"),IF(D3313="N1",COUNTIF($D$9:D3313,"N1"),""))</f>
        <v/>
      </c>
      <c r="J3313" s="96" t="str">
        <f>IF(D3313="","",COUNTA(D3306:D3313)-(COUNTA(D3313:D3313)-1))</f>
        <v/>
      </c>
    </row>
    <row r="3314" spans="1:10" thickBot="1">
      <c r="A3314" s="117"/>
      <c r="B3314" s="70">
        <f t="shared" si="209"/>
        <v>47106</v>
      </c>
      <c r="C3314" s="82" t="str">
        <f t="shared" si="210"/>
        <v>mardi</v>
      </c>
      <c r="D3314" s="87"/>
      <c r="E3314" s="115" t="str">
        <f t="shared" si="211"/>
        <v/>
      </c>
      <c r="F3314" s="115" t="str">
        <f t="shared" si="212"/>
        <v/>
      </c>
      <c r="G3314" s="116" t="str">
        <f>IF(ISNONTEXT(D3314),"",E3314-MAX($F$2:F3313))</f>
        <v/>
      </c>
      <c r="H3314" s="97"/>
      <c r="I3314" s="74" t="str">
        <f ca="1">IF(D3314="N",COUNTIF(INDIRECT(ADDRESS(MATCH(Plages!$D$19,'Planning annuel mixing coater'!$B:$B),4)):D3314,"N"),IF(D3314="N1",COUNTIF($D$9:D3314,"N1"),""))</f>
        <v/>
      </c>
      <c r="J3314" s="96" t="str">
        <f>IF(D3314="","",COUNTA(D3306:D3314)-(COUNTA(D3314:D3314)-1))</f>
        <v/>
      </c>
    </row>
    <row r="3315" spans="1:10" thickBot="1">
      <c r="A3315" s="117"/>
      <c r="B3315" s="70">
        <f t="shared" si="209"/>
        <v>47107</v>
      </c>
      <c r="C3315" s="82" t="str">
        <f t="shared" si="210"/>
        <v>mercredi</v>
      </c>
      <c r="D3315" s="87"/>
      <c r="E3315" s="115" t="str">
        <f t="shared" si="211"/>
        <v/>
      </c>
      <c r="F3315" s="115" t="str">
        <f t="shared" si="212"/>
        <v/>
      </c>
      <c r="G3315" s="116" t="str">
        <f>IF(ISNONTEXT(D3315),"",E3315-MAX($F$2:F3314))</f>
        <v/>
      </c>
      <c r="H3315" s="97"/>
      <c r="I3315" s="74" t="str">
        <f ca="1">IF(D3315="N",COUNTIF(INDIRECT(ADDRESS(MATCH(Plages!$D$19,'Planning annuel mixing coater'!$B:$B),4)):D3315,"N"),IF(D3315="N1",COUNTIF($D$9:D3315,"N1"),""))</f>
        <v/>
      </c>
      <c r="J3315" s="96" t="str">
        <f>IF(D3315="","",COUNTA(D3306:D3315)-(COUNTA(D3315:D3315)-1))</f>
        <v/>
      </c>
    </row>
    <row r="3316" spans="1:10" thickBot="1">
      <c r="A3316" s="117"/>
      <c r="B3316" s="70">
        <f t="shared" si="209"/>
        <v>47108</v>
      </c>
      <c r="C3316" s="82" t="str">
        <f t="shared" si="210"/>
        <v>jeudi</v>
      </c>
      <c r="D3316" s="87"/>
      <c r="E3316" s="115" t="str">
        <f t="shared" si="211"/>
        <v/>
      </c>
      <c r="F3316" s="115" t="str">
        <f t="shared" si="212"/>
        <v/>
      </c>
      <c r="G3316" s="116" t="str">
        <f>IF(ISNONTEXT(D3316),"",E3316-MAX($F$2:F3315))</f>
        <v/>
      </c>
      <c r="H3316" s="97"/>
      <c r="I3316" s="74" t="str">
        <f ca="1">IF(D3316="N",COUNTIF(INDIRECT(ADDRESS(MATCH(Plages!$D$19,'Planning annuel mixing coater'!$B:$B),4)):D3316,"N"),IF(D3316="N1",COUNTIF($D$9:D3316,"N1"),""))</f>
        <v/>
      </c>
      <c r="J3316" s="96" t="str">
        <f>IF(D3316="","",COUNTA(D3306:D3316)-(COUNTA(D3316:D3316)-1))</f>
        <v/>
      </c>
    </row>
    <row r="3317" spans="1:10" thickBot="1">
      <c r="A3317" s="117"/>
      <c r="B3317" s="70">
        <f t="shared" si="209"/>
        <v>47109</v>
      </c>
      <c r="C3317" s="82" t="str">
        <f t="shared" si="210"/>
        <v>vendredi</v>
      </c>
      <c r="D3317" s="87"/>
      <c r="E3317" s="115" t="str">
        <f t="shared" si="211"/>
        <v/>
      </c>
      <c r="F3317" s="115" t="str">
        <f t="shared" si="212"/>
        <v/>
      </c>
      <c r="G3317" s="116" t="str">
        <f>IF(ISNONTEXT(D3317),"",E3317-MAX($F$2:F3316))</f>
        <v/>
      </c>
      <c r="H3317" s="97"/>
      <c r="I3317" s="74" t="str">
        <f ca="1">IF(D3317="N",COUNTIF(INDIRECT(ADDRESS(MATCH(Plages!$D$19,'Planning annuel mixing coater'!$B:$B),4)):D3317,"N"),IF(D3317="N1",COUNTIF($D$9:D3317,"N1"),""))</f>
        <v/>
      </c>
      <c r="J3317" s="96" t="str">
        <f>IF(D3317="","",COUNTA(D3306:D3317)-(COUNTA(D3317:D3317)-1))</f>
        <v/>
      </c>
    </row>
    <row r="3318" spans="1:10" thickBot="1">
      <c r="A3318" s="117"/>
      <c r="B3318" s="70">
        <f t="shared" si="209"/>
        <v>47110</v>
      </c>
      <c r="C3318" s="82" t="str">
        <f t="shared" si="210"/>
        <v>samedi</v>
      </c>
      <c r="D3318" s="87"/>
      <c r="E3318" s="115" t="str">
        <f t="shared" si="211"/>
        <v/>
      </c>
      <c r="F3318" s="115" t="str">
        <f t="shared" si="212"/>
        <v/>
      </c>
      <c r="G3318" s="116" t="str">
        <f>IF(ISNONTEXT(D3318),"",E3318-MAX($F$2:F3317))</f>
        <v/>
      </c>
      <c r="H3318" s="97"/>
      <c r="I3318" s="74" t="str">
        <f ca="1">IF(D3318="N",COUNTIF(INDIRECT(ADDRESS(MATCH(Plages!$D$19,'Planning annuel mixing coater'!$B:$B),4)):D3318,"N"),IF(D3318="N1",COUNTIF($D$9:D3318,"N1"),""))</f>
        <v/>
      </c>
      <c r="J3318" s="96" t="str">
        <f>IF(D3318="","",COUNTA(D3306:D3318)-(COUNTA(D3318:D3318)-1))</f>
        <v/>
      </c>
    </row>
    <row r="3319" spans="1:10" s="77" customFormat="1" thickBot="1">
      <c r="A3319" s="117"/>
      <c r="B3319" s="75">
        <f t="shared" si="209"/>
        <v>47111</v>
      </c>
      <c r="C3319" s="83" t="str">
        <f t="shared" si="210"/>
        <v>dimanche</v>
      </c>
      <c r="D3319" s="88"/>
      <c r="E3319" s="115" t="str">
        <f t="shared" si="211"/>
        <v/>
      </c>
      <c r="F3319" s="115" t="str">
        <f t="shared" si="212"/>
        <v/>
      </c>
      <c r="G3319" s="116" t="str">
        <f>IF(ISNONTEXT(D3319),"",E3319-MAX($F$2:F3318))</f>
        <v/>
      </c>
      <c r="H3319" s="98"/>
      <c r="I3319" s="76" t="str">
        <f ca="1">IF(D3319="N",COUNTIF(INDIRECT(ADDRESS(MATCH(Plages!$D$19,'Planning annuel mixing coater'!$B:$B),4)):D3319,"N"),IF(D3319="N1",COUNTIF($D$9:D3319,"N1"),""))</f>
        <v/>
      </c>
      <c r="J3319" s="99" t="str">
        <f>IF(D3319="","",COUNTA(D3306:D3319)-(COUNTA(D3319:D3319)-1))</f>
        <v/>
      </c>
    </row>
    <row r="3320" spans="1:10" ht="16.5" thickTop="1" thickBot="1">
      <c r="A3320" s="117"/>
      <c r="B3320" s="78">
        <f t="shared" si="209"/>
        <v>47112</v>
      </c>
      <c r="C3320" s="81" t="str">
        <f t="shared" si="210"/>
        <v>lundi</v>
      </c>
      <c r="D3320" s="89"/>
      <c r="E3320" s="115" t="str">
        <f t="shared" si="211"/>
        <v/>
      </c>
      <c r="F3320" s="115" t="str">
        <f t="shared" si="212"/>
        <v/>
      </c>
      <c r="G3320" s="116" t="str">
        <f>IF(ISNONTEXT(D3320),"",E3320-MAX($F$2:F3319))</f>
        <v/>
      </c>
      <c r="H3320" s="100"/>
      <c r="I3320" s="79" t="str">
        <f ca="1">IF(D3320="N",COUNTIF(INDIRECT(ADDRESS(MATCH(Plages!$D$19,'Planning annuel mixing coater'!$B:$B),4)):D3320,"N"),IF(D3320="N1",COUNTIF($D$9:D3320,"N1"),""))</f>
        <v/>
      </c>
      <c r="J3320" s="101" t="str">
        <f>IF(D3320="","",COUNTA(D3320:D3320)-(COUNTA(D3320:D3320)-1))</f>
        <v/>
      </c>
    </row>
    <row r="3321" spans="1:10" thickBot="1">
      <c r="A3321" s="117"/>
      <c r="B3321" s="70">
        <f t="shared" si="209"/>
        <v>47113</v>
      </c>
      <c r="C3321" s="82" t="str">
        <f t="shared" si="210"/>
        <v>mardi</v>
      </c>
      <c r="D3321" s="87"/>
      <c r="E3321" s="115" t="str">
        <f t="shared" si="211"/>
        <v/>
      </c>
      <c r="F3321" s="115" t="str">
        <f t="shared" si="212"/>
        <v/>
      </c>
      <c r="G3321" s="116" t="str">
        <f>IF(ISNONTEXT(D3321),"",E3321-MAX($F$2:F3320))</f>
        <v/>
      </c>
      <c r="H3321" s="97"/>
      <c r="I3321" s="74" t="str">
        <f ca="1">IF(D3321="N",COUNTIF(INDIRECT(ADDRESS(MATCH(Plages!$D$19,'Planning annuel mixing coater'!$B:$B),4)):D3321,"N"),IF(D3321="N1",COUNTIF($D$9:D3321,"N1"),""))</f>
        <v/>
      </c>
      <c r="J3321" s="96" t="str">
        <f>IF(D3321="","",COUNTA(D3320:D3321)-(COUNTA(D3321:D3321)-1))</f>
        <v/>
      </c>
    </row>
    <row r="3322" spans="1:10" thickBot="1">
      <c r="A3322" s="117"/>
      <c r="B3322" s="70">
        <f t="shared" si="209"/>
        <v>47114</v>
      </c>
      <c r="C3322" s="82" t="str">
        <f t="shared" si="210"/>
        <v>mercredi</v>
      </c>
      <c r="D3322" s="87"/>
      <c r="E3322" s="115" t="str">
        <f t="shared" si="211"/>
        <v/>
      </c>
      <c r="F3322" s="115" t="str">
        <f t="shared" si="212"/>
        <v/>
      </c>
      <c r="G3322" s="116" t="str">
        <f>IF(ISNONTEXT(D3322),"",E3322-MAX($F$2:F3321))</f>
        <v/>
      </c>
      <c r="H3322" s="97"/>
      <c r="I3322" s="74" t="str">
        <f ca="1">IF(D3322="N",COUNTIF(INDIRECT(ADDRESS(MATCH(Plages!$D$19,'Planning annuel mixing coater'!$B:$B),4)):D3322,"N"),IF(D3322="N1",COUNTIF($D$9:D3322,"N1"),""))</f>
        <v/>
      </c>
      <c r="J3322" s="96" t="str">
        <f>IF(D3322="","",COUNTA(D3320:D3322)-(COUNTA(D3322:D3322)-1))</f>
        <v/>
      </c>
    </row>
    <row r="3323" spans="1:10" thickBot="1">
      <c r="A3323" s="117"/>
      <c r="B3323" s="70">
        <f t="shared" si="209"/>
        <v>47115</v>
      </c>
      <c r="C3323" s="82" t="str">
        <f t="shared" si="210"/>
        <v>jeudi</v>
      </c>
      <c r="D3323" s="87"/>
      <c r="E3323" s="115" t="str">
        <f t="shared" si="211"/>
        <v/>
      </c>
      <c r="F3323" s="115" t="str">
        <f t="shared" si="212"/>
        <v/>
      </c>
      <c r="G3323" s="116" t="str">
        <f>IF(ISNONTEXT(D3323),"",E3323-MAX($F$2:F3322))</f>
        <v/>
      </c>
      <c r="H3323" s="97"/>
      <c r="I3323" s="74" t="str">
        <f ca="1">IF(D3323="N",COUNTIF(INDIRECT(ADDRESS(MATCH(Plages!$D$19,'Planning annuel mixing coater'!$B:$B),4)):D3323,"N"),IF(D3323="N1",COUNTIF($D$9:D3323,"N1"),""))</f>
        <v/>
      </c>
      <c r="J3323" s="96" t="str">
        <f>IF(D3323="","",COUNTA(D3320:D3323)-(COUNTA(D3323:D3323)-1))</f>
        <v/>
      </c>
    </row>
    <row r="3324" spans="1:10" thickBot="1">
      <c r="A3324" s="117"/>
      <c r="B3324" s="70">
        <f t="shared" si="209"/>
        <v>47116</v>
      </c>
      <c r="C3324" s="82" t="str">
        <f t="shared" si="210"/>
        <v>vendredi</v>
      </c>
      <c r="D3324" s="87"/>
      <c r="E3324" s="115" t="str">
        <f t="shared" si="211"/>
        <v/>
      </c>
      <c r="F3324" s="115" t="str">
        <f t="shared" si="212"/>
        <v/>
      </c>
      <c r="G3324" s="116" t="str">
        <f>IF(ISNONTEXT(D3324),"",E3324-MAX($F$2:F3323))</f>
        <v/>
      </c>
      <c r="H3324" s="97"/>
      <c r="I3324" s="74" t="str">
        <f ca="1">IF(D3324="N",COUNTIF(INDIRECT(ADDRESS(MATCH(Plages!$D$19,'Planning annuel mixing coater'!$B:$B),4)):D3324,"N"),IF(D3324="N1",COUNTIF($D$9:D3324,"N1"),""))</f>
        <v/>
      </c>
      <c r="J3324" s="96" t="str">
        <f>IF(D3324="","",COUNTA(D3320:D3324)-(COUNTA(D3324:D3324)-1))</f>
        <v/>
      </c>
    </row>
    <row r="3325" spans="1:10" thickBot="1">
      <c r="A3325" s="117"/>
      <c r="B3325" s="70">
        <f t="shared" si="209"/>
        <v>47117</v>
      </c>
      <c r="C3325" s="82" t="str">
        <f t="shared" si="210"/>
        <v>samedi</v>
      </c>
      <c r="D3325" s="87"/>
      <c r="E3325" s="115" t="str">
        <f t="shared" si="211"/>
        <v/>
      </c>
      <c r="F3325" s="115" t="str">
        <f t="shared" si="212"/>
        <v/>
      </c>
      <c r="G3325" s="116" t="str">
        <f>IF(ISNONTEXT(D3325),"",E3325-MAX($F$2:F3324))</f>
        <v/>
      </c>
      <c r="H3325" s="97"/>
      <c r="I3325" s="74" t="str">
        <f ca="1">IF(D3325="N",COUNTIF(INDIRECT(ADDRESS(MATCH(Plages!$D$19,'Planning annuel mixing coater'!$B:$B),4)):D3325,"N"),IF(D3325="N1",COUNTIF($D$9:D3325,"N1"),""))</f>
        <v/>
      </c>
      <c r="J3325" s="96" t="str">
        <f>IF(D3325="","",COUNTA(D3320:D3325)-(COUNTA(D3325:D3325)-1))</f>
        <v/>
      </c>
    </row>
    <row r="3326" spans="1:10" thickBot="1">
      <c r="A3326" s="117"/>
      <c r="B3326" s="70">
        <f t="shared" si="209"/>
        <v>47118</v>
      </c>
      <c r="C3326" s="82" t="str">
        <f t="shared" si="210"/>
        <v>dimanche</v>
      </c>
      <c r="D3326" s="87"/>
      <c r="E3326" s="115" t="str">
        <f t="shared" si="211"/>
        <v/>
      </c>
      <c r="F3326" s="115" t="str">
        <f t="shared" si="212"/>
        <v/>
      </c>
      <c r="G3326" s="116" t="str">
        <f>IF(ISNONTEXT(D3326),"",E3326-MAX($F$2:F3325))</f>
        <v/>
      </c>
      <c r="H3326" s="98"/>
      <c r="I3326" s="74" t="str">
        <f ca="1">IF(D3326="N",COUNTIF(INDIRECT(ADDRESS(MATCH(Plages!$D$19,'Planning annuel mixing coater'!$B:$B),4)):D3326,"N"),IF(D3326="N1",COUNTIF($D$9:D3326,"N1"),""))</f>
        <v/>
      </c>
      <c r="J3326" s="96" t="str">
        <f>IF(D3326="","",COUNTA(D3320:D3326)-(COUNTA(D3326:D3326)-1))</f>
        <v/>
      </c>
    </row>
    <row r="3327" spans="1:10" thickBot="1">
      <c r="A3327" s="117"/>
      <c r="B3327" s="70">
        <f t="shared" si="209"/>
        <v>47119</v>
      </c>
      <c r="C3327" s="82" t="str">
        <f t="shared" si="210"/>
        <v>lundi</v>
      </c>
      <c r="D3327" s="87"/>
      <c r="E3327" s="115" t="str">
        <f t="shared" si="211"/>
        <v/>
      </c>
      <c r="F3327" s="115" t="str">
        <f t="shared" si="212"/>
        <v/>
      </c>
      <c r="G3327" s="116" t="str">
        <f>IF(ISNONTEXT(D3327),"",E3327-MAX($F$2:F3326))</f>
        <v/>
      </c>
      <c r="H3327" s="97"/>
      <c r="I3327" s="74" t="str">
        <f ca="1">IF(D3327="N",COUNTIF(INDIRECT(ADDRESS(MATCH(Plages!$D$19,'Planning annuel mixing coater'!$B:$B),4)):D3327,"N"),IF(D3327="N1",COUNTIF($D$9:D3327,"N1"),""))</f>
        <v/>
      </c>
      <c r="J3327" s="96" t="str">
        <f>IF(D3327="","",COUNTA(D3320:D3327)-(COUNTA(D3327:D3327)-1))</f>
        <v/>
      </c>
    </row>
    <row r="3328" spans="1:10" thickBot="1">
      <c r="A3328" s="117"/>
      <c r="B3328" s="70">
        <f t="shared" si="209"/>
        <v>47120</v>
      </c>
      <c r="C3328" s="82" t="str">
        <f t="shared" si="210"/>
        <v>mardi</v>
      </c>
      <c r="D3328" s="87"/>
      <c r="E3328" s="115" t="str">
        <f t="shared" si="211"/>
        <v/>
      </c>
      <c r="F3328" s="115" t="str">
        <f t="shared" si="212"/>
        <v/>
      </c>
      <c r="G3328" s="116" t="str">
        <f>IF(ISNONTEXT(D3328),"",E3328-MAX($F$2:F3327))</f>
        <v/>
      </c>
      <c r="H3328" s="97"/>
      <c r="I3328" s="74" t="str">
        <f ca="1">IF(D3328="N",COUNTIF(INDIRECT(ADDRESS(MATCH(Plages!$D$19,'Planning annuel mixing coater'!$B:$B),4)):D3328,"N"),IF(D3328="N1",COUNTIF($D$9:D3328,"N1"),""))</f>
        <v/>
      </c>
      <c r="J3328" s="96" t="str">
        <f>IF(D3328="","",COUNTA(D3320:D3328)-(COUNTA(D3328:D3328)-1))</f>
        <v/>
      </c>
    </row>
    <row r="3329" spans="1:10" thickBot="1">
      <c r="A3329" s="117"/>
      <c r="B3329" s="70">
        <f t="shared" si="209"/>
        <v>47121</v>
      </c>
      <c r="C3329" s="82" t="str">
        <f t="shared" si="210"/>
        <v>mercredi</v>
      </c>
      <c r="D3329" s="87"/>
      <c r="E3329" s="115" t="str">
        <f t="shared" si="211"/>
        <v/>
      </c>
      <c r="F3329" s="115" t="str">
        <f t="shared" si="212"/>
        <v/>
      </c>
      <c r="G3329" s="116" t="str">
        <f>IF(ISNONTEXT(D3329),"",E3329-MAX($F$2:F3328))</f>
        <v/>
      </c>
      <c r="H3329" s="97"/>
      <c r="I3329" s="74" t="str">
        <f ca="1">IF(D3329="N",COUNTIF(INDIRECT(ADDRESS(MATCH(Plages!$D$19,'Planning annuel mixing coater'!$B:$B),4)):D3329,"N"),IF(D3329="N1",COUNTIF($D$9:D3329,"N1"),""))</f>
        <v/>
      </c>
      <c r="J3329" s="96" t="str">
        <f>IF(D3329="","",COUNTA(D3320:D3329)-(COUNTA(D3329:D3329)-1))</f>
        <v/>
      </c>
    </row>
    <row r="3330" spans="1:10" thickBot="1">
      <c r="A3330" s="117"/>
      <c r="B3330" s="70">
        <f t="shared" si="209"/>
        <v>47122</v>
      </c>
      <c r="C3330" s="82" t="str">
        <f t="shared" si="210"/>
        <v>jeudi</v>
      </c>
      <c r="D3330" s="87"/>
      <c r="E3330" s="115" t="str">
        <f t="shared" si="211"/>
        <v/>
      </c>
      <c r="F3330" s="115" t="str">
        <f t="shared" si="212"/>
        <v/>
      </c>
      <c r="G3330" s="116" t="str">
        <f>IF(ISNONTEXT(D3330),"",E3330-MAX($F$2:F3329))</f>
        <v/>
      </c>
      <c r="H3330" s="97"/>
      <c r="I3330" s="74" t="str">
        <f ca="1">IF(D3330="N",COUNTIF(INDIRECT(ADDRESS(MATCH(Plages!$D$19,'Planning annuel mixing coater'!$B:$B),4)):D3330,"N"),IF(D3330="N1",COUNTIF($D$9:D3330,"N1"),""))</f>
        <v/>
      </c>
      <c r="J3330" s="96" t="str">
        <f>IF(D3330="","",COUNTA(D3320:D3330)-(COUNTA(D3330:D3330)-1))</f>
        <v/>
      </c>
    </row>
    <row r="3331" spans="1:10" thickBot="1">
      <c r="A3331" s="117"/>
      <c r="B3331" s="70">
        <f t="shared" si="209"/>
        <v>47123</v>
      </c>
      <c r="C3331" s="82" t="str">
        <f t="shared" si="210"/>
        <v>vendredi</v>
      </c>
      <c r="D3331" s="87"/>
      <c r="E3331" s="115" t="str">
        <f t="shared" si="211"/>
        <v/>
      </c>
      <c r="F3331" s="115" t="str">
        <f t="shared" si="212"/>
        <v/>
      </c>
      <c r="G3331" s="116" t="str">
        <f>IF(ISNONTEXT(D3331),"",E3331-MAX($F$2:F3330))</f>
        <v/>
      </c>
      <c r="H3331" s="97"/>
      <c r="I3331" s="74" t="str">
        <f ca="1">IF(D3331="N",COUNTIF(INDIRECT(ADDRESS(MATCH(Plages!$D$19,'Planning annuel mixing coater'!$B:$B),4)):D3331,"N"),IF(D3331="N1",COUNTIF($D$9:D3331,"N1"),""))</f>
        <v/>
      </c>
      <c r="J3331" s="96" t="str">
        <f>IF(D3331="","",COUNTA(D3320:D3331)-(COUNTA(D3331:D3331)-1))</f>
        <v/>
      </c>
    </row>
    <row r="3332" spans="1:10" thickBot="1">
      <c r="A3332" s="117"/>
      <c r="B3332" s="70">
        <f t="shared" ref="B3332:B3395" si="213">IF(B3331="","",B3331+1)</f>
        <v>47124</v>
      </c>
      <c r="C3332" s="82" t="str">
        <f t="shared" si="210"/>
        <v>samedi</v>
      </c>
      <c r="D3332" s="87"/>
      <c r="E3332" s="115" t="str">
        <f t="shared" si="211"/>
        <v/>
      </c>
      <c r="F3332" s="115" t="str">
        <f t="shared" si="212"/>
        <v/>
      </c>
      <c r="G3332" s="116" t="str">
        <f>IF(ISNONTEXT(D3332),"",E3332-MAX($F$2:F3331))</f>
        <v/>
      </c>
      <c r="H3332" s="97"/>
      <c r="I3332" s="74" t="str">
        <f ca="1">IF(D3332="N",COUNTIF(INDIRECT(ADDRESS(MATCH(Plages!$D$19,'Planning annuel mixing coater'!$B:$B),4)):D3332,"N"),IF(D3332="N1",COUNTIF($D$9:D3332,"N1"),""))</f>
        <v/>
      </c>
      <c r="J3332" s="96" t="str">
        <f>IF(D3332="","",COUNTA(D3320:D3332)-(COUNTA(D3332:D3332)-1))</f>
        <v/>
      </c>
    </row>
    <row r="3333" spans="1:10" s="77" customFormat="1" thickBot="1">
      <c r="A3333" s="117"/>
      <c r="B3333" s="75">
        <f t="shared" si="213"/>
        <v>47125</v>
      </c>
      <c r="C3333" s="83" t="str">
        <f t="shared" si="210"/>
        <v>dimanche</v>
      </c>
      <c r="D3333" s="88"/>
      <c r="E3333" s="115" t="str">
        <f t="shared" si="211"/>
        <v/>
      </c>
      <c r="F3333" s="115" t="str">
        <f t="shared" si="212"/>
        <v/>
      </c>
      <c r="G3333" s="116" t="str">
        <f>IF(ISNONTEXT(D3333),"",E3333-MAX($F$2:F3332))</f>
        <v/>
      </c>
      <c r="H3333" s="98"/>
      <c r="I3333" s="76" t="str">
        <f ca="1">IF(D3333="N",COUNTIF(INDIRECT(ADDRESS(MATCH(Plages!$D$19,'Planning annuel mixing coater'!$B:$B),4)):D3333,"N"),IF(D3333="N1",COUNTIF($D$9:D3333,"N1"),""))</f>
        <v/>
      </c>
      <c r="J3333" s="99" t="str">
        <f>IF(D3333="","",COUNTA(D3320:D3333)-(COUNTA(D3333:D3333)-1))</f>
        <v/>
      </c>
    </row>
    <row r="3334" spans="1:10" ht="16.5" thickTop="1" thickBot="1">
      <c r="A3334" s="117"/>
      <c r="B3334" s="78">
        <f t="shared" si="213"/>
        <v>47126</v>
      </c>
      <c r="C3334" s="81" t="str">
        <f t="shared" si="210"/>
        <v>lundi</v>
      </c>
      <c r="D3334" s="89"/>
      <c r="E3334" s="115" t="str">
        <f t="shared" si="211"/>
        <v/>
      </c>
      <c r="F3334" s="115" t="str">
        <f t="shared" si="212"/>
        <v/>
      </c>
      <c r="G3334" s="116" t="str">
        <f>IF(ISNONTEXT(D3334),"",E3334-MAX($F$2:F3333))</f>
        <v/>
      </c>
      <c r="H3334" s="100"/>
      <c r="I3334" s="79" t="str">
        <f ca="1">IF(D3334="N",COUNTIF(INDIRECT(ADDRESS(MATCH(Plages!$D$19,'Planning annuel mixing coater'!$B:$B),4)):D3334,"N"),IF(D3334="N1",COUNTIF($D$9:D3334,"N1"),""))</f>
        <v/>
      </c>
      <c r="J3334" s="101" t="str">
        <f>IF(D3334="","",COUNTA(D3334:D3334)-(COUNTA(D3334:D3334)-1))</f>
        <v/>
      </c>
    </row>
    <row r="3335" spans="1:10" thickBot="1">
      <c r="A3335" s="117"/>
      <c r="B3335" s="70">
        <f t="shared" si="213"/>
        <v>47127</v>
      </c>
      <c r="C3335" s="82" t="str">
        <f t="shared" si="210"/>
        <v>mardi</v>
      </c>
      <c r="D3335" s="87"/>
      <c r="E3335" s="115" t="str">
        <f t="shared" si="211"/>
        <v/>
      </c>
      <c r="F3335" s="115" t="str">
        <f t="shared" si="212"/>
        <v/>
      </c>
      <c r="G3335" s="116" t="str">
        <f>IF(ISNONTEXT(D3335),"",E3335-MAX($F$2:F3334))</f>
        <v/>
      </c>
      <c r="H3335" s="97"/>
      <c r="I3335" s="74" t="str">
        <f ca="1">IF(D3335="N",COUNTIF(INDIRECT(ADDRESS(MATCH(Plages!$D$19,'Planning annuel mixing coater'!$B:$B),4)):D3335,"N"),IF(D3335="N1",COUNTIF($D$9:D3335,"N1"),""))</f>
        <v/>
      </c>
      <c r="J3335" s="96" t="str">
        <f>IF(D3335="","",COUNTA(D3334:D3335)-(COUNTA(D3335:D3335)-1))</f>
        <v/>
      </c>
    </row>
    <row r="3336" spans="1:10" thickBot="1">
      <c r="A3336" s="117"/>
      <c r="B3336" s="70">
        <f t="shared" si="213"/>
        <v>47128</v>
      </c>
      <c r="C3336" s="82" t="str">
        <f t="shared" si="210"/>
        <v>mercredi</v>
      </c>
      <c r="D3336" s="87"/>
      <c r="E3336" s="115" t="str">
        <f t="shared" si="211"/>
        <v/>
      </c>
      <c r="F3336" s="115" t="str">
        <f t="shared" si="212"/>
        <v/>
      </c>
      <c r="G3336" s="116" t="str">
        <f>IF(ISNONTEXT(D3336),"",E3336-MAX($F$2:F3335))</f>
        <v/>
      </c>
      <c r="H3336" s="97"/>
      <c r="I3336" s="74" t="str">
        <f ca="1">IF(D3336="N",COUNTIF(INDIRECT(ADDRESS(MATCH(Plages!$D$19,'Planning annuel mixing coater'!$B:$B),4)):D3336,"N"),IF(D3336="N1",COUNTIF($D$9:D3336,"N1"),""))</f>
        <v/>
      </c>
      <c r="J3336" s="96" t="str">
        <f>IF(D3336="","",COUNTA(D3334:D3336)-(COUNTA(D3336:D3336)-1))</f>
        <v/>
      </c>
    </row>
    <row r="3337" spans="1:10" thickBot="1">
      <c r="A3337" s="117"/>
      <c r="B3337" s="70">
        <f t="shared" si="213"/>
        <v>47129</v>
      </c>
      <c r="C3337" s="82" t="str">
        <f t="shared" si="210"/>
        <v>jeudi</v>
      </c>
      <c r="D3337" s="87"/>
      <c r="E3337" s="115" t="str">
        <f t="shared" si="211"/>
        <v/>
      </c>
      <c r="F3337" s="115" t="str">
        <f t="shared" si="212"/>
        <v/>
      </c>
      <c r="G3337" s="116" t="str">
        <f>IF(ISNONTEXT(D3337),"",E3337-MAX($F$2:F3336))</f>
        <v/>
      </c>
      <c r="H3337" s="97"/>
      <c r="I3337" s="74" t="str">
        <f ca="1">IF(D3337="N",COUNTIF(INDIRECT(ADDRESS(MATCH(Plages!$D$19,'Planning annuel mixing coater'!$B:$B),4)):D3337,"N"),IF(D3337="N1",COUNTIF($D$9:D3337,"N1"),""))</f>
        <v/>
      </c>
      <c r="J3337" s="96" t="str">
        <f>IF(D3337="","",COUNTA(D3334:D3337)-(COUNTA(D3337:D3337)-1))</f>
        <v/>
      </c>
    </row>
    <row r="3338" spans="1:10" thickBot="1">
      <c r="A3338" s="117"/>
      <c r="B3338" s="70">
        <f t="shared" si="213"/>
        <v>47130</v>
      </c>
      <c r="C3338" s="82" t="str">
        <f t="shared" si="210"/>
        <v>vendredi</v>
      </c>
      <c r="D3338" s="87"/>
      <c r="E3338" s="115" t="str">
        <f t="shared" si="211"/>
        <v/>
      </c>
      <c r="F3338" s="115" t="str">
        <f t="shared" si="212"/>
        <v/>
      </c>
      <c r="G3338" s="116" t="str">
        <f>IF(ISNONTEXT(D3338),"",E3338-MAX($F$2:F3337))</f>
        <v/>
      </c>
      <c r="H3338" s="97"/>
      <c r="I3338" s="74" t="str">
        <f ca="1">IF(D3338="N",COUNTIF(INDIRECT(ADDRESS(MATCH(Plages!$D$19,'Planning annuel mixing coater'!$B:$B),4)):D3338,"N"),IF(D3338="N1",COUNTIF($D$9:D3338,"N1"),""))</f>
        <v/>
      </c>
      <c r="J3338" s="96" t="str">
        <f>IF(D3338="","",COUNTA(D3334:D3338)-(COUNTA(D3338:D3338)-1))</f>
        <v/>
      </c>
    </row>
    <row r="3339" spans="1:10" thickBot="1">
      <c r="A3339" s="117"/>
      <c r="B3339" s="70">
        <f t="shared" si="213"/>
        <v>47131</v>
      </c>
      <c r="C3339" s="82" t="str">
        <f t="shared" si="210"/>
        <v>samedi</v>
      </c>
      <c r="D3339" s="87"/>
      <c r="E3339" s="115" t="str">
        <f t="shared" si="211"/>
        <v/>
      </c>
      <c r="F3339" s="115" t="str">
        <f t="shared" si="212"/>
        <v/>
      </c>
      <c r="G3339" s="116" t="str">
        <f>IF(ISNONTEXT(D3339),"",E3339-MAX($F$2:F3338))</f>
        <v/>
      </c>
      <c r="H3339" s="97"/>
      <c r="I3339" s="74" t="str">
        <f ca="1">IF(D3339="N",COUNTIF(INDIRECT(ADDRESS(MATCH(Plages!$D$19,'Planning annuel mixing coater'!$B:$B),4)):D3339,"N"),IF(D3339="N1",COUNTIF($D$9:D3339,"N1"),""))</f>
        <v/>
      </c>
      <c r="J3339" s="96" t="str">
        <f>IF(D3339="","",COUNTA(D3334:D3339)-(COUNTA(D3339:D3339)-1))</f>
        <v/>
      </c>
    </row>
    <row r="3340" spans="1:10" thickBot="1">
      <c r="A3340" s="117"/>
      <c r="B3340" s="70">
        <f t="shared" si="213"/>
        <v>47132</v>
      </c>
      <c r="C3340" s="82" t="str">
        <f t="shared" si="210"/>
        <v>dimanche</v>
      </c>
      <c r="D3340" s="87"/>
      <c r="E3340" s="115" t="str">
        <f t="shared" si="211"/>
        <v/>
      </c>
      <c r="F3340" s="115" t="str">
        <f t="shared" si="212"/>
        <v/>
      </c>
      <c r="G3340" s="116" t="str">
        <f>IF(ISNONTEXT(D3340),"",E3340-MAX($F$2:F3339))</f>
        <v/>
      </c>
      <c r="H3340" s="98"/>
      <c r="I3340" s="74" t="str">
        <f ca="1">IF(D3340="N",COUNTIF(INDIRECT(ADDRESS(MATCH(Plages!$D$19,'Planning annuel mixing coater'!$B:$B),4)):D3340,"N"),IF(D3340="N1",COUNTIF($D$9:D3340,"N1"),""))</f>
        <v/>
      </c>
      <c r="J3340" s="96" t="str">
        <f>IF(D3340="","",COUNTA(D3334:D3340)-(COUNTA(D3340:D3340)-1))</f>
        <v/>
      </c>
    </row>
    <row r="3341" spans="1:10" thickBot="1">
      <c r="A3341" s="117"/>
      <c r="B3341" s="70">
        <f t="shared" si="213"/>
        <v>47133</v>
      </c>
      <c r="C3341" s="82" t="str">
        <f t="shared" si="210"/>
        <v>lundi</v>
      </c>
      <c r="D3341" s="87"/>
      <c r="E3341" s="115" t="str">
        <f t="shared" si="211"/>
        <v/>
      </c>
      <c r="F3341" s="115" t="str">
        <f t="shared" si="212"/>
        <v/>
      </c>
      <c r="G3341" s="116" t="str">
        <f>IF(ISNONTEXT(D3341),"",E3341-MAX($F$2:F3340))</f>
        <v/>
      </c>
      <c r="H3341" s="97"/>
      <c r="I3341" s="74" t="str">
        <f ca="1">IF(D3341="N",COUNTIF(INDIRECT(ADDRESS(MATCH(Plages!$D$19,'Planning annuel mixing coater'!$B:$B),4)):D3341,"N"),IF(D3341="N1",COUNTIF($D$9:D3341,"N1"),""))</f>
        <v/>
      </c>
      <c r="J3341" s="96" t="str">
        <f>IF(D3341="","",COUNTA(D3334:D3341)-(COUNTA(D3341:D3341)-1))</f>
        <v/>
      </c>
    </row>
    <row r="3342" spans="1:10" thickBot="1">
      <c r="A3342" s="117"/>
      <c r="B3342" s="70">
        <f t="shared" si="213"/>
        <v>47134</v>
      </c>
      <c r="C3342" s="82" t="str">
        <f t="shared" si="210"/>
        <v>mardi</v>
      </c>
      <c r="D3342" s="87"/>
      <c r="E3342" s="115" t="str">
        <f t="shared" si="211"/>
        <v/>
      </c>
      <c r="F3342" s="115" t="str">
        <f t="shared" si="212"/>
        <v/>
      </c>
      <c r="G3342" s="116" t="str">
        <f>IF(ISNONTEXT(D3342),"",E3342-MAX($F$2:F3341))</f>
        <v/>
      </c>
      <c r="H3342" s="97"/>
      <c r="I3342" s="74" t="str">
        <f ca="1">IF(D3342="N",COUNTIF(INDIRECT(ADDRESS(MATCH(Plages!$D$19,'Planning annuel mixing coater'!$B:$B),4)):D3342,"N"),IF(D3342="N1",COUNTIF($D$9:D3342,"N1"),""))</f>
        <v/>
      </c>
      <c r="J3342" s="96" t="str">
        <f>IF(D3342="","",COUNTA(D3334:D3342)-(COUNTA(D3342:D3342)-1))</f>
        <v/>
      </c>
    </row>
    <row r="3343" spans="1:10" thickBot="1">
      <c r="A3343" s="117"/>
      <c r="B3343" s="70">
        <f t="shared" si="213"/>
        <v>47135</v>
      </c>
      <c r="C3343" s="82" t="str">
        <f t="shared" si="210"/>
        <v>mercredi</v>
      </c>
      <c r="D3343" s="87"/>
      <c r="E3343" s="115" t="str">
        <f t="shared" si="211"/>
        <v/>
      </c>
      <c r="F3343" s="115" t="str">
        <f t="shared" si="212"/>
        <v/>
      </c>
      <c r="G3343" s="116" t="str">
        <f>IF(ISNONTEXT(D3343),"",E3343-MAX($F$2:F3342))</f>
        <v/>
      </c>
      <c r="H3343" s="97"/>
      <c r="I3343" s="74" t="str">
        <f ca="1">IF(D3343="N",COUNTIF(INDIRECT(ADDRESS(MATCH(Plages!$D$19,'Planning annuel mixing coater'!$B:$B),4)):D3343,"N"),IF(D3343="N1",COUNTIF($D$9:D3343,"N1"),""))</f>
        <v/>
      </c>
      <c r="J3343" s="96" t="str">
        <f>IF(D3343="","",COUNTA(D3334:D3343)-(COUNTA(D3343:D3343)-1))</f>
        <v/>
      </c>
    </row>
    <row r="3344" spans="1:10" thickBot="1">
      <c r="A3344" s="117"/>
      <c r="B3344" s="70">
        <f t="shared" si="213"/>
        <v>47136</v>
      </c>
      <c r="C3344" s="82" t="str">
        <f t="shared" si="210"/>
        <v>jeudi</v>
      </c>
      <c r="D3344" s="87"/>
      <c r="E3344" s="115" t="str">
        <f t="shared" si="211"/>
        <v/>
      </c>
      <c r="F3344" s="115" t="str">
        <f t="shared" si="212"/>
        <v/>
      </c>
      <c r="G3344" s="116" t="str">
        <f>IF(ISNONTEXT(D3344),"",E3344-MAX($F$2:F3343))</f>
        <v/>
      </c>
      <c r="H3344" s="97"/>
      <c r="I3344" s="74" t="str">
        <f ca="1">IF(D3344="N",COUNTIF(INDIRECT(ADDRESS(MATCH(Plages!$D$19,'Planning annuel mixing coater'!$B:$B),4)):D3344,"N"),IF(D3344="N1",COUNTIF($D$9:D3344,"N1"),""))</f>
        <v/>
      </c>
      <c r="J3344" s="96" t="str">
        <f>IF(D3344="","",COUNTA(D3334:D3344)-(COUNTA(D3344:D3344)-1))</f>
        <v/>
      </c>
    </row>
    <row r="3345" spans="1:10" thickBot="1">
      <c r="A3345" s="117"/>
      <c r="B3345" s="70">
        <f t="shared" si="213"/>
        <v>47137</v>
      </c>
      <c r="C3345" s="82" t="str">
        <f t="shared" si="210"/>
        <v>vendredi</v>
      </c>
      <c r="D3345" s="87"/>
      <c r="E3345" s="115" t="str">
        <f t="shared" si="211"/>
        <v/>
      </c>
      <c r="F3345" s="115" t="str">
        <f t="shared" si="212"/>
        <v/>
      </c>
      <c r="G3345" s="116" t="str">
        <f>IF(ISNONTEXT(D3345),"",E3345-MAX($F$2:F3344))</f>
        <v/>
      </c>
      <c r="H3345" s="97"/>
      <c r="I3345" s="74" t="str">
        <f ca="1">IF(D3345="N",COUNTIF(INDIRECT(ADDRESS(MATCH(Plages!$D$19,'Planning annuel mixing coater'!$B:$B),4)):D3345,"N"),IF(D3345="N1",COUNTIF($D$9:D3345,"N1"),""))</f>
        <v/>
      </c>
      <c r="J3345" s="96" t="str">
        <f>IF(D3345="","",COUNTA(D3334:D3345)-(COUNTA(D3345:D3345)-1))</f>
        <v/>
      </c>
    </row>
    <row r="3346" spans="1:10" thickBot="1">
      <c r="A3346" s="117"/>
      <c r="B3346" s="70">
        <f t="shared" si="213"/>
        <v>47138</v>
      </c>
      <c r="C3346" s="82" t="str">
        <f t="shared" si="210"/>
        <v>samedi</v>
      </c>
      <c r="D3346" s="87"/>
      <c r="E3346" s="115" t="str">
        <f t="shared" si="211"/>
        <v/>
      </c>
      <c r="F3346" s="115" t="str">
        <f t="shared" si="212"/>
        <v/>
      </c>
      <c r="G3346" s="116" t="str">
        <f>IF(ISNONTEXT(D3346),"",E3346-MAX($F$2:F3345))</f>
        <v/>
      </c>
      <c r="H3346" s="97"/>
      <c r="I3346" s="74" t="str">
        <f ca="1">IF(D3346="N",COUNTIF(INDIRECT(ADDRESS(MATCH(Plages!$D$19,'Planning annuel mixing coater'!$B:$B),4)):D3346,"N"),IF(D3346="N1",COUNTIF($D$9:D3346,"N1"),""))</f>
        <v/>
      </c>
      <c r="J3346" s="96" t="str">
        <f>IF(D3346="","",COUNTA(D3334:D3346)-(COUNTA(D3346:D3346)-1))</f>
        <v/>
      </c>
    </row>
    <row r="3347" spans="1:10" s="77" customFormat="1" thickBot="1">
      <c r="A3347" s="117"/>
      <c r="B3347" s="75">
        <f t="shared" si="213"/>
        <v>47139</v>
      </c>
      <c r="C3347" s="83" t="str">
        <f t="shared" si="210"/>
        <v>dimanche</v>
      </c>
      <c r="D3347" s="88"/>
      <c r="E3347" s="115" t="str">
        <f t="shared" si="211"/>
        <v/>
      </c>
      <c r="F3347" s="115" t="str">
        <f t="shared" si="212"/>
        <v/>
      </c>
      <c r="G3347" s="116" t="str">
        <f>IF(ISNONTEXT(D3347),"",E3347-MAX($F$2:F3346))</f>
        <v/>
      </c>
      <c r="H3347" s="98"/>
      <c r="I3347" s="76" t="str">
        <f ca="1">IF(D3347="N",COUNTIF(INDIRECT(ADDRESS(MATCH(Plages!$D$19,'Planning annuel mixing coater'!$B:$B),4)):D3347,"N"),IF(D3347="N1",COUNTIF($D$9:D3347,"N1"),""))</f>
        <v/>
      </c>
      <c r="J3347" s="99" t="str">
        <f>IF(D3347="","",COUNTA(D3334:D3347)-(COUNTA(D3347:D3347)-1))</f>
        <v/>
      </c>
    </row>
    <row r="3348" spans="1:10" ht="16.5" thickTop="1" thickBot="1">
      <c r="A3348" s="117"/>
      <c r="B3348" s="78">
        <f t="shared" si="213"/>
        <v>47140</v>
      </c>
      <c r="C3348" s="81" t="str">
        <f t="shared" si="210"/>
        <v>lundi</v>
      </c>
      <c r="D3348" s="89"/>
      <c r="E3348" s="115" t="str">
        <f t="shared" si="211"/>
        <v/>
      </c>
      <c r="F3348" s="115" t="str">
        <f t="shared" si="212"/>
        <v/>
      </c>
      <c r="G3348" s="116" t="str">
        <f>IF(ISNONTEXT(D3348),"",E3348-MAX($F$2:F3347))</f>
        <v/>
      </c>
      <c r="H3348" s="100"/>
      <c r="I3348" s="79" t="str">
        <f ca="1">IF(D3348="N",COUNTIF(INDIRECT(ADDRESS(MATCH(Plages!$D$19,'Planning annuel mixing coater'!$B:$B),4)):D3348,"N"),IF(D3348="N1",COUNTIF($D$9:D3348,"N1"),""))</f>
        <v/>
      </c>
      <c r="J3348" s="101" t="str">
        <f>IF(D3348="","",COUNTA(D3348:D3348)-(COUNTA(D3348:D3348)-1))</f>
        <v/>
      </c>
    </row>
    <row r="3349" spans="1:10" thickBot="1">
      <c r="A3349" s="117"/>
      <c r="B3349" s="70">
        <f t="shared" si="213"/>
        <v>47141</v>
      </c>
      <c r="C3349" s="82" t="str">
        <f t="shared" si="210"/>
        <v>mardi</v>
      </c>
      <c r="D3349" s="87"/>
      <c r="E3349" s="115" t="str">
        <f t="shared" si="211"/>
        <v/>
      </c>
      <c r="F3349" s="115" t="str">
        <f t="shared" si="212"/>
        <v/>
      </c>
      <c r="G3349" s="116" t="str">
        <f>IF(ISNONTEXT(D3349),"",E3349-MAX($F$2:F3348))</f>
        <v/>
      </c>
      <c r="H3349" s="97"/>
      <c r="I3349" s="74" t="str">
        <f ca="1">IF(D3349="N",COUNTIF(INDIRECT(ADDRESS(MATCH(Plages!$D$19,'Planning annuel mixing coater'!$B:$B),4)):D3349,"N"),IF(D3349="N1",COUNTIF($D$9:D3349,"N1"),""))</f>
        <v/>
      </c>
      <c r="J3349" s="96" t="str">
        <f>IF(D3349="","",COUNTA(D3348:D3349)-(COUNTA(D3349:D3349)-1))</f>
        <v/>
      </c>
    </row>
    <row r="3350" spans="1:10" thickBot="1">
      <c r="A3350" s="117"/>
      <c r="B3350" s="70">
        <f t="shared" si="213"/>
        <v>47142</v>
      </c>
      <c r="C3350" s="82" t="str">
        <f t="shared" si="210"/>
        <v>mercredi</v>
      </c>
      <c r="D3350" s="87"/>
      <c r="E3350" s="115" t="str">
        <f t="shared" si="211"/>
        <v/>
      </c>
      <c r="F3350" s="115" t="str">
        <f t="shared" si="212"/>
        <v/>
      </c>
      <c r="G3350" s="116" t="str">
        <f>IF(ISNONTEXT(D3350),"",E3350-MAX($F$2:F3349))</f>
        <v/>
      </c>
      <c r="H3350" s="97"/>
      <c r="I3350" s="74" t="str">
        <f ca="1">IF(D3350="N",COUNTIF(INDIRECT(ADDRESS(MATCH(Plages!$D$19,'Planning annuel mixing coater'!$B:$B),4)):D3350,"N"),IF(D3350="N1",COUNTIF($D$9:D3350,"N1"),""))</f>
        <v/>
      </c>
      <c r="J3350" s="96" t="str">
        <f>IF(D3350="","",COUNTA(D3348:D3350)-(COUNTA(D3350:D3350)-1))</f>
        <v/>
      </c>
    </row>
    <row r="3351" spans="1:10" thickBot="1">
      <c r="A3351" s="117"/>
      <c r="B3351" s="70">
        <f t="shared" si="213"/>
        <v>47143</v>
      </c>
      <c r="C3351" s="82" t="str">
        <f t="shared" si="210"/>
        <v>jeudi</v>
      </c>
      <c r="D3351" s="87"/>
      <c r="E3351" s="115" t="str">
        <f t="shared" si="211"/>
        <v/>
      </c>
      <c r="F3351" s="115" t="str">
        <f t="shared" si="212"/>
        <v/>
      </c>
      <c r="G3351" s="116" t="str">
        <f>IF(ISNONTEXT(D3351),"",E3351-MAX($F$2:F3350))</f>
        <v/>
      </c>
      <c r="H3351" s="97"/>
      <c r="I3351" s="74" t="str">
        <f ca="1">IF(D3351="N",COUNTIF(INDIRECT(ADDRESS(MATCH(Plages!$D$19,'Planning annuel mixing coater'!$B:$B),4)):D3351,"N"),IF(D3351="N1",COUNTIF($D$9:D3351,"N1"),""))</f>
        <v/>
      </c>
      <c r="J3351" s="96" t="str">
        <f>IF(D3351="","",COUNTA(D3348:D3351)-(COUNTA(D3351:D3351)-1))</f>
        <v/>
      </c>
    </row>
    <row r="3352" spans="1:10" thickBot="1">
      <c r="A3352" s="117"/>
      <c r="B3352" s="70">
        <f t="shared" si="213"/>
        <v>47144</v>
      </c>
      <c r="C3352" s="82" t="str">
        <f t="shared" si="210"/>
        <v>vendredi</v>
      </c>
      <c r="D3352" s="87"/>
      <c r="E3352" s="115" t="str">
        <f t="shared" si="211"/>
        <v/>
      </c>
      <c r="F3352" s="115" t="str">
        <f t="shared" si="212"/>
        <v/>
      </c>
      <c r="G3352" s="116" t="str">
        <f>IF(ISNONTEXT(D3352),"",E3352-MAX($F$2:F3351))</f>
        <v/>
      </c>
      <c r="H3352" s="97"/>
      <c r="I3352" s="74" t="str">
        <f ca="1">IF(D3352="N",COUNTIF(INDIRECT(ADDRESS(MATCH(Plages!$D$19,'Planning annuel mixing coater'!$B:$B),4)):D3352,"N"),IF(D3352="N1",COUNTIF($D$9:D3352,"N1"),""))</f>
        <v/>
      </c>
      <c r="J3352" s="96" t="str">
        <f>IF(D3352="","",COUNTA(D3348:D3352)-(COUNTA(D3352:D3352)-1))</f>
        <v/>
      </c>
    </row>
    <row r="3353" spans="1:10" thickBot="1">
      <c r="A3353" s="117"/>
      <c r="B3353" s="70">
        <f t="shared" si="213"/>
        <v>47145</v>
      </c>
      <c r="C3353" s="82" t="str">
        <f t="shared" si="210"/>
        <v>samedi</v>
      </c>
      <c r="D3353" s="87"/>
      <c r="E3353" s="115" t="str">
        <f t="shared" si="211"/>
        <v/>
      </c>
      <c r="F3353" s="115" t="str">
        <f t="shared" si="212"/>
        <v/>
      </c>
      <c r="G3353" s="116" t="str">
        <f>IF(ISNONTEXT(D3353),"",E3353-MAX($F$2:F3352))</f>
        <v/>
      </c>
      <c r="H3353" s="97"/>
      <c r="I3353" s="74" t="str">
        <f ca="1">IF(D3353="N",COUNTIF(INDIRECT(ADDRESS(MATCH(Plages!$D$19,'Planning annuel mixing coater'!$B:$B),4)):D3353,"N"),IF(D3353="N1",COUNTIF($D$9:D3353,"N1"),""))</f>
        <v/>
      </c>
      <c r="J3353" s="96" t="str">
        <f>IF(D3353="","",COUNTA(D3348:D3353)-(COUNTA(D3353:D3353)-1))</f>
        <v/>
      </c>
    </row>
    <row r="3354" spans="1:10" thickBot="1">
      <c r="A3354" s="117"/>
      <c r="B3354" s="70">
        <f t="shared" si="213"/>
        <v>47146</v>
      </c>
      <c r="C3354" s="82" t="str">
        <f t="shared" si="210"/>
        <v>dimanche</v>
      </c>
      <c r="D3354" s="87"/>
      <c r="E3354" s="115" t="str">
        <f t="shared" si="211"/>
        <v/>
      </c>
      <c r="F3354" s="115" t="str">
        <f t="shared" si="212"/>
        <v/>
      </c>
      <c r="G3354" s="116" t="str">
        <f>IF(ISNONTEXT(D3354),"",E3354-MAX($F$2:F3353))</f>
        <v/>
      </c>
      <c r="H3354" s="98"/>
      <c r="I3354" s="74" t="str">
        <f ca="1">IF(D3354="N",COUNTIF(INDIRECT(ADDRESS(MATCH(Plages!$D$19,'Planning annuel mixing coater'!$B:$B),4)):D3354,"N"),IF(D3354="N1",COUNTIF($D$9:D3354,"N1"),""))</f>
        <v/>
      </c>
      <c r="J3354" s="96" t="str">
        <f>IF(D3354="","",COUNTA(D3348:D3354)-(COUNTA(D3354:D3354)-1))</f>
        <v/>
      </c>
    </row>
    <row r="3355" spans="1:10" thickBot="1">
      <c r="A3355" s="117"/>
      <c r="B3355" s="70">
        <f t="shared" si="213"/>
        <v>47147</v>
      </c>
      <c r="C3355" s="82" t="str">
        <f t="shared" si="210"/>
        <v>lundi</v>
      </c>
      <c r="D3355" s="87"/>
      <c r="E3355" s="115" t="str">
        <f t="shared" si="211"/>
        <v/>
      </c>
      <c r="F3355" s="115" t="str">
        <f t="shared" si="212"/>
        <v/>
      </c>
      <c r="G3355" s="116" t="str">
        <f>IF(ISNONTEXT(D3355),"",E3355-MAX($F$2:F3354))</f>
        <v/>
      </c>
      <c r="H3355" s="97"/>
      <c r="I3355" s="74" t="str">
        <f ca="1">IF(D3355="N",COUNTIF(INDIRECT(ADDRESS(MATCH(Plages!$D$19,'Planning annuel mixing coater'!$B:$B),4)):D3355,"N"),IF(D3355="N1",COUNTIF($D$9:D3355,"N1"),""))</f>
        <v/>
      </c>
      <c r="J3355" s="96" t="str">
        <f>IF(D3355="","",COUNTA(D3348:D3355)-(COUNTA(D3355:D3355)-1))</f>
        <v/>
      </c>
    </row>
    <row r="3356" spans="1:10" thickBot="1">
      <c r="A3356" s="117"/>
      <c r="B3356" s="70">
        <f t="shared" si="213"/>
        <v>47148</v>
      </c>
      <c r="C3356" s="82" t="str">
        <f t="shared" si="210"/>
        <v>mardi</v>
      </c>
      <c r="D3356" s="87"/>
      <c r="E3356" s="115" t="str">
        <f t="shared" si="211"/>
        <v/>
      </c>
      <c r="F3356" s="115" t="str">
        <f t="shared" si="212"/>
        <v/>
      </c>
      <c r="G3356" s="116" t="str">
        <f>IF(ISNONTEXT(D3356),"",E3356-MAX($F$2:F3355))</f>
        <v/>
      </c>
      <c r="H3356" s="97"/>
      <c r="I3356" s="74" t="str">
        <f ca="1">IF(D3356="N",COUNTIF(INDIRECT(ADDRESS(MATCH(Plages!$D$19,'Planning annuel mixing coater'!$B:$B),4)):D3356,"N"),IF(D3356="N1",COUNTIF($D$9:D3356,"N1"),""))</f>
        <v/>
      </c>
      <c r="J3356" s="96" t="str">
        <f>IF(D3356="","",COUNTA(D3348:D3356)-(COUNTA(D3356:D3356)-1))</f>
        <v/>
      </c>
    </row>
    <row r="3357" spans="1:10" thickBot="1">
      <c r="A3357" s="117"/>
      <c r="B3357" s="70">
        <f t="shared" si="213"/>
        <v>47149</v>
      </c>
      <c r="C3357" s="82" t="str">
        <f t="shared" si="210"/>
        <v>mercredi</v>
      </c>
      <c r="D3357" s="87"/>
      <c r="E3357" s="115" t="str">
        <f t="shared" si="211"/>
        <v/>
      </c>
      <c r="F3357" s="115" t="str">
        <f t="shared" si="212"/>
        <v/>
      </c>
      <c r="G3357" s="116" t="str">
        <f>IF(ISNONTEXT(D3357),"",E3357-MAX($F$2:F3356))</f>
        <v/>
      </c>
      <c r="H3357" s="97"/>
      <c r="I3357" s="74" t="str">
        <f ca="1">IF(D3357="N",COUNTIF(INDIRECT(ADDRESS(MATCH(Plages!$D$19,'Planning annuel mixing coater'!$B:$B),4)):D3357,"N"),IF(D3357="N1",COUNTIF($D$9:D3357,"N1"),""))</f>
        <v/>
      </c>
      <c r="J3357" s="96" t="str">
        <f>IF(D3357="","",COUNTA(D3348:D3357)-(COUNTA(D3357:D3357)-1))</f>
        <v/>
      </c>
    </row>
    <row r="3358" spans="1:10" thickBot="1">
      <c r="A3358" s="117"/>
      <c r="B3358" s="70">
        <f t="shared" si="213"/>
        <v>47150</v>
      </c>
      <c r="C3358" s="82" t="str">
        <f t="shared" ref="C3358:C3421" si="214">IF(B3358="","",TEXT(B3358,"jjjj"))</f>
        <v>jeudi</v>
      </c>
      <c r="D3358" s="87"/>
      <c r="E3358" s="115" t="str">
        <f t="shared" ref="E3358:E3421" si="215">IF(D3358="","",B3358+VLOOKUP(D3358,Plageh,2,0))</f>
        <v/>
      </c>
      <c r="F3358" s="115" t="str">
        <f t="shared" ref="F3358:F3421" si="216">IF(D3358="","",B3358+VLOOKUP(D3358,Plageh,3,0))</f>
        <v/>
      </c>
      <c r="G3358" s="116" t="str">
        <f>IF(ISNONTEXT(D3358),"",E3358-MAX($F$2:F3357))</f>
        <v/>
      </c>
      <c r="H3358" s="97"/>
      <c r="I3358" s="74" t="str">
        <f ca="1">IF(D3358="N",COUNTIF(INDIRECT(ADDRESS(MATCH(Plages!$D$19,'Planning annuel mixing coater'!$B:$B),4)):D3358,"N"),IF(D3358="N1",COUNTIF($D$9:D3358,"N1"),""))</f>
        <v/>
      </c>
      <c r="J3358" s="96" t="str">
        <f>IF(D3358="","",COUNTA(D3348:D3358)-(COUNTA(D3358:D3358)-1))</f>
        <v/>
      </c>
    </row>
    <row r="3359" spans="1:10" thickBot="1">
      <c r="A3359" s="117"/>
      <c r="B3359" s="70">
        <f t="shared" si="213"/>
        <v>47151</v>
      </c>
      <c r="C3359" s="82" t="str">
        <f t="shared" si="214"/>
        <v>vendredi</v>
      </c>
      <c r="D3359" s="87"/>
      <c r="E3359" s="115" t="str">
        <f t="shared" si="215"/>
        <v/>
      </c>
      <c r="F3359" s="115" t="str">
        <f t="shared" si="216"/>
        <v/>
      </c>
      <c r="G3359" s="116" t="str">
        <f>IF(ISNONTEXT(D3359),"",E3359-MAX($F$2:F3358))</f>
        <v/>
      </c>
      <c r="H3359" s="97"/>
      <c r="I3359" s="74" t="str">
        <f ca="1">IF(D3359="N",COUNTIF(INDIRECT(ADDRESS(MATCH(Plages!$D$19,'Planning annuel mixing coater'!$B:$B),4)):D3359,"N"),IF(D3359="N1",COUNTIF($D$9:D3359,"N1"),""))</f>
        <v/>
      </c>
      <c r="J3359" s="96" t="str">
        <f>IF(D3359="","",COUNTA(D3348:D3359)-(COUNTA(D3359:D3359)-1))</f>
        <v/>
      </c>
    </row>
    <row r="3360" spans="1:10" thickBot="1">
      <c r="A3360" s="117"/>
      <c r="B3360" s="70">
        <f t="shared" si="213"/>
        <v>47152</v>
      </c>
      <c r="C3360" s="82" t="str">
        <f t="shared" si="214"/>
        <v>samedi</v>
      </c>
      <c r="D3360" s="87"/>
      <c r="E3360" s="115" t="str">
        <f t="shared" si="215"/>
        <v/>
      </c>
      <c r="F3360" s="115" t="str">
        <f t="shared" si="216"/>
        <v/>
      </c>
      <c r="G3360" s="116" t="str">
        <f>IF(ISNONTEXT(D3360),"",E3360-MAX($F$2:F3359))</f>
        <v/>
      </c>
      <c r="H3360" s="97"/>
      <c r="I3360" s="74" t="str">
        <f ca="1">IF(D3360="N",COUNTIF(INDIRECT(ADDRESS(MATCH(Plages!$D$19,'Planning annuel mixing coater'!$B:$B),4)):D3360,"N"),IF(D3360="N1",COUNTIF($D$9:D3360,"N1"),""))</f>
        <v/>
      </c>
      <c r="J3360" s="96" t="str">
        <f>IF(D3360="","",COUNTA(D3348:D3360)-(COUNTA(D3360:D3360)-1))</f>
        <v/>
      </c>
    </row>
    <row r="3361" spans="1:10" s="77" customFormat="1" thickBot="1">
      <c r="A3361" s="117"/>
      <c r="B3361" s="75">
        <f t="shared" si="213"/>
        <v>47153</v>
      </c>
      <c r="C3361" s="83" t="str">
        <f t="shared" si="214"/>
        <v>dimanche</v>
      </c>
      <c r="D3361" s="88"/>
      <c r="E3361" s="115" t="str">
        <f t="shared" si="215"/>
        <v/>
      </c>
      <c r="F3361" s="115" t="str">
        <f t="shared" si="216"/>
        <v/>
      </c>
      <c r="G3361" s="116" t="str">
        <f>IF(ISNONTEXT(D3361),"",E3361-MAX($F$2:F3360))</f>
        <v/>
      </c>
      <c r="H3361" s="98"/>
      <c r="I3361" s="76" t="str">
        <f ca="1">IF(D3361="N",COUNTIF(INDIRECT(ADDRESS(MATCH(Plages!$D$19,'Planning annuel mixing coater'!$B:$B),4)):D3361,"N"),IF(D3361="N1",COUNTIF($D$9:D3361,"N1"),""))</f>
        <v/>
      </c>
      <c r="J3361" s="99" t="str">
        <f>IF(D3361="","",COUNTA(D3348:D3361)-(COUNTA(D3361:D3361)-1))</f>
        <v/>
      </c>
    </row>
    <row r="3362" spans="1:10" ht="16.5" thickTop="1" thickBot="1">
      <c r="A3362" s="117"/>
      <c r="B3362" s="78">
        <f t="shared" si="213"/>
        <v>47154</v>
      </c>
      <c r="C3362" s="81" t="str">
        <f t="shared" si="214"/>
        <v>lundi</v>
      </c>
      <c r="D3362" s="89"/>
      <c r="E3362" s="115" t="str">
        <f t="shared" si="215"/>
        <v/>
      </c>
      <c r="F3362" s="115" t="str">
        <f t="shared" si="216"/>
        <v/>
      </c>
      <c r="G3362" s="116" t="str">
        <f>IF(ISNONTEXT(D3362),"",E3362-MAX($F$2:F3361))</f>
        <v/>
      </c>
      <c r="H3362" s="100"/>
      <c r="I3362" s="79" t="str">
        <f ca="1">IF(D3362="N",COUNTIF(INDIRECT(ADDRESS(MATCH(Plages!$D$19,'Planning annuel mixing coater'!$B:$B),4)):D3362,"N"),IF(D3362="N1",COUNTIF($D$9:D3362,"N1"),""))</f>
        <v/>
      </c>
      <c r="J3362" s="101" t="str">
        <f>IF(D3362="","",COUNTA(D3362:D3362)-(COUNTA(D3362:D3362)-1))</f>
        <v/>
      </c>
    </row>
    <row r="3363" spans="1:10" thickBot="1">
      <c r="A3363" s="117"/>
      <c r="B3363" s="70">
        <f t="shared" si="213"/>
        <v>47155</v>
      </c>
      <c r="C3363" s="82" t="str">
        <f t="shared" si="214"/>
        <v>mardi</v>
      </c>
      <c r="D3363" s="87"/>
      <c r="E3363" s="115" t="str">
        <f t="shared" si="215"/>
        <v/>
      </c>
      <c r="F3363" s="115" t="str">
        <f t="shared" si="216"/>
        <v/>
      </c>
      <c r="G3363" s="116" t="str">
        <f>IF(ISNONTEXT(D3363),"",E3363-MAX($F$2:F3362))</f>
        <v/>
      </c>
      <c r="H3363" s="97"/>
      <c r="I3363" s="74" t="str">
        <f ca="1">IF(D3363="N",COUNTIF(INDIRECT(ADDRESS(MATCH(Plages!$D$19,'Planning annuel mixing coater'!$B:$B),4)):D3363,"N"),IF(D3363="N1",COUNTIF($D$9:D3363,"N1"),""))</f>
        <v/>
      </c>
      <c r="J3363" s="96" t="str">
        <f>IF(D3363="","",COUNTA(D3362:D3363)-(COUNTA(D3363:D3363)-1))</f>
        <v/>
      </c>
    </row>
    <row r="3364" spans="1:10" thickBot="1">
      <c r="A3364" s="117"/>
      <c r="B3364" s="70">
        <f t="shared" si="213"/>
        <v>47156</v>
      </c>
      <c r="C3364" s="82" t="str">
        <f t="shared" si="214"/>
        <v>mercredi</v>
      </c>
      <c r="D3364" s="87"/>
      <c r="E3364" s="115" t="str">
        <f t="shared" si="215"/>
        <v/>
      </c>
      <c r="F3364" s="115" t="str">
        <f t="shared" si="216"/>
        <v/>
      </c>
      <c r="G3364" s="116" t="str">
        <f>IF(ISNONTEXT(D3364),"",E3364-MAX($F$2:F3363))</f>
        <v/>
      </c>
      <c r="H3364" s="97"/>
      <c r="I3364" s="74" t="str">
        <f ca="1">IF(D3364="N",COUNTIF(INDIRECT(ADDRESS(MATCH(Plages!$D$19,'Planning annuel mixing coater'!$B:$B),4)):D3364,"N"),IF(D3364="N1",COUNTIF($D$9:D3364,"N1"),""))</f>
        <v/>
      </c>
      <c r="J3364" s="96" t="str">
        <f>IF(D3364="","",COUNTA(D3362:D3364)-(COUNTA(D3364:D3364)-1))</f>
        <v/>
      </c>
    </row>
    <row r="3365" spans="1:10" thickBot="1">
      <c r="A3365" s="117"/>
      <c r="B3365" s="70">
        <f t="shared" si="213"/>
        <v>47157</v>
      </c>
      <c r="C3365" s="82" t="str">
        <f t="shared" si="214"/>
        <v>jeudi</v>
      </c>
      <c r="D3365" s="87"/>
      <c r="E3365" s="115" t="str">
        <f t="shared" si="215"/>
        <v/>
      </c>
      <c r="F3365" s="115" t="str">
        <f t="shared" si="216"/>
        <v/>
      </c>
      <c r="G3365" s="116" t="str">
        <f>IF(ISNONTEXT(D3365),"",E3365-MAX($F$2:F3364))</f>
        <v/>
      </c>
      <c r="H3365" s="97"/>
      <c r="I3365" s="74" t="str">
        <f ca="1">IF(D3365="N",COUNTIF(INDIRECT(ADDRESS(MATCH(Plages!$D$19,'Planning annuel mixing coater'!$B:$B),4)):D3365,"N"),IF(D3365="N1",COUNTIF($D$9:D3365,"N1"),""))</f>
        <v/>
      </c>
      <c r="J3365" s="96" t="str">
        <f>IF(D3365="","",COUNTA(D3362:D3365)-(COUNTA(D3365:D3365)-1))</f>
        <v/>
      </c>
    </row>
    <row r="3366" spans="1:10" thickBot="1">
      <c r="A3366" s="117"/>
      <c r="B3366" s="70">
        <f t="shared" si="213"/>
        <v>47158</v>
      </c>
      <c r="C3366" s="82" t="str">
        <f t="shared" si="214"/>
        <v>vendredi</v>
      </c>
      <c r="D3366" s="87"/>
      <c r="E3366" s="115" t="str">
        <f t="shared" si="215"/>
        <v/>
      </c>
      <c r="F3366" s="115" t="str">
        <f t="shared" si="216"/>
        <v/>
      </c>
      <c r="G3366" s="116" t="str">
        <f>IF(ISNONTEXT(D3366),"",E3366-MAX($F$2:F3365))</f>
        <v/>
      </c>
      <c r="H3366" s="97"/>
      <c r="I3366" s="74" t="str">
        <f ca="1">IF(D3366="N",COUNTIF(INDIRECT(ADDRESS(MATCH(Plages!$D$19,'Planning annuel mixing coater'!$B:$B),4)):D3366,"N"),IF(D3366="N1",COUNTIF($D$9:D3366,"N1"),""))</f>
        <v/>
      </c>
      <c r="J3366" s="96" t="str">
        <f>IF(D3366="","",COUNTA(D3362:D3366)-(COUNTA(D3366:D3366)-1))</f>
        <v/>
      </c>
    </row>
    <row r="3367" spans="1:10" thickBot="1">
      <c r="A3367" s="117"/>
      <c r="B3367" s="70">
        <f t="shared" si="213"/>
        <v>47159</v>
      </c>
      <c r="C3367" s="82" t="str">
        <f t="shared" si="214"/>
        <v>samedi</v>
      </c>
      <c r="D3367" s="87"/>
      <c r="E3367" s="115" t="str">
        <f t="shared" si="215"/>
        <v/>
      </c>
      <c r="F3367" s="115" t="str">
        <f t="shared" si="216"/>
        <v/>
      </c>
      <c r="G3367" s="116" t="str">
        <f>IF(ISNONTEXT(D3367),"",E3367-MAX($F$2:F3366))</f>
        <v/>
      </c>
      <c r="H3367" s="97"/>
      <c r="I3367" s="74" t="str">
        <f ca="1">IF(D3367="N",COUNTIF(INDIRECT(ADDRESS(MATCH(Plages!$D$19,'Planning annuel mixing coater'!$B:$B),4)):D3367,"N"),IF(D3367="N1",COUNTIF($D$9:D3367,"N1"),""))</f>
        <v/>
      </c>
      <c r="J3367" s="96" t="str">
        <f>IF(D3367="","",COUNTA(D3362:D3367)-(COUNTA(D3367:D3367)-1))</f>
        <v/>
      </c>
    </row>
    <row r="3368" spans="1:10" thickBot="1">
      <c r="A3368" s="117"/>
      <c r="B3368" s="70">
        <f t="shared" si="213"/>
        <v>47160</v>
      </c>
      <c r="C3368" s="82" t="str">
        <f t="shared" si="214"/>
        <v>dimanche</v>
      </c>
      <c r="D3368" s="87"/>
      <c r="E3368" s="115" t="str">
        <f t="shared" si="215"/>
        <v/>
      </c>
      <c r="F3368" s="115" t="str">
        <f t="shared" si="216"/>
        <v/>
      </c>
      <c r="G3368" s="116" t="str">
        <f>IF(ISNONTEXT(D3368),"",E3368-MAX($F$2:F3367))</f>
        <v/>
      </c>
      <c r="H3368" s="98"/>
      <c r="I3368" s="74" t="str">
        <f ca="1">IF(D3368="N",COUNTIF(INDIRECT(ADDRESS(MATCH(Plages!$D$19,'Planning annuel mixing coater'!$B:$B),4)):D3368,"N"),IF(D3368="N1",COUNTIF($D$9:D3368,"N1"),""))</f>
        <v/>
      </c>
      <c r="J3368" s="96" t="str">
        <f>IF(D3368="","",COUNTA(D3362:D3368)-(COUNTA(D3368:D3368)-1))</f>
        <v/>
      </c>
    </row>
    <row r="3369" spans="1:10" thickBot="1">
      <c r="A3369" s="117"/>
      <c r="B3369" s="70">
        <f t="shared" si="213"/>
        <v>47161</v>
      </c>
      <c r="C3369" s="82" t="str">
        <f t="shared" si="214"/>
        <v>lundi</v>
      </c>
      <c r="D3369" s="87"/>
      <c r="E3369" s="115" t="str">
        <f t="shared" si="215"/>
        <v/>
      </c>
      <c r="F3369" s="115" t="str">
        <f t="shared" si="216"/>
        <v/>
      </c>
      <c r="G3369" s="116" t="str">
        <f>IF(ISNONTEXT(D3369),"",E3369-MAX($F$2:F3368))</f>
        <v/>
      </c>
      <c r="H3369" s="97"/>
      <c r="I3369" s="74" t="str">
        <f ca="1">IF(D3369="N",COUNTIF(INDIRECT(ADDRESS(MATCH(Plages!$D$19,'Planning annuel mixing coater'!$B:$B),4)):D3369,"N"),IF(D3369="N1",COUNTIF($D$9:D3369,"N1"),""))</f>
        <v/>
      </c>
      <c r="J3369" s="96" t="str">
        <f>IF(D3369="","",COUNTA(D3362:D3369)-(COUNTA(D3369:D3369)-1))</f>
        <v/>
      </c>
    </row>
    <row r="3370" spans="1:10" thickBot="1">
      <c r="A3370" s="117"/>
      <c r="B3370" s="70">
        <f t="shared" si="213"/>
        <v>47162</v>
      </c>
      <c r="C3370" s="82" t="str">
        <f t="shared" si="214"/>
        <v>mardi</v>
      </c>
      <c r="D3370" s="87"/>
      <c r="E3370" s="115" t="str">
        <f t="shared" si="215"/>
        <v/>
      </c>
      <c r="F3370" s="115" t="str">
        <f t="shared" si="216"/>
        <v/>
      </c>
      <c r="G3370" s="116" t="str">
        <f>IF(ISNONTEXT(D3370),"",E3370-MAX($F$2:F3369))</f>
        <v/>
      </c>
      <c r="H3370" s="97"/>
      <c r="I3370" s="74" t="str">
        <f ca="1">IF(D3370="N",COUNTIF(INDIRECT(ADDRESS(MATCH(Plages!$D$19,'Planning annuel mixing coater'!$B:$B),4)):D3370,"N"),IF(D3370="N1",COUNTIF($D$9:D3370,"N1"),""))</f>
        <v/>
      </c>
      <c r="J3370" s="96" t="str">
        <f>IF(D3370="","",COUNTA(D3362:D3370)-(COUNTA(D3370:D3370)-1))</f>
        <v/>
      </c>
    </row>
    <row r="3371" spans="1:10" thickBot="1">
      <c r="A3371" s="117"/>
      <c r="B3371" s="70">
        <f t="shared" si="213"/>
        <v>47163</v>
      </c>
      <c r="C3371" s="82" t="str">
        <f t="shared" si="214"/>
        <v>mercredi</v>
      </c>
      <c r="D3371" s="87"/>
      <c r="E3371" s="115" t="str">
        <f t="shared" si="215"/>
        <v/>
      </c>
      <c r="F3371" s="115" t="str">
        <f t="shared" si="216"/>
        <v/>
      </c>
      <c r="G3371" s="116" t="str">
        <f>IF(ISNONTEXT(D3371),"",E3371-MAX($F$2:F3370))</f>
        <v/>
      </c>
      <c r="H3371" s="97"/>
      <c r="I3371" s="74" t="str">
        <f ca="1">IF(D3371="N",COUNTIF(INDIRECT(ADDRESS(MATCH(Plages!$D$19,'Planning annuel mixing coater'!$B:$B),4)):D3371,"N"),IF(D3371="N1",COUNTIF($D$9:D3371,"N1"),""))</f>
        <v/>
      </c>
      <c r="J3371" s="96" t="str">
        <f>IF(D3371="","",COUNTA(D3362:D3371)-(COUNTA(D3371:D3371)-1))</f>
        <v/>
      </c>
    </row>
    <row r="3372" spans="1:10" thickBot="1">
      <c r="A3372" s="117"/>
      <c r="B3372" s="70">
        <f t="shared" si="213"/>
        <v>47164</v>
      </c>
      <c r="C3372" s="82" t="str">
        <f t="shared" si="214"/>
        <v>jeudi</v>
      </c>
      <c r="D3372" s="87"/>
      <c r="E3372" s="115" t="str">
        <f t="shared" si="215"/>
        <v/>
      </c>
      <c r="F3372" s="115" t="str">
        <f t="shared" si="216"/>
        <v/>
      </c>
      <c r="G3372" s="116" t="str">
        <f>IF(ISNONTEXT(D3372),"",E3372-MAX($F$2:F3371))</f>
        <v/>
      </c>
      <c r="H3372" s="97"/>
      <c r="I3372" s="74" t="str">
        <f ca="1">IF(D3372="N",COUNTIF(INDIRECT(ADDRESS(MATCH(Plages!$D$19,'Planning annuel mixing coater'!$B:$B),4)):D3372,"N"),IF(D3372="N1",COUNTIF($D$9:D3372,"N1"),""))</f>
        <v/>
      </c>
      <c r="J3372" s="96" t="str">
        <f>IF(D3372="","",COUNTA(D3362:D3372)-(COUNTA(D3372:D3372)-1))</f>
        <v/>
      </c>
    </row>
    <row r="3373" spans="1:10" thickBot="1">
      <c r="A3373" s="117"/>
      <c r="B3373" s="70">
        <f t="shared" si="213"/>
        <v>47165</v>
      </c>
      <c r="C3373" s="82" t="str">
        <f t="shared" si="214"/>
        <v>vendredi</v>
      </c>
      <c r="D3373" s="87"/>
      <c r="E3373" s="115" t="str">
        <f t="shared" si="215"/>
        <v/>
      </c>
      <c r="F3373" s="115" t="str">
        <f t="shared" si="216"/>
        <v/>
      </c>
      <c r="G3373" s="116" t="str">
        <f>IF(ISNONTEXT(D3373),"",E3373-MAX($F$2:F3372))</f>
        <v/>
      </c>
      <c r="H3373" s="97"/>
      <c r="I3373" s="74" t="str">
        <f ca="1">IF(D3373="N",COUNTIF(INDIRECT(ADDRESS(MATCH(Plages!$D$19,'Planning annuel mixing coater'!$B:$B),4)):D3373,"N"),IF(D3373="N1",COUNTIF($D$9:D3373,"N1"),""))</f>
        <v/>
      </c>
      <c r="J3373" s="96" t="str">
        <f>IF(D3373="","",COUNTA(D3362:D3373)-(COUNTA(D3373:D3373)-1))</f>
        <v/>
      </c>
    </row>
    <row r="3374" spans="1:10" thickBot="1">
      <c r="A3374" s="117"/>
      <c r="B3374" s="70">
        <f t="shared" si="213"/>
        <v>47166</v>
      </c>
      <c r="C3374" s="82" t="str">
        <f t="shared" si="214"/>
        <v>samedi</v>
      </c>
      <c r="D3374" s="87"/>
      <c r="E3374" s="115" t="str">
        <f t="shared" si="215"/>
        <v/>
      </c>
      <c r="F3374" s="115" t="str">
        <f t="shared" si="216"/>
        <v/>
      </c>
      <c r="G3374" s="116" t="str">
        <f>IF(ISNONTEXT(D3374),"",E3374-MAX($F$2:F3373))</f>
        <v/>
      </c>
      <c r="H3374" s="97"/>
      <c r="I3374" s="74" t="str">
        <f ca="1">IF(D3374="N",COUNTIF(INDIRECT(ADDRESS(MATCH(Plages!$D$19,'Planning annuel mixing coater'!$B:$B),4)):D3374,"N"),IF(D3374="N1",COUNTIF($D$9:D3374,"N1"),""))</f>
        <v/>
      </c>
      <c r="J3374" s="96" t="str">
        <f>IF(D3374="","",COUNTA(D3362:D3374)-(COUNTA(D3374:D3374)-1))</f>
        <v/>
      </c>
    </row>
    <row r="3375" spans="1:10" s="77" customFormat="1" thickBot="1">
      <c r="A3375" s="117"/>
      <c r="B3375" s="75">
        <f t="shared" si="213"/>
        <v>47167</v>
      </c>
      <c r="C3375" s="83" t="str">
        <f t="shared" si="214"/>
        <v>dimanche</v>
      </c>
      <c r="D3375" s="88"/>
      <c r="E3375" s="115" t="str">
        <f t="shared" si="215"/>
        <v/>
      </c>
      <c r="F3375" s="115" t="str">
        <f t="shared" si="216"/>
        <v/>
      </c>
      <c r="G3375" s="116" t="str">
        <f>IF(ISNONTEXT(D3375),"",E3375-MAX($F$2:F3374))</f>
        <v/>
      </c>
      <c r="H3375" s="98"/>
      <c r="I3375" s="76" t="str">
        <f ca="1">IF(D3375="N",COUNTIF(INDIRECT(ADDRESS(MATCH(Plages!$D$19,'Planning annuel mixing coater'!$B:$B),4)):D3375,"N"),IF(D3375="N1",COUNTIF($D$9:D3375,"N1"),""))</f>
        <v/>
      </c>
      <c r="J3375" s="99" t="str">
        <f>IF(D3375="","",COUNTA(D3362:D3375)-(COUNTA(D3375:D3375)-1))</f>
        <v/>
      </c>
    </row>
    <row r="3376" spans="1:10" ht="16.5" thickTop="1" thickBot="1">
      <c r="A3376" s="117"/>
      <c r="B3376" s="78">
        <f t="shared" si="213"/>
        <v>47168</v>
      </c>
      <c r="C3376" s="81" t="str">
        <f t="shared" si="214"/>
        <v>lundi</v>
      </c>
      <c r="D3376" s="89"/>
      <c r="E3376" s="115" t="str">
        <f t="shared" si="215"/>
        <v/>
      </c>
      <c r="F3376" s="115" t="str">
        <f t="shared" si="216"/>
        <v/>
      </c>
      <c r="G3376" s="116" t="str">
        <f>IF(ISNONTEXT(D3376),"",E3376-MAX($F$2:F3375))</f>
        <v/>
      </c>
      <c r="H3376" s="100"/>
      <c r="I3376" s="79" t="str">
        <f ca="1">IF(D3376="N",COUNTIF(INDIRECT(ADDRESS(MATCH(Plages!$D$19,'Planning annuel mixing coater'!$B:$B),4)):D3376,"N"),IF(D3376="N1",COUNTIF($D$9:D3376,"N1"),""))</f>
        <v/>
      </c>
      <c r="J3376" s="101" t="str">
        <f>IF(D3376="","",COUNTA(D3376:D3376)-(COUNTA(D3376:D3376)-1))</f>
        <v/>
      </c>
    </row>
    <row r="3377" spans="1:10" thickBot="1">
      <c r="A3377" s="117"/>
      <c r="B3377" s="70">
        <f t="shared" si="213"/>
        <v>47169</v>
      </c>
      <c r="C3377" s="82" t="str">
        <f t="shared" si="214"/>
        <v>mardi</v>
      </c>
      <c r="D3377" s="87"/>
      <c r="E3377" s="115" t="str">
        <f t="shared" si="215"/>
        <v/>
      </c>
      <c r="F3377" s="115" t="str">
        <f t="shared" si="216"/>
        <v/>
      </c>
      <c r="G3377" s="116" t="str">
        <f>IF(ISNONTEXT(D3377),"",E3377-MAX($F$2:F3376))</f>
        <v/>
      </c>
      <c r="H3377" s="97"/>
      <c r="I3377" s="74" t="str">
        <f ca="1">IF(D3377="N",COUNTIF(INDIRECT(ADDRESS(MATCH(Plages!$D$19,'Planning annuel mixing coater'!$B:$B),4)):D3377,"N"),IF(D3377="N1",COUNTIF($D$9:D3377,"N1"),""))</f>
        <v/>
      </c>
      <c r="J3377" s="96" t="str">
        <f>IF(D3377="","",COUNTA(D3376:D3377)-(COUNTA(D3377:D3377)-1))</f>
        <v/>
      </c>
    </row>
    <row r="3378" spans="1:10" thickBot="1">
      <c r="A3378" s="117"/>
      <c r="B3378" s="70">
        <f t="shared" si="213"/>
        <v>47170</v>
      </c>
      <c r="C3378" s="82" t="str">
        <f t="shared" si="214"/>
        <v>mercredi</v>
      </c>
      <c r="D3378" s="87"/>
      <c r="E3378" s="115" t="str">
        <f t="shared" si="215"/>
        <v/>
      </c>
      <c r="F3378" s="115" t="str">
        <f t="shared" si="216"/>
        <v/>
      </c>
      <c r="G3378" s="116" t="str">
        <f>IF(ISNONTEXT(D3378),"",E3378-MAX($F$2:F3377))</f>
        <v/>
      </c>
      <c r="H3378" s="97"/>
      <c r="I3378" s="74" t="str">
        <f ca="1">IF(D3378="N",COUNTIF(INDIRECT(ADDRESS(MATCH(Plages!$D$19,'Planning annuel mixing coater'!$B:$B),4)):D3378,"N"),IF(D3378="N1",COUNTIF($D$9:D3378,"N1"),""))</f>
        <v/>
      </c>
      <c r="J3378" s="96" t="str">
        <f>IF(D3378="","",COUNTA(D3376:D3378)-(COUNTA(D3378:D3378)-1))</f>
        <v/>
      </c>
    </row>
    <row r="3379" spans="1:10" thickBot="1">
      <c r="A3379" s="117"/>
      <c r="B3379" s="70">
        <f t="shared" si="213"/>
        <v>47171</v>
      </c>
      <c r="C3379" s="82" t="str">
        <f t="shared" si="214"/>
        <v>jeudi</v>
      </c>
      <c r="D3379" s="87"/>
      <c r="E3379" s="115" t="str">
        <f t="shared" si="215"/>
        <v/>
      </c>
      <c r="F3379" s="115" t="str">
        <f t="shared" si="216"/>
        <v/>
      </c>
      <c r="G3379" s="116" t="str">
        <f>IF(ISNONTEXT(D3379),"",E3379-MAX($F$2:F3378))</f>
        <v/>
      </c>
      <c r="H3379" s="97"/>
      <c r="I3379" s="74" t="str">
        <f ca="1">IF(D3379="N",COUNTIF(INDIRECT(ADDRESS(MATCH(Plages!$D$19,'Planning annuel mixing coater'!$B:$B),4)):D3379,"N"),IF(D3379="N1",COUNTIF($D$9:D3379,"N1"),""))</f>
        <v/>
      </c>
      <c r="J3379" s="96" t="str">
        <f>IF(D3379="","",COUNTA(D3376:D3379)-(COUNTA(D3379:D3379)-1))</f>
        <v/>
      </c>
    </row>
    <row r="3380" spans="1:10" thickBot="1">
      <c r="A3380" s="117"/>
      <c r="B3380" s="70">
        <f t="shared" si="213"/>
        <v>47172</v>
      </c>
      <c r="C3380" s="82" t="str">
        <f t="shared" si="214"/>
        <v>vendredi</v>
      </c>
      <c r="D3380" s="87"/>
      <c r="E3380" s="115" t="str">
        <f t="shared" si="215"/>
        <v/>
      </c>
      <c r="F3380" s="115" t="str">
        <f t="shared" si="216"/>
        <v/>
      </c>
      <c r="G3380" s="116" t="str">
        <f>IF(ISNONTEXT(D3380),"",E3380-MAX($F$2:F3379))</f>
        <v/>
      </c>
      <c r="H3380" s="97"/>
      <c r="I3380" s="74" t="str">
        <f ca="1">IF(D3380="N",COUNTIF(INDIRECT(ADDRESS(MATCH(Plages!$D$19,'Planning annuel mixing coater'!$B:$B),4)):D3380,"N"),IF(D3380="N1",COUNTIF($D$9:D3380,"N1"),""))</f>
        <v/>
      </c>
      <c r="J3380" s="96" t="str">
        <f>IF(D3380="","",COUNTA(D3376:D3380)-(COUNTA(D3380:D3380)-1))</f>
        <v/>
      </c>
    </row>
    <row r="3381" spans="1:10" thickBot="1">
      <c r="A3381" s="117"/>
      <c r="B3381" s="70">
        <f t="shared" si="213"/>
        <v>47173</v>
      </c>
      <c r="C3381" s="82" t="str">
        <f t="shared" si="214"/>
        <v>samedi</v>
      </c>
      <c r="D3381" s="87"/>
      <c r="E3381" s="115" t="str">
        <f t="shared" si="215"/>
        <v/>
      </c>
      <c r="F3381" s="115" t="str">
        <f t="shared" si="216"/>
        <v/>
      </c>
      <c r="G3381" s="116" t="str">
        <f>IF(ISNONTEXT(D3381),"",E3381-MAX($F$2:F3380))</f>
        <v/>
      </c>
      <c r="H3381" s="97"/>
      <c r="I3381" s="74" t="str">
        <f ca="1">IF(D3381="N",COUNTIF(INDIRECT(ADDRESS(MATCH(Plages!$D$19,'Planning annuel mixing coater'!$B:$B),4)):D3381,"N"),IF(D3381="N1",COUNTIF($D$9:D3381,"N1"),""))</f>
        <v/>
      </c>
      <c r="J3381" s="96" t="str">
        <f>IF(D3381="","",COUNTA(D3376:D3381)-(COUNTA(D3381:D3381)-1))</f>
        <v/>
      </c>
    </row>
    <row r="3382" spans="1:10" thickBot="1">
      <c r="A3382" s="117"/>
      <c r="B3382" s="70">
        <f t="shared" si="213"/>
        <v>47174</v>
      </c>
      <c r="C3382" s="82" t="str">
        <f t="shared" si="214"/>
        <v>dimanche</v>
      </c>
      <c r="D3382" s="87"/>
      <c r="E3382" s="115" t="str">
        <f t="shared" si="215"/>
        <v/>
      </c>
      <c r="F3382" s="115" t="str">
        <f t="shared" si="216"/>
        <v/>
      </c>
      <c r="G3382" s="116" t="str">
        <f>IF(ISNONTEXT(D3382),"",E3382-MAX($F$2:F3381))</f>
        <v/>
      </c>
      <c r="H3382" s="98"/>
      <c r="I3382" s="74" t="str">
        <f ca="1">IF(D3382="N",COUNTIF(INDIRECT(ADDRESS(MATCH(Plages!$D$19,'Planning annuel mixing coater'!$B:$B),4)):D3382,"N"),IF(D3382="N1",COUNTIF($D$9:D3382,"N1"),""))</f>
        <v/>
      </c>
      <c r="J3382" s="96" t="str">
        <f>IF(D3382="","",COUNTA(D3376:D3382)-(COUNTA(D3382:D3382)-1))</f>
        <v/>
      </c>
    </row>
    <row r="3383" spans="1:10" thickBot="1">
      <c r="A3383" s="117"/>
      <c r="B3383" s="70">
        <f t="shared" si="213"/>
        <v>47175</v>
      </c>
      <c r="C3383" s="82" t="str">
        <f t="shared" si="214"/>
        <v>lundi</v>
      </c>
      <c r="D3383" s="87"/>
      <c r="E3383" s="115" t="str">
        <f t="shared" si="215"/>
        <v/>
      </c>
      <c r="F3383" s="115" t="str">
        <f t="shared" si="216"/>
        <v/>
      </c>
      <c r="G3383" s="116" t="str">
        <f>IF(ISNONTEXT(D3383),"",E3383-MAX($F$2:F3382))</f>
        <v/>
      </c>
      <c r="H3383" s="97"/>
      <c r="I3383" s="74" t="str">
        <f ca="1">IF(D3383="N",COUNTIF(INDIRECT(ADDRESS(MATCH(Plages!$D$19,'Planning annuel mixing coater'!$B:$B),4)):D3383,"N"),IF(D3383="N1",COUNTIF($D$9:D3383,"N1"),""))</f>
        <v/>
      </c>
      <c r="J3383" s="96" t="str">
        <f>IF(D3383="","",COUNTA(D3376:D3383)-(COUNTA(D3383:D3383)-1))</f>
        <v/>
      </c>
    </row>
    <row r="3384" spans="1:10" thickBot="1">
      <c r="A3384" s="117"/>
      <c r="B3384" s="70">
        <f t="shared" si="213"/>
        <v>47176</v>
      </c>
      <c r="C3384" s="82" t="str">
        <f t="shared" si="214"/>
        <v>mardi</v>
      </c>
      <c r="D3384" s="87"/>
      <c r="E3384" s="115" t="str">
        <f t="shared" si="215"/>
        <v/>
      </c>
      <c r="F3384" s="115" t="str">
        <f t="shared" si="216"/>
        <v/>
      </c>
      <c r="G3384" s="116" t="str">
        <f>IF(ISNONTEXT(D3384),"",E3384-MAX($F$2:F3383))</f>
        <v/>
      </c>
      <c r="H3384" s="97"/>
      <c r="I3384" s="74" t="str">
        <f ca="1">IF(D3384="N",COUNTIF(INDIRECT(ADDRESS(MATCH(Plages!$D$19,'Planning annuel mixing coater'!$B:$B),4)):D3384,"N"),IF(D3384="N1",COUNTIF($D$9:D3384,"N1"),""))</f>
        <v/>
      </c>
      <c r="J3384" s="96" t="str">
        <f>IF(D3384="","",COUNTA(D3376:D3384)-(COUNTA(D3384:D3384)-1))</f>
        <v/>
      </c>
    </row>
    <row r="3385" spans="1:10" thickBot="1">
      <c r="A3385" s="117"/>
      <c r="B3385" s="70">
        <f t="shared" si="213"/>
        <v>47177</v>
      </c>
      <c r="C3385" s="82" t="str">
        <f t="shared" si="214"/>
        <v>mercredi</v>
      </c>
      <c r="D3385" s="87"/>
      <c r="E3385" s="115" t="str">
        <f t="shared" si="215"/>
        <v/>
      </c>
      <c r="F3385" s="115" t="str">
        <f t="shared" si="216"/>
        <v/>
      </c>
      <c r="G3385" s="116" t="str">
        <f>IF(ISNONTEXT(D3385),"",E3385-MAX($F$2:F3384))</f>
        <v/>
      </c>
      <c r="H3385" s="97"/>
      <c r="I3385" s="74" t="str">
        <f ca="1">IF(D3385="N",COUNTIF(INDIRECT(ADDRESS(MATCH(Plages!$D$19,'Planning annuel mixing coater'!$B:$B),4)):D3385,"N"),IF(D3385="N1",COUNTIF($D$9:D3385,"N1"),""))</f>
        <v/>
      </c>
      <c r="J3385" s="96" t="str">
        <f>IF(D3385="","",COUNTA(D3376:D3385)-(COUNTA(D3385:D3385)-1))</f>
        <v/>
      </c>
    </row>
    <row r="3386" spans="1:10" thickBot="1">
      <c r="A3386" s="117"/>
      <c r="B3386" s="70">
        <f t="shared" si="213"/>
        <v>47178</v>
      </c>
      <c r="C3386" s="82" t="str">
        <f t="shared" si="214"/>
        <v>jeudi</v>
      </c>
      <c r="D3386" s="87"/>
      <c r="E3386" s="115" t="str">
        <f t="shared" si="215"/>
        <v/>
      </c>
      <c r="F3386" s="115" t="str">
        <f t="shared" si="216"/>
        <v/>
      </c>
      <c r="G3386" s="116" t="str">
        <f>IF(ISNONTEXT(D3386),"",E3386-MAX($F$2:F3385))</f>
        <v/>
      </c>
      <c r="H3386" s="97"/>
      <c r="I3386" s="74" t="str">
        <f ca="1">IF(D3386="N",COUNTIF(INDIRECT(ADDRESS(MATCH(Plages!$D$19,'Planning annuel mixing coater'!$B:$B),4)):D3386,"N"),IF(D3386="N1",COUNTIF($D$9:D3386,"N1"),""))</f>
        <v/>
      </c>
      <c r="J3386" s="96" t="str">
        <f>IF(D3386="","",COUNTA(D3376:D3386)-(COUNTA(D3386:D3386)-1))</f>
        <v/>
      </c>
    </row>
    <row r="3387" spans="1:10" thickBot="1">
      <c r="A3387" s="117"/>
      <c r="B3387" s="70">
        <f t="shared" si="213"/>
        <v>47179</v>
      </c>
      <c r="C3387" s="82" t="str">
        <f t="shared" si="214"/>
        <v>vendredi</v>
      </c>
      <c r="D3387" s="87"/>
      <c r="E3387" s="115" t="str">
        <f t="shared" si="215"/>
        <v/>
      </c>
      <c r="F3387" s="115" t="str">
        <f t="shared" si="216"/>
        <v/>
      </c>
      <c r="G3387" s="116" t="str">
        <f>IF(ISNONTEXT(D3387),"",E3387-MAX($F$2:F3386))</f>
        <v/>
      </c>
      <c r="H3387" s="97"/>
      <c r="I3387" s="74" t="str">
        <f ca="1">IF(D3387="N",COUNTIF(INDIRECT(ADDRESS(MATCH(Plages!$D$19,'Planning annuel mixing coater'!$B:$B),4)):D3387,"N"),IF(D3387="N1",COUNTIF($D$9:D3387,"N1"),""))</f>
        <v/>
      </c>
      <c r="J3387" s="96" t="str">
        <f>IF(D3387="","",COUNTA(D3376:D3387)-(COUNTA(D3387:D3387)-1))</f>
        <v/>
      </c>
    </row>
    <row r="3388" spans="1:10" thickBot="1">
      <c r="A3388" s="117"/>
      <c r="B3388" s="70">
        <f t="shared" si="213"/>
        <v>47180</v>
      </c>
      <c r="C3388" s="82" t="str">
        <f t="shared" si="214"/>
        <v>samedi</v>
      </c>
      <c r="D3388" s="87"/>
      <c r="E3388" s="115" t="str">
        <f t="shared" si="215"/>
        <v/>
      </c>
      <c r="F3388" s="115" t="str">
        <f t="shared" si="216"/>
        <v/>
      </c>
      <c r="G3388" s="116" t="str">
        <f>IF(ISNONTEXT(D3388),"",E3388-MAX($F$2:F3387))</f>
        <v/>
      </c>
      <c r="H3388" s="97"/>
      <c r="I3388" s="74" t="str">
        <f ca="1">IF(D3388="N",COUNTIF(INDIRECT(ADDRESS(MATCH(Plages!$D$19,'Planning annuel mixing coater'!$B:$B),4)):D3388,"N"),IF(D3388="N1",COUNTIF($D$9:D3388,"N1"),""))</f>
        <v/>
      </c>
      <c r="J3388" s="96" t="str">
        <f>IF(D3388="","",COUNTA(D3376:D3388)-(COUNTA(D3388:D3388)-1))</f>
        <v/>
      </c>
    </row>
    <row r="3389" spans="1:10" s="77" customFormat="1" thickBot="1">
      <c r="A3389" s="117"/>
      <c r="B3389" s="75">
        <f t="shared" si="213"/>
        <v>47181</v>
      </c>
      <c r="C3389" s="83" t="str">
        <f t="shared" si="214"/>
        <v>dimanche</v>
      </c>
      <c r="D3389" s="88"/>
      <c r="E3389" s="115" t="str">
        <f t="shared" si="215"/>
        <v/>
      </c>
      <c r="F3389" s="115" t="str">
        <f t="shared" si="216"/>
        <v/>
      </c>
      <c r="G3389" s="116" t="str">
        <f>IF(ISNONTEXT(D3389),"",E3389-MAX($F$2:F3388))</f>
        <v/>
      </c>
      <c r="H3389" s="98"/>
      <c r="I3389" s="76" t="str">
        <f ca="1">IF(D3389="N",COUNTIF(INDIRECT(ADDRESS(MATCH(Plages!$D$19,'Planning annuel mixing coater'!$B:$B),4)):D3389,"N"),IF(D3389="N1",COUNTIF($D$9:D3389,"N1"),""))</f>
        <v/>
      </c>
      <c r="J3389" s="99" t="str">
        <f>IF(D3389="","",COUNTA(D3376:D3389)-(COUNTA(D3389:D3389)-1))</f>
        <v/>
      </c>
    </row>
    <row r="3390" spans="1:10" ht="16.5" thickTop="1" thickBot="1">
      <c r="A3390" s="117"/>
      <c r="B3390" s="78">
        <f t="shared" si="213"/>
        <v>47182</v>
      </c>
      <c r="C3390" s="81" t="str">
        <f t="shared" si="214"/>
        <v>lundi</v>
      </c>
      <c r="D3390" s="89"/>
      <c r="E3390" s="115" t="str">
        <f t="shared" si="215"/>
        <v/>
      </c>
      <c r="F3390" s="115" t="str">
        <f t="shared" si="216"/>
        <v/>
      </c>
      <c r="G3390" s="116" t="str">
        <f>IF(ISNONTEXT(D3390),"",E3390-MAX($F$2:F3389))</f>
        <v/>
      </c>
      <c r="H3390" s="100"/>
      <c r="I3390" s="79" t="str">
        <f ca="1">IF(D3390="N",COUNTIF(INDIRECT(ADDRESS(MATCH(Plages!$D$19,'Planning annuel mixing coater'!$B:$B),4)):D3390,"N"),IF(D3390="N1",COUNTIF($D$9:D3390,"N1"),""))</f>
        <v/>
      </c>
      <c r="J3390" s="101" t="str">
        <f>IF(D3390="","",COUNTA(D3390:D3390)-(COUNTA(D3390:D3390)-1))</f>
        <v/>
      </c>
    </row>
    <row r="3391" spans="1:10" thickBot="1">
      <c r="A3391" s="117"/>
      <c r="B3391" s="70">
        <f t="shared" si="213"/>
        <v>47183</v>
      </c>
      <c r="C3391" s="82" t="str">
        <f t="shared" si="214"/>
        <v>mardi</v>
      </c>
      <c r="D3391" s="87"/>
      <c r="E3391" s="115" t="str">
        <f t="shared" si="215"/>
        <v/>
      </c>
      <c r="F3391" s="115" t="str">
        <f t="shared" si="216"/>
        <v/>
      </c>
      <c r="G3391" s="116" t="str">
        <f>IF(ISNONTEXT(D3391),"",E3391-MAX($F$2:F3390))</f>
        <v/>
      </c>
      <c r="H3391" s="97"/>
      <c r="I3391" s="74" t="str">
        <f ca="1">IF(D3391="N",COUNTIF(INDIRECT(ADDRESS(MATCH(Plages!$D$19,'Planning annuel mixing coater'!$B:$B),4)):D3391,"N"),IF(D3391="N1",COUNTIF($D$9:D3391,"N1"),""))</f>
        <v/>
      </c>
      <c r="J3391" s="96" t="str">
        <f>IF(D3391="","",COUNTA(D3390:D3391)-(COUNTA(D3391:D3391)-1))</f>
        <v/>
      </c>
    </row>
    <row r="3392" spans="1:10" thickBot="1">
      <c r="A3392" s="117"/>
      <c r="B3392" s="70">
        <f t="shared" si="213"/>
        <v>47184</v>
      </c>
      <c r="C3392" s="82" t="str">
        <f t="shared" si="214"/>
        <v>mercredi</v>
      </c>
      <c r="D3392" s="87"/>
      <c r="E3392" s="115" t="str">
        <f t="shared" si="215"/>
        <v/>
      </c>
      <c r="F3392" s="115" t="str">
        <f t="shared" si="216"/>
        <v/>
      </c>
      <c r="G3392" s="116" t="str">
        <f>IF(ISNONTEXT(D3392),"",E3392-MAX($F$2:F3391))</f>
        <v/>
      </c>
      <c r="H3392" s="97"/>
      <c r="I3392" s="74" t="str">
        <f ca="1">IF(D3392="N",COUNTIF(INDIRECT(ADDRESS(MATCH(Plages!$D$19,'Planning annuel mixing coater'!$B:$B),4)):D3392,"N"),IF(D3392="N1",COUNTIF($D$9:D3392,"N1"),""))</f>
        <v/>
      </c>
      <c r="J3392" s="96" t="str">
        <f>IF(D3392="","",COUNTA(D3390:D3392)-(COUNTA(D3392:D3392)-1))</f>
        <v/>
      </c>
    </row>
    <row r="3393" spans="1:10" thickBot="1">
      <c r="A3393" s="117"/>
      <c r="B3393" s="70">
        <f t="shared" si="213"/>
        <v>47185</v>
      </c>
      <c r="C3393" s="82" t="str">
        <f t="shared" si="214"/>
        <v>jeudi</v>
      </c>
      <c r="D3393" s="87"/>
      <c r="E3393" s="115" t="str">
        <f t="shared" si="215"/>
        <v/>
      </c>
      <c r="F3393" s="115" t="str">
        <f t="shared" si="216"/>
        <v/>
      </c>
      <c r="G3393" s="116" t="str">
        <f>IF(ISNONTEXT(D3393),"",E3393-MAX($F$2:F3392))</f>
        <v/>
      </c>
      <c r="H3393" s="97"/>
      <c r="I3393" s="74" t="str">
        <f ca="1">IF(D3393="N",COUNTIF(INDIRECT(ADDRESS(MATCH(Plages!$D$19,'Planning annuel mixing coater'!$B:$B),4)):D3393,"N"),IF(D3393="N1",COUNTIF($D$9:D3393,"N1"),""))</f>
        <v/>
      </c>
      <c r="J3393" s="96" t="str">
        <f>IF(D3393="","",COUNTA(D3390:D3393)-(COUNTA(D3393:D3393)-1))</f>
        <v/>
      </c>
    </row>
    <row r="3394" spans="1:10" thickBot="1">
      <c r="A3394" s="117"/>
      <c r="B3394" s="70">
        <f t="shared" si="213"/>
        <v>47186</v>
      </c>
      <c r="C3394" s="82" t="str">
        <f t="shared" si="214"/>
        <v>vendredi</v>
      </c>
      <c r="D3394" s="87"/>
      <c r="E3394" s="115" t="str">
        <f t="shared" si="215"/>
        <v/>
      </c>
      <c r="F3394" s="115" t="str">
        <f t="shared" si="216"/>
        <v/>
      </c>
      <c r="G3394" s="116" t="str">
        <f>IF(ISNONTEXT(D3394),"",E3394-MAX($F$2:F3393))</f>
        <v/>
      </c>
      <c r="H3394" s="97"/>
      <c r="I3394" s="74" t="str">
        <f ca="1">IF(D3394="N",COUNTIF(INDIRECT(ADDRESS(MATCH(Plages!$D$19,'Planning annuel mixing coater'!$B:$B),4)):D3394,"N"),IF(D3394="N1",COUNTIF($D$9:D3394,"N1"),""))</f>
        <v/>
      </c>
      <c r="J3394" s="96" t="str">
        <f>IF(D3394="","",COUNTA(D3390:D3394)-(COUNTA(D3394:D3394)-1))</f>
        <v/>
      </c>
    </row>
    <row r="3395" spans="1:10" thickBot="1">
      <c r="A3395" s="117"/>
      <c r="B3395" s="70">
        <f t="shared" si="213"/>
        <v>47187</v>
      </c>
      <c r="C3395" s="82" t="str">
        <f t="shared" si="214"/>
        <v>samedi</v>
      </c>
      <c r="D3395" s="87"/>
      <c r="E3395" s="115" t="str">
        <f t="shared" si="215"/>
        <v/>
      </c>
      <c r="F3395" s="115" t="str">
        <f t="shared" si="216"/>
        <v/>
      </c>
      <c r="G3395" s="116" t="str">
        <f>IF(ISNONTEXT(D3395),"",E3395-MAX($F$2:F3394))</f>
        <v/>
      </c>
      <c r="H3395" s="97"/>
      <c r="I3395" s="74" t="str">
        <f ca="1">IF(D3395="N",COUNTIF(INDIRECT(ADDRESS(MATCH(Plages!$D$19,'Planning annuel mixing coater'!$B:$B),4)):D3395,"N"),IF(D3395="N1",COUNTIF($D$9:D3395,"N1"),""))</f>
        <v/>
      </c>
      <c r="J3395" s="96" t="str">
        <f>IF(D3395="","",COUNTA(D3390:D3395)-(COUNTA(D3395:D3395)-1))</f>
        <v/>
      </c>
    </row>
    <row r="3396" spans="1:10" thickBot="1">
      <c r="A3396" s="117"/>
      <c r="B3396" s="70">
        <f t="shared" ref="B3396:B3459" si="217">IF(B3395="","",B3395+1)</f>
        <v>47188</v>
      </c>
      <c r="C3396" s="82" t="str">
        <f t="shared" si="214"/>
        <v>dimanche</v>
      </c>
      <c r="D3396" s="87"/>
      <c r="E3396" s="115" t="str">
        <f t="shared" si="215"/>
        <v/>
      </c>
      <c r="F3396" s="115" t="str">
        <f t="shared" si="216"/>
        <v/>
      </c>
      <c r="G3396" s="116" t="str">
        <f>IF(ISNONTEXT(D3396),"",E3396-MAX($F$2:F3395))</f>
        <v/>
      </c>
      <c r="H3396" s="98"/>
      <c r="I3396" s="74" t="str">
        <f ca="1">IF(D3396="N",COUNTIF(INDIRECT(ADDRESS(MATCH(Plages!$D$19,'Planning annuel mixing coater'!$B:$B),4)):D3396,"N"),IF(D3396="N1",COUNTIF($D$9:D3396,"N1"),""))</f>
        <v/>
      </c>
      <c r="J3396" s="96" t="str">
        <f>IF(D3396="","",COUNTA(D3390:D3396)-(COUNTA(D3396:D3396)-1))</f>
        <v/>
      </c>
    </row>
    <row r="3397" spans="1:10" thickBot="1">
      <c r="A3397" s="117"/>
      <c r="B3397" s="70">
        <f t="shared" si="217"/>
        <v>47189</v>
      </c>
      <c r="C3397" s="82" t="str">
        <f t="shared" si="214"/>
        <v>lundi</v>
      </c>
      <c r="D3397" s="87"/>
      <c r="E3397" s="115" t="str">
        <f t="shared" si="215"/>
        <v/>
      </c>
      <c r="F3397" s="115" t="str">
        <f t="shared" si="216"/>
        <v/>
      </c>
      <c r="G3397" s="116" t="str">
        <f>IF(ISNONTEXT(D3397),"",E3397-MAX($F$2:F3396))</f>
        <v/>
      </c>
      <c r="H3397" s="97"/>
      <c r="I3397" s="74" t="str">
        <f ca="1">IF(D3397="N",COUNTIF(INDIRECT(ADDRESS(MATCH(Plages!$D$19,'Planning annuel mixing coater'!$B:$B),4)):D3397,"N"),IF(D3397="N1",COUNTIF($D$9:D3397,"N1"),""))</f>
        <v/>
      </c>
      <c r="J3397" s="96" t="str">
        <f>IF(D3397="","",COUNTA(D3390:D3397)-(COUNTA(D3397:D3397)-1))</f>
        <v/>
      </c>
    </row>
    <row r="3398" spans="1:10" thickBot="1">
      <c r="A3398" s="117"/>
      <c r="B3398" s="70">
        <f t="shared" si="217"/>
        <v>47190</v>
      </c>
      <c r="C3398" s="82" t="str">
        <f t="shared" si="214"/>
        <v>mardi</v>
      </c>
      <c r="D3398" s="87"/>
      <c r="E3398" s="115" t="str">
        <f t="shared" si="215"/>
        <v/>
      </c>
      <c r="F3398" s="115" t="str">
        <f t="shared" si="216"/>
        <v/>
      </c>
      <c r="G3398" s="116" t="str">
        <f>IF(ISNONTEXT(D3398),"",E3398-MAX($F$2:F3397))</f>
        <v/>
      </c>
      <c r="H3398" s="97"/>
      <c r="I3398" s="74" t="str">
        <f ca="1">IF(D3398="N",COUNTIF(INDIRECT(ADDRESS(MATCH(Plages!$D$19,'Planning annuel mixing coater'!$B:$B),4)):D3398,"N"),IF(D3398="N1",COUNTIF($D$9:D3398,"N1"),""))</f>
        <v/>
      </c>
      <c r="J3398" s="96" t="str">
        <f>IF(D3398="","",COUNTA(D3390:D3398)-(COUNTA(D3398:D3398)-1))</f>
        <v/>
      </c>
    </row>
    <row r="3399" spans="1:10" thickBot="1">
      <c r="A3399" s="117"/>
      <c r="B3399" s="70">
        <f t="shared" si="217"/>
        <v>47191</v>
      </c>
      <c r="C3399" s="82" t="str">
        <f t="shared" si="214"/>
        <v>mercredi</v>
      </c>
      <c r="D3399" s="87"/>
      <c r="E3399" s="115" t="str">
        <f t="shared" si="215"/>
        <v/>
      </c>
      <c r="F3399" s="115" t="str">
        <f t="shared" si="216"/>
        <v/>
      </c>
      <c r="G3399" s="116" t="str">
        <f>IF(ISNONTEXT(D3399),"",E3399-MAX($F$2:F3398))</f>
        <v/>
      </c>
      <c r="H3399" s="97"/>
      <c r="I3399" s="74" t="str">
        <f ca="1">IF(D3399="N",COUNTIF(INDIRECT(ADDRESS(MATCH(Plages!$D$19,'Planning annuel mixing coater'!$B:$B),4)):D3399,"N"),IF(D3399="N1",COUNTIF($D$9:D3399,"N1"),""))</f>
        <v/>
      </c>
      <c r="J3399" s="96" t="str">
        <f>IF(D3399="","",COUNTA(D3390:D3399)-(COUNTA(D3399:D3399)-1))</f>
        <v/>
      </c>
    </row>
    <row r="3400" spans="1:10" thickBot="1">
      <c r="A3400" s="117"/>
      <c r="B3400" s="70">
        <f t="shared" si="217"/>
        <v>47192</v>
      </c>
      <c r="C3400" s="82" t="str">
        <f t="shared" si="214"/>
        <v>jeudi</v>
      </c>
      <c r="D3400" s="87"/>
      <c r="E3400" s="115" t="str">
        <f t="shared" si="215"/>
        <v/>
      </c>
      <c r="F3400" s="115" t="str">
        <f t="shared" si="216"/>
        <v/>
      </c>
      <c r="G3400" s="116" t="str">
        <f>IF(ISNONTEXT(D3400),"",E3400-MAX($F$2:F3399))</f>
        <v/>
      </c>
      <c r="H3400" s="97"/>
      <c r="I3400" s="74" t="str">
        <f ca="1">IF(D3400="N",COUNTIF(INDIRECT(ADDRESS(MATCH(Plages!$D$19,'Planning annuel mixing coater'!$B:$B),4)):D3400,"N"),IF(D3400="N1",COUNTIF($D$9:D3400,"N1"),""))</f>
        <v/>
      </c>
      <c r="J3400" s="96" t="str">
        <f>IF(D3400="","",COUNTA(D3390:D3400)-(COUNTA(D3400:D3400)-1))</f>
        <v/>
      </c>
    </row>
    <row r="3401" spans="1:10" thickBot="1">
      <c r="A3401" s="117"/>
      <c r="B3401" s="70">
        <f t="shared" si="217"/>
        <v>47193</v>
      </c>
      <c r="C3401" s="82" t="str">
        <f t="shared" si="214"/>
        <v>vendredi</v>
      </c>
      <c r="D3401" s="87"/>
      <c r="E3401" s="115" t="str">
        <f t="shared" si="215"/>
        <v/>
      </c>
      <c r="F3401" s="115" t="str">
        <f t="shared" si="216"/>
        <v/>
      </c>
      <c r="G3401" s="116" t="str">
        <f>IF(ISNONTEXT(D3401),"",E3401-MAX($F$2:F3400))</f>
        <v/>
      </c>
      <c r="H3401" s="97"/>
      <c r="I3401" s="74" t="str">
        <f ca="1">IF(D3401="N",COUNTIF(INDIRECT(ADDRESS(MATCH(Plages!$D$19,'Planning annuel mixing coater'!$B:$B),4)):D3401,"N"),IF(D3401="N1",COUNTIF($D$9:D3401,"N1"),""))</f>
        <v/>
      </c>
      <c r="J3401" s="96" t="str">
        <f>IF(D3401="","",COUNTA(D3390:D3401)-(COUNTA(D3401:D3401)-1))</f>
        <v/>
      </c>
    </row>
    <row r="3402" spans="1:10" thickBot="1">
      <c r="A3402" s="117"/>
      <c r="B3402" s="70">
        <f t="shared" si="217"/>
        <v>47194</v>
      </c>
      <c r="C3402" s="82" t="str">
        <f t="shared" si="214"/>
        <v>samedi</v>
      </c>
      <c r="D3402" s="87"/>
      <c r="E3402" s="115" t="str">
        <f t="shared" si="215"/>
        <v/>
      </c>
      <c r="F3402" s="115" t="str">
        <f t="shared" si="216"/>
        <v/>
      </c>
      <c r="G3402" s="116" t="str">
        <f>IF(ISNONTEXT(D3402),"",E3402-MAX($F$2:F3401))</f>
        <v/>
      </c>
      <c r="H3402" s="97"/>
      <c r="I3402" s="74" t="str">
        <f ca="1">IF(D3402="N",COUNTIF(INDIRECT(ADDRESS(MATCH(Plages!$D$19,'Planning annuel mixing coater'!$B:$B),4)):D3402,"N"),IF(D3402="N1",COUNTIF($D$9:D3402,"N1"),""))</f>
        <v/>
      </c>
      <c r="J3402" s="96" t="str">
        <f>IF(D3402="","",COUNTA(D3390:D3402)-(COUNTA(D3402:D3402)-1))</f>
        <v/>
      </c>
    </row>
    <row r="3403" spans="1:10" s="77" customFormat="1" thickBot="1">
      <c r="A3403" s="117"/>
      <c r="B3403" s="75">
        <f t="shared" si="217"/>
        <v>47195</v>
      </c>
      <c r="C3403" s="83" t="str">
        <f t="shared" si="214"/>
        <v>dimanche</v>
      </c>
      <c r="D3403" s="88"/>
      <c r="E3403" s="115" t="str">
        <f t="shared" si="215"/>
        <v/>
      </c>
      <c r="F3403" s="115" t="str">
        <f t="shared" si="216"/>
        <v/>
      </c>
      <c r="G3403" s="116" t="str">
        <f>IF(ISNONTEXT(D3403),"",E3403-MAX($F$2:F3402))</f>
        <v/>
      </c>
      <c r="H3403" s="98"/>
      <c r="I3403" s="76" t="str">
        <f ca="1">IF(D3403="N",COUNTIF(INDIRECT(ADDRESS(MATCH(Plages!$D$19,'Planning annuel mixing coater'!$B:$B),4)):D3403,"N"),IF(D3403="N1",COUNTIF($D$9:D3403,"N1"),""))</f>
        <v/>
      </c>
      <c r="J3403" s="99" t="str">
        <f>IF(D3403="","",COUNTA(D3390:D3403)-(COUNTA(D3403:D3403)-1))</f>
        <v/>
      </c>
    </row>
    <row r="3404" spans="1:10" ht="16.5" thickTop="1" thickBot="1">
      <c r="A3404" s="117"/>
      <c r="B3404" s="78">
        <f t="shared" si="217"/>
        <v>47196</v>
      </c>
      <c r="C3404" s="81" t="str">
        <f t="shared" si="214"/>
        <v>lundi</v>
      </c>
      <c r="D3404" s="89"/>
      <c r="E3404" s="115" t="str">
        <f t="shared" si="215"/>
        <v/>
      </c>
      <c r="F3404" s="115" t="str">
        <f t="shared" si="216"/>
        <v/>
      </c>
      <c r="G3404" s="116" t="str">
        <f>IF(ISNONTEXT(D3404),"",E3404-MAX($F$2:F3403))</f>
        <v/>
      </c>
      <c r="H3404" s="100"/>
      <c r="I3404" s="79" t="str">
        <f ca="1">IF(D3404="N",COUNTIF(INDIRECT(ADDRESS(MATCH(Plages!$D$19,'Planning annuel mixing coater'!$B:$B),4)):D3404,"N"),IF(D3404="N1",COUNTIF($D$9:D3404,"N1"),""))</f>
        <v/>
      </c>
      <c r="J3404" s="101" t="str">
        <f>IF(D3404="","",COUNTA(D3404:D3404)-(COUNTA(D3404:D3404)-1))</f>
        <v/>
      </c>
    </row>
    <row r="3405" spans="1:10" thickBot="1">
      <c r="A3405" s="117"/>
      <c r="B3405" s="70">
        <f t="shared" si="217"/>
        <v>47197</v>
      </c>
      <c r="C3405" s="82" t="str">
        <f t="shared" si="214"/>
        <v>mardi</v>
      </c>
      <c r="D3405" s="87"/>
      <c r="E3405" s="115" t="str">
        <f t="shared" si="215"/>
        <v/>
      </c>
      <c r="F3405" s="115" t="str">
        <f t="shared" si="216"/>
        <v/>
      </c>
      <c r="G3405" s="116" t="str">
        <f>IF(ISNONTEXT(D3405),"",E3405-MAX($F$2:F3404))</f>
        <v/>
      </c>
      <c r="H3405" s="97"/>
      <c r="I3405" s="74" t="str">
        <f ca="1">IF(D3405="N",COUNTIF(INDIRECT(ADDRESS(MATCH(Plages!$D$19,'Planning annuel mixing coater'!$B:$B),4)):D3405,"N"),IF(D3405="N1",COUNTIF($D$9:D3405,"N1"),""))</f>
        <v/>
      </c>
      <c r="J3405" s="96" t="str">
        <f>IF(D3405="","",COUNTA(D3404:D3405)-(COUNTA(D3405:D3405)-1))</f>
        <v/>
      </c>
    </row>
    <row r="3406" spans="1:10" thickBot="1">
      <c r="A3406" s="117"/>
      <c r="B3406" s="70">
        <f t="shared" si="217"/>
        <v>47198</v>
      </c>
      <c r="C3406" s="82" t="str">
        <f t="shared" si="214"/>
        <v>mercredi</v>
      </c>
      <c r="D3406" s="87"/>
      <c r="E3406" s="115" t="str">
        <f t="shared" si="215"/>
        <v/>
      </c>
      <c r="F3406" s="115" t="str">
        <f t="shared" si="216"/>
        <v/>
      </c>
      <c r="G3406" s="116" t="str">
        <f>IF(ISNONTEXT(D3406),"",E3406-MAX($F$2:F3405))</f>
        <v/>
      </c>
      <c r="H3406" s="97"/>
      <c r="I3406" s="74" t="str">
        <f ca="1">IF(D3406="N",COUNTIF(INDIRECT(ADDRESS(MATCH(Plages!$D$19,'Planning annuel mixing coater'!$B:$B),4)):D3406,"N"),IF(D3406="N1",COUNTIF($D$9:D3406,"N1"),""))</f>
        <v/>
      </c>
      <c r="J3406" s="96" t="str">
        <f>IF(D3406="","",COUNTA(D3404:D3406)-(COUNTA(D3406:D3406)-1))</f>
        <v/>
      </c>
    </row>
    <row r="3407" spans="1:10" thickBot="1">
      <c r="A3407" s="117"/>
      <c r="B3407" s="70">
        <f t="shared" si="217"/>
        <v>47199</v>
      </c>
      <c r="C3407" s="82" t="str">
        <f t="shared" si="214"/>
        <v>jeudi</v>
      </c>
      <c r="D3407" s="87"/>
      <c r="E3407" s="115" t="str">
        <f t="shared" si="215"/>
        <v/>
      </c>
      <c r="F3407" s="115" t="str">
        <f t="shared" si="216"/>
        <v/>
      </c>
      <c r="G3407" s="116" t="str">
        <f>IF(ISNONTEXT(D3407),"",E3407-MAX($F$2:F3406))</f>
        <v/>
      </c>
      <c r="H3407" s="97"/>
      <c r="I3407" s="74" t="str">
        <f ca="1">IF(D3407="N",COUNTIF(INDIRECT(ADDRESS(MATCH(Plages!$D$19,'Planning annuel mixing coater'!$B:$B),4)):D3407,"N"),IF(D3407="N1",COUNTIF($D$9:D3407,"N1"),""))</f>
        <v/>
      </c>
      <c r="J3407" s="96" t="str">
        <f>IF(D3407="","",COUNTA(D3404:D3407)-(COUNTA(D3407:D3407)-1))</f>
        <v/>
      </c>
    </row>
    <row r="3408" spans="1:10" thickBot="1">
      <c r="A3408" s="117"/>
      <c r="B3408" s="70">
        <f t="shared" si="217"/>
        <v>47200</v>
      </c>
      <c r="C3408" s="82" t="str">
        <f t="shared" si="214"/>
        <v>vendredi</v>
      </c>
      <c r="D3408" s="87"/>
      <c r="E3408" s="115" t="str">
        <f t="shared" si="215"/>
        <v/>
      </c>
      <c r="F3408" s="115" t="str">
        <f t="shared" si="216"/>
        <v/>
      </c>
      <c r="G3408" s="116" t="str">
        <f>IF(ISNONTEXT(D3408),"",E3408-MAX($F$2:F3407))</f>
        <v/>
      </c>
      <c r="H3408" s="97"/>
      <c r="I3408" s="74" t="str">
        <f ca="1">IF(D3408="N",COUNTIF(INDIRECT(ADDRESS(MATCH(Plages!$D$19,'Planning annuel mixing coater'!$B:$B),4)):D3408,"N"),IF(D3408="N1",COUNTIF($D$9:D3408,"N1"),""))</f>
        <v/>
      </c>
      <c r="J3408" s="96" t="str">
        <f>IF(D3408="","",COUNTA(D3404:D3408)-(COUNTA(D3408:D3408)-1))</f>
        <v/>
      </c>
    </row>
    <row r="3409" spans="1:10" thickBot="1">
      <c r="A3409" s="117"/>
      <c r="B3409" s="70">
        <f t="shared" si="217"/>
        <v>47201</v>
      </c>
      <c r="C3409" s="82" t="str">
        <f t="shared" si="214"/>
        <v>samedi</v>
      </c>
      <c r="D3409" s="87"/>
      <c r="E3409" s="115" t="str">
        <f t="shared" si="215"/>
        <v/>
      </c>
      <c r="F3409" s="115" t="str">
        <f t="shared" si="216"/>
        <v/>
      </c>
      <c r="G3409" s="116" t="str">
        <f>IF(ISNONTEXT(D3409),"",E3409-MAX($F$2:F3408))</f>
        <v/>
      </c>
      <c r="H3409" s="97"/>
      <c r="I3409" s="74" t="str">
        <f ca="1">IF(D3409="N",COUNTIF(INDIRECT(ADDRESS(MATCH(Plages!$D$19,'Planning annuel mixing coater'!$B:$B),4)):D3409,"N"),IF(D3409="N1",COUNTIF($D$9:D3409,"N1"),""))</f>
        <v/>
      </c>
      <c r="J3409" s="96" t="str">
        <f>IF(D3409="","",COUNTA(D3404:D3409)-(COUNTA(D3409:D3409)-1))</f>
        <v/>
      </c>
    </row>
    <row r="3410" spans="1:10" thickBot="1">
      <c r="A3410" s="117"/>
      <c r="B3410" s="70">
        <f t="shared" si="217"/>
        <v>47202</v>
      </c>
      <c r="C3410" s="82" t="str">
        <f t="shared" si="214"/>
        <v>dimanche</v>
      </c>
      <c r="D3410" s="87"/>
      <c r="E3410" s="115" t="str">
        <f t="shared" si="215"/>
        <v/>
      </c>
      <c r="F3410" s="115" t="str">
        <f t="shared" si="216"/>
        <v/>
      </c>
      <c r="G3410" s="116" t="str">
        <f>IF(ISNONTEXT(D3410),"",E3410-MAX($F$2:F3409))</f>
        <v/>
      </c>
      <c r="H3410" s="98"/>
      <c r="I3410" s="74" t="str">
        <f ca="1">IF(D3410="N",COUNTIF(INDIRECT(ADDRESS(MATCH(Plages!$D$19,'Planning annuel mixing coater'!$B:$B),4)):D3410,"N"),IF(D3410="N1",COUNTIF($D$9:D3410,"N1"),""))</f>
        <v/>
      </c>
      <c r="J3410" s="96" t="str">
        <f>IF(D3410="","",COUNTA(D3404:D3410)-(COUNTA(D3410:D3410)-1))</f>
        <v/>
      </c>
    </row>
    <row r="3411" spans="1:10" thickBot="1">
      <c r="A3411" s="117"/>
      <c r="B3411" s="70">
        <f t="shared" si="217"/>
        <v>47203</v>
      </c>
      <c r="C3411" s="82" t="str">
        <f t="shared" si="214"/>
        <v>lundi</v>
      </c>
      <c r="D3411" s="87"/>
      <c r="E3411" s="115" t="str">
        <f t="shared" si="215"/>
        <v/>
      </c>
      <c r="F3411" s="115" t="str">
        <f t="shared" si="216"/>
        <v/>
      </c>
      <c r="G3411" s="116" t="str">
        <f>IF(ISNONTEXT(D3411),"",E3411-MAX($F$2:F3410))</f>
        <v/>
      </c>
      <c r="H3411" s="97"/>
      <c r="I3411" s="74" t="str">
        <f ca="1">IF(D3411="N",COUNTIF(INDIRECT(ADDRESS(MATCH(Plages!$D$19,'Planning annuel mixing coater'!$B:$B),4)):D3411,"N"),IF(D3411="N1",COUNTIF($D$9:D3411,"N1"),""))</f>
        <v/>
      </c>
      <c r="J3411" s="96" t="str">
        <f>IF(D3411="","",COUNTA(D3404:D3411)-(COUNTA(D3411:D3411)-1))</f>
        <v/>
      </c>
    </row>
    <row r="3412" spans="1:10" thickBot="1">
      <c r="A3412" s="117"/>
      <c r="B3412" s="70">
        <f t="shared" si="217"/>
        <v>47204</v>
      </c>
      <c r="C3412" s="82" t="str">
        <f t="shared" si="214"/>
        <v>mardi</v>
      </c>
      <c r="D3412" s="87"/>
      <c r="E3412" s="115" t="str">
        <f t="shared" si="215"/>
        <v/>
      </c>
      <c r="F3412" s="115" t="str">
        <f t="shared" si="216"/>
        <v/>
      </c>
      <c r="G3412" s="116" t="str">
        <f>IF(ISNONTEXT(D3412),"",E3412-MAX($F$2:F3411))</f>
        <v/>
      </c>
      <c r="H3412" s="97"/>
      <c r="I3412" s="74" t="str">
        <f ca="1">IF(D3412="N",COUNTIF(INDIRECT(ADDRESS(MATCH(Plages!$D$19,'Planning annuel mixing coater'!$B:$B),4)):D3412,"N"),IF(D3412="N1",COUNTIF($D$9:D3412,"N1"),""))</f>
        <v/>
      </c>
      <c r="J3412" s="96" t="str">
        <f>IF(D3412="","",COUNTA(D3404:D3412)-(COUNTA(D3412:D3412)-1))</f>
        <v/>
      </c>
    </row>
    <row r="3413" spans="1:10" thickBot="1">
      <c r="A3413" s="117"/>
      <c r="B3413" s="70">
        <f t="shared" si="217"/>
        <v>47205</v>
      </c>
      <c r="C3413" s="82" t="str">
        <f t="shared" si="214"/>
        <v>mercredi</v>
      </c>
      <c r="D3413" s="87"/>
      <c r="E3413" s="115" t="str">
        <f t="shared" si="215"/>
        <v/>
      </c>
      <c r="F3413" s="115" t="str">
        <f t="shared" si="216"/>
        <v/>
      </c>
      <c r="G3413" s="116" t="str">
        <f>IF(ISNONTEXT(D3413),"",E3413-MAX($F$2:F3412))</f>
        <v/>
      </c>
      <c r="H3413" s="97"/>
      <c r="I3413" s="74" t="str">
        <f ca="1">IF(D3413="N",COUNTIF(INDIRECT(ADDRESS(MATCH(Plages!$D$19,'Planning annuel mixing coater'!$B:$B),4)):D3413,"N"),IF(D3413="N1",COUNTIF($D$9:D3413,"N1"),""))</f>
        <v/>
      </c>
      <c r="J3413" s="96" t="str">
        <f>IF(D3413="","",COUNTA(D3404:D3413)-(COUNTA(D3413:D3413)-1))</f>
        <v/>
      </c>
    </row>
    <row r="3414" spans="1:10" thickBot="1">
      <c r="A3414" s="117"/>
      <c r="B3414" s="70">
        <f t="shared" si="217"/>
        <v>47206</v>
      </c>
      <c r="C3414" s="82" t="str">
        <f t="shared" si="214"/>
        <v>jeudi</v>
      </c>
      <c r="D3414" s="87"/>
      <c r="E3414" s="115" t="str">
        <f t="shared" si="215"/>
        <v/>
      </c>
      <c r="F3414" s="115" t="str">
        <f t="shared" si="216"/>
        <v/>
      </c>
      <c r="G3414" s="116" t="str">
        <f>IF(ISNONTEXT(D3414),"",E3414-MAX($F$2:F3413))</f>
        <v/>
      </c>
      <c r="H3414" s="97"/>
      <c r="I3414" s="74" t="str">
        <f ca="1">IF(D3414="N",COUNTIF(INDIRECT(ADDRESS(MATCH(Plages!$D$19,'Planning annuel mixing coater'!$B:$B),4)):D3414,"N"),IF(D3414="N1",COUNTIF($D$9:D3414,"N1"),""))</f>
        <v/>
      </c>
      <c r="J3414" s="96" t="str">
        <f>IF(D3414="","",COUNTA(D3404:D3414)-(COUNTA(D3414:D3414)-1))</f>
        <v/>
      </c>
    </row>
    <row r="3415" spans="1:10" thickBot="1">
      <c r="A3415" s="117"/>
      <c r="B3415" s="70">
        <f t="shared" si="217"/>
        <v>47207</v>
      </c>
      <c r="C3415" s="82" t="str">
        <f t="shared" si="214"/>
        <v>vendredi</v>
      </c>
      <c r="D3415" s="87"/>
      <c r="E3415" s="115" t="str">
        <f t="shared" si="215"/>
        <v/>
      </c>
      <c r="F3415" s="115" t="str">
        <f t="shared" si="216"/>
        <v/>
      </c>
      <c r="G3415" s="116" t="str">
        <f>IF(ISNONTEXT(D3415),"",E3415-MAX($F$2:F3414))</f>
        <v/>
      </c>
      <c r="H3415" s="97"/>
      <c r="I3415" s="74" t="str">
        <f ca="1">IF(D3415="N",COUNTIF(INDIRECT(ADDRESS(MATCH(Plages!$D$19,'Planning annuel mixing coater'!$B:$B),4)):D3415,"N"),IF(D3415="N1",COUNTIF($D$9:D3415,"N1"),""))</f>
        <v/>
      </c>
      <c r="J3415" s="96" t="str">
        <f>IF(D3415="","",COUNTA(D3404:D3415)-(COUNTA(D3415:D3415)-1))</f>
        <v/>
      </c>
    </row>
    <row r="3416" spans="1:10" thickBot="1">
      <c r="A3416" s="117"/>
      <c r="B3416" s="70">
        <f t="shared" si="217"/>
        <v>47208</v>
      </c>
      <c r="C3416" s="82" t="str">
        <f t="shared" si="214"/>
        <v>samedi</v>
      </c>
      <c r="D3416" s="87"/>
      <c r="E3416" s="115" t="str">
        <f t="shared" si="215"/>
        <v/>
      </c>
      <c r="F3416" s="115" t="str">
        <f t="shared" si="216"/>
        <v/>
      </c>
      <c r="G3416" s="116" t="str">
        <f>IF(ISNONTEXT(D3416),"",E3416-MAX($F$2:F3415))</f>
        <v/>
      </c>
      <c r="H3416" s="97"/>
      <c r="I3416" s="74" t="str">
        <f ca="1">IF(D3416="N",COUNTIF(INDIRECT(ADDRESS(MATCH(Plages!$D$19,'Planning annuel mixing coater'!$B:$B),4)):D3416,"N"),IF(D3416="N1",COUNTIF($D$9:D3416,"N1"),""))</f>
        <v/>
      </c>
      <c r="J3416" s="96" t="str">
        <f>IF(D3416="","",COUNTA(D3404:D3416)-(COUNTA(D3416:D3416)-1))</f>
        <v/>
      </c>
    </row>
    <row r="3417" spans="1:10" s="77" customFormat="1" thickBot="1">
      <c r="A3417" s="117"/>
      <c r="B3417" s="75">
        <f t="shared" si="217"/>
        <v>47209</v>
      </c>
      <c r="C3417" s="83" t="str">
        <f t="shared" si="214"/>
        <v>dimanche</v>
      </c>
      <c r="D3417" s="88"/>
      <c r="E3417" s="115" t="str">
        <f t="shared" si="215"/>
        <v/>
      </c>
      <c r="F3417" s="115" t="str">
        <f t="shared" si="216"/>
        <v/>
      </c>
      <c r="G3417" s="116" t="str">
        <f>IF(ISNONTEXT(D3417),"",E3417-MAX($F$2:F3416))</f>
        <v/>
      </c>
      <c r="H3417" s="98"/>
      <c r="I3417" s="76" t="str">
        <f ca="1">IF(D3417="N",COUNTIF(INDIRECT(ADDRESS(MATCH(Plages!$D$19,'Planning annuel mixing coater'!$B:$B),4)):D3417,"N"),IF(D3417="N1",COUNTIF($D$9:D3417,"N1"),""))</f>
        <v/>
      </c>
      <c r="J3417" s="99" t="str">
        <f>IF(D3417="","",COUNTA(D3404:D3417)-(COUNTA(D3417:D3417)-1))</f>
        <v/>
      </c>
    </row>
    <row r="3418" spans="1:10" ht="16.5" thickTop="1" thickBot="1">
      <c r="A3418" s="117"/>
      <c r="B3418" s="78">
        <f t="shared" si="217"/>
        <v>47210</v>
      </c>
      <c r="C3418" s="81" t="str">
        <f t="shared" si="214"/>
        <v>lundi</v>
      </c>
      <c r="D3418" s="89"/>
      <c r="E3418" s="115" t="str">
        <f t="shared" si="215"/>
        <v/>
      </c>
      <c r="F3418" s="115" t="str">
        <f t="shared" si="216"/>
        <v/>
      </c>
      <c r="G3418" s="116" t="str">
        <f>IF(ISNONTEXT(D3418),"",E3418-MAX($F$2:F3417))</f>
        <v/>
      </c>
      <c r="H3418" s="100"/>
      <c r="I3418" s="79" t="str">
        <f ca="1">IF(D3418="N",COUNTIF(INDIRECT(ADDRESS(MATCH(Plages!$D$19,'Planning annuel mixing coater'!$B:$B),4)):D3418,"N"),IF(D3418="N1",COUNTIF($D$9:D3418,"N1"),""))</f>
        <v/>
      </c>
      <c r="J3418" s="101" t="str">
        <f>IF(D3418="","",COUNTA(D3418:D3418)-(COUNTA(D3418:D3418)-1))</f>
        <v/>
      </c>
    </row>
    <row r="3419" spans="1:10" thickBot="1">
      <c r="A3419" s="117"/>
      <c r="B3419" s="70">
        <f t="shared" si="217"/>
        <v>47211</v>
      </c>
      <c r="C3419" s="82" t="str">
        <f t="shared" si="214"/>
        <v>mardi</v>
      </c>
      <c r="D3419" s="87"/>
      <c r="E3419" s="115" t="str">
        <f t="shared" si="215"/>
        <v/>
      </c>
      <c r="F3419" s="115" t="str">
        <f t="shared" si="216"/>
        <v/>
      </c>
      <c r="G3419" s="116" t="str">
        <f>IF(ISNONTEXT(D3419),"",E3419-MAX($F$2:F3418))</f>
        <v/>
      </c>
      <c r="H3419" s="97"/>
      <c r="I3419" s="74" t="str">
        <f ca="1">IF(D3419="N",COUNTIF(INDIRECT(ADDRESS(MATCH(Plages!$D$19,'Planning annuel mixing coater'!$B:$B),4)):D3419,"N"),IF(D3419="N1",COUNTIF($D$9:D3419,"N1"),""))</f>
        <v/>
      </c>
      <c r="J3419" s="96" t="str">
        <f>IF(D3419="","",COUNTA(D3418:D3419)-(COUNTA(D3419:D3419)-1))</f>
        <v/>
      </c>
    </row>
    <row r="3420" spans="1:10" thickBot="1">
      <c r="A3420" s="117"/>
      <c r="B3420" s="70">
        <f t="shared" si="217"/>
        <v>47212</v>
      </c>
      <c r="C3420" s="82" t="str">
        <f t="shared" si="214"/>
        <v>mercredi</v>
      </c>
      <c r="D3420" s="87"/>
      <c r="E3420" s="115" t="str">
        <f t="shared" si="215"/>
        <v/>
      </c>
      <c r="F3420" s="115" t="str">
        <f t="shared" si="216"/>
        <v/>
      </c>
      <c r="G3420" s="116" t="str">
        <f>IF(ISNONTEXT(D3420),"",E3420-MAX($F$2:F3419))</f>
        <v/>
      </c>
      <c r="H3420" s="97"/>
      <c r="I3420" s="74" t="str">
        <f ca="1">IF(D3420="N",COUNTIF(INDIRECT(ADDRESS(MATCH(Plages!$D$19,'Planning annuel mixing coater'!$B:$B),4)):D3420,"N"),IF(D3420="N1",COUNTIF($D$9:D3420,"N1"),""))</f>
        <v/>
      </c>
      <c r="J3420" s="96" t="str">
        <f>IF(D3420="","",COUNTA(D3418:D3420)-(COUNTA(D3420:D3420)-1))</f>
        <v/>
      </c>
    </row>
    <row r="3421" spans="1:10" thickBot="1">
      <c r="A3421" s="117"/>
      <c r="B3421" s="70">
        <f t="shared" si="217"/>
        <v>47213</v>
      </c>
      <c r="C3421" s="82" t="str">
        <f t="shared" si="214"/>
        <v>jeudi</v>
      </c>
      <c r="D3421" s="87"/>
      <c r="E3421" s="115" t="str">
        <f t="shared" si="215"/>
        <v/>
      </c>
      <c r="F3421" s="115" t="str">
        <f t="shared" si="216"/>
        <v/>
      </c>
      <c r="G3421" s="116" t="str">
        <f>IF(ISNONTEXT(D3421),"",E3421-MAX($F$2:F3420))</f>
        <v/>
      </c>
      <c r="H3421" s="97"/>
      <c r="I3421" s="74" t="str">
        <f ca="1">IF(D3421="N",COUNTIF(INDIRECT(ADDRESS(MATCH(Plages!$D$19,'Planning annuel mixing coater'!$B:$B),4)):D3421,"N"),IF(D3421="N1",COUNTIF($D$9:D3421,"N1"),""))</f>
        <v/>
      </c>
      <c r="J3421" s="96" t="str">
        <f>IF(D3421="","",COUNTA(D3418:D3421)-(COUNTA(D3421:D3421)-1))</f>
        <v/>
      </c>
    </row>
    <row r="3422" spans="1:10" thickBot="1">
      <c r="A3422" s="117"/>
      <c r="B3422" s="70">
        <f t="shared" si="217"/>
        <v>47214</v>
      </c>
      <c r="C3422" s="82" t="str">
        <f t="shared" ref="C3422:C3485" si="218">IF(B3422="","",TEXT(B3422,"jjjj"))</f>
        <v>vendredi</v>
      </c>
      <c r="D3422" s="87"/>
      <c r="E3422" s="115" t="str">
        <f t="shared" ref="E3422:E3485" si="219">IF(D3422="","",B3422+VLOOKUP(D3422,Plageh,2,0))</f>
        <v/>
      </c>
      <c r="F3422" s="115" t="str">
        <f t="shared" ref="F3422:F3485" si="220">IF(D3422="","",B3422+VLOOKUP(D3422,Plageh,3,0))</f>
        <v/>
      </c>
      <c r="G3422" s="116" t="str">
        <f>IF(ISNONTEXT(D3422),"",E3422-MAX($F$2:F3421))</f>
        <v/>
      </c>
      <c r="H3422" s="97"/>
      <c r="I3422" s="74" t="str">
        <f ca="1">IF(D3422="N",COUNTIF(INDIRECT(ADDRESS(MATCH(Plages!$D$19,'Planning annuel mixing coater'!$B:$B),4)):D3422,"N"),IF(D3422="N1",COUNTIF($D$9:D3422,"N1"),""))</f>
        <v/>
      </c>
      <c r="J3422" s="96" t="str">
        <f>IF(D3422="","",COUNTA(D3418:D3422)-(COUNTA(D3422:D3422)-1))</f>
        <v/>
      </c>
    </row>
    <row r="3423" spans="1:10" thickBot="1">
      <c r="A3423" s="117"/>
      <c r="B3423" s="70">
        <f t="shared" si="217"/>
        <v>47215</v>
      </c>
      <c r="C3423" s="82" t="str">
        <f t="shared" si="218"/>
        <v>samedi</v>
      </c>
      <c r="D3423" s="87"/>
      <c r="E3423" s="115" t="str">
        <f t="shared" si="219"/>
        <v/>
      </c>
      <c r="F3423" s="115" t="str">
        <f t="shared" si="220"/>
        <v/>
      </c>
      <c r="G3423" s="116" t="str">
        <f>IF(ISNONTEXT(D3423),"",E3423-MAX($F$2:F3422))</f>
        <v/>
      </c>
      <c r="H3423" s="97"/>
      <c r="I3423" s="74" t="str">
        <f ca="1">IF(D3423="N",COUNTIF(INDIRECT(ADDRESS(MATCH(Plages!$D$19,'Planning annuel mixing coater'!$B:$B),4)):D3423,"N"),IF(D3423="N1",COUNTIF($D$9:D3423,"N1"),""))</f>
        <v/>
      </c>
      <c r="J3423" s="96" t="str">
        <f>IF(D3423="","",COUNTA(D3418:D3423)-(COUNTA(D3423:D3423)-1))</f>
        <v/>
      </c>
    </row>
    <row r="3424" spans="1:10" thickBot="1">
      <c r="A3424" s="117"/>
      <c r="B3424" s="70">
        <f t="shared" si="217"/>
        <v>47216</v>
      </c>
      <c r="C3424" s="82" t="str">
        <f t="shared" si="218"/>
        <v>dimanche</v>
      </c>
      <c r="D3424" s="87"/>
      <c r="E3424" s="115" t="str">
        <f t="shared" si="219"/>
        <v/>
      </c>
      <c r="F3424" s="115" t="str">
        <f t="shared" si="220"/>
        <v/>
      </c>
      <c r="G3424" s="116" t="str">
        <f>IF(ISNONTEXT(D3424),"",E3424-MAX($F$2:F3423))</f>
        <v/>
      </c>
      <c r="H3424" s="98"/>
      <c r="I3424" s="74" t="str">
        <f ca="1">IF(D3424="N",COUNTIF(INDIRECT(ADDRESS(MATCH(Plages!$D$19,'Planning annuel mixing coater'!$B:$B),4)):D3424,"N"),IF(D3424="N1",COUNTIF($D$9:D3424,"N1"),""))</f>
        <v/>
      </c>
      <c r="J3424" s="96" t="str">
        <f>IF(D3424="","",COUNTA(D3418:D3424)-(COUNTA(D3424:D3424)-1))</f>
        <v/>
      </c>
    </row>
    <row r="3425" spans="1:10" thickBot="1">
      <c r="A3425" s="117"/>
      <c r="B3425" s="70">
        <f t="shared" si="217"/>
        <v>47217</v>
      </c>
      <c r="C3425" s="82" t="str">
        <f t="shared" si="218"/>
        <v>lundi</v>
      </c>
      <c r="D3425" s="87"/>
      <c r="E3425" s="115" t="str">
        <f t="shared" si="219"/>
        <v/>
      </c>
      <c r="F3425" s="115" t="str">
        <f t="shared" si="220"/>
        <v/>
      </c>
      <c r="G3425" s="116" t="str">
        <f>IF(ISNONTEXT(D3425),"",E3425-MAX($F$2:F3424))</f>
        <v/>
      </c>
      <c r="H3425" s="97"/>
      <c r="I3425" s="74" t="str">
        <f ca="1">IF(D3425="N",COUNTIF(INDIRECT(ADDRESS(MATCH(Plages!$D$19,'Planning annuel mixing coater'!$B:$B),4)):D3425,"N"),IF(D3425="N1",COUNTIF($D$9:D3425,"N1"),""))</f>
        <v/>
      </c>
      <c r="J3425" s="96" t="str">
        <f>IF(D3425="","",COUNTA(D3418:D3425)-(COUNTA(D3425:D3425)-1))</f>
        <v/>
      </c>
    </row>
    <row r="3426" spans="1:10" thickBot="1">
      <c r="A3426" s="117"/>
      <c r="B3426" s="70">
        <f t="shared" si="217"/>
        <v>47218</v>
      </c>
      <c r="C3426" s="82" t="str">
        <f t="shared" si="218"/>
        <v>mardi</v>
      </c>
      <c r="D3426" s="87"/>
      <c r="E3426" s="115" t="str">
        <f t="shared" si="219"/>
        <v/>
      </c>
      <c r="F3426" s="115" t="str">
        <f t="shared" si="220"/>
        <v/>
      </c>
      <c r="G3426" s="116" t="str">
        <f>IF(ISNONTEXT(D3426),"",E3426-MAX($F$2:F3425))</f>
        <v/>
      </c>
      <c r="H3426" s="97"/>
      <c r="I3426" s="74" t="str">
        <f ca="1">IF(D3426="N",COUNTIF(INDIRECT(ADDRESS(MATCH(Plages!$D$19,'Planning annuel mixing coater'!$B:$B),4)):D3426,"N"),IF(D3426="N1",COUNTIF($D$9:D3426,"N1"),""))</f>
        <v/>
      </c>
      <c r="J3426" s="96" t="str">
        <f>IF(D3426="","",COUNTA(D3418:D3426)-(COUNTA(D3426:D3426)-1))</f>
        <v/>
      </c>
    </row>
    <row r="3427" spans="1:10" thickBot="1">
      <c r="A3427" s="117"/>
      <c r="B3427" s="70">
        <f t="shared" si="217"/>
        <v>47219</v>
      </c>
      <c r="C3427" s="82" t="str">
        <f t="shared" si="218"/>
        <v>mercredi</v>
      </c>
      <c r="D3427" s="87"/>
      <c r="E3427" s="115" t="str">
        <f t="shared" si="219"/>
        <v/>
      </c>
      <c r="F3427" s="115" t="str">
        <f t="shared" si="220"/>
        <v/>
      </c>
      <c r="G3427" s="116" t="str">
        <f>IF(ISNONTEXT(D3427),"",E3427-MAX($F$2:F3426))</f>
        <v/>
      </c>
      <c r="H3427" s="97"/>
      <c r="I3427" s="74" t="str">
        <f ca="1">IF(D3427="N",COUNTIF(INDIRECT(ADDRESS(MATCH(Plages!$D$19,'Planning annuel mixing coater'!$B:$B),4)):D3427,"N"),IF(D3427="N1",COUNTIF($D$9:D3427,"N1"),""))</f>
        <v/>
      </c>
      <c r="J3427" s="96" t="str">
        <f>IF(D3427="","",COUNTA(D3418:D3427)-(COUNTA(D3427:D3427)-1))</f>
        <v/>
      </c>
    </row>
    <row r="3428" spans="1:10" thickBot="1">
      <c r="A3428" s="117"/>
      <c r="B3428" s="70">
        <f t="shared" si="217"/>
        <v>47220</v>
      </c>
      <c r="C3428" s="82" t="str">
        <f t="shared" si="218"/>
        <v>jeudi</v>
      </c>
      <c r="D3428" s="87"/>
      <c r="E3428" s="115" t="str">
        <f t="shared" si="219"/>
        <v/>
      </c>
      <c r="F3428" s="115" t="str">
        <f t="shared" si="220"/>
        <v/>
      </c>
      <c r="G3428" s="116" t="str">
        <f>IF(ISNONTEXT(D3428),"",E3428-MAX($F$2:F3427))</f>
        <v/>
      </c>
      <c r="H3428" s="97"/>
      <c r="I3428" s="74" t="str">
        <f ca="1">IF(D3428="N",COUNTIF(INDIRECT(ADDRESS(MATCH(Plages!$D$19,'Planning annuel mixing coater'!$B:$B),4)):D3428,"N"),IF(D3428="N1",COUNTIF($D$9:D3428,"N1"),""))</f>
        <v/>
      </c>
      <c r="J3428" s="96" t="str">
        <f>IF(D3428="","",COUNTA(D3418:D3428)-(COUNTA(D3428:D3428)-1))</f>
        <v/>
      </c>
    </row>
    <row r="3429" spans="1:10" thickBot="1">
      <c r="A3429" s="117"/>
      <c r="B3429" s="70">
        <f t="shared" si="217"/>
        <v>47221</v>
      </c>
      <c r="C3429" s="82" t="str">
        <f t="shared" si="218"/>
        <v>vendredi</v>
      </c>
      <c r="D3429" s="87"/>
      <c r="E3429" s="115" t="str">
        <f t="shared" si="219"/>
        <v/>
      </c>
      <c r="F3429" s="115" t="str">
        <f t="shared" si="220"/>
        <v/>
      </c>
      <c r="G3429" s="116" t="str">
        <f>IF(ISNONTEXT(D3429),"",E3429-MAX($F$2:F3428))</f>
        <v/>
      </c>
      <c r="H3429" s="97"/>
      <c r="I3429" s="74" t="str">
        <f ca="1">IF(D3429="N",COUNTIF(INDIRECT(ADDRESS(MATCH(Plages!$D$19,'Planning annuel mixing coater'!$B:$B),4)):D3429,"N"),IF(D3429="N1",COUNTIF($D$9:D3429,"N1"),""))</f>
        <v/>
      </c>
      <c r="J3429" s="96" t="str">
        <f>IF(D3429="","",COUNTA(D3418:D3429)-(COUNTA(D3429:D3429)-1))</f>
        <v/>
      </c>
    </row>
    <row r="3430" spans="1:10" thickBot="1">
      <c r="A3430" s="117"/>
      <c r="B3430" s="70">
        <f t="shared" si="217"/>
        <v>47222</v>
      </c>
      <c r="C3430" s="82" t="str">
        <f t="shared" si="218"/>
        <v>samedi</v>
      </c>
      <c r="D3430" s="87"/>
      <c r="E3430" s="115" t="str">
        <f t="shared" si="219"/>
        <v/>
      </c>
      <c r="F3430" s="115" t="str">
        <f t="shared" si="220"/>
        <v/>
      </c>
      <c r="G3430" s="116" t="str">
        <f>IF(ISNONTEXT(D3430),"",E3430-MAX($F$2:F3429))</f>
        <v/>
      </c>
      <c r="H3430" s="97"/>
      <c r="I3430" s="74" t="str">
        <f ca="1">IF(D3430="N",COUNTIF(INDIRECT(ADDRESS(MATCH(Plages!$D$19,'Planning annuel mixing coater'!$B:$B),4)):D3430,"N"),IF(D3430="N1",COUNTIF($D$9:D3430,"N1"),""))</f>
        <v/>
      </c>
      <c r="J3430" s="96" t="str">
        <f>IF(D3430="","",COUNTA(D3418:D3430)-(COUNTA(D3430:D3430)-1))</f>
        <v/>
      </c>
    </row>
    <row r="3431" spans="1:10" s="77" customFormat="1" thickBot="1">
      <c r="A3431" s="117"/>
      <c r="B3431" s="75">
        <f t="shared" si="217"/>
        <v>47223</v>
      </c>
      <c r="C3431" s="83" t="str">
        <f t="shared" si="218"/>
        <v>dimanche</v>
      </c>
      <c r="D3431" s="88"/>
      <c r="E3431" s="115" t="str">
        <f t="shared" si="219"/>
        <v/>
      </c>
      <c r="F3431" s="115" t="str">
        <f t="shared" si="220"/>
        <v/>
      </c>
      <c r="G3431" s="116" t="str">
        <f>IF(ISNONTEXT(D3431),"",E3431-MAX($F$2:F3430))</f>
        <v/>
      </c>
      <c r="H3431" s="98"/>
      <c r="I3431" s="76" t="str">
        <f ca="1">IF(D3431="N",COUNTIF(INDIRECT(ADDRESS(MATCH(Plages!$D$19,'Planning annuel mixing coater'!$B:$B),4)):D3431,"N"),IF(D3431="N1",COUNTIF($D$9:D3431,"N1"),""))</f>
        <v/>
      </c>
      <c r="J3431" s="99" t="str">
        <f>IF(D3431="","",COUNTA(D3418:D3431)-(COUNTA(D3431:D3431)-1))</f>
        <v/>
      </c>
    </row>
    <row r="3432" spans="1:10" ht="16.5" thickTop="1" thickBot="1">
      <c r="A3432" s="117"/>
      <c r="B3432" s="78">
        <f t="shared" si="217"/>
        <v>47224</v>
      </c>
      <c r="C3432" s="81" t="str">
        <f t="shared" si="218"/>
        <v>lundi</v>
      </c>
      <c r="D3432" s="89"/>
      <c r="E3432" s="115" t="str">
        <f t="shared" si="219"/>
        <v/>
      </c>
      <c r="F3432" s="115" t="str">
        <f t="shared" si="220"/>
        <v/>
      </c>
      <c r="G3432" s="116" t="str">
        <f>IF(ISNONTEXT(D3432),"",E3432-MAX($F$2:F3431))</f>
        <v/>
      </c>
      <c r="H3432" s="100"/>
      <c r="I3432" s="79" t="str">
        <f ca="1">IF(D3432="N",COUNTIF(INDIRECT(ADDRESS(MATCH(Plages!$D$19,'Planning annuel mixing coater'!$B:$B),4)):D3432,"N"),IF(D3432="N1",COUNTIF($D$9:D3432,"N1"),""))</f>
        <v/>
      </c>
      <c r="J3432" s="101" t="str">
        <f>IF(D3432="","",COUNTA(D3432:D3432)-(COUNTA(D3432:D3432)-1))</f>
        <v/>
      </c>
    </row>
    <row r="3433" spans="1:10" thickBot="1">
      <c r="A3433" s="117"/>
      <c r="B3433" s="70">
        <f t="shared" si="217"/>
        <v>47225</v>
      </c>
      <c r="C3433" s="82" t="str">
        <f t="shared" si="218"/>
        <v>mardi</v>
      </c>
      <c r="D3433" s="87"/>
      <c r="E3433" s="115" t="str">
        <f t="shared" si="219"/>
        <v/>
      </c>
      <c r="F3433" s="115" t="str">
        <f t="shared" si="220"/>
        <v/>
      </c>
      <c r="G3433" s="116" t="str">
        <f>IF(ISNONTEXT(D3433),"",E3433-MAX($F$2:F3432))</f>
        <v/>
      </c>
      <c r="H3433" s="97"/>
      <c r="I3433" s="74" t="str">
        <f ca="1">IF(D3433="N",COUNTIF(INDIRECT(ADDRESS(MATCH(Plages!$D$19,'Planning annuel mixing coater'!$B:$B),4)):D3433,"N"),IF(D3433="N1",COUNTIF($D$9:D3433,"N1"),""))</f>
        <v/>
      </c>
      <c r="J3433" s="96" t="str">
        <f>IF(D3433="","",COUNTA(D3432:D3433)-(COUNTA(D3433:D3433)-1))</f>
        <v/>
      </c>
    </row>
    <row r="3434" spans="1:10" thickBot="1">
      <c r="A3434" s="117"/>
      <c r="B3434" s="70">
        <f t="shared" si="217"/>
        <v>47226</v>
      </c>
      <c r="C3434" s="82" t="str">
        <f t="shared" si="218"/>
        <v>mercredi</v>
      </c>
      <c r="D3434" s="87"/>
      <c r="E3434" s="115" t="str">
        <f t="shared" si="219"/>
        <v/>
      </c>
      <c r="F3434" s="115" t="str">
        <f t="shared" si="220"/>
        <v/>
      </c>
      <c r="G3434" s="116" t="str">
        <f>IF(ISNONTEXT(D3434),"",E3434-MAX($F$2:F3433))</f>
        <v/>
      </c>
      <c r="H3434" s="97"/>
      <c r="I3434" s="74" t="str">
        <f ca="1">IF(D3434="N",COUNTIF(INDIRECT(ADDRESS(MATCH(Plages!$D$19,'Planning annuel mixing coater'!$B:$B),4)):D3434,"N"),IF(D3434="N1",COUNTIF($D$9:D3434,"N1"),""))</f>
        <v/>
      </c>
      <c r="J3434" s="96" t="str">
        <f>IF(D3434="","",COUNTA(D3432:D3434)-(COUNTA(D3434:D3434)-1))</f>
        <v/>
      </c>
    </row>
    <row r="3435" spans="1:10" thickBot="1">
      <c r="A3435" s="117"/>
      <c r="B3435" s="70">
        <f t="shared" si="217"/>
        <v>47227</v>
      </c>
      <c r="C3435" s="82" t="str">
        <f t="shared" si="218"/>
        <v>jeudi</v>
      </c>
      <c r="D3435" s="87"/>
      <c r="E3435" s="115" t="str">
        <f t="shared" si="219"/>
        <v/>
      </c>
      <c r="F3435" s="115" t="str">
        <f t="shared" si="220"/>
        <v/>
      </c>
      <c r="G3435" s="116" t="str">
        <f>IF(ISNONTEXT(D3435),"",E3435-MAX($F$2:F3434))</f>
        <v/>
      </c>
      <c r="H3435" s="97"/>
      <c r="I3435" s="74" t="str">
        <f ca="1">IF(D3435="N",COUNTIF(INDIRECT(ADDRESS(MATCH(Plages!$D$19,'Planning annuel mixing coater'!$B:$B),4)):D3435,"N"),IF(D3435="N1",COUNTIF($D$9:D3435,"N1"),""))</f>
        <v/>
      </c>
      <c r="J3435" s="96" t="str">
        <f>IF(D3435="","",COUNTA(D3432:D3435)-(COUNTA(D3435:D3435)-1))</f>
        <v/>
      </c>
    </row>
    <row r="3436" spans="1:10" thickBot="1">
      <c r="A3436" s="117"/>
      <c r="B3436" s="70">
        <f t="shared" si="217"/>
        <v>47228</v>
      </c>
      <c r="C3436" s="82" t="str">
        <f t="shared" si="218"/>
        <v>vendredi</v>
      </c>
      <c r="D3436" s="87"/>
      <c r="E3436" s="115" t="str">
        <f t="shared" si="219"/>
        <v/>
      </c>
      <c r="F3436" s="115" t="str">
        <f t="shared" si="220"/>
        <v/>
      </c>
      <c r="G3436" s="116" t="str">
        <f>IF(ISNONTEXT(D3436),"",E3436-MAX($F$2:F3435))</f>
        <v/>
      </c>
      <c r="H3436" s="97"/>
      <c r="I3436" s="74" t="str">
        <f ca="1">IF(D3436="N",COUNTIF(INDIRECT(ADDRESS(MATCH(Plages!$D$19,'Planning annuel mixing coater'!$B:$B),4)):D3436,"N"),IF(D3436="N1",COUNTIF($D$9:D3436,"N1"),""))</f>
        <v/>
      </c>
      <c r="J3436" s="96" t="str">
        <f>IF(D3436="","",COUNTA(D3432:D3436)-(COUNTA(D3436:D3436)-1))</f>
        <v/>
      </c>
    </row>
    <row r="3437" spans="1:10" thickBot="1">
      <c r="A3437" s="117"/>
      <c r="B3437" s="70">
        <f t="shared" si="217"/>
        <v>47229</v>
      </c>
      <c r="C3437" s="82" t="str">
        <f t="shared" si="218"/>
        <v>samedi</v>
      </c>
      <c r="D3437" s="87"/>
      <c r="E3437" s="115" t="str">
        <f t="shared" si="219"/>
        <v/>
      </c>
      <c r="F3437" s="115" t="str">
        <f t="shared" si="220"/>
        <v/>
      </c>
      <c r="G3437" s="116" t="str">
        <f>IF(ISNONTEXT(D3437),"",E3437-MAX($F$2:F3436))</f>
        <v/>
      </c>
      <c r="H3437" s="97"/>
      <c r="I3437" s="74" t="str">
        <f ca="1">IF(D3437="N",COUNTIF(INDIRECT(ADDRESS(MATCH(Plages!$D$19,'Planning annuel mixing coater'!$B:$B),4)):D3437,"N"),IF(D3437="N1",COUNTIF($D$9:D3437,"N1"),""))</f>
        <v/>
      </c>
      <c r="J3437" s="96" t="str">
        <f>IF(D3437="","",COUNTA(D3432:D3437)-(COUNTA(D3437:D3437)-1))</f>
        <v/>
      </c>
    </row>
    <row r="3438" spans="1:10" thickBot="1">
      <c r="A3438" s="117"/>
      <c r="B3438" s="70">
        <f t="shared" si="217"/>
        <v>47230</v>
      </c>
      <c r="C3438" s="82" t="str">
        <f t="shared" si="218"/>
        <v>dimanche</v>
      </c>
      <c r="D3438" s="87"/>
      <c r="E3438" s="115" t="str">
        <f t="shared" si="219"/>
        <v/>
      </c>
      <c r="F3438" s="115" t="str">
        <f t="shared" si="220"/>
        <v/>
      </c>
      <c r="G3438" s="116" t="str">
        <f>IF(ISNONTEXT(D3438),"",E3438-MAX($F$2:F3437))</f>
        <v/>
      </c>
      <c r="H3438" s="98"/>
      <c r="I3438" s="74" t="str">
        <f ca="1">IF(D3438="N",COUNTIF(INDIRECT(ADDRESS(MATCH(Plages!$D$19,'Planning annuel mixing coater'!$B:$B),4)):D3438,"N"),IF(D3438="N1",COUNTIF($D$9:D3438,"N1"),""))</f>
        <v/>
      </c>
      <c r="J3438" s="96" t="str">
        <f>IF(D3438="","",COUNTA(D3432:D3438)-(COUNTA(D3438:D3438)-1))</f>
        <v/>
      </c>
    </row>
    <row r="3439" spans="1:10" thickBot="1">
      <c r="A3439" s="117"/>
      <c r="B3439" s="70">
        <f t="shared" si="217"/>
        <v>47231</v>
      </c>
      <c r="C3439" s="82" t="str">
        <f t="shared" si="218"/>
        <v>lundi</v>
      </c>
      <c r="D3439" s="87"/>
      <c r="E3439" s="115" t="str">
        <f t="shared" si="219"/>
        <v/>
      </c>
      <c r="F3439" s="115" t="str">
        <f t="shared" si="220"/>
        <v/>
      </c>
      <c r="G3439" s="116" t="str">
        <f>IF(ISNONTEXT(D3439),"",E3439-MAX($F$2:F3438))</f>
        <v/>
      </c>
      <c r="H3439" s="97"/>
      <c r="I3439" s="74" t="str">
        <f ca="1">IF(D3439="N",COUNTIF(INDIRECT(ADDRESS(MATCH(Plages!$D$19,'Planning annuel mixing coater'!$B:$B),4)):D3439,"N"),IF(D3439="N1",COUNTIF($D$9:D3439,"N1"),""))</f>
        <v/>
      </c>
      <c r="J3439" s="96" t="str">
        <f>IF(D3439="","",COUNTA(D3432:D3439)-(COUNTA(D3439:D3439)-1))</f>
        <v/>
      </c>
    </row>
    <row r="3440" spans="1:10" thickBot="1">
      <c r="A3440" s="117"/>
      <c r="B3440" s="70">
        <f t="shared" si="217"/>
        <v>47232</v>
      </c>
      <c r="C3440" s="82" t="str">
        <f t="shared" si="218"/>
        <v>mardi</v>
      </c>
      <c r="D3440" s="87"/>
      <c r="E3440" s="115" t="str">
        <f t="shared" si="219"/>
        <v/>
      </c>
      <c r="F3440" s="115" t="str">
        <f t="shared" si="220"/>
        <v/>
      </c>
      <c r="G3440" s="116" t="str">
        <f>IF(ISNONTEXT(D3440),"",E3440-MAX($F$2:F3439))</f>
        <v/>
      </c>
      <c r="H3440" s="97"/>
      <c r="I3440" s="74" t="str">
        <f ca="1">IF(D3440="N",COUNTIF(INDIRECT(ADDRESS(MATCH(Plages!$D$19,'Planning annuel mixing coater'!$B:$B),4)):D3440,"N"),IF(D3440="N1",COUNTIF($D$9:D3440,"N1"),""))</f>
        <v/>
      </c>
      <c r="J3440" s="96" t="str">
        <f>IF(D3440="","",COUNTA(D3432:D3440)-(COUNTA(D3440:D3440)-1))</f>
        <v/>
      </c>
    </row>
    <row r="3441" spans="1:10" thickBot="1">
      <c r="A3441" s="117"/>
      <c r="B3441" s="70">
        <f t="shared" si="217"/>
        <v>47233</v>
      </c>
      <c r="C3441" s="82" t="str">
        <f t="shared" si="218"/>
        <v>mercredi</v>
      </c>
      <c r="D3441" s="87"/>
      <c r="E3441" s="115" t="str">
        <f t="shared" si="219"/>
        <v/>
      </c>
      <c r="F3441" s="115" t="str">
        <f t="shared" si="220"/>
        <v/>
      </c>
      <c r="G3441" s="116" t="str">
        <f>IF(ISNONTEXT(D3441),"",E3441-MAX($F$2:F3440))</f>
        <v/>
      </c>
      <c r="H3441" s="97"/>
      <c r="I3441" s="74" t="str">
        <f ca="1">IF(D3441="N",COUNTIF(INDIRECT(ADDRESS(MATCH(Plages!$D$19,'Planning annuel mixing coater'!$B:$B),4)):D3441,"N"),IF(D3441="N1",COUNTIF($D$9:D3441,"N1"),""))</f>
        <v/>
      </c>
      <c r="J3441" s="96" t="str">
        <f>IF(D3441="","",COUNTA(D3432:D3441)-(COUNTA(D3441:D3441)-1))</f>
        <v/>
      </c>
    </row>
    <row r="3442" spans="1:10" thickBot="1">
      <c r="A3442" s="117"/>
      <c r="B3442" s="70">
        <f t="shared" si="217"/>
        <v>47234</v>
      </c>
      <c r="C3442" s="82" t="str">
        <f t="shared" si="218"/>
        <v>jeudi</v>
      </c>
      <c r="D3442" s="87"/>
      <c r="E3442" s="115" t="str">
        <f t="shared" si="219"/>
        <v/>
      </c>
      <c r="F3442" s="115" t="str">
        <f t="shared" si="220"/>
        <v/>
      </c>
      <c r="G3442" s="116" t="str">
        <f>IF(ISNONTEXT(D3442),"",E3442-MAX($F$2:F3441))</f>
        <v/>
      </c>
      <c r="H3442" s="97"/>
      <c r="I3442" s="74" t="str">
        <f ca="1">IF(D3442="N",COUNTIF(INDIRECT(ADDRESS(MATCH(Plages!$D$19,'Planning annuel mixing coater'!$B:$B),4)):D3442,"N"),IF(D3442="N1",COUNTIF($D$9:D3442,"N1"),""))</f>
        <v/>
      </c>
      <c r="J3442" s="96" t="str">
        <f>IF(D3442="","",COUNTA(D3432:D3442)-(COUNTA(D3442:D3442)-1))</f>
        <v/>
      </c>
    </row>
    <row r="3443" spans="1:10" thickBot="1">
      <c r="A3443" s="117"/>
      <c r="B3443" s="70">
        <f t="shared" si="217"/>
        <v>47235</v>
      </c>
      <c r="C3443" s="82" t="str">
        <f t="shared" si="218"/>
        <v>vendredi</v>
      </c>
      <c r="D3443" s="87"/>
      <c r="E3443" s="115" t="str">
        <f t="shared" si="219"/>
        <v/>
      </c>
      <c r="F3443" s="115" t="str">
        <f t="shared" si="220"/>
        <v/>
      </c>
      <c r="G3443" s="116" t="str">
        <f>IF(ISNONTEXT(D3443),"",E3443-MAX($F$2:F3442))</f>
        <v/>
      </c>
      <c r="H3443" s="97"/>
      <c r="I3443" s="74" t="str">
        <f ca="1">IF(D3443="N",COUNTIF(INDIRECT(ADDRESS(MATCH(Plages!$D$19,'Planning annuel mixing coater'!$B:$B),4)):D3443,"N"),IF(D3443="N1",COUNTIF($D$9:D3443,"N1"),""))</f>
        <v/>
      </c>
      <c r="J3443" s="96" t="str">
        <f>IF(D3443="","",COUNTA(D3432:D3443)-(COUNTA(D3443:D3443)-1))</f>
        <v/>
      </c>
    </row>
    <row r="3444" spans="1:10" thickBot="1">
      <c r="A3444" s="117"/>
      <c r="B3444" s="70">
        <f t="shared" si="217"/>
        <v>47236</v>
      </c>
      <c r="C3444" s="82" t="str">
        <f t="shared" si="218"/>
        <v>samedi</v>
      </c>
      <c r="D3444" s="87"/>
      <c r="E3444" s="115" t="str">
        <f t="shared" si="219"/>
        <v/>
      </c>
      <c r="F3444" s="115" t="str">
        <f t="shared" si="220"/>
        <v/>
      </c>
      <c r="G3444" s="116" t="str">
        <f>IF(ISNONTEXT(D3444),"",E3444-MAX($F$2:F3443))</f>
        <v/>
      </c>
      <c r="H3444" s="97"/>
      <c r="I3444" s="74" t="str">
        <f ca="1">IF(D3444="N",COUNTIF(INDIRECT(ADDRESS(MATCH(Plages!$D$19,'Planning annuel mixing coater'!$B:$B),4)):D3444,"N"),IF(D3444="N1",COUNTIF($D$9:D3444,"N1"),""))</f>
        <v/>
      </c>
      <c r="J3444" s="96" t="str">
        <f>IF(D3444="","",COUNTA(D3432:D3444)-(COUNTA(D3444:D3444)-1))</f>
        <v/>
      </c>
    </row>
    <row r="3445" spans="1:10" s="77" customFormat="1" thickBot="1">
      <c r="A3445" s="117"/>
      <c r="B3445" s="75">
        <f t="shared" si="217"/>
        <v>47237</v>
      </c>
      <c r="C3445" s="83" t="str">
        <f t="shared" si="218"/>
        <v>dimanche</v>
      </c>
      <c r="D3445" s="88"/>
      <c r="E3445" s="115" t="str">
        <f t="shared" si="219"/>
        <v/>
      </c>
      <c r="F3445" s="115" t="str">
        <f t="shared" si="220"/>
        <v/>
      </c>
      <c r="G3445" s="116" t="str">
        <f>IF(ISNONTEXT(D3445),"",E3445-MAX($F$2:F3444))</f>
        <v/>
      </c>
      <c r="H3445" s="98"/>
      <c r="I3445" s="76" t="str">
        <f ca="1">IF(D3445="N",COUNTIF(INDIRECT(ADDRESS(MATCH(Plages!$D$19,'Planning annuel mixing coater'!$B:$B),4)):D3445,"N"),IF(D3445="N1",COUNTIF($D$9:D3445,"N1"),""))</f>
        <v/>
      </c>
      <c r="J3445" s="99" t="str">
        <f>IF(D3445="","",COUNTA(D3432:D3445)-(COUNTA(D3445:D3445)-1))</f>
        <v/>
      </c>
    </row>
    <row r="3446" spans="1:10" ht="16.5" thickTop="1" thickBot="1">
      <c r="A3446" s="117"/>
      <c r="B3446" s="78">
        <f t="shared" si="217"/>
        <v>47238</v>
      </c>
      <c r="C3446" s="81" t="str">
        <f t="shared" si="218"/>
        <v>lundi</v>
      </c>
      <c r="D3446" s="89"/>
      <c r="E3446" s="115" t="str">
        <f t="shared" si="219"/>
        <v/>
      </c>
      <c r="F3446" s="115" t="str">
        <f t="shared" si="220"/>
        <v/>
      </c>
      <c r="G3446" s="116" t="str">
        <f>IF(ISNONTEXT(D3446),"",E3446-MAX($F$2:F3445))</f>
        <v/>
      </c>
      <c r="H3446" s="100"/>
      <c r="I3446" s="79" t="str">
        <f ca="1">IF(D3446="N",COUNTIF(INDIRECT(ADDRESS(MATCH(Plages!$D$19,'Planning annuel mixing coater'!$B:$B),4)):D3446,"N"),IF(D3446="N1",COUNTIF($D$9:D3446,"N1"),""))</f>
        <v/>
      </c>
      <c r="J3446" s="101" t="str">
        <f>IF(D3446="","",COUNTA(D3446:D3446)-(COUNTA(D3446:D3446)-1))</f>
        <v/>
      </c>
    </row>
    <row r="3447" spans="1:10" thickBot="1">
      <c r="A3447" s="117"/>
      <c r="B3447" s="70">
        <f t="shared" si="217"/>
        <v>47239</v>
      </c>
      <c r="C3447" s="82" t="str">
        <f t="shared" si="218"/>
        <v>mardi</v>
      </c>
      <c r="D3447" s="87"/>
      <c r="E3447" s="115" t="str">
        <f t="shared" si="219"/>
        <v/>
      </c>
      <c r="F3447" s="115" t="str">
        <f t="shared" si="220"/>
        <v/>
      </c>
      <c r="G3447" s="116" t="str">
        <f>IF(ISNONTEXT(D3447),"",E3447-MAX($F$2:F3446))</f>
        <v/>
      </c>
      <c r="H3447" s="97"/>
      <c r="I3447" s="74" t="str">
        <f ca="1">IF(D3447="N",COUNTIF(INDIRECT(ADDRESS(MATCH(Plages!$D$19,'Planning annuel mixing coater'!$B:$B),4)):D3447,"N"),IF(D3447="N1",COUNTIF($D$9:D3447,"N1"),""))</f>
        <v/>
      </c>
      <c r="J3447" s="96" t="str">
        <f>IF(D3447="","",COUNTA(D3446:D3447)-(COUNTA(D3447:D3447)-1))</f>
        <v/>
      </c>
    </row>
    <row r="3448" spans="1:10" thickBot="1">
      <c r="A3448" s="117"/>
      <c r="B3448" s="70">
        <f t="shared" si="217"/>
        <v>47240</v>
      </c>
      <c r="C3448" s="82" t="str">
        <f t="shared" si="218"/>
        <v>mercredi</v>
      </c>
      <c r="D3448" s="87"/>
      <c r="E3448" s="115" t="str">
        <f t="shared" si="219"/>
        <v/>
      </c>
      <c r="F3448" s="115" t="str">
        <f t="shared" si="220"/>
        <v/>
      </c>
      <c r="G3448" s="116" t="str">
        <f>IF(ISNONTEXT(D3448),"",E3448-MAX($F$2:F3447))</f>
        <v/>
      </c>
      <c r="H3448" s="97"/>
      <c r="I3448" s="74" t="str">
        <f ca="1">IF(D3448="N",COUNTIF(INDIRECT(ADDRESS(MATCH(Plages!$D$19,'Planning annuel mixing coater'!$B:$B),4)):D3448,"N"),IF(D3448="N1",COUNTIF($D$9:D3448,"N1"),""))</f>
        <v/>
      </c>
      <c r="J3448" s="96" t="str">
        <f>IF(D3448="","",COUNTA(D3446:D3448)-(COUNTA(D3448:D3448)-1))</f>
        <v/>
      </c>
    </row>
    <row r="3449" spans="1:10" thickBot="1">
      <c r="A3449" s="117"/>
      <c r="B3449" s="70">
        <f t="shared" si="217"/>
        <v>47241</v>
      </c>
      <c r="C3449" s="82" t="str">
        <f t="shared" si="218"/>
        <v>jeudi</v>
      </c>
      <c r="D3449" s="87"/>
      <c r="E3449" s="115" t="str">
        <f t="shared" si="219"/>
        <v/>
      </c>
      <c r="F3449" s="115" t="str">
        <f t="shared" si="220"/>
        <v/>
      </c>
      <c r="G3449" s="116" t="str">
        <f>IF(ISNONTEXT(D3449),"",E3449-MAX($F$2:F3448))</f>
        <v/>
      </c>
      <c r="H3449" s="97"/>
      <c r="I3449" s="74" t="str">
        <f ca="1">IF(D3449="N",COUNTIF(INDIRECT(ADDRESS(MATCH(Plages!$D$19,'Planning annuel mixing coater'!$B:$B),4)):D3449,"N"),IF(D3449="N1",COUNTIF($D$9:D3449,"N1"),""))</f>
        <v/>
      </c>
      <c r="J3449" s="96" t="str">
        <f>IF(D3449="","",COUNTA(D3446:D3449)-(COUNTA(D3449:D3449)-1))</f>
        <v/>
      </c>
    </row>
    <row r="3450" spans="1:10" thickBot="1">
      <c r="A3450" s="117"/>
      <c r="B3450" s="70">
        <f t="shared" si="217"/>
        <v>47242</v>
      </c>
      <c r="C3450" s="82" t="str">
        <f t="shared" si="218"/>
        <v>vendredi</v>
      </c>
      <c r="D3450" s="87"/>
      <c r="E3450" s="115" t="str">
        <f t="shared" si="219"/>
        <v/>
      </c>
      <c r="F3450" s="115" t="str">
        <f t="shared" si="220"/>
        <v/>
      </c>
      <c r="G3450" s="116" t="str">
        <f>IF(ISNONTEXT(D3450),"",E3450-MAX($F$2:F3449))</f>
        <v/>
      </c>
      <c r="H3450" s="97"/>
      <c r="I3450" s="74" t="str">
        <f ca="1">IF(D3450="N",COUNTIF(INDIRECT(ADDRESS(MATCH(Plages!$D$19,'Planning annuel mixing coater'!$B:$B),4)):D3450,"N"),IF(D3450="N1",COUNTIF($D$9:D3450,"N1"),""))</f>
        <v/>
      </c>
      <c r="J3450" s="96" t="str">
        <f>IF(D3450="","",COUNTA(D3446:D3450)-(COUNTA(D3450:D3450)-1))</f>
        <v/>
      </c>
    </row>
    <row r="3451" spans="1:10" thickBot="1">
      <c r="A3451" s="117"/>
      <c r="B3451" s="70">
        <f t="shared" si="217"/>
        <v>47243</v>
      </c>
      <c r="C3451" s="82" t="str">
        <f t="shared" si="218"/>
        <v>samedi</v>
      </c>
      <c r="D3451" s="87"/>
      <c r="E3451" s="115" t="str">
        <f t="shared" si="219"/>
        <v/>
      </c>
      <c r="F3451" s="115" t="str">
        <f t="shared" si="220"/>
        <v/>
      </c>
      <c r="G3451" s="116" t="str">
        <f>IF(ISNONTEXT(D3451),"",E3451-MAX($F$2:F3450))</f>
        <v/>
      </c>
      <c r="H3451" s="97"/>
      <c r="I3451" s="74" t="str">
        <f ca="1">IF(D3451="N",COUNTIF(INDIRECT(ADDRESS(MATCH(Plages!$D$19,'Planning annuel mixing coater'!$B:$B),4)):D3451,"N"),IF(D3451="N1",COUNTIF($D$9:D3451,"N1"),""))</f>
        <v/>
      </c>
      <c r="J3451" s="96" t="str">
        <f>IF(D3451="","",COUNTA(D3446:D3451)-(COUNTA(D3451:D3451)-1))</f>
        <v/>
      </c>
    </row>
    <row r="3452" spans="1:10" thickBot="1">
      <c r="A3452" s="117"/>
      <c r="B3452" s="70">
        <f t="shared" si="217"/>
        <v>47244</v>
      </c>
      <c r="C3452" s="82" t="str">
        <f t="shared" si="218"/>
        <v>dimanche</v>
      </c>
      <c r="D3452" s="87"/>
      <c r="E3452" s="115" t="str">
        <f t="shared" si="219"/>
        <v/>
      </c>
      <c r="F3452" s="115" t="str">
        <f t="shared" si="220"/>
        <v/>
      </c>
      <c r="G3452" s="116" t="str">
        <f>IF(ISNONTEXT(D3452),"",E3452-MAX($F$2:F3451))</f>
        <v/>
      </c>
      <c r="H3452" s="98"/>
      <c r="I3452" s="74" t="str">
        <f ca="1">IF(D3452="N",COUNTIF(INDIRECT(ADDRESS(MATCH(Plages!$D$19,'Planning annuel mixing coater'!$B:$B),4)):D3452,"N"),IF(D3452="N1",COUNTIF($D$9:D3452,"N1"),""))</f>
        <v/>
      </c>
      <c r="J3452" s="96" t="str">
        <f>IF(D3452="","",COUNTA(D3446:D3452)-(COUNTA(D3452:D3452)-1))</f>
        <v/>
      </c>
    </row>
    <row r="3453" spans="1:10" thickBot="1">
      <c r="A3453" s="117"/>
      <c r="B3453" s="70">
        <f t="shared" si="217"/>
        <v>47245</v>
      </c>
      <c r="C3453" s="82" t="str">
        <f t="shared" si="218"/>
        <v>lundi</v>
      </c>
      <c r="D3453" s="87"/>
      <c r="E3453" s="115" t="str">
        <f t="shared" si="219"/>
        <v/>
      </c>
      <c r="F3453" s="115" t="str">
        <f t="shared" si="220"/>
        <v/>
      </c>
      <c r="G3453" s="116" t="str">
        <f>IF(ISNONTEXT(D3453),"",E3453-MAX($F$2:F3452))</f>
        <v/>
      </c>
      <c r="H3453" s="97"/>
      <c r="I3453" s="74" t="str">
        <f ca="1">IF(D3453="N",COUNTIF(INDIRECT(ADDRESS(MATCH(Plages!$D$19,'Planning annuel mixing coater'!$B:$B),4)):D3453,"N"),IF(D3453="N1",COUNTIF($D$9:D3453,"N1"),""))</f>
        <v/>
      </c>
      <c r="J3453" s="96" t="str">
        <f>IF(D3453="","",COUNTA(D3446:D3453)-(COUNTA(D3453:D3453)-1))</f>
        <v/>
      </c>
    </row>
    <row r="3454" spans="1:10" thickBot="1">
      <c r="A3454" s="117"/>
      <c r="B3454" s="70">
        <f t="shared" si="217"/>
        <v>47246</v>
      </c>
      <c r="C3454" s="82" t="str">
        <f t="shared" si="218"/>
        <v>mardi</v>
      </c>
      <c r="D3454" s="87"/>
      <c r="E3454" s="115" t="str">
        <f t="shared" si="219"/>
        <v/>
      </c>
      <c r="F3454" s="115" t="str">
        <f t="shared" si="220"/>
        <v/>
      </c>
      <c r="G3454" s="116" t="str">
        <f>IF(ISNONTEXT(D3454),"",E3454-MAX($F$2:F3453))</f>
        <v/>
      </c>
      <c r="H3454" s="97"/>
      <c r="I3454" s="74" t="str">
        <f ca="1">IF(D3454="N",COUNTIF(INDIRECT(ADDRESS(MATCH(Plages!$D$19,'Planning annuel mixing coater'!$B:$B),4)):D3454,"N"),IF(D3454="N1",COUNTIF($D$9:D3454,"N1"),""))</f>
        <v/>
      </c>
      <c r="J3454" s="96" t="str">
        <f>IF(D3454="","",COUNTA(D3446:D3454)-(COUNTA(D3454:D3454)-1))</f>
        <v/>
      </c>
    </row>
    <row r="3455" spans="1:10" thickBot="1">
      <c r="A3455" s="117"/>
      <c r="B3455" s="70">
        <f t="shared" si="217"/>
        <v>47247</v>
      </c>
      <c r="C3455" s="82" t="str">
        <f t="shared" si="218"/>
        <v>mercredi</v>
      </c>
      <c r="D3455" s="87"/>
      <c r="E3455" s="115" t="str">
        <f t="shared" si="219"/>
        <v/>
      </c>
      <c r="F3455" s="115" t="str">
        <f t="shared" si="220"/>
        <v/>
      </c>
      <c r="G3455" s="116" t="str">
        <f>IF(ISNONTEXT(D3455),"",E3455-MAX($F$2:F3454))</f>
        <v/>
      </c>
      <c r="H3455" s="97"/>
      <c r="I3455" s="74" t="str">
        <f ca="1">IF(D3455="N",COUNTIF(INDIRECT(ADDRESS(MATCH(Plages!$D$19,'Planning annuel mixing coater'!$B:$B),4)):D3455,"N"),IF(D3455="N1",COUNTIF($D$9:D3455,"N1"),""))</f>
        <v/>
      </c>
      <c r="J3455" s="96" t="str">
        <f>IF(D3455="","",COUNTA(D3446:D3455)-(COUNTA(D3455:D3455)-1))</f>
        <v/>
      </c>
    </row>
    <row r="3456" spans="1:10" thickBot="1">
      <c r="A3456" s="117"/>
      <c r="B3456" s="70">
        <f t="shared" si="217"/>
        <v>47248</v>
      </c>
      <c r="C3456" s="82" t="str">
        <f t="shared" si="218"/>
        <v>jeudi</v>
      </c>
      <c r="D3456" s="87"/>
      <c r="E3456" s="115" t="str">
        <f t="shared" si="219"/>
        <v/>
      </c>
      <c r="F3456" s="115" t="str">
        <f t="shared" si="220"/>
        <v/>
      </c>
      <c r="G3456" s="116" t="str">
        <f>IF(ISNONTEXT(D3456),"",E3456-MAX($F$2:F3455))</f>
        <v/>
      </c>
      <c r="H3456" s="97"/>
      <c r="I3456" s="74" t="str">
        <f ca="1">IF(D3456="N",COUNTIF(INDIRECT(ADDRESS(MATCH(Plages!$D$19,'Planning annuel mixing coater'!$B:$B),4)):D3456,"N"),IF(D3456="N1",COUNTIF($D$9:D3456,"N1"),""))</f>
        <v/>
      </c>
      <c r="J3456" s="96" t="str">
        <f>IF(D3456="","",COUNTA(D3446:D3456)-(COUNTA(D3456:D3456)-1))</f>
        <v/>
      </c>
    </row>
    <row r="3457" spans="1:10" thickBot="1">
      <c r="A3457" s="117"/>
      <c r="B3457" s="70">
        <f t="shared" si="217"/>
        <v>47249</v>
      </c>
      <c r="C3457" s="82" t="str">
        <f t="shared" si="218"/>
        <v>vendredi</v>
      </c>
      <c r="D3457" s="87"/>
      <c r="E3457" s="115" t="str">
        <f t="shared" si="219"/>
        <v/>
      </c>
      <c r="F3457" s="115" t="str">
        <f t="shared" si="220"/>
        <v/>
      </c>
      <c r="G3457" s="116" t="str">
        <f>IF(ISNONTEXT(D3457),"",E3457-MAX($F$2:F3456))</f>
        <v/>
      </c>
      <c r="H3457" s="97"/>
      <c r="I3457" s="74" t="str">
        <f ca="1">IF(D3457="N",COUNTIF(INDIRECT(ADDRESS(MATCH(Plages!$D$19,'Planning annuel mixing coater'!$B:$B),4)):D3457,"N"),IF(D3457="N1",COUNTIF($D$9:D3457,"N1"),""))</f>
        <v/>
      </c>
      <c r="J3457" s="96" t="str">
        <f>IF(D3457="","",COUNTA(D3446:D3457)-(COUNTA(D3457:D3457)-1))</f>
        <v/>
      </c>
    </row>
    <row r="3458" spans="1:10" thickBot="1">
      <c r="A3458" s="117"/>
      <c r="B3458" s="70">
        <f t="shared" si="217"/>
        <v>47250</v>
      </c>
      <c r="C3458" s="82" t="str">
        <f t="shared" si="218"/>
        <v>samedi</v>
      </c>
      <c r="D3458" s="87"/>
      <c r="E3458" s="115" t="str">
        <f t="shared" si="219"/>
        <v/>
      </c>
      <c r="F3458" s="115" t="str">
        <f t="shared" si="220"/>
        <v/>
      </c>
      <c r="G3458" s="116" t="str">
        <f>IF(ISNONTEXT(D3458),"",E3458-MAX($F$2:F3457))</f>
        <v/>
      </c>
      <c r="H3458" s="97"/>
      <c r="I3458" s="74" t="str">
        <f ca="1">IF(D3458="N",COUNTIF(INDIRECT(ADDRESS(MATCH(Plages!$D$19,'Planning annuel mixing coater'!$B:$B),4)):D3458,"N"),IF(D3458="N1",COUNTIF($D$9:D3458,"N1"),""))</f>
        <v/>
      </c>
      <c r="J3458" s="96" t="str">
        <f>IF(D3458="","",COUNTA(D3446:D3458)-(COUNTA(D3458:D3458)-1))</f>
        <v/>
      </c>
    </row>
    <row r="3459" spans="1:10" s="77" customFormat="1" thickBot="1">
      <c r="A3459" s="117"/>
      <c r="B3459" s="75">
        <f t="shared" si="217"/>
        <v>47251</v>
      </c>
      <c r="C3459" s="83" t="str">
        <f t="shared" si="218"/>
        <v>dimanche</v>
      </c>
      <c r="D3459" s="88"/>
      <c r="E3459" s="115" t="str">
        <f t="shared" si="219"/>
        <v/>
      </c>
      <c r="F3459" s="115" t="str">
        <f t="shared" si="220"/>
        <v/>
      </c>
      <c r="G3459" s="116" t="str">
        <f>IF(ISNONTEXT(D3459),"",E3459-MAX($F$2:F3458))</f>
        <v/>
      </c>
      <c r="H3459" s="98"/>
      <c r="I3459" s="76" t="str">
        <f ca="1">IF(D3459="N",COUNTIF(INDIRECT(ADDRESS(MATCH(Plages!$D$19,'Planning annuel mixing coater'!$B:$B),4)):D3459,"N"),IF(D3459="N1",COUNTIF($D$9:D3459,"N1"),""))</f>
        <v/>
      </c>
      <c r="J3459" s="99" t="str">
        <f>IF(D3459="","",COUNTA(D3446:D3459)-(COUNTA(D3459:D3459)-1))</f>
        <v/>
      </c>
    </row>
    <row r="3460" spans="1:10" ht="16.5" thickTop="1" thickBot="1">
      <c r="A3460" s="117"/>
      <c r="B3460" s="78">
        <f t="shared" ref="B3460:B3523" si="221">IF(B3459="","",B3459+1)</f>
        <v>47252</v>
      </c>
      <c r="C3460" s="81" t="str">
        <f t="shared" si="218"/>
        <v>lundi</v>
      </c>
      <c r="D3460" s="89"/>
      <c r="E3460" s="115" t="str">
        <f t="shared" si="219"/>
        <v/>
      </c>
      <c r="F3460" s="115" t="str">
        <f t="shared" si="220"/>
        <v/>
      </c>
      <c r="G3460" s="116" t="str">
        <f>IF(ISNONTEXT(D3460),"",E3460-MAX($F$2:F3459))</f>
        <v/>
      </c>
      <c r="H3460" s="100"/>
      <c r="I3460" s="79" t="str">
        <f ca="1">IF(D3460="N",COUNTIF(INDIRECT(ADDRESS(MATCH(Plages!$D$19,'Planning annuel mixing coater'!$B:$B),4)):D3460,"N"),IF(D3460="N1",COUNTIF($D$9:D3460,"N1"),""))</f>
        <v/>
      </c>
      <c r="J3460" s="101" t="str">
        <f>IF(D3460="","",COUNTA(D3460:D3460)-(COUNTA(D3460:D3460)-1))</f>
        <v/>
      </c>
    </row>
    <row r="3461" spans="1:10" thickBot="1">
      <c r="A3461" s="117"/>
      <c r="B3461" s="70">
        <f t="shared" si="221"/>
        <v>47253</v>
      </c>
      <c r="C3461" s="82" t="str">
        <f t="shared" si="218"/>
        <v>mardi</v>
      </c>
      <c r="D3461" s="87"/>
      <c r="E3461" s="115" t="str">
        <f t="shared" si="219"/>
        <v/>
      </c>
      <c r="F3461" s="115" t="str">
        <f t="shared" si="220"/>
        <v/>
      </c>
      <c r="G3461" s="116" t="str">
        <f>IF(ISNONTEXT(D3461),"",E3461-MAX($F$2:F3460))</f>
        <v/>
      </c>
      <c r="H3461" s="97"/>
      <c r="I3461" s="74" t="str">
        <f ca="1">IF(D3461="N",COUNTIF(INDIRECT(ADDRESS(MATCH(Plages!$D$19,'Planning annuel mixing coater'!$B:$B),4)):D3461,"N"),IF(D3461="N1",COUNTIF($D$9:D3461,"N1"),""))</f>
        <v/>
      </c>
      <c r="J3461" s="96" t="str">
        <f>IF(D3461="","",COUNTA(D3460:D3461)-(COUNTA(D3461:D3461)-1))</f>
        <v/>
      </c>
    </row>
    <row r="3462" spans="1:10" thickBot="1">
      <c r="A3462" s="117"/>
      <c r="B3462" s="70">
        <f t="shared" si="221"/>
        <v>47254</v>
      </c>
      <c r="C3462" s="82" t="str">
        <f t="shared" si="218"/>
        <v>mercredi</v>
      </c>
      <c r="D3462" s="87"/>
      <c r="E3462" s="115" t="str">
        <f t="shared" si="219"/>
        <v/>
      </c>
      <c r="F3462" s="115" t="str">
        <f t="shared" si="220"/>
        <v/>
      </c>
      <c r="G3462" s="116" t="str">
        <f>IF(ISNONTEXT(D3462),"",E3462-MAX($F$2:F3461))</f>
        <v/>
      </c>
      <c r="H3462" s="97"/>
      <c r="I3462" s="74" t="str">
        <f ca="1">IF(D3462="N",COUNTIF(INDIRECT(ADDRESS(MATCH(Plages!$D$19,'Planning annuel mixing coater'!$B:$B),4)):D3462,"N"),IF(D3462="N1",COUNTIF($D$9:D3462,"N1"),""))</f>
        <v/>
      </c>
      <c r="J3462" s="96" t="str">
        <f>IF(D3462="","",COUNTA(D3460:D3462)-(COUNTA(D3462:D3462)-1))</f>
        <v/>
      </c>
    </row>
    <row r="3463" spans="1:10" thickBot="1">
      <c r="A3463" s="117"/>
      <c r="B3463" s="70">
        <f t="shared" si="221"/>
        <v>47255</v>
      </c>
      <c r="C3463" s="82" t="str">
        <f t="shared" si="218"/>
        <v>jeudi</v>
      </c>
      <c r="D3463" s="87"/>
      <c r="E3463" s="115" t="str">
        <f t="shared" si="219"/>
        <v/>
      </c>
      <c r="F3463" s="115" t="str">
        <f t="shared" si="220"/>
        <v/>
      </c>
      <c r="G3463" s="116" t="str">
        <f>IF(ISNONTEXT(D3463),"",E3463-MAX($F$2:F3462))</f>
        <v/>
      </c>
      <c r="H3463" s="97"/>
      <c r="I3463" s="74" t="str">
        <f ca="1">IF(D3463="N",COUNTIF(INDIRECT(ADDRESS(MATCH(Plages!$D$19,'Planning annuel mixing coater'!$B:$B),4)):D3463,"N"),IF(D3463="N1",COUNTIF($D$9:D3463,"N1"),""))</f>
        <v/>
      </c>
      <c r="J3463" s="96" t="str">
        <f>IF(D3463="","",COUNTA(D3460:D3463)-(COUNTA(D3463:D3463)-1))</f>
        <v/>
      </c>
    </row>
    <row r="3464" spans="1:10" thickBot="1">
      <c r="A3464" s="117"/>
      <c r="B3464" s="70">
        <f t="shared" si="221"/>
        <v>47256</v>
      </c>
      <c r="C3464" s="82" t="str">
        <f t="shared" si="218"/>
        <v>vendredi</v>
      </c>
      <c r="D3464" s="87"/>
      <c r="E3464" s="115" t="str">
        <f t="shared" si="219"/>
        <v/>
      </c>
      <c r="F3464" s="115" t="str">
        <f t="shared" si="220"/>
        <v/>
      </c>
      <c r="G3464" s="116" t="str">
        <f>IF(ISNONTEXT(D3464),"",E3464-MAX($F$2:F3463))</f>
        <v/>
      </c>
      <c r="H3464" s="97"/>
      <c r="I3464" s="74" t="str">
        <f ca="1">IF(D3464="N",COUNTIF(INDIRECT(ADDRESS(MATCH(Plages!$D$19,'Planning annuel mixing coater'!$B:$B),4)):D3464,"N"),IF(D3464="N1",COUNTIF($D$9:D3464,"N1"),""))</f>
        <v/>
      </c>
      <c r="J3464" s="96" t="str">
        <f>IF(D3464="","",COUNTA(D3460:D3464)-(COUNTA(D3464:D3464)-1))</f>
        <v/>
      </c>
    </row>
    <row r="3465" spans="1:10" thickBot="1">
      <c r="A3465" s="117"/>
      <c r="B3465" s="70">
        <f t="shared" si="221"/>
        <v>47257</v>
      </c>
      <c r="C3465" s="82" t="str">
        <f t="shared" si="218"/>
        <v>samedi</v>
      </c>
      <c r="D3465" s="87"/>
      <c r="E3465" s="115" t="str">
        <f t="shared" si="219"/>
        <v/>
      </c>
      <c r="F3465" s="115" t="str">
        <f t="shared" si="220"/>
        <v/>
      </c>
      <c r="G3465" s="116" t="str">
        <f>IF(ISNONTEXT(D3465),"",E3465-MAX($F$2:F3464))</f>
        <v/>
      </c>
      <c r="H3465" s="97"/>
      <c r="I3465" s="74" t="str">
        <f ca="1">IF(D3465="N",COUNTIF(INDIRECT(ADDRESS(MATCH(Plages!$D$19,'Planning annuel mixing coater'!$B:$B),4)):D3465,"N"),IF(D3465="N1",COUNTIF($D$9:D3465,"N1"),""))</f>
        <v/>
      </c>
      <c r="J3465" s="96" t="str">
        <f>IF(D3465="","",COUNTA(D3460:D3465)-(COUNTA(D3465:D3465)-1))</f>
        <v/>
      </c>
    </row>
    <row r="3466" spans="1:10" thickBot="1">
      <c r="A3466" s="117"/>
      <c r="B3466" s="70">
        <f t="shared" si="221"/>
        <v>47258</v>
      </c>
      <c r="C3466" s="82" t="str">
        <f t="shared" si="218"/>
        <v>dimanche</v>
      </c>
      <c r="D3466" s="87"/>
      <c r="E3466" s="115" t="str">
        <f t="shared" si="219"/>
        <v/>
      </c>
      <c r="F3466" s="115" t="str">
        <f t="shared" si="220"/>
        <v/>
      </c>
      <c r="G3466" s="116" t="str">
        <f>IF(ISNONTEXT(D3466),"",E3466-MAX($F$2:F3465))</f>
        <v/>
      </c>
      <c r="H3466" s="98"/>
      <c r="I3466" s="74" t="str">
        <f ca="1">IF(D3466="N",COUNTIF(INDIRECT(ADDRESS(MATCH(Plages!$D$19,'Planning annuel mixing coater'!$B:$B),4)):D3466,"N"),IF(D3466="N1",COUNTIF($D$9:D3466,"N1"),""))</f>
        <v/>
      </c>
      <c r="J3466" s="96" t="str">
        <f>IF(D3466="","",COUNTA(D3460:D3466)-(COUNTA(D3466:D3466)-1))</f>
        <v/>
      </c>
    </row>
    <row r="3467" spans="1:10" thickBot="1">
      <c r="A3467" s="117"/>
      <c r="B3467" s="70">
        <f t="shared" si="221"/>
        <v>47259</v>
      </c>
      <c r="C3467" s="82" t="str">
        <f t="shared" si="218"/>
        <v>lundi</v>
      </c>
      <c r="D3467" s="87"/>
      <c r="E3467" s="115" t="str">
        <f t="shared" si="219"/>
        <v/>
      </c>
      <c r="F3467" s="115" t="str">
        <f t="shared" si="220"/>
        <v/>
      </c>
      <c r="G3467" s="116" t="str">
        <f>IF(ISNONTEXT(D3467),"",E3467-MAX($F$2:F3466))</f>
        <v/>
      </c>
      <c r="H3467" s="97"/>
      <c r="I3467" s="74" t="str">
        <f ca="1">IF(D3467="N",COUNTIF(INDIRECT(ADDRESS(MATCH(Plages!$D$19,'Planning annuel mixing coater'!$B:$B),4)):D3467,"N"),IF(D3467="N1",COUNTIF($D$9:D3467,"N1"),""))</f>
        <v/>
      </c>
      <c r="J3467" s="96" t="str">
        <f>IF(D3467="","",COUNTA(D3460:D3467)-(COUNTA(D3467:D3467)-1))</f>
        <v/>
      </c>
    </row>
    <row r="3468" spans="1:10" thickBot="1">
      <c r="A3468" s="117"/>
      <c r="B3468" s="70">
        <f t="shared" si="221"/>
        <v>47260</v>
      </c>
      <c r="C3468" s="82" t="str">
        <f t="shared" si="218"/>
        <v>mardi</v>
      </c>
      <c r="D3468" s="87"/>
      <c r="E3468" s="115" t="str">
        <f t="shared" si="219"/>
        <v/>
      </c>
      <c r="F3468" s="115" t="str">
        <f t="shared" si="220"/>
        <v/>
      </c>
      <c r="G3468" s="116" t="str">
        <f>IF(ISNONTEXT(D3468),"",E3468-MAX($F$2:F3467))</f>
        <v/>
      </c>
      <c r="H3468" s="97"/>
      <c r="I3468" s="74" t="str">
        <f ca="1">IF(D3468="N",COUNTIF(INDIRECT(ADDRESS(MATCH(Plages!$D$19,'Planning annuel mixing coater'!$B:$B),4)):D3468,"N"),IF(D3468="N1",COUNTIF($D$9:D3468,"N1"),""))</f>
        <v/>
      </c>
      <c r="J3468" s="96" t="str">
        <f>IF(D3468="","",COUNTA(D3460:D3468)-(COUNTA(D3468:D3468)-1))</f>
        <v/>
      </c>
    </row>
    <row r="3469" spans="1:10" thickBot="1">
      <c r="A3469" s="117"/>
      <c r="B3469" s="70">
        <f t="shared" si="221"/>
        <v>47261</v>
      </c>
      <c r="C3469" s="82" t="str">
        <f t="shared" si="218"/>
        <v>mercredi</v>
      </c>
      <c r="D3469" s="87"/>
      <c r="E3469" s="115" t="str">
        <f t="shared" si="219"/>
        <v/>
      </c>
      <c r="F3469" s="115" t="str">
        <f t="shared" si="220"/>
        <v/>
      </c>
      <c r="G3469" s="116" t="str">
        <f>IF(ISNONTEXT(D3469),"",E3469-MAX($F$2:F3468))</f>
        <v/>
      </c>
      <c r="H3469" s="97"/>
      <c r="I3469" s="74" t="str">
        <f ca="1">IF(D3469="N",COUNTIF(INDIRECT(ADDRESS(MATCH(Plages!$D$19,'Planning annuel mixing coater'!$B:$B),4)):D3469,"N"),IF(D3469="N1",COUNTIF($D$9:D3469,"N1"),""))</f>
        <v/>
      </c>
      <c r="J3469" s="96" t="str">
        <f>IF(D3469="","",COUNTA(D3460:D3469)-(COUNTA(D3469:D3469)-1))</f>
        <v/>
      </c>
    </row>
    <row r="3470" spans="1:10" thickBot="1">
      <c r="A3470" s="117"/>
      <c r="B3470" s="70">
        <f t="shared" si="221"/>
        <v>47262</v>
      </c>
      <c r="C3470" s="82" t="str">
        <f t="shared" si="218"/>
        <v>jeudi</v>
      </c>
      <c r="D3470" s="87"/>
      <c r="E3470" s="115" t="str">
        <f t="shared" si="219"/>
        <v/>
      </c>
      <c r="F3470" s="115" t="str">
        <f t="shared" si="220"/>
        <v/>
      </c>
      <c r="G3470" s="116" t="str">
        <f>IF(ISNONTEXT(D3470),"",E3470-MAX($F$2:F3469))</f>
        <v/>
      </c>
      <c r="H3470" s="97"/>
      <c r="I3470" s="74" t="str">
        <f ca="1">IF(D3470="N",COUNTIF(INDIRECT(ADDRESS(MATCH(Plages!$D$19,'Planning annuel mixing coater'!$B:$B),4)):D3470,"N"),IF(D3470="N1",COUNTIF($D$9:D3470,"N1"),""))</f>
        <v/>
      </c>
      <c r="J3470" s="96" t="str">
        <f>IF(D3470="","",COUNTA(D3460:D3470)-(COUNTA(D3470:D3470)-1))</f>
        <v/>
      </c>
    </row>
    <row r="3471" spans="1:10" thickBot="1">
      <c r="A3471" s="117"/>
      <c r="B3471" s="70">
        <f t="shared" si="221"/>
        <v>47263</v>
      </c>
      <c r="C3471" s="82" t="str">
        <f t="shared" si="218"/>
        <v>vendredi</v>
      </c>
      <c r="D3471" s="87"/>
      <c r="E3471" s="115" t="str">
        <f t="shared" si="219"/>
        <v/>
      </c>
      <c r="F3471" s="115" t="str">
        <f t="shared" si="220"/>
        <v/>
      </c>
      <c r="G3471" s="116" t="str">
        <f>IF(ISNONTEXT(D3471),"",E3471-MAX($F$2:F3470))</f>
        <v/>
      </c>
      <c r="H3471" s="97"/>
      <c r="I3471" s="74" t="str">
        <f ca="1">IF(D3471="N",COUNTIF(INDIRECT(ADDRESS(MATCH(Plages!$D$19,'Planning annuel mixing coater'!$B:$B),4)):D3471,"N"),IF(D3471="N1",COUNTIF($D$9:D3471,"N1"),""))</f>
        <v/>
      </c>
      <c r="J3471" s="96" t="str">
        <f>IF(D3471="","",COUNTA(D3460:D3471)-(COUNTA(D3471:D3471)-1))</f>
        <v/>
      </c>
    </row>
    <row r="3472" spans="1:10" thickBot="1">
      <c r="A3472" s="117"/>
      <c r="B3472" s="70">
        <f t="shared" si="221"/>
        <v>47264</v>
      </c>
      <c r="C3472" s="82" t="str">
        <f t="shared" si="218"/>
        <v>samedi</v>
      </c>
      <c r="D3472" s="87"/>
      <c r="E3472" s="115" t="str">
        <f t="shared" si="219"/>
        <v/>
      </c>
      <c r="F3472" s="115" t="str">
        <f t="shared" si="220"/>
        <v/>
      </c>
      <c r="G3472" s="116" t="str">
        <f>IF(ISNONTEXT(D3472),"",E3472-MAX($F$2:F3471))</f>
        <v/>
      </c>
      <c r="H3472" s="97"/>
      <c r="I3472" s="74" t="str">
        <f ca="1">IF(D3472="N",COUNTIF(INDIRECT(ADDRESS(MATCH(Plages!$D$19,'Planning annuel mixing coater'!$B:$B),4)):D3472,"N"),IF(D3472="N1",COUNTIF($D$9:D3472,"N1"),""))</f>
        <v/>
      </c>
      <c r="J3472" s="96" t="str">
        <f>IF(D3472="","",COUNTA(D3460:D3472)-(COUNTA(D3472:D3472)-1))</f>
        <v/>
      </c>
    </row>
    <row r="3473" spans="1:10" s="77" customFormat="1" thickBot="1">
      <c r="A3473" s="117"/>
      <c r="B3473" s="75">
        <f t="shared" si="221"/>
        <v>47265</v>
      </c>
      <c r="C3473" s="83" t="str">
        <f t="shared" si="218"/>
        <v>dimanche</v>
      </c>
      <c r="D3473" s="88"/>
      <c r="E3473" s="115" t="str">
        <f t="shared" si="219"/>
        <v/>
      </c>
      <c r="F3473" s="115" t="str">
        <f t="shared" si="220"/>
        <v/>
      </c>
      <c r="G3473" s="116" t="str">
        <f>IF(ISNONTEXT(D3473),"",E3473-MAX($F$2:F3472))</f>
        <v/>
      </c>
      <c r="H3473" s="98"/>
      <c r="I3473" s="76" t="str">
        <f ca="1">IF(D3473="N",COUNTIF(INDIRECT(ADDRESS(MATCH(Plages!$D$19,'Planning annuel mixing coater'!$B:$B),4)):D3473,"N"),IF(D3473="N1",COUNTIF($D$9:D3473,"N1"),""))</f>
        <v/>
      </c>
      <c r="J3473" s="99" t="str">
        <f>IF(D3473="","",COUNTA(D3460:D3473)-(COUNTA(D3473:D3473)-1))</f>
        <v/>
      </c>
    </row>
    <row r="3474" spans="1:10" ht="16.5" thickTop="1" thickBot="1">
      <c r="A3474" s="117"/>
      <c r="B3474" s="78">
        <f t="shared" si="221"/>
        <v>47266</v>
      </c>
      <c r="C3474" s="81" t="str">
        <f t="shared" si="218"/>
        <v>lundi</v>
      </c>
      <c r="D3474" s="89"/>
      <c r="E3474" s="115" t="str">
        <f t="shared" si="219"/>
        <v/>
      </c>
      <c r="F3474" s="115" t="str">
        <f t="shared" si="220"/>
        <v/>
      </c>
      <c r="G3474" s="116" t="str">
        <f>IF(ISNONTEXT(D3474),"",E3474-MAX($F$2:F3473))</f>
        <v/>
      </c>
      <c r="H3474" s="100"/>
      <c r="I3474" s="79" t="str">
        <f ca="1">IF(D3474="N",COUNTIF(INDIRECT(ADDRESS(MATCH(Plages!$D$19,'Planning annuel mixing coater'!$B:$B),4)):D3474,"N"),IF(D3474="N1",COUNTIF($D$9:D3474,"N1"),""))</f>
        <v/>
      </c>
      <c r="J3474" s="101" t="str">
        <f>IF(D3474="","",COUNTA(D3474:D3474)-(COUNTA(D3474:D3474)-1))</f>
        <v/>
      </c>
    </row>
    <row r="3475" spans="1:10" thickBot="1">
      <c r="A3475" s="117"/>
      <c r="B3475" s="70">
        <f t="shared" si="221"/>
        <v>47267</v>
      </c>
      <c r="C3475" s="82" t="str">
        <f t="shared" si="218"/>
        <v>mardi</v>
      </c>
      <c r="D3475" s="87"/>
      <c r="E3475" s="115" t="str">
        <f t="shared" si="219"/>
        <v/>
      </c>
      <c r="F3475" s="115" t="str">
        <f t="shared" si="220"/>
        <v/>
      </c>
      <c r="G3475" s="116" t="str">
        <f>IF(ISNONTEXT(D3475),"",E3475-MAX($F$2:F3474))</f>
        <v/>
      </c>
      <c r="H3475" s="97"/>
      <c r="I3475" s="74" t="str">
        <f ca="1">IF(D3475="N",COUNTIF(INDIRECT(ADDRESS(MATCH(Plages!$D$19,'Planning annuel mixing coater'!$B:$B),4)):D3475,"N"),IF(D3475="N1",COUNTIF($D$9:D3475,"N1"),""))</f>
        <v/>
      </c>
      <c r="J3475" s="96" t="str">
        <f>IF(D3475="","",COUNTA(D3474:D3475)-(COUNTA(D3475:D3475)-1))</f>
        <v/>
      </c>
    </row>
    <row r="3476" spans="1:10" thickBot="1">
      <c r="A3476" s="117"/>
      <c r="B3476" s="70">
        <f t="shared" si="221"/>
        <v>47268</v>
      </c>
      <c r="C3476" s="82" t="str">
        <f t="shared" si="218"/>
        <v>mercredi</v>
      </c>
      <c r="D3476" s="87"/>
      <c r="E3476" s="115" t="str">
        <f t="shared" si="219"/>
        <v/>
      </c>
      <c r="F3476" s="115" t="str">
        <f t="shared" si="220"/>
        <v/>
      </c>
      <c r="G3476" s="116" t="str">
        <f>IF(ISNONTEXT(D3476),"",E3476-MAX($F$2:F3475))</f>
        <v/>
      </c>
      <c r="H3476" s="97"/>
      <c r="I3476" s="74" t="str">
        <f ca="1">IF(D3476="N",COUNTIF(INDIRECT(ADDRESS(MATCH(Plages!$D$19,'Planning annuel mixing coater'!$B:$B),4)):D3476,"N"),IF(D3476="N1",COUNTIF($D$9:D3476,"N1"),""))</f>
        <v/>
      </c>
      <c r="J3476" s="96" t="str">
        <f>IF(D3476="","",COUNTA(D3474:D3476)-(COUNTA(D3476:D3476)-1))</f>
        <v/>
      </c>
    </row>
    <row r="3477" spans="1:10" thickBot="1">
      <c r="A3477" s="117"/>
      <c r="B3477" s="70">
        <f t="shared" si="221"/>
        <v>47269</v>
      </c>
      <c r="C3477" s="82" t="str">
        <f t="shared" si="218"/>
        <v>jeudi</v>
      </c>
      <c r="D3477" s="87"/>
      <c r="E3477" s="115" t="str">
        <f t="shared" si="219"/>
        <v/>
      </c>
      <c r="F3477" s="115" t="str">
        <f t="shared" si="220"/>
        <v/>
      </c>
      <c r="G3477" s="116" t="str">
        <f>IF(ISNONTEXT(D3477),"",E3477-MAX($F$2:F3476))</f>
        <v/>
      </c>
      <c r="H3477" s="97"/>
      <c r="I3477" s="74" t="str">
        <f ca="1">IF(D3477="N",COUNTIF(INDIRECT(ADDRESS(MATCH(Plages!$D$19,'Planning annuel mixing coater'!$B:$B),4)):D3477,"N"),IF(D3477="N1",COUNTIF($D$9:D3477,"N1"),""))</f>
        <v/>
      </c>
      <c r="J3477" s="96" t="str">
        <f>IF(D3477="","",COUNTA(D3474:D3477)-(COUNTA(D3477:D3477)-1))</f>
        <v/>
      </c>
    </row>
    <row r="3478" spans="1:10" thickBot="1">
      <c r="A3478" s="117"/>
      <c r="B3478" s="70">
        <f t="shared" si="221"/>
        <v>47270</v>
      </c>
      <c r="C3478" s="82" t="str">
        <f t="shared" si="218"/>
        <v>vendredi</v>
      </c>
      <c r="D3478" s="87"/>
      <c r="E3478" s="115" t="str">
        <f t="shared" si="219"/>
        <v/>
      </c>
      <c r="F3478" s="115" t="str">
        <f t="shared" si="220"/>
        <v/>
      </c>
      <c r="G3478" s="116" t="str">
        <f>IF(ISNONTEXT(D3478),"",E3478-MAX($F$2:F3477))</f>
        <v/>
      </c>
      <c r="H3478" s="97"/>
      <c r="I3478" s="74" t="str">
        <f ca="1">IF(D3478="N",COUNTIF(INDIRECT(ADDRESS(MATCH(Plages!$D$19,'Planning annuel mixing coater'!$B:$B),4)):D3478,"N"),IF(D3478="N1",COUNTIF($D$9:D3478,"N1"),""))</f>
        <v/>
      </c>
      <c r="J3478" s="96" t="str">
        <f>IF(D3478="","",COUNTA(D3474:D3478)-(COUNTA(D3478:D3478)-1))</f>
        <v/>
      </c>
    </row>
    <row r="3479" spans="1:10" thickBot="1">
      <c r="A3479" s="117"/>
      <c r="B3479" s="70">
        <f t="shared" si="221"/>
        <v>47271</v>
      </c>
      <c r="C3479" s="82" t="str">
        <f t="shared" si="218"/>
        <v>samedi</v>
      </c>
      <c r="D3479" s="87"/>
      <c r="E3479" s="115" t="str">
        <f t="shared" si="219"/>
        <v/>
      </c>
      <c r="F3479" s="115" t="str">
        <f t="shared" si="220"/>
        <v/>
      </c>
      <c r="G3479" s="116" t="str">
        <f>IF(ISNONTEXT(D3479),"",E3479-MAX($F$2:F3478))</f>
        <v/>
      </c>
      <c r="H3479" s="97"/>
      <c r="I3479" s="74" t="str">
        <f ca="1">IF(D3479="N",COUNTIF(INDIRECT(ADDRESS(MATCH(Plages!$D$19,'Planning annuel mixing coater'!$B:$B),4)):D3479,"N"),IF(D3479="N1",COUNTIF($D$9:D3479,"N1"),""))</f>
        <v/>
      </c>
      <c r="J3479" s="96" t="str">
        <f>IF(D3479="","",COUNTA(D3474:D3479)-(COUNTA(D3479:D3479)-1))</f>
        <v/>
      </c>
    </row>
    <row r="3480" spans="1:10" thickBot="1">
      <c r="A3480" s="117"/>
      <c r="B3480" s="70">
        <f t="shared" si="221"/>
        <v>47272</v>
      </c>
      <c r="C3480" s="82" t="str">
        <f t="shared" si="218"/>
        <v>dimanche</v>
      </c>
      <c r="D3480" s="87"/>
      <c r="E3480" s="115" t="str">
        <f t="shared" si="219"/>
        <v/>
      </c>
      <c r="F3480" s="115" t="str">
        <f t="shared" si="220"/>
        <v/>
      </c>
      <c r="G3480" s="116" t="str">
        <f>IF(ISNONTEXT(D3480),"",E3480-MAX($F$2:F3479))</f>
        <v/>
      </c>
      <c r="H3480" s="98"/>
      <c r="I3480" s="74" t="str">
        <f ca="1">IF(D3480="N",COUNTIF(INDIRECT(ADDRESS(MATCH(Plages!$D$19,'Planning annuel mixing coater'!$B:$B),4)):D3480,"N"),IF(D3480="N1",COUNTIF($D$9:D3480,"N1"),""))</f>
        <v/>
      </c>
      <c r="J3480" s="96" t="str">
        <f>IF(D3480="","",COUNTA(D3474:D3480)-(COUNTA(D3480:D3480)-1))</f>
        <v/>
      </c>
    </row>
    <row r="3481" spans="1:10" thickBot="1">
      <c r="A3481" s="117"/>
      <c r="B3481" s="70">
        <f t="shared" si="221"/>
        <v>47273</v>
      </c>
      <c r="C3481" s="82" t="str">
        <f t="shared" si="218"/>
        <v>lundi</v>
      </c>
      <c r="D3481" s="87"/>
      <c r="E3481" s="115" t="str">
        <f t="shared" si="219"/>
        <v/>
      </c>
      <c r="F3481" s="115" t="str">
        <f t="shared" si="220"/>
        <v/>
      </c>
      <c r="G3481" s="116" t="str">
        <f>IF(ISNONTEXT(D3481),"",E3481-MAX($F$2:F3480))</f>
        <v/>
      </c>
      <c r="H3481" s="97"/>
      <c r="I3481" s="74" t="str">
        <f ca="1">IF(D3481="N",COUNTIF(INDIRECT(ADDRESS(MATCH(Plages!$D$19,'Planning annuel mixing coater'!$B:$B),4)):D3481,"N"),IF(D3481="N1",COUNTIF($D$9:D3481,"N1"),""))</f>
        <v/>
      </c>
      <c r="J3481" s="96" t="str">
        <f>IF(D3481="","",COUNTA(D3474:D3481)-(COUNTA(D3481:D3481)-1))</f>
        <v/>
      </c>
    </row>
    <row r="3482" spans="1:10" thickBot="1">
      <c r="A3482" s="117"/>
      <c r="B3482" s="70">
        <f t="shared" si="221"/>
        <v>47274</v>
      </c>
      <c r="C3482" s="82" t="str">
        <f t="shared" si="218"/>
        <v>mardi</v>
      </c>
      <c r="D3482" s="87"/>
      <c r="E3482" s="115" t="str">
        <f t="shared" si="219"/>
        <v/>
      </c>
      <c r="F3482" s="115" t="str">
        <f t="shared" si="220"/>
        <v/>
      </c>
      <c r="G3482" s="116" t="str">
        <f>IF(ISNONTEXT(D3482),"",E3482-MAX($F$2:F3481))</f>
        <v/>
      </c>
      <c r="H3482" s="97"/>
      <c r="I3482" s="74" t="str">
        <f ca="1">IF(D3482="N",COUNTIF(INDIRECT(ADDRESS(MATCH(Plages!$D$19,'Planning annuel mixing coater'!$B:$B),4)):D3482,"N"),IF(D3482="N1",COUNTIF($D$9:D3482,"N1"),""))</f>
        <v/>
      </c>
      <c r="J3482" s="96" t="str">
        <f>IF(D3482="","",COUNTA(D3474:D3482)-(COUNTA(D3482:D3482)-1))</f>
        <v/>
      </c>
    </row>
    <row r="3483" spans="1:10" thickBot="1">
      <c r="A3483" s="117"/>
      <c r="B3483" s="70">
        <f t="shared" si="221"/>
        <v>47275</v>
      </c>
      <c r="C3483" s="82" t="str">
        <f t="shared" si="218"/>
        <v>mercredi</v>
      </c>
      <c r="D3483" s="87"/>
      <c r="E3483" s="115" t="str">
        <f t="shared" si="219"/>
        <v/>
      </c>
      <c r="F3483" s="115" t="str">
        <f t="shared" si="220"/>
        <v/>
      </c>
      <c r="G3483" s="116" t="str">
        <f>IF(ISNONTEXT(D3483),"",E3483-MAX($F$2:F3482))</f>
        <v/>
      </c>
      <c r="H3483" s="97"/>
      <c r="I3483" s="74" t="str">
        <f ca="1">IF(D3483="N",COUNTIF(INDIRECT(ADDRESS(MATCH(Plages!$D$19,'Planning annuel mixing coater'!$B:$B),4)):D3483,"N"),IF(D3483="N1",COUNTIF($D$9:D3483,"N1"),""))</f>
        <v/>
      </c>
      <c r="J3483" s="96" t="str">
        <f>IF(D3483="","",COUNTA(D3474:D3483)-(COUNTA(D3483:D3483)-1))</f>
        <v/>
      </c>
    </row>
    <row r="3484" spans="1:10" thickBot="1">
      <c r="A3484" s="117"/>
      <c r="B3484" s="70">
        <f t="shared" si="221"/>
        <v>47276</v>
      </c>
      <c r="C3484" s="82" t="str">
        <f t="shared" si="218"/>
        <v>jeudi</v>
      </c>
      <c r="D3484" s="87"/>
      <c r="E3484" s="115" t="str">
        <f t="shared" si="219"/>
        <v/>
      </c>
      <c r="F3484" s="115" t="str">
        <f t="shared" si="220"/>
        <v/>
      </c>
      <c r="G3484" s="116" t="str">
        <f>IF(ISNONTEXT(D3484),"",E3484-MAX($F$2:F3483))</f>
        <v/>
      </c>
      <c r="H3484" s="97"/>
      <c r="I3484" s="74" t="str">
        <f ca="1">IF(D3484="N",COUNTIF(INDIRECT(ADDRESS(MATCH(Plages!$D$19,'Planning annuel mixing coater'!$B:$B),4)):D3484,"N"),IF(D3484="N1",COUNTIF($D$9:D3484,"N1"),""))</f>
        <v/>
      </c>
      <c r="J3484" s="96" t="str">
        <f>IF(D3484="","",COUNTA(D3474:D3484)-(COUNTA(D3484:D3484)-1))</f>
        <v/>
      </c>
    </row>
    <row r="3485" spans="1:10" thickBot="1">
      <c r="A3485" s="117"/>
      <c r="B3485" s="70">
        <f t="shared" si="221"/>
        <v>47277</v>
      </c>
      <c r="C3485" s="82" t="str">
        <f t="shared" si="218"/>
        <v>vendredi</v>
      </c>
      <c r="D3485" s="87"/>
      <c r="E3485" s="115" t="str">
        <f t="shared" si="219"/>
        <v/>
      </c>
      <c r="F3485" s="115" t="str">
        <f t="shared" si="220"/>
        <v/>
      </c>
      <c r="G3485" s="116" t="str">
        <f>IF(ISNONTEXT(D3485),"",E3485-MAX($F$2:F3484))</f>
        <v/>
      </c>
      <c r="H3485" s="97"/>
      <c r="I3485" s="74" t="str">
        <f ca="1">IF(D3485="N",COUNTIF(INDIRECT(ADDRESS(MATCH(Plages!$D$19,'Planning annuel mixing coater'!$B:$B),4)):D3485,"N"),IF(D3485="N1",COUNTIF($D$9:D3485,"N1"),""))</f>
        <v/>
      </c>
      <c r="J3485" s="96" t="str">
        <f>IF(D3485="","",COUNTA(D3474:D3485)-(COUNTA(D3485:D3485)-1))</f>
        <v/>
      </c>
    </row>
    <row r="3486" spans="1:10" thickBot="1">
      <c r="A3486" s="117"/>
      <c r="B3486" s="70">
        <f t="shared" si="221"/>
        <v>47278</v>
      </c>
      <c r="C3486" s="82" t="str">
        <f t="shared" ref="C3486:C3549" si="222">IF(B3486="","",TEXT(B3486,"jjjj"))</f>
        <v>samedi</v>
      </c>
      <c r="D3486" s="87"/>
      <c r="E3486" s="115" t="str">
        <f t="shared" ref="E3486:E3549" si="223">IF(D3486="","",B3486+VLOOKUP(D3486,Plageh,2,0))</f>
        <v/>
      </c>
      <c r="F3486" s="115" t="str">
        <f t="shared" ref="F3486:F3549" si="224">IF(D3486="","",B3486+VLOOKUP(D3486,Plageh,3,0))</f>
        <v/>
      </c>
      <c r="G3486" s="116" t="str">
        <f>IF(ISNONTEXT(D3486),"",E3486-MAX($F$2:F3485))</f>
        <v/>
      </c>
      <c r="H3486" s="97"/>
      <c r="I3486" s="74" t="str">
        <f ca="1">IF(D3486="N",COUNTIF(INDIRECT(ADDRESS(MATCH(Plages!$D$19,'Planning annuel mixing coater'!$B:$B),4)):D3486,"N"),IF(D3486="N1",COUNTIF($D$9:D3486,"N1"),""))</f>
        <v/>
      </c>
      <c r="J3486" s="96" t="str">
        <f>IF(D3486="","",COUNTA(D3474:D3486)-(COUNTA(D3486:D3486)-1))</f>
        <v/>
      </c>
    </row>
    <row r="3487" spans="1:10" s="77" customFormat="1" thickBot="1">
      <c r="A3487" s="117"/>
      <c r="B3487" s="75">
        <f t="shared" si="221"/>
        <v>47279</v>
      </c>
      <c r="C3487" s="83" t="str">
        <f t="shared" si="222"/>
        <v>dimanche</v>
      </c>
      <c r="D3487" s="88"/>
      <c r="E3487" s="115" t="str">
        <f t="shared" si="223"/>
        <v/>
      </c>
      <c r="F3487" s="115" t="str">
        <f t="shared" si="224"/>
        <v/>
      </c>
      <c r="G3487" s="116" t="str">
        <f>IF(ISNONTEXT(D3487),"",E3487-MAX($F$2:F3486))</f>
        <v/>
      </c>
      <c r="H3487" s="98"/>
      <c r="I3487" s="76" t="str">
        <f ca="1">IF(D3487="N",COUNTIF(INDIRECT(ADDRESS(MATCH(Plages!$D$19,'Planning annuel mixing coater'!$B:$B),4)):D3487,"N"),IF(D3487="N1",COUNTIF($D$9:D3487,"N1"),""))</f>
        <v/>
      </c>
      <c r="J3487" s="99" t="str">
        <f>IF(D3487="","",COUNTA(D3474:D3487)-(COUNTA(D3487:D3487)-1))</f>
        <v/>
      </c>
    </row>
    <row r="3488" spans="1:10" ht="16.5" thickTop="1" thickBot="1">
      <c r="A3488" s="117"/>
      <c r="B3488" s="78">
        <f t="shared" si="221"/>
        <v>47280</v>
      </c>
      <c r="C3488" s="81" t="str">
        <f t="shared" si="222"/>
        <v>lundi</v>
      </c>
      <c r="D3488" s="89"/>
      <c r="E3488" s="115" t="str">
        <f t="shared" si="223"/>
        <v/>
      </c>
      <c r="F3488" s="115" t="str">
        <f t="shared" si="224"/>
        <v/>
      </c>
      <c r="G3488" s="116" t="str">
        <f>IF(ISNONTEXT(D3488),"",E3488-MAX($F$2:F3487))</f>
        <v/>
      </c>
      <c r="H3488" s="100"/>
      <c r="I3488" s="79" t="str">
        <f ca="1">IF(D3488="N",COUNTIF(INDIRECT(ADDRESS(MATCH(Plages!$D$19,'Planning annuel mixing coater'!$B:$B),4)):D3488,"N"),IF(D3488="N1",COUNTIF($D$9:D3488,"N1"),""))</f>
        <v/>
      </c>
      <c r="J3488" s="101" t="str">
        <f>IF(D3488="","",COUNTA(D3488:D3488)-(COUNTA(D3488:D3488)-1))</f>
        <v/>
      </c>
    </row>
    <row r="3489" spans="1:10" thickBot="1">
      <c r="A3489" s="117"/>
      <c r="B3489" s="70">
        <f t="shared" si="221"/>
        <v>47281</v>
      </c>
      <c r="C3489" s="82" t="str">
        <f t="shared" si="222"/>
        <v>mardi</v>
      </c>
      <c r="D3489" s="87"/>
      <c r="E3489" s="115" t="str">
        <f t="shared" si="223"/>
        <v/>
      </c>
      <c r="F3489" s="115" t="str">
        <f t="shared" si="224"/>
        <v/>
      </c>
      <c r="G3489" s="116" t="str">
        <f>IF(ISNONTEXT(D3489),"",E3489-MAX($F$2:F3488))</f>
        <v/>
      </c>
      <c r="H3489" s="97"/>
      <c r="I3489" s="74" t="str">
        <f ca="1">IF(D3489="N",COUNTIF(INDIRECT(ADDRESS(MATCH(Plages!$D$19,'Planning annuel mixing coater'!$B:$B),4)):D3489,"N"),IF(D3489="N1",COUNTIF($D$9:D3489,"N1"),""))</f>
        <v/>
      </c>
      <c r="J3489" s="96" t="str">
        <f>IF(D3489="","",COUNTA(D3488:D3489)-(COUNTA(D3489:D3489)-1))</f>
        <v/>
      </c>
    </row>
    <row r="3490" spans="1:10" thickBot="1">
      <c r="A3490" s="117"/>
      <c r="B3490" s="70">
        <f t="shared" si="221"/>
        <v>47282</v>
      </c>
      <c r="C3490" s="82" t="str">
        <f t="shared" si="222"/>
        <v>mercredi</v>
      </c>
      <c r="D3490" s="87"/>
      <c r="E3490" s="115" t="str">
        <f t="shared" si="223"/>
        <v/>
      </c>
      <c r="F3490" s="115" t="str">
        <f t="shared" si="224"/>
        <v/>
      </c>
      <c r="G3490" s="116" t="str">
        <f>IF(ISNONTEXT(D3490),"",E3490-MAX($F$2:F3489))</f>
        <v/>
      </c>
      <c r="H3490" s="97"/>
      <c r="I3490" s="74" t="str">
        <f ca="1">IF(D3490="N",COUNTIF(INDIRECT(ADDRESS(MATCH(Plages!$D$19,'Planning annuel mixing coater'!$B:$B),4)):D3490,"N"),IF(D3490="N1",COUNTIF($D$9:D3490,"N1"),""))</f>
        <v/>
      </c>
      <c r="J3490" s="96" t="str">
        <f>IF(D3490="","",COUNTA(D3488:D3490)-(COUNTA(D3490:D3490)-1))</f>
        <v/>
      </c>
    </row>
    <row r="3491" spans="1:10" thickBot="1">
      <c r="A3491" s="117"/>
      <c r="B3491" s="70">
        <f t="shared" si="221"/>
        <v>47283</v>
      </c>
      <c r="C3491" s="82" t="str">
        <f t="shared" si="222"/>
        <v>jeudi</v>
      </c>
      <c r="D3491" s="87"/>
      <c r="E3491" s="115" t="str">
        <f t="shared" si="223"/>
        <v/>
      </c>
      <c r="F3491" s="115" t="str">
        <f t="shared" si="224"/>
        <v/>
      </c>
      <c r="G3491" s="116" t="str">
        <f>IF(ISNONTEXT(D3491),"",E3491-MAX($F$2:F3490))</f>
        <v/>
      </c>
      <c r="H3491" s="97"/>
      <c r="I3491" s="74" t="str">
        <f ca="1">IF(D3491="N",COUNTIF(INDIRECT(ADDRESS(MATCH(Plages!$D$19,'Planning annuel mixing coater'!$B:$B),4)):D3491,"N"),IF(D3491="N1",COUNTIF($D$9:D3491,"N1"),""))</f>
        <v/>
      </c>
      <c r="J3491" s="96" t="str">
        <f>IF(D3491="","",COUNTA(D3488:D3491)-(COUNTA(D3491:D3491)-1))</f>
        <v/>
      </c>
    </row>
    <row r="3492" spans="1:10" thickBot="1">
      <c r="A3492" s="117"/>
      <c r="B3492" s="70">
        <f t="shared" si="221"/>
        <v>47284</v>
      </c>
      <c r="C3492" s="82" t="str">
        <f t="shared" si="222"/>
        <v>vendredi</v>
      </c>
      <c r="D3492" s="87"/>
      <c r="E3492" s="115" t="str">
        <f t="shared" si="223"/>
        <v/>
      </c>
      <c r="F3492" s="115" t="str">
        <f t="shared" si="224"/>
        <v/>
      </c>
      <c r="G3492" s="116" t="str">
        <f>IF(ISNONTEXT(D3492),"",E3492-MAX($F$2:F3491))</f>
        <v/>
      </c>
      <c r="H3492" s="97"/>
      <c r="I3492" s="74" t="str">
        <f ca="1">IF(D3492="N",COUNTIF(INDIRECT(ADDRESS(MATCH(Plages!$D$19,'Planning annuel mixing coater'!$B:$B),4)):D3492,"N"),IF(D3492="N1",COUNTIF($D$9:D3492,"N1"),""))</f>
        <v/>
      </c>
      <c r="J3492" s="96" t="str">
        <f>IF(D3492="","",COUNTA(D3488:D3492)-(COUNTA(D3492:D3492)-1))</f>
        <v/>
      </c>
    </row>
    <row r="3493" spans="1:10" thickBot="1">
      <c r="A3493" s="117"/>
      <c r="B3493" s="70">
        <f t="shared" si="221"/>
        <v>47285</v>
      </c>
      <c r="C3493" s="82" t="str">
        <f t="shared" si="222"/>
        <v>samedi</v>
      </c>
      <c r="D3493" s="87"/>
      <c r="E3493" s="115" t="str">
        <f t="shared" si="223"/>
        <v/>
      </c>
      <c r="F3493" s="115" t="str">
        <f t="shared" si="224"/>
        <v/>
      </c>
      <c r="G3493" s="116" t="str">
        <f>IF(ISNONTEXT(D3493),"",E3493-MAX($F$2:F3492))</f>
        <v/>
      </c>
      <c r="H3493" s="97"/>
      <c r="I3493" s="74" t="str">
        <f ca="1">IF(D3493="N",COUNTIF(INDIRECT(ADDRESS(MATCH(Plages!$D$19,'Planning annuel mixing coater'!$B:$B),4)):D3493,"N"),IF(D3493="N1",COUNTIF($D$9:D3493,"N1"),""))</f>
        <v/>
      </c>
      <c r="J3493" s="96" t="str">
        <f>IF(D3493="","",COUNTA(D3488:D3493)-(COUNTA(D3493:D3493)-1))</f>
        <v/>
      </c>
    </row>
    <row r="3494" spans="1:10" thickBot="1">
      <c r="A3494" s="117"/>
      <c r="B3494" s="70">
        <f t="shared" si="221"/>
        <v>47286</v>
      </c>
      <c r="C3494" s="82" t="str">
        <f t="shared" si="222"/>
        <v>dimanche</v>
      </c>
      <c r="D3494" s="87"/>
      <c r="E3494" s="115" t="str">
        <f t="shared" si="223"/>
        <v/>
      </c>
      <c r="F3494" s="115" t="str">
        <f t="shared" si="224"/>
        <v/>
      </c>
      <c r="G3494" s="116" t="str">
        <f>IF(ISNONTEXT(D3494),"",E3494-MAX($F$2:F3493))</f>
        <v/>
      </c>
      <c r="H3494" s="98"/>
      <c r="I3494" s="74" t="str">
        <f ca="1">IF(D3494="N",COUNTIF(INDIRECT(ADDRESS(MATCH(Plages!$D$19,'Planning annuel mixing coater'!$B:$B),4)):D3494,"N"),IF(D3494="N1",COUNTIF($D$9:D3494,"N1"),""))</f>
        <v/>
      </c>
      <c r="J3494" s="96" t="str">
        <f>IF(D3494="","",COUNTA(D3488:D3494)-(COUNTA(D3494:D3494)-1))</f>
        <v/>
      </c>
    </row>
    <row r="3495" spans="1:10" thickBot="1">
      <c r="A3495" s="117"/>
      <c r="B3495" s="70">
        <f t="shared" si="221"/>
        <v>47287</v>
      </c>
      <c r="C3495" s="82" t="str">
        <f t="shared" si="222"/>
        <v>lundi</v>
      </c>
      <c r="D3495" s="87"/>
      <c r="E3495" s="115" t="str">
        <f t="shared" si="223"/>
        <v/>
      </c>
      <c r="F3495" s="115" t="str">
        <f t="shared" si="224"/>
        <v/>
      </c>
      <c r="G3495" s="116" t="str">
        <f>IF(ISNONTEXT(D3495),"",E3495-MAX($F$2:F3494))</f>
        <v/>
      </c>
      <c r="H3495" s="97"/>
      <c r="I3495" s="74" t="str">
        <f ca="1">IF(D3495="N",COUNTIF(INDIRECT(ADDRESS(MATCH(Plages!$D$19,'Planning annuel mixing coater'!$B:$B),4)):D3495,"N"),IF(D3495="N1",COUNTIF($D$9:D3495,"N1"),""))</f>
        <v/>
      </c>
      <c r="J3495" s="96" t="str">
        <f>IF(D3495="","",COUNTA(D3488:D3495)-(COUNTA(D3495:D3495)-1))</f>
        <v/>
      </c>
    </row>
    <row r="3496" spans="1:10" thickBot="1">
      <c r="A3496" s="117"/>
      <c r="B3496" s="70">
        <f t="shared" si="221"/>
        <v>47288</v>
      </c>
      <c r="C3496" s="82" t="str">
        <f t="shared" si="222"/>
        <v>mardi</v>
      </c>
      <c r="D3496" s="87"/>
      <c r="E3496" s="115" t="str">
        <f t="shared" si="223"/>
        <v/>
      </c>
      <c r="F3496" s="115" t="str">
        <f t="shared" si="224"/>
        <v/>
      </c>
      <c r="G3496" s="116" t="str">
        <f>IF(ISNONTEXT(D3496),"",E3496-MAX($F$2:F3495))</f>
        <v/>
      </c>
      <c r="H3496" s="97"/>
      <c r="I3496" s="74" t="str">
        <f ca="1">IF(D3496="N",COUNTIF(INDIRECT(ADDRESS(MATCH(Plages!$D$19,'Planning annuel mixing coater'!$B:$B),4)):D3496,"N"),IF(D3496="N1",COUNTIF($D$9:D3496,"N1"),""))</f>
        <v/>
      </c>
      <c r="J3496" s="96" t="str">
        <f>IF(D3496="","",COUNTA(D3488:D3496)-(COUNTA(D3496:D3496)-1))</f>
        <v/>
      </c>
    </row>
    <row r="3497" spans="1:10" thickBot="1">
      <c r="A3497" s="117"/>
      <c r="B3497" s="70">
        <f t="shared" si="221"/>
        <v>47289</v>
      </c>
      <c r="C3497" s="82" t="str">
        <f t="shared" si="222"/>
        <v>mercredi</v>
      </c>
      <c r="D3497" s="87"/>
      <c r="E3497" s="115" t="str">
        <f t="shared" si="223"/>
        <v/>
      </c>
      <c r="F3497" s="115" t="str">
        <f t="shared" si="224"/>
        <v/>
      </c>
      <c r="G3497" s="116" t="str">
        <f>IF(ISNONTEXT(D3497),"",E3497-MAX($F$2:F3496))</f>
        <v/>
      </c>
      <c r="H3497" s="97"/>
      <c r="I3497" s="74" t="str">
        <f ca="1">IF(D3497="N",COUNTIF(INDIRECT(ADDRESS(MATCH(Plages!$D$19,'Planning annuel mixing coater'!$B:$B),4)):D3497,"N"),IF(D3497="N1",COUNTIF($D$9:D3497,"N1"),""))</f>
        <v/>
      </c>
      <c r="J3497" s="96" t="str">
        <f>IF(D3497="","",COUNTA(D3488:D3497)-(COUNTA(D3497:D3497)-1))</f>
        <v/>
      </c>
    </row>
    <row r="3498" spans="1:10" thickBot="1">
      <c r="A3498" s="117"/>
      <c r="B3498" s="70">
        <f t="shared" si="221"/>
        <v>47290</v>
      </c>
      <c r="C3498" s="82" t="str">
        <f t="shared" si="222"/>
        <v>jeudi</v>
      </c>
      <c r="D3498" s="87"/>
      <c r="E3498" s="115" t="str">
        <f t="shared" si="223"/>
        <v/>
      </c>
      <c r="F3498" s="115" t="str">
        <f t="shared" si="224"/>
        <v/>
      </c>
      <c r="G3498" s="116" t="str">
        <f>IF(ISNONTEXT(D3498),"",E3498-MAX($F$2:F3497))</f>
        <v/>
      </c>
      <c r="H3498" s="97"/>
      <c r="I3498" s="74" t="str">
        <f ca="1">IF(D3498="N",COUNTIF(INDIRECT(ADDRESS(MATCH(Plages!$D$19,'Planning annuel mixing coater'!$B:$B),4)):D3498,"N"),IF(D3498="N1",COUNTIF($D$9:D3498,"N1"),""))</f>
        <v/>
      </c>
      <c r="J3498" s="96" t="str">
        <f>IF(D3498="","",COUNTA(D3488:D3498)-(COUNTA(D3498:D3498)-1))</f>
        <v/>
      </c>
    </row>
    <row r="3499" spans="1:10" thickBot="1">
      <c r="A3499" s="117"/>
      <c r="B3499" s="70">
        <f t="shared" si="221"/>
        <v>47291</v>
      </c>
      <c r="C3499" s="82" t="str">
        <f t="shared" si="222"/>
        <v>vendredi</v>
      </c>
      <c r="D3499" s="87"/>
      <c r="E3499" s="115" t="str">
        <f t="shared" si="223"/>
        <v/>
      </c>
      <c r="F3499" s="115" t="str">
        <f t="shared" si="224"/>
        <v/>
      </c>
      <c r="G3499" s="116" t="str">
        <f>IF(ISNONTEXT(D3499),"",E3499-MAX($F$2:F3498))</f>
        <v/>
      </c>
      <c r="H3499" s="97"/>
      <c r="I3499" s="74" t="str">
        <f ca="1">IF(D3499="N",COUNTIF(INDIRECT(ADDRESS(MATCH(Plages!$D$19,'Planning annuel mixing coater'!$B:$B),4)):D3499,"N"),IF(D3499="N1",COUNTIF($D$9:D3499,"N1"),""))</f>
        <v/>
      </c>
      <c r="J3499" s="96" t="str">
        <f>IF(D3499="","",COUNTA(D3488:D3499)-(COUNTA(D3499:D3499)-1))</f>
        <v/>
      </c>
    </row>
    <row r="3500" spans="1:10" thickBot="1">
      <c r="A3500" s="117"/>
      <c r="B3500" s="70">
        <f t="shared" si="221"/>
        <v>47292</v>
      </c>
      <c r="C3500" s="82" t="str">
        <f t="shared" si="222"/>
        <v>samedi</v>
      </c>
      <c r="D3500" s="87"/>
      <c r="E3500" s="115" t="str">
        <f t="shared" si="223"/>
        <v/>
      </c>
      <c r="F3500" s="115" t="str">
        <f t="shared" si="224"/>
        <v/>
      </c>
      <c r="G3500" s="116" t="str">
        <f>IF(ISNONTEXT(D3500),"",E3500-MAX($F$2:F3499))</f>
        <v/>
      </c>
      <c r="H3500" s="97"/>
      <c r="I3500" s="74" t="str">
        <f ca="1">IF(D3500="N",COUNTIF(INDIRECT(ADDRESS(MATCH(Plages!$D$19,'Planning annuel mixing coater'!$B:$B),4)):D3500,"N"),IF(D3500="N1",COUNTIF($D$9:D3500,"N1"),""))</f>
        <v/>
      </c>
      <c r="J3500" s="96" t="str">
        <f>IF(D3500="","",COUNTA(D3488:D3500)-(COUNTA(D3500:D3500)-1))</f>
        <v/>
      </c>
    </row>
    <row r="3501" spans="1:10" s="77" customFormat="1" thickBot="1">
      <c r="A3501" s="117"/>
      <c r="B3501" s="75">
        <f t="shared" si="221"/>
        <v>47293</v>
      </c>
      <c r="C3501" s="83" t="str">
        <f t="shared" si="222"/>
        <v>dimanche</v>
      </c>
      <c r="D3501" s="88"/>
      <c r="E3501" s="115" t="str">
        <f t="shared" si="223"/>
        <v/>
      </c>
      <c r="F3501" s="115" t="str">
        <f t="shared" si="224"/>
        <v/>
      </c>
      <c r="G3501" s="116" t="str">
        <f>IF(ISNONTEXT(D3501),"",E3501-MAX($F$2:F3500))</f>
        <v/>
      </c>
      <c r="H3501" s="98"/>
      <c r="I3501" s="76" t="str">
        <f ca="1">IF(D3501="N",COUNTIF(INDIRECT(ADDRESS(MATCH(Plages!$D$19,'Planning annuel mixing coater'!$B:$B),4)):D3501,"N"),IF(D3501="N1",COUNTIF($D$9:D3501,"N1"),""))</f>
        <v/>
      </c>
      <c r="J3501" s="99" t="str">
        <f>IF(D3501="","",COUNTA(D3488:D3501)-(COUNTA(D3501:D3501)-1))</f>
        <v/>
      </c>
    </row>
    <row r="3502" spans="1:10" ht="16.5" thickTop="1" thickBot="1">
      <c r="A3502" s="117"/>
      <c r="B3502" s="78">
        <f t="shared" si="221"/>
        <v>47294</v>
      </c>
      <c r="C3502" s="81" t="str">
        <f t="shared" si="222"/>
        <v>lundi</v>
      </c>
      <c r="D3502" s="89"/>
      <c r="E3502" s="115" t="str">
        <f t="shared" si="223"/>
        <v/>
      </c>
      <c r="F3502" s="115" t="str">
        <f t="shared" si="224"/>
        <v/>
      </c>
      <c r="G3502" s="116" t="str">
        <f>IF(ISNONTEXT(D3502),"",E3502-MAX($F$2:F3501))</f>
        <v/>
      </c>
      <c r="H3502" s="100"/>
      <c r="I3502" s="79" t="str">
        <f ca="1">IF(D3502="N",COUNTIF(INDIRECT(ADDRESS(MATCH(Plages!$D$19,'Planning annuel mixing coater'!$B:$B),4)):D3502,"N"),IF(D3502="N1",COUNTIF($D$9:D3502,"N1"),""))</f>
        <v/>
      </c>
      <c r="J3502" s="101" t="str">
        <f>IF(D3502="","",COUNTA(D3502:D3502)-(COUNTA(D3502:D3502)-1))</f>
        <v/>
      </c>
    </row>
    <row r="3503" spans="1:10" thickBot="1">
      <c r="A3503" s="117"/>
      <c r="B3503" s="70">
        <f t="shared" si="221"/>
        <v>47295</v>
      </c>
      <c r="C3503" s="82" t="str">
        <f t="shared" si="222"/>
        <v>mardi</v>
      </c>
      <c r="D3503" s="87"/>
      <c r="E3503" s="115" t="str">
        <f t="shared" si="223"/>
        <v/>
      </c>
      <c r="F3503" s="115" t="str">
        <f t="shared" si="224"/>
        <v/>
      </c>
      <c r="G3503" s="116" t="str">
        <f>IF(ISNONTEXT(D3503),"",E3503-MAX($F$2:F3502))</f>
        <v/>
      </c>
      <c r="H3503" s="97"/>
      <c r="I3503" s="74" t="str">
        <f ca="1">IF(D3503="N",COUNTIF(INDIRECT(ADDRESS(MATCH(Plages!$D$19,'Planning annuel mixing coater'!$B:$B),4)):D3503,"N"),IF(D3503="N1",COUNTIF($D$9:D3503,"N1"),""))</f>
        <v/>
      </c>
      <c r="J3503" s="96" t="str">
        <f>IF(D3503="","",COUNTA(D3502:D3503)-(COUNTA(D3503:D3503)-1))</f>
        <v/>
      </c>
    </row>
    <row r="3504" spans="1:10" thickBot="1">
      <c r="A3504" s="117"/>
      <c r="B3504" s="70">
        <f t="shared" si="221"/>
        <v>47296</v>
      </c>
      <c r="C3504" s="82" t="str">
        <f t="shared" si="222"/>
        <v>mercredi</v>
      </c>
      <c r="D3504" s="87"/>
      <c r="E3504" s="115" t="str">
        <f t="shared" si="223"/>
        <v/>
      </c>
      <c r="F3504" s="115" t="str">
        <f t="shared" si="224"/>
        <v/>
      </c>
      <c r="G3504" s="116" t="str">
        <f>IF(ISNONTEXT(D3504),"",E3504-MAX($F$2:F3503))</f>
        <v/>
      </c>
      <c r="H3504" s="97"/>
      <c r="I3504" s="74" t="str">
        <f ca="1">IF(D3504="N",COUNTIF(INDIRECT(ADDRESS(MATCH(Plages!$D$19,'Planning annuel mixing coater'!$B:$B),4)):D3504,"N"),IF(D3504="N1",COUNTIF($D$9:D3504,"N1"),""))</f>
        <v/>
      </c>
      <c r="J3504" s="96" t="str">
        <f>IF(D3504="","",COUNTA(D3502:D3504)-(COUNTA(D3504:D3504)-1))</f>
        <v/>
      </c>
    </row>
    <row r="3505" spans="1:10" thickBot="1">
      <c r="A3505" s="117"/>
      <c r="B3505" s="70">
        <f t="shared" si="221"/>
        <v>47297</v>
      </c>
      <c r="C3505" s="82" t="str">
        <f t="shared" si="222"/>
        <v>jeudi</v>
      </c>
      <c r="D3505" s="87"/>
      <c r="E3505" s="115" t="str">
        <f t="shared" si="223"/>
        <v/>
      </c>
      <c r="F3505" s="115" t="str">
        <f t="shared" si="224"/>
        <v/>
      </c>
      <c r="G3505" s="116" t="str">
        <f>IF(ISNONTEXT(D3505),"",E3505-MAX($F$2:F3504))</f>
        <v/>
      </c>
      <c r="H3505" s="97"/>
      <c r="I3505" s="74" t="str">
        <f ca="1">IF(D3505="N",COUNTIF(INDIRECT(ADDRESS(MATCH(Plages!$D$19,'Planning annuel mixing coater'!$B:$B),4)):D3505,"N"),IF(D3505="N1",COUNTIF($D$9:D3505,"N1"),""))</f>
        <v/>
      </c>
      <c r="J3505" s="96" t="str">
        <f>IF(D3505="","",COUNTA(D3502:D3505)-(COUNTA(D3505:D3505)-1))</f>
        <v/>
      </c>
    </row>
    <row r="3506" spans="1:10" thickBot="1">
      <c r="A3506" s="117"/>
      <c r="B3506" s="70">
        <f t="shared" si="221"/>
        <v>47298</v>
      </c>
      <c r="C3506" s="82" t="str">
        <f t="shared" si="222"/>
        <v>vendredi</v>
      </c>
      <c r="D3506" s="87"/>
      <c r="E3506" s="115" t="str">
        <f t="shared" si="223"/>
        <v/>
      </c>
      <c r="F3506" s="115" t="str">
        <f t="shared" si="224"/>
        <v/>
      </c>
      <c r="G3506" s="116" t="str">
        <f>IF(ISNONTEXT(D3506),"",E3506-MAX($F$2:F3505))</f>
        <v/>
      </c>
      <c r="H3506" s="97"/>
      <c r="I3506" s="74" t="str">
        <f ca="1">IF(D3506="N",COUNTIF(INDIRECT(ADDRESS(MATCH(Plages!$D$19,'Planning annuel mixing coater'!$B:$B),4)):D3506,"N"),IF(D3506="N1",COUNTIF($D$9:D3506,"N1"),""))</f>
        <v/>
      </c>
      <c r="J3506" s="96" t="str">
        <f>IF(D3506="","",COUNTA(D3502:D3506)-(COUNTA(D3506:D3506)-1))</f>
        <v/>
      </c>
    </row>
    <row r="3507" spans="1:10" thickBot="1">
      <c r="A3507" s="117"/>
      <c r="B3507" s="70">
        <f t="shared" si="221"/>
        <v>47299</v>
      </c>
      <c r="C3507" s="82" t="str">
        <f t="shared" si="222"/>
        <v>samedi</v>
      </c>
      <c r="D3507" s="87"/>
      <c r="E3507" s="115" t="str">
        <f t="shared" si="223"/>
        <v/>
      </c>
      <c r="F3507" s="115" t="str">
        <f t="shared" si="224"/>
        <v/>
      </c>
      <c r="G3507" s="116" t="str">
        <f>IF(ISNONTEXT(D3507),"",E3507-MAX($F$2:F3506))</f>
        <v/>
      </c>
      <c r="H3507" s="97"/>
      <c r="I3507" s="74" t="str">
        <f ca="1">IF(D3507="N",COUNTIF(INDIRECT(ADDRESS(MATCH(Plages!$D$19,'Planning annuel mixing coater'!$B:$B),4)):D3507,"N"),IF(D3507="N1",COUNTIF($D$9:D3507,"N1"),""))</f>
        <v/>
      </c>
      <c r="J3507" s="96" t="str">
        <f>IF(D3507="","",COUNTA(D3502:D3507)-(COUNTA(D3507:D3507)-1))</f>
        <v/>
      </c>
    </row>
    <row r="3508" spans="1:10" thickBot="1">
      <c r="A3508" s="117"/>
      <c r="B3508" s="70">
        <f t="shared" si="221"/>
        <v>47300</v>
      </c>
      <c r="C3508" s="82" t="str">
        <f t="shared" si="222"/>
        <v>dimanche</v>
      </c>
      <c r="D3508" s="87"/>
      <c r="E3508" s="115" t="str">
        <f t="shared" si="223"/>
        <v/>
      </c>
      <c r="F3508" s="115" t="str">
        <f t="shared" si="224"/>
        <v/>
      </c>
      <c r="G3508" s="116" t="str">
        <f>IF(ISNONTEXT(D3508),"",E3508-MAX($F$2:F3507))</f>
        <v/>
      </c>
      <c r="H3508" s="98"/>
      <c r="I3508" s="74" t="str">
        <f ca="1">IF(D3508="N",COUNTIF(INDIRECT(ADDRESS(MATCH(Plages!$D$19,'Planning annuel mixing coater'!$B:$B),4)):D3508,"N"),IF(D3508="N1",COUNTIF($D$9:D3508,"N1"),""))</f>
        <v/>
      </c>
      <c r="J3508" s="96" t="str">
        <f>IF(D3508="","",COUNTA(D3502:D3508)-(COUNTA(D3508:D3508)-1))</f>
        <v/>
      </c>
    </row>
    <row r="3509" spans="1:10" thickBot="1">
      <c r="A3509" s="117"/>
      <c r="B3509" s="70">
        <f t="shared" si="221"/>
        <v>47301</v>
      </c>
      <c r="C3509" s="82" t="str">
        <f t="shared" si="222"/>
        <v>lundi</v>
      </c>
      <c r="D3509" s="87"/>
      <c r="E3509" s="115" t="str">
        <f t="shared" si="223"/>
        <v/>
      </c>
      <c r="F3509" s="115" t="str">
        <f t="shared" si="224"/>
        <v/>
      </c>
      <c r="G3509" s="116" t="str">
        <f>IF(ISNONTEXT(D3509),"",E3509-MAX($F$2:F3508))</f>
        <v/>
      </c>
      <c r="H3509" s="97"/>
      <c r="I3509" s="74" t="str">
        <f ca="1">IF(D3509="N",COUNTIF(INDIRECT(ADDRESS(MATCH(Plages!$D$19,'Planning annuel mixing coater'!$B:$B),4)):D3509,"N"),IF(D3509="N1",COUNTIF($D$9:D3509,"N1"),""))</f>
        <v/>
      </c>
      <c r="J3509" s="96" t="str">
        <f>IF(D3509="","",COUNTA(D3502:D3509)-(COUNTA(D3509:D3509)-1))</f>
        <v/>
      </c>
    </row>
    <row r="3510" spans="1:10" thickBot="1">
      <c r="A3510" s="117"/>
      <c r="B3510" s="70">
        <f t="shared" si="221"/>
        <v>47302</v>
      </c>
      <c r="C3510" s="82" t="str">
        <f t="shared" si="222"/>
        <v>mardi</v>
      </c>
      <c r="D3510" s="87"/>
      <c r="E3510" s="115" t="str">
        <f t="shared" si="223"/>
        <v/>
      </c>
      <c r="F3510" s="115" t="str">
        <f t="shared" si="224"/>
        <v/>
      </c>
      <c r="G3510" s="116" t="str">
        <f>IF(ISNONTEXT(D3510),"",E3510-MAX($F$2:F3509))</f>
        <v/>
      </c>
      <c r="H3510" s="97"/>
      <c r="I3510" s="74" t="str">
        <f ca="1">IF(D3510="N",COUNTIF(INDIRECT(ADDRESS(MATCH(Plages!$D$19,'Planning annuel mixing coater'!$B:$B),4)):D3510,"N"),IF(D3510="N1",COUNTIF($D$9:D3510,"N1"),""))</f>
        <v/>
      </c>
      <c r="J3510" s="96" t="str">
        <f>IF(D3510="","",COUNTA(D3502:D3510)-(COUNTA(D3510:D3510)-1))</f>
        <v/>
      </c>
    </row>
    <row r="3511" spans="1:10" thickBot="1">
      <c r="A3511" s="117"/>
      <c r="B3511" s="70">
        <f t="shared" si="221"/>
        <v>47303</v>
      </c>
      <c r="C3511" s="82" t="str">
        <f t="shared" si="222"/>
        <v>mercredi</v>
      </c>
      <c r="D3511" s="87"/>
      <c r="E3511" s="115" t="str">
        <f t="shared" si="223"/>
        <v/>
      </c>
      <c r="F3511" s="115" t="str">
        <f t="shared" si="224"/>
        <v/>
      </c>
      <c r="G3511" s="116" t="str">
        <f>IF(ISNONTEXT(D3511),"",E3511-MAX($F$2:F3510))</f>
        <v/>
      </c>
      <c r="H3511" s="97"/>
      <c r="I3511" s="74" t="str">
        <f ca="1">IF(D3511="N",COUNTIF(INDIRECT(ADDRESS(MATCH(Plages!$D$19,'Planning annuel mixing coater'!$B:$B),4)):D3511,"N"),IF(D3511="N1",COUNTIF($D$9:D3511,"N1"),""))</f>
        <v/>
      </c>
      <c r="J3511" s="96" t="str">
        <f>IF(D3511="","",COUNTA(D3502:D3511)-(COUNTA(D3511:D3511)-1))</f>
        <v/>
      </c>
    </row>
    <row r="3512" spans="1:10" thickBot="1">
      <c r="A3512" s="117"/>
      <c r="B3512" s="70">
        <f t="shared" si="221"/>
        <v>47304</v>
      </c>
      <c r="C3512" s="82" t="str">
        <f t="shared" si="222"/>
        <v>jeudi</v>
      </c>
      <c r="D3512" s="87"/>
      <c r="E3512" s="115" t="str">
        <f t="shared" si="223"/>
        <v/>
      </c>
      <c r="F3512" s="115" t="str">
        <f t="shared" si="224"/>
        <v/>
      </c>
      <c r="G3512" s="116" t="str">
        <f>IF(ISNONTEXT(D3512),"",E3512-MAX($F$2:F3511))</f>
        <v/>
      </c>
      <c r="H3512" s="97"/>
      <c r="I3512" s="74" t="str">
        <f ca="1">IF(D3512="N",COUNTIF(INDIRECT(ADDRESS(MATCH(Plages!$D$19,'Planning annuel mixing coater'!$B:$B),4)):D3512,"N"),IF(D3512="N1",COUNTIF($D$9:D3512,"N1"),""))</f>
        <v/>
      </c>
      <c r="J3512" s="96" t="str">
        <f>IF(D3512="","",COUNTA(D3502:D3512)-(COUNTA(D3512:D3512)-1))</f>
        <v/>
      </c>
    </row>
    <row r="3513" spans="1:10" thickBot="1">
      <c r="A3513" s="117"/>
      <c r="B3513" s="70">
        <f t="shared" si="221"/>
        <v>47305</v>
      </c>
      <c r="C3513" s="82" t="str">
        <f t="shared" si="222"/>
        <v>vendredi</v>
      </c>
      <c r="D3513" s="87"/>
      <c r="E3513" s="115" t="str">
        <f t="shared" si="223"/>
        <v/>
      </c>
      <c r="F3513" s="115" t="str">
        <f t="shared" si="224"/>
        <v/>
      </c>
      <c r="G3513" s="116" t="str">
        <f>IF(ISNONTEXT(D3513),"",E3513-MAX($F$2:F3512))</f>
        <v/>
      </c>
      <c r="H3513" s="97"/>
      <c r="I3513" s="74" t="str">
        <f ca="1">IF(D3513="N",COUNTIF(INDIRECT(ADDRESS(MATCH(Plages!$D$19,'Planning annuel mixing coater'!$B:$B),4)):D3513,"N"),IF(D3513="N1",COUNTIF($D$9:D3513,"N1"),""))</f>
        <v/>
      </c>
      <c r="J3513" s="96" t="str">
        <f>IF(D3513="","",COUNTA(D3502:D3513)-(COUNTA(D3513:D3513)-1))</f>
        <v/>
      </c>
    </row>
    <row r="3514" spans="1:10" thickBot="1">
      <c r="A3514" s="117"/>
      <c r="B3514" s="70">
        <f t="shared" si="221"/>
        <v>47306</v>
      </c>
      <c r="C3514" s="82" t="str">
        <f t="shared" si="222"/>
        <v>samedi</v>
      </c>
      <c r="D3514" s="87"/>
      <c r="E3514" s="115" t="str">
        <f t="shared" si="223"/>
        <v/>
      </c>
      <c r="F3514" s="115" t="str">
        <f t="shared" si="224"/>
        <v/>
      </c>
      <c r="G3514" s="116" t="str">
        <f>IF(ISNONTEXT(D3514),"",E3514-MAX($F$2:F3513))</f>
        <v/>
      </c>
      <c r="H3514" s="97"/>
      <c r="I3514" s="74" t="str">
        <f ca="1">IF(D3514="N",COUNTIF(INDIRECT(ADDRESS(MATCH(Plages!$D$19,'Planning annuel mixing coater'!$B:$B),4)):D3514,"N"),IF(D3514="N1",COUNTIF($D$9:D3514,"N1"),""))</f>
        <v/>
      </c>
      <c r="J3514" s="96" t="str">
        <f>IF(D3514="","",COUNTA(D3502:D3514)-(COUNTA(D3514:D3514)-1))</f>
        <v/>
      </c>
    </row>
    <row r="3515" spans="1:10" s="77" customFormat="1" thickBot="1">
      <c r="A3515" s="117"/>
      <c r="B3515" s="75">
        <f t="shared" si="221"/>
        <v>47307</v>
      </c>
      <c r="C3515" s="83" t="str">
        <f t="shared" si="222"/>
        <v>dimanche</v>
      </c>
      <c r="D3515" s="88"/>
      <c r="E3515" s="115" t="str">
        <f t="shared" si="223"/>
        <v/>
      </c>
      <c r="F3515" s="115" t="str">
        <f t="shared" si="224"/>
        <v/>
      </c>
      <c r="G3515" s="116" t="str">
        <f>IF(ISNONTEXT(D3515),"",E3515-MAX($F$2:F3514))</f>
        <v/>
      </c>
      <c r="H3515" s="98"/>
      <c r="I3515" s="76" t="str">
        <f ca="1">IF(D3515="N",COUNTIF(INDIRECT(ADDRESS(MATCH(Plages!$D$19,'Planning annuel mixing coater'!$B:$B),4)):D3515,"N"),IF(D3515="N1",COUNTIF($D$9:D3515,"N1"),""))</f>
        <v/>
      </c>
      <c r="J3515" s="99" t="str">
        <f>IF(D3515="","",COUNTA(D3502:D3515)-(COUNTA(D3515:D3515)-1))</f>
        <v/>
      </c>
    </row>
    <row r="3516" spans="1:10" ht="16.5" thickTop="1" thickBot="1">
      <c r="A3516" s="117"/>
      <c r="B3516" s="78">
        <f t="shared" si="221"/>
        <v>47308</v>
      </c>
      <c r="C3516" s="81" t="str">
        <f t="shared" si="222"/>
        <v>lundi</v>
      </c>
      <c r="D3516" s="89"/>
      <c r="E3516" s="115" t="str">
        <f t="shared" si="223"/>
        <v/>
      </c>
      <c r="F3516" s="115" t="str">
        <f t="shared" si="224"/>
        <v/>
      </c>
      <c r="G3516" s="116" t="str">
        <f>IF(ISNONTEXT(D3516),"",E3516-MAX($F$2:F3515))</f>
        <v/>
      </c>
      <c r="H3516" s="100"/>
      <c r="I3516" s="79" t="str">
        <f ca="1">IF(D3516="N",COUNTIF(INDIRECT(ADDRESS(MATCH(Plages!$D$19,'Planning annuel mixing coater'!$B:$B),4)):D3516,"N"),IF(D3516="N1",COUNTIF($D$9:D3516,"N1"),""))</f>
        <v/>
      </c>
      <c r="J3516" s="101" t="str">
        <f>IF(D3516="","",COUNTA(D3516:D3516)-(COUNTA(D3516:D3516)-1))</f>
        <v/>
      </c>
    </row>
    <row r="3517" spans="1:10" thickBot="1">
      <c r="A3517" s="117"/>
      <c r="B3517" s="70">
        <f t="shared" si="221"/>
        <v>47309</v>
      </c>
      <c r="C3517" s="82" t="str">
        <f t="shared" si="222"/>
        <v>mardi</v>
      </c>
      <c r="D3517" s="87"/>
      <c r="E3517" s="115" t="str">
        <f t="shared" si="223"/>
        <v/>
      </c>
      <c r="F3517" s="115" t="str">
        <f t="shared" si="224"/>
        <v/>
      </c>
      <c r="G3517" s="116" t="str">
        <f>IF(ISNONTEXT(D3517),"",E3517-MAX($F$2:F3516))</f>
        <v/>
      </c>
      <c r="H3517" s="97"/>
      <c r="I3517" s="74" t="str">
        <f ca="1">IF(D3517="N",COUNTIF(INDIRECT(ADDRESS(MATCH(Plages!$D$19,'Planning annuel mixing coater'!$B:$B),4)):D3517,"N"),IF(D3517="N1",COUNTIF($D$9:D3517,"N1"),""))</f>
        <v/>
      </c>
      <c r="J3517" s="96" t="str">
        <f>IF(D3517="","",COUNTA(D3516:D3517)-(COUNTA(D3517:D3517)-1))</f>
        <v/>
      </c>
    </row>
    <row r="3518" spans="1:10" thickBot="1">
      <c r="A3518" s="117"/>
      <c r="B3518" s="70">
        <f t="shared" si="221"/>
        <v>47310</v>
      </c>
      <c r="C3518" s="82" t="str">
        <f t="shared" si="222"/>
        <v>mercredi</v>
      </c>
      <c r="D3518" s="87"/>
      <c r="E3518" s="115" t="str">
        <f t="shared" si="223"/>
        <v/>
      </c>
      <c r="F3518" s="115" t="str">
        <f t="shared" si="224"/>
        <v/>
      </c>
      <c r="G3518" s="116" t="str">
        <f>IF(ISNONTEXT(D3518),"",E3518-MAX($F$2:F3517))</f>
        <v/>
      </c>
      <c r="H3518" s="97"/>
      <c r="I3518" s="74" t="str">
        <f ca="1">IF(D3518="N",COUNTIF(INDIRECT(ADDRESS(MATCH(Plages!$D$19,'Planning annuel mixing coater'!$B:$B),4)):D3518,"N"),IF(D3518="N1",COUNTIF($D$9:D3518,"N1"),""))</f>
        <v/>
      </c>
      <c r="J3518" s="96" t="str">
        <f>IF(D3518="","",COUNTA(D3516:D3518)-(COUNTA(D3518:D3518)-1))</f>
        <v/>
      </c>
    </row>
    <row r="3519" spans="1:10" thickBot="1">
      <c r="A3519" s="117"/>
      <c r="B3519" s="70">
        <f t="shared" si="221"/>
        <v>47311</v>
      </c>
      <c r="C3519" s="82" t="str">
        <f t="shared" si="222"/>
        <v>jeudi</v>
      </c>
      <c r="D3519" s="87"/>
      <c r="E3519" s="115" t="str">
        <f t="shared" si="223"/>
        <v/>
      </c>
      <c r="F3519" s="115" t="str">
        <f t="shared" si="224"/>
        <v/>
      </c>
      <c r="G3519" s="116" t="str">
        <f>IF(ISNONTEXT(D3519),"",E3519-MAX($F$2:F3518))</f>
        <v/>
      </c>
      <c r="H3519" s="97"/>
      <c r="I3519" s="74" t="str">
        <f ca="1">IF(D3519="N",COUNTIF(INDIRECT(ADDRESS(MATCH(Plages!$D$19,'Planning annuel mixing coater'!$B:$B),4)):D3519,"N"),IF(D3519="N1",COUNTIF($D$9:D3519,"N1"),""))</f>
        <v/>
      </c>
      <c r="J3519" s="96" t="str">
        <f>IF(D3519="","",COUNTA(D3516:D3519)-(COUNTA(D3519:D3519)-1))</f>
        <v/>
      </c>
    </row>
    <row r="3520" spans="1:10" thickBot="1">
      <c r="A3520" s="117"/>
      <c r="B3520" s="70">
        <f t="shared" si="221"/>
        <v>47312</v>
      </c>
      <c r="C3520" s="82" t="str">
        <f t="shared" si="222"/>
        <v>vendredi</v>
      </c>
      <c r="D3520" s="87"/>
      <c r="E3520" s="115" t="str">
        <f t="shared" si="223"/>
        <v/>
      </c>
      <c r="F3520" s="115" t="str">
        <f t="shared" si="224"/>
        <v/>
      </c>
      <c r="G3520" s="116" t="str">
        <f>IF(ISNONTEXT(D3520),"",E3520-MAX($F$2:F3519))</f>
        <v/>
      </c>
      <c r="H3520" s="97"/>
      <c r="I3520" s="74" t="str">
        <f ca="1">IF(D3520="N",COUNTIF(INDIRECT(ADDRESS(MATCH(Plages!$D$19,'Planning annuel mixing coater'!$B:$B),4)):D3520,"N"),IF(D3520="N1",COUNTIF($D$9:D3520,"N1"),""))</f>
        <v/>
      </c>
      <c r="J3520" s="96" t="str">
        <f>IF(D3520="","",COUNTA(D3516:D3520)-(COUNTA(D3520:D3520)-1))</f>
        <v/>
      </c>
    </row>
    <row r="3521" spans="1:10" thickBot="1">
      <c r="A3521" s="117"/>
      <c r="B3521" s="70">
        <f t="shared" si="221"/>
        <v>47313</v>
      </c>
      <c r="C3521" s="82" t="str">
        <f t="shared" si="222"/>
        <v>samedi</v>
      </c>
      <c r="D3521" s="87"/>
      <c r="E3521" s="115" t="str">
        <f t="shared" si="223"/>
        <v/>
      </c>
      <c r="F3521" s="115" t="str">
        <f t="shared" si="224"/>
        <v/>
      </c>
      <c r="G3521" s="116" t="str">
        <f>IF(ISNONTEXT(D3521),"",E3521-MAX($F$2:F3520))</f>
        <v/>
      </c>
      <c r="H3521" s="97"/>
      <c r="I3521" s="74" t="str">
        <f ca="1">IF(D3521="N",COUNTIF(INDIRECT(ADDRESS(MATCH(Plages!$D$19,'Planning annuel mixing coater'!$B:$B),4)):D3521,"N"),IF(D3521="N1",COUNTIF($D$9:D3521,"N1"),""))</f>
        <v/>
      </c>
      <c r="J3521" s="96" t="str">
        <f>IF(D3521="","",COUNTA(D3516:D3521)-(COUNTA(D3521:D3521)-1))</f>
        <v/>
      </c>
    </row>
    <row r="3522" spans="1:10" thickBot="1">
      <c r="A3522" s="117"/>
      <c r="B3522" s="70">
        <f t="shared" si="221"/>
        <v>47314</v>
      </c>
      <c r="C3522" s="82" t="str">
        <f t="shared" si="222"/>
        <v>dimanche</v>
      </c>
      <c r="D3522" s="87"/>
      <c r="E3522" s="115" t="str">
        <f t="shared" si="223"/>
        <v/>
      </c>
      <c r="F3522" s="115" t="str">
        <f t="shared" si="224"/>
        <v/>
      </c>
      <c r="G3522" s="116" t="str">
        <f>IF(ISNONTEXT(D3522),"",E3522-MAX($F$2:F3521))</f>
        <v/>
      </c>
      <c r="H3522" s="98"/>
      <c r="I3522" s="74" t="str">
        <f ca="1">IF(D3522="N",COUNTIF(INDIRECT(ADDRESS(MATCH(Plages!$D$19,'Planning annuel mixing coater'!$B:$B),4)):D3522,"N"),IF(D3522="N1",COUNTIF($D$9:D3522,"N1"),""))</f>
        <v/>
      </c>
      <c r="J3522" s="96" t="str">
        <f>IF(D3522="","",COUNTA(D3516:D3522)-(COUNTA(D3522:D3522)-1))</f>
        <v/>
      </c>
    </row>
    <row r="3523" spans="1:10" thickBot="1">
      <c r="A3523" s="117"/>
      <c r="B3523" s="70">
        <f t="shared" si="221"/>
        <v>47315</v>
      </c>
      <c r="C3523" s="82" t="str">
        <f t="shared" si="222"/>
        <v>lundi</v>
      </c>
      <c r="D3523" s="87"/>
      <c r="E3523" s="115" t="str">
        <f t="shared" si="223"/>
        <v/>
      </c>
      <c r="F3523" s="115" t="str">
        <f t="shared" si="224"/>
        <v/>
      </c>
      <c r="G3523" s="116" t="str">
        <f>IF(ISNONTEXT(D3523),"",E3523-MAX($F$2:F3522))</f>
        <v/>
      </c>
      <c r="H3523" s="97"/>
      <c r="I3523" s="74" t="str">
        <f ca="1">IF(D3523="N",COUNTIF(INDIRECT(ADDRESS(MATCH(Plages!$D$19,'Planning annuel mixing coater'!$B:$B),4)):D3523,"N"),IF(D3523="N1",COUNTIF($D$9:D3523,"N1"),""))</f>
        <v/>
      </c>
      <c r="J3523" s="96" t="str">
        <f>IF(D3523="","",COUNTA(D3516:D3523)-(COUNTA(D3523:D3523)-1))</f>
        <v/>
      </c>
    </row>
    <row r="3524" spans="1:10" thickBot="1">
      <c r="A3524" s="117"/>
      <c r="B3524" s="70">
        <f t="shared" ref="B3524:B3587" si="225">IF(B3523="","",B3523+1)</f>
        <v>47316</v>
      </c>
      <c r="C3524" s="82" t="str">
        <f t="shared" si="222"/>
        <v>mardi</v>
      </c>
      <c r="D3524" s="87"/>
      <c r="E3524" s="115" t="str">
        <f t="shared" si="223"/>
        <v/>
      </c>
      <c r="F3524" s="115" t="str">
        <f t="shared" si="224"/>
        <v/>
      </c>
      <c r="G3524" s="116" t="str">
        <f>IF(ISNONTEXT(D3524),"",E3524-MAX($F$2:F3523))</f>
        <v/>
      </c>
      <c r="H3524" s="97"/>
      <c r="I3524" s="74" t="str">
        <f ca="1">IF(D3524="N",COUNTIF(INDIRECT(ADDRESS(MATCH(Plages!$D$19,'Planning annuel mixing coater'!$B:$B),4)):D3524,"N"),IF(D3524="N1",COUNTIF($D$9:D3524,"N1"),""))</f>
        <v/>
      </c>
      <c r="J3524" s="96" t="str">
        <f>IF(D3524="","",COUNTA(D3516:D3524)-(COUNTA(D3524:D3524)-1))</f>
        <v/>
      </c>
    </row>
    <row r="3525" spans="1:10" thickBot="1">
      <c r="A3525" s="117"/>
      <c r="B3525" s="70">
        <f t="shared" si="225"/>
        <v>47317</v>
      </c>
      <c r="C3525" s="82" t="str">
        <f t="shared" si="222"/>
        <v>mercredi</v>
      </c>
      <c r="D3525" s="87"/>
      <c r="E3525" s="115" t="str">
        <f t="shared" si="223"/>
        <v/>
      </c>
      <c r="F3525" s="115" t="str">
        <f t="shared" si="224"/>
        <v/>
      </c>
      <c r="G3525" s="116" t="str">
        <f>IF(ISNONTEXT(D3525),"",E3525-MAX($F$2:F3524))</f>
        <v/>
      </c>
      <c r="H3525" s="97"/>
      <c r="I3525" s="74" t="str">
        <f ca="1">IF(D3525="N",COUNTIF(INDIRECT(ADDRESS(MATCH(Plages!$D$19,'Planning annuel mixing coater'!$B:$B),4)):D3525,"N"),IF(D3525="N1",COUNTIF($D$9:D3525,"N1"),""))</f>
        <v/>
      </c>
      <c r="J3525" s="96" t="str">
        <f>IF(D3525="","",COUNTA(D3516:D3525)-(COUNTA(D3525:D3525)-1))</f>
        <v/>
      </c>
    </row>
    <row r="3526" spans="1:10" thickBot="1">
      <c r="A3526" s="117"/>
      <c r="B3526" s="70">
        <f t="shared" si="225"/>
        <v>47318</v>
      </c>
      <c r="C3526" s="82" t="str">
        <f t="shared" si="222"/>
        <v>jeudi</v>
      </c>
      <c r="D3526" s="87"/>
      <c r="E3526" s="115" t="str">
        <f t="shared" si="223"/>
        <v/>
      </c>
      <c r="F3526" s="115" t="str">
        <f t="shared" si="224"/>
        <v/>
      </c>
      <c r="G3526" s="116" t="str">
        <f>IF(ISNONTEXT(D3526),"",E3526-MAX($F$2:F3525))</f>
        <v/>
      </c>
      <c r="H3526" s="97"/>
      <c r="I3526" s="74" t="str">
        <f ca="1">IF(D3526="N",COUNTIF(INDIRECT(ADDRESS(MATCH(Plages!$D$19,'Planning annuel mixing coater'!$B:$B),4)):D3526,"N"),IF(D3526="N1",COUNTIF($D$9:D3526,"N1"),""))</f>
        <v/>
      </c>
      <c r="J3526" s="96" t="str">
        <f>IF(D3526="","",COUNTA(D3516:D3526)-(COUNTA(D3526:D3526)-1))</f>
        <v/>
      </c>
    </row>
    <row r="3527" spans="1:10" thickBot="1">
      <c r="A3527" s="117"/>
      <c r="B3527" s="70">
        <f t="shared" si="225"/>
        <v>47319</v>
      </c>
      <c r="C3527" s="82" t="str">
        <f t="shared" si="222"/>
        <v>vendredi</v>
      </c>
      <c r="D3527" s="87"/>
      <c r="E3527" s="115" t="str">
        <f t="shared" si="223"/>
        <v/>
      </c>
      <c r="F3527" s="115" t="str">
        <f t="shared" si="224"/>
        <v/>
      </c>
      <c r="G3527" s="116" t="str">
        <f>IF(ISNONTEXT(D3527),"",E3527-MAX($F$2:F3526))</f>
        <v/>
      </c>
      <c r="H3527" s="97"/>
      <c r="I3527" s="74" t="str">
        <f ca="1">IF(D3527="N",COUNTIF(INDIRECT(ADDRESS(MATCH(Plages!$D$19,'Planning annuel mixing coater'!$B:$B),4)):D3527,"N"),IF(D3527="N1",COUNTIF($D$9:D3527,"N1"),""))</f>
        <v/>
      </c>
      <c r="J3527" s="96" t="str">
        <f>IF(D3527="","",COUNTA(D3516:D3527)-(COUNTA(D3527:D3527)-1))</f>
        <v/>
      </c>
    </row>
    <row r="3528" spans="1:10" thickBot="1">
      <c r="A3528" s="117"/>
      <c r="B3528" s="70">
        <f t="shared" si="225"/>
        <v>47320</v>
      </c>
      <c r="C3528" s="82" t="str">
        <f t="shared" si="222"/>
        <v>samedi</v>
      </c>
      <c r="D3528" s="87"/>
      <c r="E3528" s="115" t="str">
        <f t="shared" si="223"/>
        <v/>
      </c>
      <c r="F3528" s="115" t="str">
        <f t="shared" si="224"/>
        <v/>
      </c>
      <c r="G3528" s="116" t="str">
        <f>IF(ISNONTEXT(D3528),"",E3528-MAX($F$2:F3527))</f>
        <v/>
      </c>
      <c r="H3528" s="97"/>
      <c r="I3528" s="74" t="str">
        <f ca="1">IF(D3528="N",COUNTIF(INDIRECT(ADDRESS(MATCH(Plages!$D$19,'Planning annuel mixing coater'!$B:$B),4)):D3528,"N"),IF(D3528="N1",COUNTIF($D$9:D3528,"N1"),""))</f>
        <v/>
      </c>
      <c r="J3528" s="96" t="str">
        <f>IF(D3528="","",COUNTA(D3516:D3528)-(COUNTA(D3528:D3528)-1))</f>
        <v/>
      </c>
    </row>
    <row r="3529" spans="1:10" s="77" customFormat="1" thickBot="1">
      <c r="A3529" s="117"/>
      <c r="B3529" s="75">
        <f t="shared" si="225"/>
        <v>47321</v>
      </c>
      <c r="C3529" s="83" t="str">
        <f t="shared" si="222"/>
        <v>dimanche</v>
      </c>
      <c r="D3529" s="88"/>
      <c r="E3529" s="115" t="str">
        <f t="shared" si="223"/>
        <v/>
      </c>
      <c r="F3529" s="115" t="str">
        <f t="shared" si="224"/>
        <v/>
      </c>
      <c r="G3529" s="116" t="str">
        <f>IF(ISNONTEXT(D3529),"",E3529-MAX($F$2:F3528))</f>
        <v/>
      </c>
      <c r="H3529" s="98"/>
      <c r="I3529" s="76" t="str">
        <f ca="1">IF(D3529="N",COUNTIF(INDIRECT(ADDRESS(MATCH(Plages!$D$19,'Planning annuel mixing coater'!$B:$B),4)):D3529,"N"),IF(D3529="N1",COUNTIF($D$9:D3529,"N1"),""))</f>
        <v/>
      </c>
      <c r="J3529" s="99" t="str">
        <f>IF(D3529="","",COUNTA(D3516:D3529)-(COUNTA(D3529:D3529)-1))</f>
        <v/>
      </c>
    </row>
    <row r="3530" spans="1:10" ht="16.5" thickTop="1" thickBot="1">
      <c r="A3530" s="117"/>
      <c r="B3530" s="78">
        <f t="shared" si="225"/>
        <v>47322</v>
      </c>
      <c r="C3530" s="81" t="str">
        <f t="shared" si="222"/>
        <v>lundi</v>
      </c>
      <c r="D3530" s="89"/>
      <c r="E3530" s="115" t="str">
        <f t="shared" si="223"/>
        <v/>
      </c>
      <c r="F3530" s="115" t="str">
        <f t="shared" si="224"/>
        <v/>
      </c>
      <c r="G3530" s="116" t="str">
        <f>IF(ISNONTEXT(D3530),"",E3530-MAX($F$2:F3529))</f>
        <v/>
      </c>
      <c r="H3530" s="100"/>
      <c r="I3530" s="79" t="str">
        <f ca="1">IF(D3530="N",COUNTIF(INDIRECT(ADDRESS(MATCH(Plages!$D$19,'Planning annuel mixing coater'!$B:$B),4)):D3530,"N"),IF(D3530="N1",COUNTIF($D$9:D3530,"N1"),""))</f>
        <v/>
      </c>
      <c r="J3530" s="101" t="str">
        <f>IF(D3530="","",COUNTA(D3530:D3530)-(COUNTA(D3530:D3530)-1))</f>
        <v/>
      </c>
    </row>
    <row r="3531" spans="1:10" thickBot="1">
      <c r="A3531" s="117"/>
      <c r="B3531" s="70">
        <f t="shared" si="225"/>
        <v>47323</v>
      </c>
      <c r="C3531" s="82" t="str">
        <f t="shared" si="222"/>
        <v>mardi</v>
      </c>
      <c r="D3531" s="87"/>
      <c r="E3531" s="115" t="str">
        <f t="shared" si="223"/>
        <v/>
      </c>
      <c r="F3531" s="115" t="str">
        <f t="shared" si="224"/>
        <v/>
      </c>
      <c r="G3531" s="116" t="str">
        <f>IF(ISNONTEXT(D3531),"",E3531-MAX($F$2:F3530))</f>
        <v/>
      </c>
      <c r="H3531" s="97"/>
      <c r="I3531" s="74" t="str">
        <f ca="1">IF(D3531="N",COUNTIF(INDIRECT(ADDRESS(MATCH(Plages!$D$19,'Planning annuel mixing coater'!$B:$B),4)):D3531,"N"),IF(D3531="N1",COUNTIF($D$9:D3531,"N1"),""))</f>
        <v/>
      </c>
      <c r="J3531" s="96" t="str">
        <f>IF(D3531="","",COUNTA(D3530:D3531)-(COUNTA(D3531:D3531)-1))</f>
        <v/>
      </c>
    </row>
    <row r="3532" spans="1:10" thickBot="1">
      <c r="A3532" s="117"/>
      <c r="B3532" s="70">
        <f t="shared" si="225"/>
        <v>47324</v>
      </c>
      <c r="C3532" s="82" t="str">
        <f t="shared" si="222"/>
        <v>mercredi</v>
      </c>
      <c r="D3532" s="87"/>
      <c r="E3532" s="115" t="str">
        <f t="shared" si="223"/>
        <v/>
      </c>
      <c r="F3532" s="115" t="str">
        <f t="shared" si="224"/>
        <v/>
      </c>
      <c r="G3532" s="116" t="str">
        <f>IF(ISNONTEXT(D3532),"",E3532-MAX($F$2:F3531))</f>
        <v/>
      </c>
      <c r="H3532" s="97"/>
      <c r="I3532" s="74" t="str">
        <f ca="1">IF(D3532="N",COUNTIF(INDIRECT(ADDRESS(MATCH(Plages!$D$19,'Planning annuel mixing coater'!$B:$B),4)):D3532,"N"),IF(D3532="N1",COUNTIF($D$9:D3532,"N1"),""))</f>
        <v/>
      </c>
      <c r="J3532" s="96" t="str">
        <f>IF(D3532="","",COUNTA(D3530:D3532)-(COUNTA(D3532:D3532)-1))</f>
        <v/>
      </c>
    </row>
    <row r="3533" spans="1:10" thickBot="1">
      <c r="A3533" s="117"/>
      <c r="B3533" s="70">
        <f t="shared" si="225"/>
        <v>47325</v>
      </c>
      <c r="C3533" s="82" t="str">
        <f t="shared" si="222"/>
        <v>jeudi</v>
      </c>
      <c r="D3533" s="87"/>
      <c r="E3533" s="115" t="str">
        <f t="shared" si="223"/>
        <v/>
      </c>
      <c r="F3533" s="115" t="str">
        <f t="shared" si="224"/>
        <v/>
      </c>
      <c r="G3533" s="116" t="str">
        <f>IF(ISNONTEXT(D3533),"",E3533-MAX($F$2:F3532))</f>
        <v/>
      </c>
      <c r="H3533" s="97"/>
      <c r="I3533" s="74" t="str">
        <f ca="1">IF(D3533="N",COUNTIF(INDIRECT(ADDRESS(MATCH(Plages!$D$19,'Planning annuel mixing coater'!$B:$B),4)):D3533,"N"),IF(D3533="N1",COUNTIF($D$9:D3533,"N1"),""))</f>
        <v/>
      </c>
      <c r="J3533" s="96" t="str">
        <f>IF(D3533="","",COUNTA(D3530:D3533)-(COUNTA(D3533:D3533)-1))</f>
        <v/>
      </c>
    </row>
    <row r="3534" spans="1:10" thickBot="1">
      <c r="A3534" s="117"/>
      <c r="B3534" s="70">
        <f t="shared" si="225"/>
        <v>47326</v>
      </c>
      <c r="C3534" s="82" t="str">
        <f t="shared" si="222"/>
        <v>vendredi</v>
      </c>
      <c r="D3534" s="87"/>
      <c r="E3534" s="115" t="str">
        <f t="shared" si="223"/>
        <v/>
      </c>
      <c r="F3534" s="115" t="str">
        <f t="shared" si="224"/>
        <v/>
      </c>
      <c r="G3534" s="116" t="str">
        <f>IF(ISNONTEXT(D3534),"",E3534-MAX($F$2:F3533))</f>
        <v/>
      </c>
      <c r="H3534" s="97"/>
      <c r="I3534" s="74" t="str">
        <f ca="1">IF(D3534="N",COUNTIF(INDIRECT(ADDRESS(MATCH(Plages!$D$19,'Planning annuel mixing coater'!$B:$B),4)):D3534,"N"),IF(D3534="N1",COUNTIF($D$9:D3534,"N1"),""))</f>
        <v/>
      </c>
      <c r="J3534" s="96" t="str">
        <f>IF(D3534="","",COUNTA(D3530:D3534)-(COUNTA(D3534:D3534)-1))</f>
        <v/>
      </c>
    </row>
    <row r="3535" spans="1:10" thickBot="1">
      <c r="A3535" s="117"/>
      <c r="B3535" s="70">
        <f t="shared" si="225"/>
        <v>47327</v>
      </c>
      <c r="C3535" s="82" t="str">
        <f t="shared" si="222"/>
        <v>samedi</v>
      </c>
      <c r="D3535" s="87"/>
      <c r="E3535" s="115" t="str">
        <f t="shared" si="223"/>
        <v/>
      </c>
      <c r="F3535" s="115" t="str">
        <f t="shared" si="224"/>
        <v/>
      </c>
      <c r="G3535" s="116" t="str">
        <f>IF(ISNONTEXT(D3535),"",E3535-MAX($F$2:F3534))</f>
        <v/>
      </c>
      <c r="H3535" s="97"/>
      <c r="I3535" s="74" t="str">
        <f ca="1">IF(D3535="N",COUNTIF(INDIRECT(ADDRESS(MATCH(Plages!$D$19,'Planning annuel mixing coater'!$B:$B),4)):D3535,"N"),IF(D3535="N1",COUNTIF($D$9:D3535,"N1"),""))</f>
        <v/>
      </c>
      <c r="J3535" s="96" t="str">
        <f>IF(D3535="","",COUNTA(D3530:D3535)-(COUNTA(D3535:D3535)-1))</f>
        <v/>
      </c>
    </row>
    <row r="3536" spans="1:10" thickBot="1">
      <c r="A3536" s="117"/>
      <c r="B3536" s="70">
        <f t="shared" si="225"/>
        <v>47328</v>
      </c>
      <c r="C3536" s="82" t="str">
        <f t="shared" si="222"/>
        <v>dimanche</v>
      </c>
      <c r="D3536" s="87"/>
      <c r="E3536" s="115" t="str">
        <f t="shared" si="223"/>
        <v/>
      </c>
      <c r="F3536" s="115" t="str">
        <f t="shared" si="224"/>
        <v/>
      </c>
      <c r="G3536" s="116" t="str">
        <f>IF(ISNONTEXT(D3536),"",E3536-MAX($F$2:F3535))</f>
        <v/>
      </c>
      <c r="H3536" s="98"/>
      <c r="I3536" s="74" t="str">
        <f ca="1">IF(D3536="N",COUNTIF(INDIRECT(ADDRESS(MATCH(Plages!$D$19,'Planning annuel mixing coater'!$B:$B),4)):D3536,"N"),IF(D3536="N1",COUNTIF($D$9:D3536,"N1"),""))</f>
        <v/>
      </c>
      <c r="J3536" s="96" t="str">
        <f>IF(D3536="","",COUNTA(D3530:D3536)-(COUNTA(D3536:D3536)-1))</f>
        <v/>
      </c>
    </row>
    <row r="3537" spans="1:10" thickBot="1">
      <c r="A3537" s="117"/>
      <c r="B3537" s="70">
        <f t="shared" si="225"/>
        <v>47329</v>
      </c>
      <c r="C3537" s="82" t="str">
        <f t="shared" si="222"/>
        <v>lundi</v>
      </c>
      <c r="D3537" s="87"/>
      <c r="E3537" s="115" t="str">
        <f t="shared" si="223"/>
        <v/>
      </c>
      <c r="F3537" s="115" t="str">
        <f t="shared" si="224"/>
        <v/>
      </c>
      <c r="G3537" s="116" t="str">
        <f>IF(ISNONTEXT(D3537),"",E3537-MAX($F$2:F3536))</f>
        <v/>
      </c>
      <c r="H3537" s="97"/>
      <c r="I3537" s="74" t="str">
        <f ca="1">IF(D3537="N",COUNTIF(INDIRECT(ADDRESS(MATCH(Plages!$D$19,'Planning annuel mixing coater'!$B:$B),4)):D3537,"N"),IF(D3537="N1",COUNTIF($D$9:D3537,"N1"),""))</f>
        <v/>
      </c>
      <c r="J3537" s="96" t="str">
        <f>IF(D3537="","",COUNTA(D3530:D3537)-(COUNTA(D3537:D3537)-1))</f>
        <v/>
      </c>
    </row>
    <row r="3538" spans="1:10" thickBot="1">
      <c r="A3538" s="117"/>
      <c r="B3538" s="70">
        <f t="shared" si="225"/>
        <v>47330</v>
      </c>
      <c r="C3538" s="82" t="str">
        <f t="shared" si="222"/>
        <v>mardi</v>
      </c>
      <c r="D3538" s="87"/>
      <c r="E3538" s="115" t="str">
        <f t="shared" si="223"/>
        <v/>
      </c>
      <c r="F3538" s="115" t="str">
        <f t="shared" si="224"/>
        <v/>
      </c>
      <c r="G3538" s="116" t="str">
        <f>IF(ISNONTEXT(D3538),"",E3538-MAX($F$2:F3537))</f>
        <v/>
      </c>
      <c r="H3538" s="97"/>
      <c r="I3538" s="74" t="str">
        <f ca="1">IF(D3538="N",COUNTIF(INDIRECT(ADDRESS(MATCH(Plages!$D$19,'Planning annuel mixing coater'!$B:$B),4)):D3538,"N"),IF(D3538="N1",COUNTIF($D$9:D3538,"N1"),""))</f>
        <v/>
      </c>
      <c r="J3538" s="96" t="str">
        <f>IF(D3538="","",COUNTA(D3530:D3538)-(COUNTA(D3538:D3538)-1))</f>
        <v/>
      </c>
    </row>
    <row r="3539" spans="1:10" thickBot="1">
      <c r="A3539" s="117"/>
      <c r="B3539" s="70">
        <f t="shared" si="225"/>
        <v>47331</v>
      </c>
      <c r="C3539" s="82" t="str">
        <f t="shared" si="222"/>
        <v>mercredi</v>
      </c>
      <c r="D3539" s="87"/>
      <c r="E3539" s="115" t="str">
        <f t="shared" si="223"/>
        <v/>
      </c>
      <c r="F3539" s="115" t="str">
        <f t="shared" si="224"/>
        <v/>
      </c>
      <c r="G3539" s="116" t="str">
        <f>IF(ISNONTEXT(D3539),"",E3539-MAX($F$2:F3538))</f>
        <v/>
      </c>
      <c r="H3539" s="97"/>
      <c r="I3539" s="74" t="str">
        <f ca="1">IF(D3539="N",COUNTIF(INDIRECT(ADDRESS(MATCH(Plages!$D$19,'Planning annuel mixing coater'!$B:$B),4)):D3539,"N"),IF(D3539="N1",COUNTIF($D$9:D3539,"N1"),""))</f>
        <v/>
      </c>
      <c r="J3539" s="96" t="str">
        <f>IF(D3539="","",COUNTA(D3530:D3539)-(COUNTA(D3539:D3539)-1))</f>
        <v/>
      </c>
    </row>
    <row r="3540" spans="1:10" thickBot="1">
      <c r="A3540" s="117"/>
      <c r="B3540" s="70">
        <f t="shared" si="225"/>
        <v>47332</v>
      </c>
      <c r="C3540" s="82" t="str">
        <f t="shared" si="222"/>
        <v>jeudi</v>
      </c>
      <c r="D3540" s="87"/>
      <c r="E3540" s="115" t="str">
        <f t="shared" si="223"/>
        <v/>
      </c>
      <c r="F3540" s="115" t="str">
        <f t="shared" si="224"/>
        <v/>
      </c>
      <c r="G3540" s="116" t="str">
        <f>IF(ISNONTEXT(D3540),"",E3540-MAX($F$2:F3539))</f>
        <v/>
      </c>
      <c r="H3540" s="97"/>
      <c r="I3540" s="74" t="str">
        <f ca="1">IF(D3540="N",COUNTIF(INDIRECT(ADDRESS(MATCH(Plages!$D$19,'Planning annuel mixing coater'!$B:$B),4)):D3540,"N"),IF(D3540="N1",COUNTIF($D$9:D3540,"N1"),""))</f>
        <v/>
      </c>
      <c r="J3540" s="96" t="str">
        <f>IF(D3540="","",COUNTA(D3530:D3540)-(COUNTA(D3540:D3540)-1))</f>
        <v/>
      </c>
    </row>
    <row r="3541" spans="1:10" thickBot="1">
      <c r="A3541" s="117"/>
      <c r="B3541" s="70">
        <f t="shared" si="225"/>
        <v>47333</v>
      </c>
      <c r="C3541" s="82" t="str">
        <f t="shared" si="222"/>
        <v>vendredi</v>
      </c>
      <c r="D3541" s="87"/>
      <c r="E3541" s="115" t="str">
        <f t="shared" si="223"/>
        <v/>
      </c>
      <c r="F3541" s="115" t="str">
        <f t="shared" si="224"/>
        <v/>
      </c>
      <c r="G3541" s="116" t="str">
        <f>IF(ISNONTEXT(D3541),"",E3541-MAX($F$2:F3540))</f>
        <v/>
      </c>
      <c r="H3541" s="97"/>
      <c r="I3541" s="74" t="str">
        <f ca="1">IF(D3541="N",COUNTIF(INDIRECT(ADDRESS(MATCH(Plages!$D$19,'Planning annuel mixing coater'!$B:$B),4)):D3541,"N"),IF(D3541="N1",COUNTIF($D$9:D3541,"N1"),""))</f>
        <v/>
      </c>
      <c r="J3541" s="96" t="str">
        <f>IF(D3541="","",COUNTA(D3530:D3541)-(COUNTA(D3541:D3541)-1))</f>
        <v/>
      </c>
    </row>
    <row r="3542" spans="1:10" thickBot="1">
      <c r="A3542" s="117"/>
      <c r="B3542" s="70">
        <f t="shared" si="225"/>
        <v>47334</v>
      </c>
      <c r="C3542" s="82" t="str">
        <f t="shared" si="222"/>
        <v>samedi</v>
      </c>
      <c r="D3542" s="87"/>
      <c r="E3542" s="115" t="str">
        <f t="shared" si="223"/>
        <v/>
      </c>
      <c r="F3542" s="115" t="str">
        <f t="shared" si="224"/>
        <v/>
      </c>
      <c r="G3542" s="116" t="str">
        <f>IF(ISNONTEXT(D3542),"",E3542-MAX($F$2:F3541))</f>
        <v/>
      </c>
      <c r="H3542" s="97"/>
      <c r="I3542" s="74" t="str">
        <f ca="1">IF(D3542="N",COUNTIF(INDIRECT(ADDRESS(MATCH(Plages!$D$19,'Planning annuel mixing coater'!$B:$B),4)):D3542,"N"),IF(D3542="N1",COUNTIF($D$9:D3542,"N1"),""))</f>
        <v/>
      </c>
      <c r="J3542" s="96" t="str">
        <f>IF(D3542="","",COUNTA(D3530:D3542)-(COUNTA(D3542:D3542)-1))</f>
        <v/>
      </c>
    </row>
    <row r="3543" spans="1:10" s="77" customFormat="1" thickBot="1">
      <c r="A3543" s="117"/>
      <c r="B3543" s="75">
        <f t="shared" si="225"/>
        <v>47335</v>
      </c>
      <c r="C3543" s="83" t="str">
        <f t="shared" si="222"/>
        <v>dimanche</v>
      </c>
      <c r="D3543" s="88"/>
      <c r="E3543" s="115" t="str">
        <f t="shared" si="223"/>
        <v/>
      </c>
      <c r="F3543" s="115" t="str">
        <f t="shared" si="224"/>
        <v/>
      </c>
      <c r="G3543" s="116" t="str">
        <f>IF(ISNONTEXT(D3543),"",E3543-MAX($F$2:F3542))</f>
        <v/>
      </c>
      <c r="H3543" s="98"/>
      <c r="I3543" s="76" t="str">
        <f ca="1">IF(D3543="N",COUNTIF(INDIRECT(ADDRESS(MATCH(Plages!$D$19,'Planning annuel mixing coater'!$B:$B),4)):D3543,"N"),IF(D3543="N1",COUNTIF($D$9:D3543,"N1"),""))</f>
        <v/>
      </c>
      <c r="J3543" s="99" t="str">
        <f>IF(D3543="","",COUNTA(D3530:D3543)-(COUNTA(D3543:D3543)-1))</f>
        <v/>
      </c>
    </row>
    <row r="3544" spans="1:10" ht="16.5" thickTop="1" thickBot="1">
      <c r="A3544" s="117"/>
      <c r="B3544" s="78">
        <f t="shared" si="225"/>
        <v>47336</v>
      </c>
      <c r="C3544" s="81" t="str">
        <f t="shared" si="222"/>
        <v>lundi</v>
      </c>
      <c r="D3544" s="89"/>
      <c r="E3544" s="115" t="str">
        <f t="shared" si="223"/>
        <v/>
      </c>
      <c r="F3544" s="115" t="str">
        <f t="shared" si="224"/>
        <v/>
      </c>
      <c r="G3544" s="116" t="str">
        <f>IF(ISNONTEXT(D3544),"",E3544-MAX($F$2:F3543))</f>
        <v/>
      </c>
      <c r="H3544" s="100"/>
      <c r="I3544" s="79" t="str">
        <f ca="1">IF(D3544="N",COUNTIF(INDIRECT(ADDRESS(MATCH(Plages!$D$19,'Planning annuel mixing coater'!$B:$B),4)):D3544,"N"),IF(D3544="N1",COUNTIF($D$9:D3544,"N1"),""))</f>
        <v/>
      </c>
      <c r="J3544" s="101" t="str">
        <f>IF(D3544="","",COUNTA(D3544:D3544)-(COUNTA(D3544:D3544)-1))</f>
        <v/>
      </c>
    </row>
    <row r="3545" spans="1:10" thickBot="1">
      <c r="A3545" s="117"/>
      <c r="B3545" s="70">
        <f t="shared" si="225"/>
        <v>47337</v>
      </c>
      <c r="C3545" s="82" t="str">
        <f t="shared" si="222"/>
        <v>mardi</v>
      </c>
      <c r="D3545" s="87"/>
      <c r="E3545" s="115" t="str">
        <f t="shared" si="223"/>
        <v/>
      </c>
      <c r="F3545" s="115" t="str">
        <f t="shared" si="224"/>
        <v/>
      </c>
      <c r="G3545" s="116" t="str">
        <f>IF(ISNONTEXT(D3545),"",E3545-MAX($F$2:F3544))</f>
        <v/>
      </c>
      <c r="H3545" s="97"/>
      <c r="I3545" s="74" t="str">
        <f ca="1">IF(D3545="N",COUNTIF(INDIRECT(ADDRESS(MATCH(Plages!$D$19,'Planning annuel mixing coater'!$B:$B),4)):D3545,"N"),IF(D3545="N1",COUNTIF($D$9:D3545,"N1"),""))</f>
        <v/>
      </c>
      <c r="J3545" s="96" t="str">
        <f>IF(D3545="","",COUNTA(D3544:D3545)-(COUNTA(D3545:D3545)-1))</f>
        <v/>
      </c>
    </row>
    <row r="3546" spans="1:10" thickBot="1">
      <c r="A3546" s="117"/>
      <c r="B3546" s="70">
        <f t="shared" si="225"/>
        <v>47338</v>
      </c>
      <c r="C3546" s="82" t="str">
        <f t="shared" si="222"/>
        <v>mercredi</v>
      </c>
      <c r="D3546" s="87"/>
      <c r="E3546" s="115" t="str">
        <f t="shared" si="223"/>
        <v/>
      </c>
      <c r="F3546" s="115" t="str">
        <f t="shared" si="224"/>
        <v/>
      </c>
      <c r="G3546" s="116" t="str">
        <f>IF(ISNONTEXT(D3546),"",E3546-MAX($F$2:F3545))</f>
        <v/>
      </c>
      <c r="H3546" s="97"/>
      <c r="I3546" s="74" t="str">
        <f ca="1">IF(D3546="N",COUNTIF(INDIRECT(ADDRESS(MATCH(Plages!$D$19,'Planning annuel mixing coater'!$B:$B),4)):D3546,"N"),IF(D3546="N1",COUNTIF($D$9:D3546,"N1"),""))</f>
        <v/>
      </c>
      <c r="J3546" s="96" t="str">
        <f>IF(D3546="","",COUNTA(D3544:D3546)-(COUNTA(D3546:D3546)-1))</f>
        <v/>
      </c>
    </row>
    <row r="3547" spans="1:10" thickBot="1">
      <c r="A3547" s="117"/>
      <c r="B3547" s="70">
        <f t="shared" si="225"/>
        <v>47339</v>
      </c>
      <c r="C3547" s="82" t="str">
        <f t="shared" si="222"/>
        <v>jeudi</v>
      </c>
      <c r="D3547" s="87"/>
      <c r="E3547" s="115" t="str">
        <f t="shared" si="223"/>
        <v/>
      </c>
      <c r="F3547" s="115" t="str">
        <f t="shared" si="224"/>
        <v/>
      </c>
      <c r="G3547" s="116" t="str">
        <f>IF(ISNONTEXT(D3547),"",E3547-MAX($F$2:F3546))</f>
        <v/>
      </c>
      <c r="H3547" s="97"/>
      <c r="I3547" s="74" t="str">
        <f ca="1">IF(D3547="N",COUNTIF(INDIRECT(ADDRESS(MATCH(Plages!$D$19,'Planning annuel mixing coater'!$B:$B),4)):D3547,"N"),IF(D3547="N1",COUNTIF($D$9:D3547,"N1"),""))</f>
        <v/>
      </c>
      <c r="J3547" s="96" t="str">
        <f>IF(D3547="","",COUNTA(D3544:D3547)-(COUNTA(D3547:D3547)-1))</f>
        <v/>
      </c>
    </row>
    <row r="3548" spans="1:10" thickBot="1">
      <c r="A3548" s="117"/>
      <c r="B3548" s="70">
        <f t="shared" si="225"/>
        <v>47340</v>
      </c>
      <c r="C3548" s="82" t="str">
        <f t="shared" si="222"/>
        <v>vendredi</v>
      </c>
      <c r="D3548" s="87"/>
      <c r="E3548" s="115" t="str">
        <f t="shared" si="223"/>
        <v/>
      </c>
      <c r="F3548" s="115" t="str">
        <f t="shared" si="224"/>
        <v/>
      </c>
      <c r="G3548" s="116" t="str">
        <f>IF(ISNONTEXT(D3548),"",E3548-MAX($F$2:F3547))</f>
        <v/>
      </c>
      <c r="H3548" s="97"/>
      <c r="I3548" s="74" t="str">
        <f ca="1">IF(D3548="N",COUNTIF(INDIRECT(ADDRESS(MATCH(Plages!$D$19,'Planning annuel mixing coater'!$B:$B),4)):D3548,"N"),IF(D3548="N1",COUNTIF($D$9:D3548,"N1"),""))</f>
        <v/>
      </c>
      <c r="J3548" s="96" t="str">
        <f>IF(D3548="","",COUNTA(D3544:D3548)-(COUNTA(D3548:D3548)-1))</f>
        <v/>
      </c>
    </row>
    <row r="3549" spans="1:10" thickBot="1">
      <c r="A3549" s="117"/>
      <c r="B3549" s="70">
        <f t="shared" si="225"/>
        <v>47341</v>
      </c>
      <c r="C3549" s="82" t="str">
        <f t="shared" si="222"/>
        <v>samedi</v>
      </c>
      <c r="D3549" s="87"/>
      <c r="E3549" s="115" t="str">
        <f t="shared" si="223"/>
        <v/>
      </c>
      <c r="F3549" s="115" t="str">
        <f t="shared" si="224"/>
        <v/>
      </c>
      <c r="G3549" s="116" t="str">
        <f>IF(ISNONTEXT(D3549),"",E3549-MAX($F$2:F3548))</f>
        <v/>
      </c>
      <c r="H3549" s="97"/>
      <c r="I3549" s="74" t="str">
        <f ca="1">IF(D3549="N",COUNTIF(INDIRECT(ADDRESS(MATCH(Plages!$D$19,'Planning annuel mixing coater'!$B:$B),4)):D3549,"N"),IF(D3549="N1",COUNTIF($D$9:D3549,"N1"),""))</f>
        <v/>
      </c>
      <c r="J3549" s="96" t="str">
        <f>IF(D3549="","",COUNTA(D3544:D3549)-(COUNTA(D3549:D3549)-1))</f>
        <v/>
      </c>
    </row>
    <row r="3550" spans="1:10" thickBot="1">
      <c r="A3550" s="117"/>
      <c r="B3550" s="70">
        <f t="shared" si="225"/>
        <v>47342</v>
      </c>
      <c r="C3550" s="82" t="str">
        <f t="shared" ref="C3550:C3613" si="226">IF(B3550="","",TEXT(B3550,"jjjj"))</f>
        <v>dimanche</v>
      </c>
      <c r="D3550" s="87"/>
      <c r="E3550" s="115" t="str">
        <f t="shared" ref="E3550:E3613" si="227">IF(D3550="","",B3550+VLOOKUP(D3550,Plageh,2,0))</f>
        <v/>
      </c>
      <c r="F3550" s="115" t="str">
        <f t="shared" ref="F3550:F3613" si="228">IF(D3550="","",B3550+VLOOKUP(D3550,Plageh,3,0))</f>
        <v/>
      </c>
      <c r="G3550" s="116" t="str">
        <f>IF(ISNONTEXT(D3550),"",E3550-MAX($F$2:F3549))</f>
        <v/>
      </c>
      <c r="H3550" s="98"/>
      <c r="I3550" s="74" t="str">
        <f ca="1">IF(D3550="N",COUNTIF(INDIRECT(ADDRESS(MATCH(Plages!$D$19,'Planning annuel mixing coater'!$B:$B),4)):D3550,"N"),IF(D3550="N1",COUNTIF($D$9:D3550,"N1"),""))</f>
        <v/>
      </c>
      <c r="J3550" s="96" t="str">
        <f>IF(D3550="","",COUNTA(D3544:D3550)-(COUNTA(D3550:D3550)-1))</f>
        <v/>
      </c>
    </row>
    <row r="3551" spans="1:10" thickBot="1">
      <c r="A3551" s="117"/>
      <c r="B3551" s="70">
        <f t="shared" si="225"/>
        <v>47343</v>
      </c>
      <c r="C3551" s="82" t="str">
        <f t="shared" si="226"/>
        <v>lundi</v>
      </c>
      <c r="D3551" s="87"/>
      <c r="E3551" s="115" t="str">
        <f t="shared" si="227"/>
        <v/>
      </c>
      <c r="F3551" s="115" t="str">
        <f t="shared" si="228"/>
        <v/>
      </c>
      <c r="G3551" s="116" t="str">
        <f>IF(ISNONTEXT(D3551),"",E3551-MAX($F$2:F3550))</f>
        <v/>
      </c>
      <c r="H3551" s="97"/>
      <c r="I3551" s="74" t="str">
        <f ca="1">IF(D3551="N",COUNTIF(INDIRECT(ADDRESS(MATCH(Plages!$D$19,'Planning annuel mixing coater'!$B:$B),4)):D3551,"N"),IF(D3551="N1",COUNTIF($D$9:D3551,"N1"),""))</f>
        <v/>
      </c>
      <c r="J3551" s="96" t="str">
        <f>IF(D3551="","",COUNTA(D3544:D3551)-(COUNTA(D3551:D3551)-1))</f>
        <v/>
      </c>
    </row>
    <row r="3552" spans="1:10" thickBot="1">
      <c r="A3552" s="117"/>
      <c r="B3552" s="70">
        <f t="shared" si="225"/>
        <v>47344</v>
      </c>
      <c r="C3552" s="82" t="str">
        <f t="shared" si="226"/>
        <v>mardi</v>
      </c>
      <c r="D3552" s="87"/>
      <c r="E3552" s="115" t="str">
        <f t="shared" si="227"/>
        <v/>
      </c>
      <c r="F3552" s="115" t="str">
        <f t="shared" si="228"/>
        <v/>
      </c>
      <c r="G3552" s="116" t="str">
        <f>IF(ISNONTEXT(D3552),"",E3552-MAX($F$2:F3551))</f>
        <v/>
      </c>
      <c r="H3552" s="97"/>
      <c r="I3552" s="74" t="str">
        <f ca="1">IF(D3552="N",COUNTIF(INDIRECT(ADDRESS(MATCH(Plages!$D$19,'Planning annuel mixing coater'!$B:$B),4)):D3552,"N"),IF(D3552="N1",COUNTIF($D$9:D3552,"N1"),""))</f>
        <v/>
      </c>
      <c r="J3552" s="96" t="str">
        <f>IF(D3552="","",COUNTA(D3544:D3552)-(COUNTA(D3552:D3552)-1))</f>
        <v/>
      </c>
    </row>
    <row r="3553" spans="1:10" thickBot="1">
      <c r="A3553" s="117"/>
      <c r="B3553" s="70">
        <f t="shared" si="225"/>
        <v>47345</v>
      </c>
      <c r="C3553" s="82" t="str">
        <f t="shared" si="226"/>
        <v>mercredi</v>
      </c>
      <c r="D3553" s="87"/>
      <c r="E3553" s="115" t="str">
        <f t="shared" si="227"/>
        <v/>
      </c>
      <c r="F3553" s="115" t="str">
        <f t="shared" si="228"/>
        <v/>
      </c>
      <c r="G3553" s="116" t="str">
        <f>IF(ISNONTEXT(D3553),"",E3553-MAX($F$2:F3552))</f>
        <v/>
      </c>
      <c r="H3553" s="97"/>
      <c r="I3553" s="74" t="str">
        <f ca="1">IF(D3553="N",COUNTIF(INDIRECT(ADDRESS(MATCH(Plages!$D$19,'Planning annuel mixing coater'!$B:$B),4)):D3553,"N"),IF(D3553="N1",COUNTIF($D$9:D3553,"N1"),""))</f>
        <v/>
      </c>
      <c r="J3553" s="96" t="str">
        <f>IF(D3553="","",COUNTA(D3544:D3553)-(COUNTA(D3553:D3553)-1))</f>
        <v/>
      </c>
    </row>
    <row r="3554" spans="1:10" thickBot="1">
      <c r="A3554" s="117"/>
      <c r="B3554" s="70">
        <f t="shared" si="225"/>
        <v>47346</v>
      </c>
      <c r="C3554" s="82" t="str">
        <f t="shared" si="226"/>
        <v>jeudi</v>
      </c>
      <c r="D3554" s="87"/>
      <c r="E3554" s="115" t="str">
        <f t="shared" si="227"/>
        <v/>
      </c>
      <c r="F3554" s="115" t="str">
        <f t="shared" si="228"/>
        <v/>
      </c>
      <c r="G3554" s="116" t="str">
        <f>IF(ISNONTEXT(D3554),"",E3554-MAX($F$2:F3553))</f>
        <v/>
      </c>
      <c r="H3554" s="97"/>
      <c r="I3554" s="74" t="str">
        <f ca="1">IF(D3554="N",COUNTIF(INDIRECT(ADDRESS(MATCH(Plages!$D$19,'Planning annuel mixing coater'!$B:$B),4)):D3554,"N"),IF(D3554="N1",COUNTIF($D$9:D3554,"N1"),""))</f>
        <v/>
      </c>
      <c r="J3554" s="96" t="str">
        <f>IF(D3554="","",COUNTA(D3544:D3554)-(COUNTA(D3554:D3554)-1))</f>
        <v/>
      </c>
    </row>
    <row r="3555" spans="1:10" thickBot="1">
      <c r="A3555" s="117"/>
      <c r="B3555" s="70">
        <f t="shared" si="225"/>
        <v>47347</v>
      </c>
      <c r="C3555" s="82" t="str">
        <f t="shared" si="226"/>
        <v>vendredi</v>
      </c>
      <c r="D3555" s="87"/>
      <c r="E3555" s="115" t="str">
        <f t="shared" si="227"/>
        <v/>
      </c>
      <c r="F3555" s="115" t="str">
        <f t="shared" si="228"/>
        <v/>
      </c>
      <c r="G3555" s="116" t="str">
        <f>IF(ISNONTEXT(D3555),"",E3555-MAX($F$2:F3554))</f>
        <v/>
      </c>
      <c r="H3555" s="97"/>
      <c r="I3555" s="74" t="str">
        <f ca="1">IF(D3555="N",COUNTIF(INDIRECT(ADDRESS(MATCH(Plages!$D$19,'Planning annuel mixing coater'!$B:$B),4)):D3555,"N"),IF(D3555="N1",COUNTIF($D$9:D3555,"N1"),""))</f>
        <v/>
      </c>
      <c r="J3555" s="96" t="str">
        <f>IF(D3555="","",COUNTA(D3544:D3555)-(COUNTA(D3555:D3555)-1))</f>
        <v/>
      </c>
    </row>
    <row r="3556" spans="1:10" thickBot="1">
      <c r="A3556" s="117"/>
      <c r="B3556" s="70">
        <f t="shared" si="225"/>
        <v>47348</v>
      </c>
      <c r="C3556" s="82" t="str">
        <f t="shared" si="226"/>
        <v>samedi</v>
      </c>
      <c r="D3556" s="87"/>
      <c r="E3556" s="115" t="str">
        <f t="shared" si="227"/>
        <v/>
      </c>
      <c r="F3556" s="115" t="str">
        <f t="shared" si="228"/>
        <v/>
      </c>
      <c r="G3556" s="116" t="str">
        <f>IF(ISNONTEXT(D3556),"",E3556-MAX($F$2:F3555))</f>
        <v/>
      </c>
      <c r="H3556" s="97"/>
      <c r="I3556" s="74" t="str">
        <f ca="1">IF(D3556="N",COUNTIF(INDIRECT(ADDRESS(MATCH(Plages!$D$19,'Planning annuel mixing coater'!$B:$B),4)):D3556,"N"),IF(D3556="N1",COUNTIF($D$9:D3556,"N1"),""))</f>
        <v/>
      </c>
      <c r="J3556" s="96" t="str">
        <f>IF(D3556="","",COUNTA(D3544:D3556)-(COUNTA(D3556:D3556)-1))</f>
        <v/>
      </c>
    </row>
    <row r="3557" spans="1:10" s="77" customFormat="1" thickBot="1">
      <c r="A3557" s="117"/>
      <c r="B3557" s="75">
        <f t="shared" si="225"/>
        <v>47349</v>
      </c>
      <c r="C3557" s="83" t="str">
        <f t="shared" si="226"/>
        <v>dimanche</v>
      </c>
      <c r="D3557" s="88"/>
      <c r="E3557" s="115" t="str">
        <f t="shared" si="227"/>
        <v/>
      </c>
      <c r="F3557" s="115" t="str">
        <f t="shared" si="228"/>
        <v/>
      </c>
      <c r="G3557" s="116" t="str">
        <f>IF(ISNONTEXT(D3557),"",E3557-MAX($F$2:F3556))</f>
        <v/>
      </c>
      <c r="H3557" s="98"/>
      <c r="I3557" s="76" t="str">
        <f ca="1">IF(D3557="N",COUNTIF(INDIRECT(ADDRESS(MATCH(Plages!$D$19,'Planning annuel mixing coater'!$B:$B),4)):D3557,"N"),IF(D3557="N1",COUNTIF($D$9:D3557,"N1"),""))</f>
        <v/>
      </c>
      <c r="J3557" s="99" t="str">
        <f>IF(D3557="","",COUNTA(D3544:D3557)-(COUNTA(D3557:D3557)-1))</f>
        <v/>
      </c>
    </row>
    <row r="3558" spans="1:10" ht="16.5" thickTop="1" thickBot="1">
      <c r="A3558" s="117"/>
      <c r="B3558" s="78">
        <f t="shared" si="225"/>
        <v>47350</v>
      </c>
      <c r="C3558" s="81" t="str">
        <f t="shared" si="226"/>
        <v>lundi</v>
      </c>
      <c r="D3558" s="89"/>
      <c r="E3558" s="115" t="str">
        <f t="shared" si="227"/>
        <v/>
      </c>
      <c r="F3558" s="115" t="str">
        <f t="shared" si="228"/>
        <v/>
      </c>
      <c r="G3558" s="116" t="str">
        <f>IF(ISNONTEXT(D3558),"",E3558-MAX($F$2:F3557))</f>
        <v/>
      </c>
      <c r="H3558" s="100"/>
      <c r="I3558" s="79" t="str">
        <f ca="1">IF(D3558="N",COUNTIF(INDIRECT(ADDRESS(MATCH(Plages!$D$19,'Planning annuel mixing coater'!$B:$B),4)):D3558,"N"),IF(D3558="N1",COUNTIF($D$9:D3558,"N1"),""))</f>
        <v/>
      </c>
      <c r="J3558" s="101" t="str">
        <f>IF(D3558="","",COUNTA(D3558:D3558)-(COUNTA(D3558:D3558)-1))</f>
        <v/>
      </c>
    </row>
    <row r="3559" spans="1:10" thickBot="1">
      <c r="A3559" s="117"/>
      <c r="B3559" s="70">
        <f t="shared" si="225"/>
        <v>47351</v>
      </c>
      <c r="C3559" s="82" t="str">
        <f t="shared" si="226"/>
        <v>mardi</v>
      </c>
      <c r="D3559" s="87"/>
      <c r="E3559" s="115" t="str">
        <f t="shared" si="227"/>
        <v/>
      </c>
      <c r="F3559" s="115" t="str">
        <f t="shared" si="228"/>
        <v/>
      </c>
      <c r="G3559" s="116" t="str">
        <f>IF(ISNONTEXT(D3559),"",E3559-MAX($F$2:F3558))</f>
        <v/>
      </c>
      <c r="H3559" s="97"/>
      <c r="I3559" s="74" t="str">
        <f ca="1">IF(D3559="N",COUNTIF(INDIRECT(ADDRESS(MATCH(Plages!$D$19,'Planning annuel mixing coater'!$B:$B),4)):D3559,"N"),IF(D3559="N1",COUNTIF($D$9:D3559,"N1"),""))</f>
        <v/>
      </c>
      <c r="J3559" s="96" t="str">
        <f>IF(D3559="","",COUNTA(D3558:D3559)-(COUNTA(D3559:D3559)-1))</f>
        <v/>
      </c>
    </row>
    <row r="3560" spans="1:10" thickBot="1">
      <c r="A3560" s="117"/>
      <c r="B3560" s="70">
        <f t="shared" si="225"/>
        <v>47352</v>
      </c>
      <c r="C3560" s="82" t="str">
        <f t="shared" si="226"/>
        <v>mercredi</v>
      </c>
      <c r="D3560" s="87"/>
      <c r="E3560" s="115" t="str">
        <f t="shared" si="227"/>
        <v/>
      </c>
      <c r="F3560" s="115" t="str">
        <f t="shared" si="228"/>
        <v/>
      </c>
      <c r="G3560" s="116" t="str">
        <f>IF(ISNONTEXT(D3560),"",E3560-MAX($F$2:F3559))</f>
        <v/>
      </c>
      <c r="H3560" s="97"/>
      <c r="I3560" s="74" t="str">
        <f ca="1">IF(D3560="N",COUNTIF(INDIRECT(ADDRESS(MATCH(Plages!$D$19,'Planning annuel mixing coater'!$B:$B),4)):D3560,"N"),IF(D3560="N1",COUNTIF($D$9:D3560,"N1"),""))</f>
        <v/>
      </c>
      <c r="J3560" s="96" t="str">
        <f>IF(D3560="","",COUNTA(D3558:D3560)-(COUNTA(D3560:D3560)-1))</f>
        <v/>
      </c>
    </row>
    <row r="3561" spans="1:10" thickBot="1">
      <c r="A3561" s="117"/>
      <c r="B3561" s="70">
        <f t="shared" si="225"/>
        <v>47353</v>
      </c>
      <c r="C3561" s="82" t="str">
        <f t="shared" si="226"/>
        <v>jeudi</v>
      </c>
      <c r="D3561" s="87"/>
      <c r="E3561" s="115" t="str">
        <f t="shared" si="227"/>
        <v/>
      </c>
      <c r="F3561" s="115" t="str">
        <f t="shared" si="228"/>
        <v/>
      </c>
      <c r="G3561" s="116" t="str">
        <f>IF(ISNONTEXT(D3561),"",E3561-MAX($F$2:F3560))</f>
        <v/>
      </c>
      <c r="H3561" s="97"/>
      <c r="I3561" s="74" t="str">
        <f ca="1">IF(D3561="N",COUNTIF(INDIRECT(ADDRESS(MATCH(Plages!$D$19,'Planning annuel mixing coater'!$B:$B),4)):D3561,"N"),IF(D3561="N1",COUNTIF($D$9:D3561,"N1"),""))</f>
        <v/>
      </c>
      <c r="J3561" s="96" t="str">
        <f>IF(D3561="","",COUNTA(D3558:D3561)-(COUNTA(D3561:D3561)-1))</f>
        <v/>
      </c>
    </row>
    <row r="3562" spans="1:10" thickBot="1">
      <c r="A3562" s="117"/>
      <c r="B3562" s="70">
        <f t="shared" si="225"/>
        <v>47354</v>
      </c>
      <c r="C3562" s="82" t="str">
        <f t="shared" si="226"/>
        <v>vendredi</v>
      </c>
      <c r="D3562" s="87"/>
      <c r="E3562" s="115" t="str">
        <f t="shared" si="227"/>
        <v/>
      </c>
      <c r="F3562" s="115" t="str">
        <f t="shared" si="228"/>
        <v/>
      </c>
      <c r="G3562" s="116" t="str">
        <f>IF(ISNONTEXT(D3562),"",E3562-MAX($F$2:F3561))</f>
        <v/>
      </c>
      <c r="H3562" s="97"/>
      <c r="I3562" s="74" t="str">
        <f ca="1">IF(D3562="N",COUNTIF(INDIRECT(ADDRESS(MATCH(Plages!$D$19,'Planning annuel mixing coater'!$B:$B),4)):D3562,"N"),IF(D3562="N1",COUNTIF($D$9:D3562,"N1"),""))</f>
        <v/>
      </c>
      <c r="J3562" s="96" t="str">
        <f>IF(D3562="","",COUNTA(D3558:D3562)-(COUNTA(D3562:D3562)-1))</f>
        <v/>
      </c>
    </row>
    <row r="3563" spans="1:10" thickBot="1">
      <c r="A3563" s="117"/>
      <c r="B3563" s="70">
        <f t="shared" si="225"/>
        <v>47355</v>
      </c>
      <c r="C3563" s="82" t="str">
        <f t="shared" si="226"/>
        <v>samedi</v>
      </c>
      <c r="D3563" s="87"/>
      <c r="E3563" s="115" t="str">
        <f t="shared" si="227"/>
        <v/>
      </c>
      <c r="F3563" s="115" t="str">
        <f t="shared" si="228"/>
        <v/>
      </c>
      <c r="G3563" s="116" t="str">
        <f>IF(ISNONTEXT(D3563),"",E3563-MAX($F$2:F3562))</f>
        <v/>
      </c>
      <c r="H3563" s="97"/>
      <c r="I3563" s="74" t="str">
        <f ca="1">IF(D3563="N",COUNTIF(INDIRECT(ADDRESS(MATCH(Plages!$D$19,'Planning annuel mixing coater'!$B:$B),4)):D3563,"N"),IF(D3563="N1",COUNTIF($D$9:D3563,"N1"),""))</f>
        <v/>
      </c>
      <c r="J3563" s="96" t="str">
        <f>IF(D3563="","",COUNTA(D3558:D3563)-(COUNTA(D3563:D3563)-1))</f>
        <v/>
      </c>
    </row>
    <row r="3564" spans="1:10" thickBot="1">
      <c r="A3564" s="117"/>
      <c r="B3564" s="70">
        <f t="shared" si="225"/>
        <v>47356</v>
      </c>
      <c r="C3564" s="82" t="str">
        <f t="shared" si="226"/>
        <v>dimanche</v>
      </c>
      <c r="D3564" s="87"/>
      <c r="E3564" s="115" t="str">
        <f t="shared" si="227"/>
        <v/>
      </c>
      <c r="F3564" s="115" t="str">
        <f t="shared" si="228"/>
        <v/>
      </c>
      <c r="G3564" s="116" t="str">
        <f>IF(ISNONTEXT(D3564),"",E3564-MAX($F$2:F3563))</f>
        <v/>
      </c>
      <c r="H3564" s="98"/>
      <c r="I3564" s="74" t="str">
        <f ca="1">IF(D3564="N",COUNTIF(INDIRECT(ADDRESS(MATCH(Plages!$D$19,'Planning annuel mixing coater'!$B:$B),4)):D3564,"N"),IF(D3564="N1",COUNTIF($D$9:D3564,"N1"),""))</f>
        <v/>
      </c>
      <c r="J3564" s="96" t="str">
        <f>IF(D3564="","",COUNTA(D3558:D3564)-(COUNTA(D3564:D3564)-1))</f>
        <v/>
      </c>
    </row>
    <row r="3565" spans="1:10" thickBot="1">
      <c r="A3565" s="117"/>
      <c r="B3565" s="70">
        <f t="shared" si="225"/>
        <v>47357</v>
      </c>
      <c r="C3565" s="82" t="str">
        <f t="shared" si="226"/>
        <v>lundi</v>
      </c>
      <c r="D3565" s="87"/>
      <c r="E3565" s="115" t="str">
        <f t="shared" si="227"/>
        <v/>
      </c>
      <c r="F3565" s="115" t="str">
        <f t="shared" si="228"/>
        <v/>
      </c>
      <c r="G3565" s="116" t="str">
        <f>IF(ISNONTEXT(D3565),"",E3565-MAX($F$2:F3564))</f>
        <v/>
      </c>
      <c r="H3565" s="97"/>
      <c r="I3565" s="74" t="str">
        <f ca="1">IF(D3565="N",COUNTIF(INDIRECT(ADDRESS(MATCH(Plages!$D$19,'Planning annuel mixing coater'!$B:$B),4)):D3565,"N"),IF(D3565="N1",COUNTIF($D$9:D3565,"N1"),""))</f>
        <v/>
      </c>
      <c r="J3565" s="96" t="str">
        <f>IF(D3565="","",COUNTA(D3558:D3565)-(COUNTA(D3565:D3565)-1))</f>
        <v/>
      </c>
    </row>
    <row r="3566" spans="1:10" thickBot="1">
      <c r="A3566" s="117"/>
      <c r="B3566" s="70">
        <f t="shared" si="225"/>
        <v>47358</v>
      </c>
      <c r="C3566" s="82" t="str">
        <f t="shared" si="226"/>
        <v>mardi</v>
      </c>
      <c r="D3566" s="87"/>
      <c r="E3566" s="115" t="str">
        <f t="shared" si="227"/>
        <v/>
      </c>
      <c r="F3566" s="115" t="str">
        <f t="shared" si="228"/>
        <v/>
      </c>
      <c r="G3566" s="116" t="str">
        <f>IF(ISNONTEXT(D3566),"",E3566-MAX($F$2:F3565))</f>
        <v/>
      </c>
      <c r="H3566" s="97"/>
      <c r="I3566" s="74" t="str">
        <f ca="1">IF(D3566="N",COUNTIF(INDIRECT(ADDRESS(MATCH(Plages!$D$19,'Planning annuel mixing coater'!$B:$B),4)):D3566,"N"),IF(D3566="N1",COUNTIF($D$9:D3566,"N1"),""))</f>
        <v/>
      </c>
      <c r="J3566" s="96" t="str">
        <f>IF(D3566="","",COUNTA(D3558:D3566)-(COUNTA(D3566:D3566)-1))</f>
        <v/>
      </c>
    </row>
    <row r="3567" spans="1:10" thickBot="1">
      <c r="A3567" s="117"/>
      <c r="B3567" s="70">
        <f t="shared" si="225"/>
        <v>47359</v>
      </c>
      <c r="C3567" s="82" t="str">
        <f t="shared" si="226"/>
        <v>mercredi</v>
      </c>
      <c r="D3567" s="87"/>
      <c r="E3567" s="115" t="str">
        <f t="shared" si="227"/>
        <v/>
      </c>
      <c r="F3567" s="115" t="str">
        <f t="shared" si="228"/>
        <v/>
      </c>
      <c r="G3567" s="116" t="str">
        <f>IF(ISNONTEXT(D3567),"",E3567-MAX($F$2:F3566))</f>
        <v/>
      </c>
      <c r="H3567" s="97"/>
      <c r="I3567" s="74" t="str">
        <f ca="1">IF(D3567="N",COUNTIF(INDIRECT(ADDRESS(MATCH(Plages!$D$19,'Planning annuel mixing coater'!$B:$B),4)):D3567,"N"),IF(D3567="N1",COUNTIF($D$9:D3567,"N1"),""))</f>
        <v/>
      </c>
      <c r="J3567" s="96" t="str">
        <f>IF(D3567="","",COUNTA(D3558:D3567)-(COUNTA(D3567:D3567)-1))</f>
        <v/>
      </c>
    </row>
    <row r="3568" spans="1:10" thickBot="1">
      <c r="A3568" s="117"/>
      <c r="B3568" s="70">
        <f t="shared" si="225"/>
        <v>47360</v>
      </c>
      <c r="C3568" s="82" t="str">
        <f t="shared" si="226"/>
        <v>jeudi</v>
      </c>
      <c r="D3568" s="87"/>
      <c r="E3568" s="115" t="str">
        <f t="shared" si="227"/>
        <v/>
      </c>
      <c r="F3568" s="115" t="str">
        <f t="shared" si="228"/>
        <v/>
      </c>
      <c r="G3568" s="116" t="str">
        <f>IF(ISNONTEXT(D3568),"",E3568-MAX($F$2:F3567))</f>
        <v/>
      </c>
      <c r="H3568" s="97"/>
      <c r="I3568" s="74" t="str">
        <f ca="1">IF(D3568="N",COUNTIF(INDIRECT(ADDRESS(MATCH(Plages!$D$19,'Planning annuel mixing coater'!$B:$B),4)):D3568,"N"),IF(D3568="N1",COUNTIF($D$9:D3568,"N1"),""))</f>
        <v/>
      </c>
      <c r="J3568" s="96" t="str">
        <f>IF(D3568="","",COUNTA(D3558:D3568)-(COUNTA(D3568:D3568)-1))</f>
        <v/>
      </c>
    </row>
    <row r="3569" spans="1:10" thickBot="1">
      <c r="A3569" s="117"/>
      <c r="B3569" s="70">
        <f t="shared" si="225"/>
        <v>47361</v>
      </c>
      <c r="C3569" s="82" t="str">
        <f t="shared" si="226"/>
        <v>vendredi</v>
      </c>
      <c r="D3569" s="87"/>
      <c r="E3569" s="115" t="str">
        <f t="shared" si="227"/>
        <v/>
      </c>
      <c r="F3569" s="115" t="str">
        <f t="shared" si="228"/>
        <v/>
      </c>
      <c r="G3569" s="116" t="str">
        <f>IF(ISNONTEXT(D3569),"",E3569-MAX($F$2:F3568))</f>
        <v/>
      </c>
      <c r="H3569" s="97"/>
      <c r="I3569" s="74" t="str">
        <f ca="1">IF(D3569="N",COUNTIF(INDIRECT(ADDRESS(MATCH(Plages!$D$19,'Planning annuel mixing coater'!$B:$B),4)):D3569,"N"),IF(D3569="N1",COUNTIF($D$9:D3569,"N1"),""))</f>
        <v/>
      </c>
      <c r="J3569" s="96" t="str">
        <f>IF(D3569="","",COUNTA(D3558:D3569)-(COUNTA(D3569:D3569)-1))</f>
        <v/>
      </c>
    </row>
    <row r="3570" spans="1:10" thickBot="1">
      <c r="A3570" s="117"/>
      <c r="B3570" s="70">
        <f t="shared" si="225"/>
        <v>47362</v>
      </c>
      <c r="C3570" s="82" t="str">
        <f t="shared" si="226"/>
        <v>samedi</v>
      </c>
      <c r="D3570" s="87"/>
      <c r="E3570" s="115" t="str">
        <f t="shared" si="227"/>
        <v/>
      </c>
      <c r="F3570" s="115" t="str">
        <f t="shared" si="228"/>
        <v/>
      </c>
      <c r="G3570" s="116" t="str">
        <f>IF(ISNONTEXT(D3570),"",E3570-MAX($F$2:F3569))</f>
        <v/>
      </c>
      <c r="H3570" s="97"/>
      <c r="I3570" s="74" t="str">
        <f ca="1">IF(D3570="N",COUNTIF(INDIRECT(ADDRESS(MATCH(Plages!$D$19,'Planning annuel mixing coater'!$B:$B),4)):D3570,"N"),IF(D3570="N1",COUNTIF($D$9:D3570,"N1"),""))</f>
        <v/>
      </c>
      <c r="J3570" s="96" t="str">
        <f>IF(D3570="","",COUNTA(D3558:D3570)-(COUNTA(D3570:D3570)-1))</f>
        <v/>
      </c>
    </row>
    <row r="3571" spans="1:10" s="77" customFormat="1" thickBot="1">
      <c r="A3571" s="117"/>
      <c r="B3571" s="75">
        <f t="shared" si="225"/>
        <v>47363</v>
      </c>
      <c r="C3571" s="83" t="str">
        <f t="shared" si="226"/>
        <v>dimanche</v>
      </c>
      <c r="D3571" s="88"/>
      <c r="E3571" s="115" t="str">
        <f t="shared" si="227"/>
        <v/>
      </c>
      <c r="F3571" s="115" t="str">
        <f t="shared" si="228"/>
        <v/>
      </c>
      <c r="G3571" s="116" t="str">
        <f>IF(ISNONTEXT(D3571),"",E3571-MAX($F$2:F3570))</f>
        <v/>
      </c>
      <c r="H3571" s="98"/>
      <c r="I3571" s="76" t="str">
        <f ca="1">IF(D3571="N",COUNTIF(INDIRECT(ADDRESS(MATCH(Plages!$D$19,'Planning annuel mixing coater'!$B:$B),4)):D3571,"N"),IF(D3571="N1",COUNTIF($D$9:D3571,"N1"),""))</f>
        <v/>
      </c>
      <c r="J3571" s="99" t="str">
        <f>IF(D3571="","",COUNTA(D3558:D3571)-(COUNTA(D3571:D3571)-1))</f>
        <v/>
      </c>
    </row>
    <row r="3572" spans="1:10" ht="16.5" thickTop="1" thickBot="1">
      <c r="A3572" s="117"/>
      <c r="B3572" s="78">
        <f t="shared" si="225"/>
        <v>47364</v>
      </c>
      <c r="C3572" s="81" t="str">
        <f t="shared" si="226"/>
        <v>lundi</v>
      </c>
      <c r="D3572" s="89"/>
      <c r="E3572" s="115" t="str">
        <f t="shared" si="227"/>
        <v/>
      </c>
      <c r="F3572" s="115" t="str">
        <f t="shared" si="228"/>
        <v/>
      </c>
      <c r="G3572" s="116" t="str">
        <f>IF(ISNONTEXT(D3572),"",E3572-MAX($F$2:F3571))</f>
        <v/>
      </c>
      <c r="H3572" s="100"/>
      <c r="I3572" s="79" t="str">
        <f ca="1">IF(D3572="N",COUNTIF(INDIRECT(ADDRESS(MATCH(Plages!$D$19,'Planning annuel mixing coater'!$B:$B),4)):D3572,"N"),IF(D3572="N1",COUNTIF($D$9:D3572,"N1"),""))</f>
        <v/>
      </c>
      <c r="J3572" s="101" t="str">
        <f>IF(D3572="","",COUNTA(D3572:D3572)-(COUNTA(D3572:D3572)-1))</f>
        <v/>
      </c>
    </row>
    <row r="3573" spans="1:10" thickBot="1">
      <c r="A3573" s="117"/>
      <c r="B3573" s="70">
        <f t="shared" si="225"/>
        <v>47365</v>
      </c>
      <c r="C3573" s="82" t="str">
        <f t="shared" si="226"/>
        <v>mardi</v>
      </c>
      <c r="D3573" s="87"/>
      <c r="E3573" s="115" t="str">
        <f t="shared" si="227"/>
        <v/>
      </c>
      <c r="F3573" s="115" t="str">
        <f t="shared" si="228"/>
        <v/>
      </c>
      <c r="G3573" s="116" t="str">
        <f>IF(ISNONTEXT(D3573),"",E3573-MAX($F$2:F3572))</f>
        <v/>
      </c>
      <c r="H3573" s="97"/>
      <c r="I3573" s="74" t="str">
        <f ca="1">IF(D3573="N",COUNTIF(INDIRECT(ADDRESS(MATCH(Plages!$D$19,'Planning annuel mixing coater'!$B:$B),4)):D3573,"N"),IF(D3573="N1",COUNTIF($D$9:D3573,"N1"),""))</f>
        <v/>
      </c>
      <c r="J3573" s="96" t="str">
        <f>IF(D3573="","",COUNTA(D3572:D3573)-(COUNTA(D3573:D3573)-1))</f>
        <v/>
      </c>
    </row>
    <row r="3574" spans="1:10" thickBot="1">
      <c r="A3574" s="117"/>
      <c r="B3574" s="70">
        <f t="shared" si="225"/>
        <v>47366</v>
      </c>
      <c r="C3574" s="82" t="str">
        <f t="shared" si="226"/>
        <v>mercredi</v>
      </c>
      <c r="D3574" s="87"/>
      <c r="E3574" s="115" t="str">
        <f t="shared" si="227"/>
        <v/>
      </c>
      <c r="F3574" s="115" t="str">
        <f t="shared" si="228"/>
        <v/>
      </c>
      <c r="G3574" s="116" t="str">
        <f>IF(ISNONTEXT(D3574),"",E3574-MAX($F$2:F3573))</f>
        <v/>
      </c>
      <c r="H3574" s="97"/>
      <c r="I3574" s="74" t="str">
        <f ca="1">IF(D3574="N",COUNTIF(INDIRECT(ADDRESS(MATCH(Plages!$D$19,'Planning annuel mixing coater'!$B:$B),4)):D3574,"N"),IF(D3574="N1",COUNTIF($D$9:D3574,"N1"),""))</f>
        <v/>
      </c>
      <c r="J3574" s="96" t="str">
        <f>IF(D3574="","",COUNTA(D3572:D3574)-(COUNTA(D3574:D3574)-1))</f>
        <v/>
      </c>
    </row>
    <row r="3575" spans="1:10" thickBot="1">
      <c r="A3575" s="117"/>
      <c r="B3575" s="70">
        <f t="shared" si="225"/>
        <v>47367</v>
      </c>
      <c r="C3575" s="82" t="str">
        <f t="shared" si="226"/>
        <v>jeudi</v>
      </c>
      <c r="D3575" s="87"/>
      <c r="E3575" s="115" t="str">
        <f t="shared" si="227"/>
        <v/>
      </c>
      <c r="F3575" s="115" t="str">
        <f t="shared" si="228"/>
        <v/>
      </c>
      <c r="G3575" s="116" t="str">
        <f>IF(ISNONTEXT(D3575),"",E3575-MAX($F$2:F3574))</f>
        <v/>
      </c>
      <c r="H3575" s="97"/>
      <c r="I3575" s="74" t="str">
        <f ca="1">IF(D3575="N",COUNTIF(INDIRECT(ADDRESS(MATCH(Plages!$D$19,'Planning annuel mixing coater'!$B:$B),4)):D3575,"N"),IF(D3575="N1",COUNTIF($D$9:D3575,"N1"),""))</f>
        <v/>
      </c>
      <c r="J3575" s="96" t="str">
        <f>IF(D3575="","",COUNTA(D3572:D3575)-(COUNTA(D3575:D3575)-1))</f>
        <v/>
      </c>
    </row>
    <row r="3576" spans="1:10" thickBot="1">
      <c r="A3576" s="117"/>
      <c r="B3576" s="70">
        <f t="shared" si="225"/>
        <v>47368</v>
      </c>
      <c r="C3576" s="82" t="str">
        <f t="shared" si="226"/>
        <v>vendredi</v>
      </c>
      <c r="D3576" s="87"/>
      <c r="E3576" s="115" t="str">
        <f t="shared" si="227"/>
        <v/>
      </c>
      <c r="F3576" s="115" t="str">
        <f t="shared" si="228"/>
        <v/>
      </c>
      <c r="G3576" s="116" t="str">
        <f>IF(ISNONTEXT(D3576),"",E3576-MAX($F$2:F3575))</f>
        <v/>
      </c>
      <c r="H3576" s="97"/>
      <c r="I3576" s="74" t="str">
        <f ca="1">IF(D3576="N",COUNTIF(INDIRECT(ADDRESS(MATCH(Plages!$D$19,'Planning annuel mixing coater'!$B:$B),4)):D3576,"N"),IF(D3576="N1",COUNTIF($D$9:D3576,"N1"),""))</f>
        <v/>
      </c>
      <c r="J3576" s="96" t="str">
        <f>IF(D3576="","",COUNTA(D3572:D3576)-(COUNTA(D3576:D3576)-1))</f>
        <v/>
      </c>
    </row>
    <row r="3577" spans="1:10" thickBot="1">
      <c r="A3577" s="117"/>
      <c r="B3577" s="70">
        <f t="shared" si="225"/>
        <v>47369</v>
      </c>
      <c r="C3577" s="82" t="str">
        <f t="shared" si="226"/>
        <v>samedi</v>
      </c>
      <c r="D3577" s="87"/>
      <c r="E3577" s="115" t="str">
        <f t="shared" si="227"/>
        <v/>
      </c>
      <c r="F3577" s="115" t="str">
        <f t="shared" si="228"/>
        <v/>
      </c>
      <c r="G3577" s="116" t="str">
        <f>IF(ISNONTEXT(D3577),"",E3577-MAX($F$2:F3576))</f>
        <v/>
      </c>
      <c r="H3577" s="97"/>
      <c r="I3577" s="74" t="str">
        <f ca="1">IF(D3577="N",COUNTIF(INDIRECT(ADDRESS(MATCH(Plages!$D$19,'Planning annuel mixing coater'!$B:$B),4)):D3577,"N"),IF(D3577="N1",COUNTIF($D$9:D3577,"N1"),""))</f>
        <v/>
      </c>
      <c r="J3577" s="96" t="str">
        <f>IF(D3577="","",COUNTA(D3572:D3577)-(COUNTA(D3577:D3577)-1))</f>
        <v/>
      </c>
    </row>
    <row r="3578" spans="1:10" thickBot="1">
      <c r="A3578" s="117"/>
      <c r="B3578" s="70">
        <f t="shared" si="225"/>
        <v>47370</v>
      </c>
      <c r="C3578" s="82" t="str">
        <f t="shared" si="226"/>
        <v>dimanche</v>
      </c>
      <c r="D3578" s="87"/>
      <c r="E3578" s="115" t="str">
        <f t="shared" si="227"/>
        <v/>
      </c>
      <c r="F3578" s="115" t="str">
        <f t="shared" si="228"/>
        <v/>
      </c>
      <c r="G3578" s="116" t="str">
        <f>IF(ISNONTEXT(D3578),"",E3578-MAX($F$2:F3577))</f>
        <v/>
      </c>
      <c r="H3578" s="98"/>
      <c r="I3578" s="74" t="str">
        <f ca="1">IF(D3578="N",COUNTIF(INDIRECT(ADDRESS(MATCH(Plages!$D$19,'Planning annuel mixing coater'!$B:$B),4)):D3578,"N"),IF(D3578="N1",COUNTIF($D$9:D3578,"N1"),""))</f>
        <v/>
      </c>
      <c r="J3578" s="96" t="str">
        <f>IF(D3578="","",COUNTA(D3572:D3578)-(COUNTA(D3578:D3578)-1))</f>
        <v/>
      </c>
    </row>
    <row r="3579" spans="1:10" thickBot="1">
      <c r="A3579" s="117"/>
      <c r="B3579" s="70">
        <f t="shared" si="225"/>
        <v>47371</v>
      </c>
      <c r="C3579" s="82" t="str">
        <f t="shared" si="226"/>
        <v>lundi</v>
      </c>
      <c r="D3579" s="87"/>
      <c r="E3579" s="115" t="str">
        <f t="shared" si="227"/>
        <v/>
      </c>
      <c r="F3579" s="115" t="str">
        <f t="shared" si="228"/>
        <v/>
      </c>
      <c r="G3579" s="116" t="str">
        <f>IF(ISNONTEXT(D3579),"",E3579-MAX($F$2:F3578))</f>
        <v/>
      </c>
      <c r="H3579" s="97"/>
      <c r="I3579" s="74" t="str">
        <f ca="1">IF(D3579="N",COUNTIF(INDIRECT(ADDRESS(MATCH(Plages!$D$19,'Planning annuel mixing coater'!$B:$B),4)):D3579,"N"),IF(D3579="N1",COUNTIF($D$9:D3579,"N1"),""))</f>
        <v/>
      </c>
      <c r="J3579" s="96" t="str">
        <f>IF(D3579="","",COUNTA(D3572:D3579)-(COUNTA(D3579:D3579)-1))</f>
        <v/>
      </c>
    </row>
    <row r="3580" spans="1:10" thickBot="1">
      <c r="A3580" s="117"/>
      <c r="B3580" s="70">
        <f t="shared" si="225"/>
        <v>47372</v>
      </c>
      <c r="C3580" s="82" t="str">
        <f t="shared" si="226"/>
        <v>mardi</v>
      </c>
      <c r="D3580" s="87"/>
      <c r="E3580" s="115" t="str">
        <f t="shared" si="227"/>
        <v/>
      </c>
      <c r="F3580" s="115" t="str">
        <f t="shared" si="228"/>
        <v/>
      </c>
      <c r="G3580" s="116" t="str">
        <f>IF(ISNONTEXT(D3580),"",E3580-MAX($F$2:F3579))</f>
        <v/>
      </c>
      <c r="H3580" s="97"/>
      <c r="I3580" s="74" t="str">
        <f ca="1">IF(D3580="N",COUNTIF(INDIRECT(ADDRESS(MATCH(Plages!$D$19,'Planning annuel mixing coater'!$B:$B),4)):D3580,"N"),IF(D3580="N1",COUNTIF($D$9:D3580,"N1"),""))</f>
        <v/>
      </c>
      <c r="J3580" s="96" t="str">
        <f>IF(D3580="","",COUNTA(D3572:D3580)-(COUNTA(D3580:D3580)-1))</f>
        <v/>
      </c>
    </row>
    <row r="3581" spans="1:10" thickBot="1">
      <c r="A3581" s="117"/>
      <c r="B3581" s="70">
        <f t="shared" si="225"/>
        <v>47373</v>
      </c>
      <c r="C3581" s="82" t="str">
        <f t="shared" si="226"/>
        <v>mercredi</v>
      </c>
      <c r="D3581" s="87"/>
      <c r="E3581" s="115" t="str">
        <f t="shared" si="227"/>
        <v/>
      </c>
      <c r="F3581" s="115" t="str">
        <f t="shared" si="228"/>
        <v/>
      </c>
      <c r="G3581" s="116" t="str">
        <f>IF(ISNONTEXT(D3581),"",E3581-MAX($F$2:F3580))</f>
        <v/>
      </c>
      <c r="H3581" s="97"/>
      <c r="I3581" s="74" t="str">
        <f ca="1">IF(D3581="N",COUNTIF(INDIRECT(ADDRESS(MATCH(Plages!$D$19,'Planning annuel mixing coater'!$B:$B),4)):D3581,"N"),IF(D3581="N1",COUNTIF($D$9:D3581,"N1"),""))</f>
        <v/>
      </c>
      <c r="J3581" s="96" t="str">
        <f>IF(D3581="","",COUNTA(D3572:D3581)-(COUNTA(D3581:D3581)-1))</f>
        <v/>
      </c>
    </row>
    <row r="3582" spans="1:10" thickBot="1">
      <c r="A3582" s="117"/>
      <c r="B3582" s="70">
        <f t="shared" si="225"/>
        <v>47374</v>
      </c>
      <c r="C3582" s="82" t="str">
        <f t="shared" si="226"/>
        <v>jeudi</v>
      </c>
      <c r="D3582" s="87"/>
      <c r="E3582" s="115" t="str">
        <f t="shared" si="227"/>
        <v/>
      </c>
      <c r="F3582" s="115" t="str">
        <f t="shared" si="228"/>
        <v/>
      </c>
      <c r="G3582" s="116" t="str">
        <f>IF(ISNONTEXT(D3582),"",E3582-MAX($F$2:F3581))</f>
        <v/>
      </c>
      <c r="H3582" s="97"/>
      <c r="I3582" s="74" t="str">
        <f ca="1">IF(D3582="N",COUNTIF(INDIRECT(ADDRESS(MATCH(Plages!$D$19,'Planning annuel mixing coater'!$B:$B),4)):D3582,"N"),IF(D3582="N1",COUNTIF($D$9:D3582,"N1"),""))</f>
        <v/>
      </c>
      <c r="J3582" s="96" t="str">
        <f>IF(D3582="","",COUNTA(D3572:D3582)-(COUNTA(D3582:D3582)-1))</f>
        <v/>
      </c>
    </row>
    <row r="3583" spans="1:10" thickBot="1">
      <c r="A3583" s="117"/>
      <c r="B3583" s="70">
        <f t="shared" si="225"/>
        <v>47375</v>
      </c>
      <c r="C3583" s="82" t="str">
        <f t="shared" si="226"/>
        <v>vendredi</v>
      </c>
      <c r="D3583" s="87"/>
      <c r="E3583" s="115" t="str">
        <f t="shared" si="227"/>
        <v/>
      </c>
      <c r="F3583" s="115" t="str">
        <f t="shared" si="228"/>
        <v/>
      </c>
      <c r="G3583" s="116" t="str">
        <f>IF(ISNONTEXT(D3583),"",E3583-MAX($F$2:F3582))</f>
        <v/>
      </c>
      <c r="H3583" s="97"/>
      <c r="I3583" s="74" t="str">
        <f ca="1">IF(D3583="N",COUNTIF(INDIRECT(ADDRESS(MATCH(Plages!$D$19,'Planning annuel mixing coater'!$B:$B),4)):D3583,"N"),IF(D3583="N1",COUNTIF($D$9:D3583,"N1"),""))</f>
        <v/>
      </c>
      <c r="J3583" s="96" t="str">
        <f>IF(D3583="","",COUNTA(D3572:D3583)-(COUNTA(D3583:D3583)-1))</f>
        <v/>
      </c>
    </row>
    <row r="3584" spans="1:10" thickBot="1">
      <c r="A3584" s="117"/>
      <c r="B3584" s="70">
        <f t="shared" si="225"/>
        <v>47376</v>
      </c>
      <c r="C3584" s="82" t="str">
        <f t="shared" si="226"/>
        <v>samedi</v>
      </c>
      <c r="D3584" s="87"/>
      <c r="E3584" s="115" t="str">
        <f t="shared" si="227"/>
        <v/>
      </c>
      <c r="F3584" s="115" t="str">
        <f t="shared" si="228"/>
        <v/>
      </c>
      <c r="G3584" s="116" t="str">
        <f>IF(ISNONTEXT(D3584),"",E3584-MAX($F$2:F3583))</f>
        <v/>
      </c>
      <c r="H3584" s="97"/>
      <c r="I3584" s="74" t="str">
        <f ca="1">IF(D3584="N",COUNTIF(INDIRECT(ADDRESS(MATCH(Plages!$D$19,'Planning annuel mixing coater'!$B:$B),4)):D3584,"N"),IF(D3584="N1",COUNTIF($D$9:D3584,"N1"),""))</f>
        <v/>
      </c>
      <c r="J3584" s="96" t="str">
        <f>IF(D3584="","",COUNTA(D3572:D3584)-(COUNTA(D3584:D3584)-1))</f>
        <v/>
      </c>
    </row>
    <row r="3585" spans="1:10" s="77" customFormat="1" thickBot="1">
      <c r="A3585" s="117"/>
      <c r="B3585" s="75">
        <f t="shared" si="225"/>
        <v>47377</v>
      </c>
      <c r="C3585" s="83" t="str">
        <f t="shared" si="226"/>
        <v>dimanche</v>
      </c>
      <c r="D3585" s="88"/>
      <c r="E3585" s="115" t="str">
        <f t="shared" si="227"/>
        <v/>
      </c>
      <c r="F3585" s="115" t="str">
        <f t="shared" si="228"/>
        <v/>
      </c>
      <c r="G3585" s="116" t="str">
        <f>IF(ISNONTEXT(D3585),"",E3585-MAX($F$2:F3584))</f>
        <v/>
      </c>
      <c r="H3585" s="98"/>
      <c r="I3585" s="76" t="str">
        <f ca="1">IF(D3585="N",COUNTIF(INDIRECT(ADDRESS(MATCH(Plages!$D$19,'Planning annuel mixing coater'!$B:$B),4)):D3585,"N"),IF(D3585="N1",COUNTIF($D$9:D3585,"N1"),""))</f>
        <v/>
      </c>
      <c r="J3585" s="99" t="str">
        <f>IF(D3585="","",COUNTA(D3572:D3585)-(COUNTA(D3585:D3585)-1))</f>
        <v/>
      </c>
    </row>
    <row r="3586" spans="1:10" ht="16.5" thickTop="1" thickBot="1">
      <c r="A3586" s="117"/>
      <c r="B3586" s="78">
        <f t="shared" si="225"/>
        <v>47378</v>
      </c>
      <c r="C3586" s="81" t="str">
        <f t="shared" si="226"/>
        <v>lundi</v>
      </c>
      <c r="D3586" s="89"/>
      <c r="E3586" s="115" t="str">
        <f t="shared" si="227"/>
        <v/>
      </c>
      <c r="F3586" s="115" t="str">
        <f t="shared" si="228"/>
        <v/>
      </c>
      <c r="G3586" s="116" t="str">
        <f>IF(ISNONTEXT(D3586),"",E3586-MAX($F$2:F3585))</f>
        <v/>
      </c>
      <c r="H3586" s="100"/>
      <c r="I3586" s="79" t="str">
        <f ca="1">IF(D3586="N",COUNTIF(INDIRECT(ADDRESS(MATCH(Plages!$D$19,'Planning annuel mixing coater'!$B:$B),4)):D3586,"N"),IF(D3586="N1",COUNTIF($D$9:D3586,"N1"),""))</f>
        <v/>
      </c>
      <c r="J3586" s="101" t="str">
        <f>IF(D3586="","",COUNTA(D3586:D3586)-(COUNTA(D3586:D3586)-1))</f>
        <v/>
      </c>
    </row>
    <row r="3587" spans="1:10" thickBot="1">
      <c r="A3587" s="117"/>
      <c r="B3587" s="70">
        <f t="shared" si="225"/>
        <v>47379</v>
      </c>
      <c r="C3587" s="82" t="str">
        <f t="shared" si="226"/>
        <v>mardi</v>
      </c>
      <c r="D3587" s="87"/>
      <c r="E3587" s="115" t="str">
        <f t="shared" si="227"/>
        <v/>
      </c>
      <c r="F3587" s="115" t="str">
        <f t="shared" si="228"/>
        <v/>
      </c>
      <c r="G3587" s="116" t="str">
        <f>IF(ISNONTEXT(D3587),"",E3587-MAX($F$2:F3586))</f>
        <v/>
      </c>
      <c r="H3587" s="97"/>
      <c r="I3587" s="74" t="str">
        <f ca="1">IF(D3587="N",COUNTIF(INDIRECT(ADDRESS(MATCH(Plages!$D$19,'Planning annuel mixing coater'!$B:$B),4)):D3587,"N"),IF(D3587="N1",COUNTIF($D$9:D3587,"N1"),""))</f>
        <v/>
      </c>
      <c r="J3587" s="96" t="str">
        <f>IF(D3587="","",COUNTA(D3586:D3587)-(COUNTA(D3587:D3587)-1))</f>
        <v/>
      </c>
    </row>
    <row r="3588" spans="1:10" thickBot="1">
      <c r="A3588" s="117"/>
      <c r="B3588" s="70">
        <f t="shared" ref="B3588:B3651" si="229">IF(B3587="","",B3587+1)</f>
        <v>47380</v>
      </c>
      <c r="C3588" s="82" t="str">
        <f t="shared" si="226"/>
        <v>mercredi</v>
      </c>
      <c r="D3588" s="87"/>
      <c r="E3588" s="115" t="str">
        <f t="shared" si="227"/>
        <v/>
      </c>
      <c r="F3588" s="115" t="str">
        <f t="shared" si="228"/>
        <v/>
      </c>
      <c r="G3588" s="116" t="str">
        <f>IF(ISNONTEXT(D3588),"",E3588-MAX($F$2:F3587))</f>
        <v/>
      </c>
      <c r="H3588" s="97"/>
      <c r="I3588" s="74" t="str">
        <f ca="1">IF(D3588="N",COUNTIF(INDIRECT(ADDRESS(MATCH(Plages!$D$19,'Planning annuel mixing coater'!$B:$B),4)):D3588,"N"),IF(D3588="N1",COUNTIF($D$9:D3588,"N1"),""))</f>
        <v/>
      </c>
      <c r="J3588" s="96" t="str">
        <f>IF(D3588="","",COUNTA(D3586:D3588)-(COUNTA(D3588:D3588)-1))</f>
        <v/>
      </c>
    </row>
    <row r="3589" spans="1:10" thickBot="1">
      <c r="A3589" s="117"/>
      <c r="B3589" s="70">
        <f t="shared" si="229"/>
        <v>47381</v>
      </c>
      <c r="C3589" s="82" t="str">
        <f t="shared" si="226"/>
        <v>jeudi</v>
      </c>
      <c r="D3589" s="87"/>
      <c r="E3589" s="115" t="str">
        <f t="shared" si="227"/>
        <v/>
      </c>
      <c r="F3589" s="115" t="str">
        <f t="shared" si="228"/>
        <v/>
      </c>
      <c r="G3589" s="116" t="str">
        <f>IF(ISNONTEXT(D3589),"",E3589-MAX($F$2:F3588))</f>
        <v/>
      </c>
      <c r="H3589" s="97"/>
      <c r="I3589" s="74" t="str">
        <f ca="1">IF(D3589="N",COUNTIF(INDIRECT(ADDRESS(MATCH(Plages!$D$19,'Planning annuel mixing coater'!$B:$B),4)):D3589,"N"),IF(D3589="N1",COUNTIF($D$9:D3589,"N1"),""))</f>
        <v/>
      </c>
      <c r="J3589" s="96" t="str">
        <f>IF(D3589="","",COUNTA(D3586:D3589)-(COUNTA(D3589:D3589)-1))</f>
        <v/>
      </c>
    </row>
    <row r="3590" spans="1:10" thickBot="1">
      <c r="A3590" s="117"/>
      <c r="B3590" s="70">
        <f t="shared" si="229"/>
        <v>47382</v>
      </c>
      <c r="C3590" s="82" t="str">
        <f t="shared" si="226"/>
        <v>vendredi</v>
      </c>
      <c r="D3590" s="87"/>
      <c r="E3590" s="115" t="str">
        <f t="shared" si="227"/>
        <v/>
      </c>
      <c r="F3590" s="115" t="str">
        <f t="shared" si="228"/>
        <v/>
      </c>
      <c r="G3590" s="116" t="str">
        <f>IF(ISNONTEXT(D3590),"",E3590-MAX($F$2:F3589))</f>
        <v/>
      </c>
      <c r="H3590" s="97"/>
      <c r="I3590" s="74" t="str">
        <f ca="1">IF(D3590="N",COUNTIF(INDIRECT(ADDRESS(MATCH(Plages!$D$19,'Planning annuel mixing coater'!$B:$B),4)):D3590,"N"),IF(D3590="N1",COUNTIF($D$9:D3590,"N1"),""))</f>
        <v/>
      </c>
      <c r="J3590" s="96" t="str">
        <f>IF(D3590="","",COUNTA(D3586:D3590)-(COUNTA(D3590:D3590)-1))</f>
        <v/>
      </c>
    </row>
    <row r="3591" spans="1:10" thickBot="1">
      <c r="A3591" s="117"/>
      <c r="B3591" s="70">
        <f t="shared" si="229"/>
        <v>47383</v>
      </c>
      <c r="C3591" s="82" t="str">
        <f t="shared" si="226"/>
        <v>samedi</v>
      </c>
      <c r="D3591" s="87"/>
      <c r="E3591" s="115" t="str">
        <f t="shared" si="227"/>
        <v/>
      </c>
      <c r="F3591" s="115" t="str">
        <f t="shared" si="228"/>
        <v/>
      </c>
      <c r="G3591" s="116" t="str">
        <f>IF(ISNONTEXT(D3591),"",E3591-MAX($F$2:F3590))</f>
        <v/>
      </c>
      <c r="H3591" s="97"/>
      <c r="I3591" s="74" t="str">
        <f ca="1">IF(D3591="N",COUNTIF(INDIRECT(ADDRESS(MATCH(Plages!$D$19,'Planning annuel mixing coater'!$B:$B),4)):D3591,"N"),IF(D3591="N1",COUNTIF($D$9:D3591,"N1"),""))</f>
        <v/>
      </c>
      <c r="J3591" s="96" t="str">
        <f>IF(D3591="","",COUNTA(D3586:D3591)-(COUNTA(D3591:D3591)-1))</f>
        <v/>
      </c>
    </row>
    <row r="3592" spans="1:10" thickBot="1">
      <c r="A3592" s="117"/>
      <c r="B3592" s="70">
        <f t="shared" si="229"/>
        <v>47384</v>
      </c>
      <c r="C3592" s="82" t="str">
        <f t="shared" si="226"/>
        <v>dimanche</v>
      </c>
      <c r="D3592" s="87"/>
      <c r="E3592" s="115" t="str">
        <f t="shared" si="227"/>
        <v/>
      </c>
      <c r="F3592" s="115" t="str">
        <f t="shared" si="228"/>
        <v/>
      </c>
      <c r="G3592" s="116" t="str">
        <f>IF(ISNONTEXT(D3592),"",E3592-MAX($F$2:F3591))</f>
        <v/>
      </c>
      <c r="H3592" s="98"/>
      <c r="I3592" s="74" t="str">
        <f ca="1">IF(D3592="N",COUNTIF(INDIRECT(ADDRESS(MATCH(Plages!$D$19,'Planning annuel mixing coater'!$B:$B),4)):D3592,"N"),IF(D3592="N1",COUNTIF($D$9:D3592,"N1"),""))</f>
        <v/>
      </c>
      <c r="J3592" s="96" t="str">
        <f>IF(D3592="","",COUNTA(D3586:D3592)-(COUNTA(D3592:D3592)-1))</f>
        <v/>
      </c>
    </row>
    <row r="3593" spans="1:10" thickBot="1">
      <c r="A3593" s="117"/>
      <c r="B3593" s="70">
        <f t="shared" si="229"/>
        <v>47385</v>
      </c>
      <c r="C3593" s="82" t="str">
        <f t="shared" si="226"/>
        <v>lundi</v>
      </c>
      <c r="D3593" s="87"/>
      <c r="E3593" s="115" t="str">
        <f t="shared" si="227"/>
        <v/>
      </c>
      <c r="F3593" s="115" t="str">
        <f t="shared" si="228"/>
        <v/>
      </c>
      <c r="G3593" s="116" t="str">
        <f>IF(ISNONTEXT(D3593),"",E3593-MAX($F$2:F3592))</f>
        <v/>
      </c>
      <c r="H3593" s="97"/>
      <c r="I3593" s="74" t="str">
        <f ca="1">IF(D3593="N",COUNTIF(INDIRECT(ADDRESS(MATCH(Plages!$D$19,'Planning annuel mixing coater'!$B:$B),4)):D3593,"N"),IF(D3593="N1",COUNTIF($D$9:D3593,"N1"),""))</f>
        <v/>
      </c>
      <c r="J3593" s="96" t="str">
        <f>IF(D3593="","",COUNTA(D3586:D3593)-(COUNTA(D3593:D3593)-1))</f>
        <v/>
      </c>
    </row>
    <row r="3594" spans="1:10" thickBot="1">
      <c r="A3594" s="117"/>
      <c r="B3594" s="70">
        <f t="shared" si="229"/>
        <v>47386</v>
      </c>
      <c r="C3594" s="82" t="str">
        <f t="shared" si="226"/>
        <v>mardi</v>
      </c>
      <c r="D3594" s="87"/>
      <c r="E3594" s="115" t="str">
        <f t="shared" si="227"/>
        <v/>
      </c>
      <c r="F3594" s="115" t="str">
        <f t="shared" si="228"/>
        <v/>
      </c>
      <c r="G3594" s="116" t="str">
        <f>IF(ISNONTEXT(D3594),"",E3594-MAX($F$2:F3593))</f>
        <v/>
      </c>
      <c r="H3594" s="97"/>
      <c r="I3594" s="74" t="str">
        <f ca="1">IF(D3594="N",COUNTIF(INDIRECT(ADDRESS(MATCH(Plages!$D$19,'Planning annuel mixing coater'!$B:$B),4)):D3594,"N"),IF(D3594="N1",COUNTIF($D$9:D3594,"N1"),""))</f>
        <v/>
      </c>
      <c r="J3594" s="96" t="str">
        <f>IF(D3594="","",COUNTA(D3586:D3594)-(COUNTA(D3594:D3594)-1))</f>
        <v/>
      </c>
    </row>
    <row r="3595" spans="1:10" thickBot="1">
      <c r="A3595" s="117"/>
      <c r="B3595" s="70">
        <f t="shared" si="229"/>
        <v>47387</v>
      </c>
      <c r="C3595" s="82" t="str">
        <f t="shared" si="226"/>
        <v>mercredi</v>
      </c>
      <c r="D3595" s="87"/>
      <c r="E3595" s="115" t="str">
        <f t="shared" si="227"/>
        <v/>
      </c>
      <c r="F3595" s="115" t="str">
        <f t="shared" si="228"/>
        <v/>
      </c>
      <c r="G3595" s="116" t="str">
        <f>IF(ISNONTEXT(D3595),"",E3595-MAX($F$2:F3594))</f>
        <v/>
      </c>
      <c r="H3595" s="97"/>
      <c r="I3595" s="74" t="str">
        <f ca="1">IF(D3595="N",COUNTIF(INDIRECT(ADDRESS(MATCH(Plages!$D$19,'Planning annuel mixing coater'!$B:$B),4)):D3595,"N"),IF(D3595="N1",COUNTIF($D$9:D3595,"N1"),""))</f>
        <v/>
      </c>
      <c r="J3595" s="96" t="str">
        <f>IF(D3595="","",COUNTA(D3586:D3595)-(COUNTA(D3595:D3595)-1))</f>
        <v/>
      </c>
    </row>
    <row r="3596" spans="1:10" thickBot="1">
      <c r="A3596" s="117"/>
      <c r="B3596" s="70">
        <f t="shared" si="229"/>
        <v>47388</v>
      </c>
      <c r="C3596" s="82" t="str">
        <f t="shared" si="226"/>
        <v>jeudi</v>
      </c>
      <c r="D3596" s="87"/>
      <c r="E3596" s="115" t="str">
        <f t="shared" si="227"/>
        <v/>
      </c>
      <c r="F3596" s="115" t="str">
        <f t="shared" si="228"/>
        <v/>
      </c>
      <c r="G3596" s="116" t="str">
        <f>IF(ISNONTEXT(D3596),"",E3596-MAX($F$2:F3595))</f>
        <v/>
      </c>
      <c r="H3596" s="97"/>
      <c r="I3596" s="74" t="str">
        <f ca="1">IF(D3596="N",COUNTIF(INDIRECT(ADDRESS(MATCH(Plages!$D$19,'Planning annuel mixing coater'!$B:$B),4)):D3596,"N"),IF(D3596="N1",COUNTIF($D$9:D3596,"N1"),""))</f>
        <v/>
      </c>
      <c r="J3596" s="96" t="str">
        <f>IF(D3596="","",COUNTA(D3586:D3596)-(COUNTA(D3596:D3596)-1))</f>
        <v/>
      </c>
    </row>
    <row r="3597" spans="1:10" thickBot="1">
      <c r="A3597" s="117"/>
      <c r="B3597" s="70">
        <f t="shared" si="229"/>
        <v>47389</v>
      </c>
      <c r="C3597" s="82" t="str">
        <f t="shared" si="226"/>
        <v>vendredi</v>
      </c>
      <c r="D3597" s="87"/>
      <c r="E3597" s="115" t="str">
        <f t="shared" si="227"/>
        <v/>
      </c>
      <c r="F3597" s="115" t="str">
        <f t="shared" si="228"/>
        <v/>
      </c>
      <c r="G3597" s="116" t="str">
        <f>IF(ISNONTEXT(D3597),"",E3597-MAX($F$2:F3596))</f>
        <v/>
      </c>
      <c r="H3597" s="97"/>
      <c r="I3597" s="74" t="str">
        <f ca="1">IF(D3597="N",COUNTIF(INDIRECT(ADDRESS(MATCH(Plages!$D$19,'Planning annuel mixing coater'!$B:$B),4)):D3597,"N"),IF(D3597="N1",COUNTIF($D$9:D3597,"N1"),""))</f>
        <v/>
      </c>
      <c r="J3597" s="96" t="str">
        <f>IF(D3597="","",COUNTA(D3586:D3597)-(COUNTA(D3597:D3597)-1))</f>
        <v/>
      </c>
    </row>
    <row r="3598" spans="1:10" thickBot="1">
      <c r="A3598" s="117"/>
      <c r="B3598" s="70">
        <f t="shared" si="229"/>
        <v>47390</v>
      </c>
      <c r="C3598" s="82" t="str">
        <f t="shared" si="226"/>
        <v>samedi</v>
      </c>
      <c r="D3598" s="87"/>
      <c r="E3598" s="115" t="str">
        <f t="shared" si="227"/>
        <v/>
      </c>
      <c r="F3598" s="115" t="str">
        <f t="shared" si="228"/>
        <v/>
      </c>
      <c r="G3598" s="116" t="str">
        <f>IF(ISNONTEXT(D3598),"",E3598-MAX($F$2:F3597))</f>
        <v/>
      </c>
      <c r="H3598" s="97"/>
      <c r="I3598" s="74" t="str">
        <f ca="1">IF(D3598="N",COUNTIF(INDIRECT(ADDRESS(MATCH(Plages!$D$19,'Planning annuel mixing coater'!$B:$B),4)):D3598,"N"),IF(D3598="N1",COUNTIF($D$9:D3598,"N1"),""))</f>
        <v/>
      </c>
      <c r="J3598" s="96" t="str">
        <f>IF(D3598="","",COUNTA(D3586:D3598)-(COUNTA(D3598:D3598)-1))</f>
        <v/>
      </c>
    </row>
    <row r="3599" spans="1:10" s="77" customFormat="1" thickBot="1">
      <c r="A3599" s="117"/>
      <c r="B3599" s="75">
        <f t="shared" si="229"/>
        <v>47391</v>
      </c>
      <c r="C3599" s="83" t="str">
        <f t="shared" si="226"/>
        <v>dimanche</v>
      </c>
      <c r="D3599" s="88"/>
      <c r="E3599" s="115" t="str">
        <f t="shared" si="227"/>
        <v/>
      </c>
      <c r="F3599" s="115" t="str">
        <f t="shared" si="228"/>
        <v/>
      </c>
      <c r="G3599" s="116" t="str">
        <f>IF(ISNONTEXT(D3599),"",E3599-MAX($F$2:F3598))</f>
        <v/>
      </c>
      <c r="H3599" s="98"/>
      <c r="I3599" s="76" t="str">
        <f ca="1">IF(D3599="N",COUNTIF(INDIRECT(ADDRESS(MATCH(Plages!$D$19,'Planning annuel mixing coater'!$B:$B),4)):D3599,"N"),IF(D3599="N1",COUNTIF($D$9:D3599,"N1"),""))</f>
        <v/>
      </c>
      <c r="J3599" s="99" t="str">
        <f>IF(D3599="","",COUNTA(D3586:D3599)-(COUNTA(D3599:D3599)-1))</f>
        <v/>
      </c>
    </row>
    <row r="3600" spans="1:10" ht="16.5" thickTop="1" thickBot="1">
      <c r="A3600" s="117"/>
      <c r="B3600" s="78">
        <f t="shared" si="229"/>
        <v>47392</v>
      </c>
      <c r="C3600" s="81" t="str">
        <f t="shared" si="226"/>
        <v>lundi</v>
      </c>
      <c r="D3600" s="89"/>
      <c r="E3600" s="115" t="str">
        <f t="shared" si="227"/>
        <v/>
      </c>
      <c r="F3600" s="115" t="str">
        <f t="shared" si="228"/>
        <v/>
      </c>
      <c r="G3600" s="116" t="str">
        <f>IF(ISNONTEXT(D3600),"",E3600-MAX($F$2:F3599))</f>
        <v/>
      </c>
      <c r="H3600" s="100"/>
      <c r="I3600" s="79" t="str">
        <f ca="1">IF(D3600="N",COUNTIF(INDIRECT(ADDRESS(MATCH(Plages!$D$19,'Planning annuel mixing coater'!$B:$B),4)):D3600,"N"),IF(D3600="N1",COUNTIF($D$9:D3600,"N1"),""))</f>
        <v/>
      </c>
      <c r="J3600" s="101" t="str">
        <f>IF(D3600="","",COUNTA(D3600:D3600)-(COUNTA(D3600:D3600)-1))</f>
        <v/>
      </c>
    </row>
    <row r="3601" spans="1:10" thickBot="1">
      <c r="A3601" s="117"/>
      <c r="B3601" s="70">
        <f t="shared" si="229"/>
        <v>47393</v>
      </c>
      <c r="C3601" s="82" t="str">
        <f t="shared" si="226"/>
        <v>mardi</v>
      </c>
      <c r="D3601" s="87"/>
      <c r="E3601" s="115" t="str">
        <f t="shared" si="227"/>
        <v/>
      </c>
      <c r="F3601" s="115" t="str">
        <f t="shared" si="228"/>
        <v/>
      </c>
      <c r="G3601" s="116" t="str">
        <f>IF(ISNONTEXT(D3601),"",E3601-MAX($F$2:F3600))</f>
        <v/>
      </c>
      <c r="H3601" s="97"/>
      <c r="I3601" s="74" t="str">
        <f ca="1">IF(D3601="N",COUNTIF(INDIRECT(ADDRESS(MATCH(Plages!$D$19,'Planning annuel mixing coater'!$B:$B),4)):D3601,"N"),IF(D3601="N1",COUNTIF($D$9:D3601,"N1"),""))</f>
        <v/>
      </c>
      <c r="J3601" s="96" t="str">
        <f>IF(D3601="","",COUNTA(D3600:D3601)-(COUNTA(D3601:D3601)-1))</f>
        <v/>
      </c>
    </row>
    <row r="3602" spans="1:10" thickBot="1">
      <c r="A3602" s="117"/>
      <c r="B3602" s="70">
        <f t="shared" si="229"/>
        <v>47394</v>
      </c>
      <c r="C3602" s="82" t="str">
        <f t="shared" si="226"/>
        <v>mercredi</v>
      </c>
      <c r="D3602" s="87"/>
      <c r="E3602" s="115" t="str">
        <f t="shared" si="227"/>
        <v/>
      </c>
      <c r="F3602" s="115" t="str">
        <f t="shared" si="228"/>
        <v/>
      </c>
      <c r="G3602" s="116" t="str">
        <f>IF(ISNONTEXT(D3602),"",E3602-MAX($F$2:F3601))</f>
        <v/>
      </c>
      <c r="H3602" s="97"/>
      <c r="I3602" s="74" t="str">
        <f ca="1">IF(D3602="N",COUNTIF(INDIRECT(ADDRESS(MATCH(Plages!$D$19,'Planning annuel mixing coater'!$B:$B),4)):D3602,"N"),IF(D3602="N1",COUNTIF($D$9:D3602,"N1"),""))</f>
        <v/>
      </c>
      <c r="J3602" s="96" t="str">
        <f>IF(D3602="","",COUNTA(D3600:D3602)-(COUNTA(D3602:D3602)-1))</f>
        <v/>
      </c>
    </row>
    <row r="3603" spans="1:10" thickBot="1">
      <c r="A3603" s="117"/>
      <c r="B3603" s="70">
        <f t="shared" si="229"/>
        <v>47395</v>
      </c>
      <c r="C3603" s="82" t="str">
        <f t="shared" si="226"/>
        <v>jeudi</v>
      </c>
      <c r="D3603" s="87"/>
      <c r="E3603" s="115" t="str">
        <f t="shared" si="227"/>
        <v/>
      </c>
      <c r="F3603" s="115" t="str">
        <f t="shared" si="228"/>
        <v/>
      </c>
      <c r="G3603" s="116" t="str">
        <f>IF(ISNONTEXT(D3603),"",E3603-MAX($F$2:F3602))</f>
        <v/>
      </c>
      <c r="H3603" s="97"/>
      <c r="I3603" s="74" t="str">
        <f ca="1">IF(D3603="N",COUNTIF(INDIRECT(ADDRESS(MATCH(Plages!$D$19,'Planning annuel mixing coater'!$B:$B),4)):D3603,"N"),IF(D3603="N1",COUNTIF($D$9:D3603,"N1"),""))</f>
        <v/>
      </c>
      <c r="J3603" s="96" t="str">
        <f>IF(D3603="","",COUNTA(D3600:D3603)-(COUNTA(D3603:D3603)-1))</f>
        <v/>
      </c>
    </row>
    <row r="3604" spans="1:10" thickBot="1">
      <c r="A3604" s="117"/>
      <c r="B3604" s="70">
        <f t="shared" si="229"/>
        <v>47396</v>
      </c>
      <c r="C3604" s="82" t="str">
        <f t="shared" si="226"/>
        <v>vendredi</v>
      </c>
      <c r="D3604" s="87"/>
      <c r="E3604" s="115" t="str">
        <f t="shared" si="227"/>
        <v/>
      </c>
      <c r="F3604" s="115" t="str">
        <f t="shared" si="228"/>
        <v/>
      </c>
      <c r="G3604" s="116" t="str">
        <f>IF(ISNONTEXT(D3604),"",E3604-MAX($F$2:F3603))</f>
        <v/>
      </c>
      <c r="H3604" s="97"/>
      <c r="I3604" s="74" t="str">
        <f ca="1">IF(D3604="N",COUNTIF(INDIRECT(ADDRESS(MATCH(Plages!$D$19,'Planning annuel mixing coater'!$B:$B),4)):D3604,"N"),IF(D3604="N1",COUNTIF($D$9:D3604,"N1"),""))</f>
        <v/>
      </c>
      <c r="J3604" s="96" t="str">
        <f>IF(D3604="","",COUNTA(D3600:D3604)-(COUNTA(D3604:D3604)-1))</f>
        <v/>
      </c>
    </row>
    <row r="3605" spans="1:10" thickBot="1">
      <c r="A3605" s="117"/>
      <c r="B3605" s="70">
        <f t="shared" si="229"/>
        <v>47397</v>
      </c>
      <c r="C3605" s="82" t="str">
        <f t="shared" si="226"/>
        <v>samedi</v>
      </c>
      <c r="D3605" s="87"/>
      <c r="E3605" s="115" t="str">
        <f t="shared" si="227"/>
        <v/>
      </c>
      <c r="F3605" s="115" t="str">
        <f t="shared" si="228"/>
        <v/>
      </c>
      <c r="G3605" s="116" t="str">
        <f>IF(ISNONTEXT(D3605),"",E3605-MAX($F$2:F3604))</f>
        <v/>
      </c>
      <c r="H3605" s="97"/>
      <c r="I3605" s="74" t="str">
        <f ca="1">IF(D3605="N",COUNTIF(INDIRECT(ADDRESS(MATCH(Plages!$D$19,'Planning annuel mixing coater'!$B:$B),4)):D3605,"N"),IF(D3605="N1",COUNTIF($D$9:D3605,"N1"),""))</f>
        <v/>
      </c>
      <c r="J3605" s="96" t="str">
        <f>IF(D3605="","",COUNTA(D3600:D3605)-(COUNTA(D3605:D3605)-1))</f>
        <v/>
      </c>
    </row>
    <row r="3606" spans="1:10" thickBot="1">
      <c r="A3606" s="117"/>
      <c r="B3606" s="70">
        <f t="shared" si="229"/>
        <v>47398</v>
      </c>
      <c r="C3606" s="82" t="str">
        <f t="shared" si="226"/>
        <v>dimanche</v>
      </c>
      <c r="D3606" s="87"/>
      <c r="E3606" s="115" t="str">
        <f t="shared" si="227"/>
        <v/>
      </c>
      <c r="F3606" s="115" t="str">
        <f t="shared" si="228"/>
        <v/>
      </c>
      <c r="G3606" s="116" t="str">
        <f>IF(ISNONTEXT(D3606),"",E3606-MAX($F$2:F3605))</f>
        <v/>
      </c>
      <c r="H3606" s="98"/>
      <c r="I3606" s="74" t="str">
        <f ca="1">IF(D3606="N",COUNTIF(INDIRECT(ADDRESS(MATCH(Plages!$D$19,'Planning annuel mixing coater'!$B:$B),4)):D3606,"N"),IF(D3606="N1",COUNTIF($D$9:D3606,"N1"),""))</f>
        <v/>
      </c>
      <c r="J3606" s="96" t="str">
        <f>IF(D3606="","",COUNTA(D3600:D3606)-(COUNTA(D3606:D3606)-1))</f>
        <v/>
      </c>
    </row>
    <row r="3607" spans="1:10" thickBot="1">
      <c r="A3607" s="117"/>
      <c r="B3607" s="70">
        <f t="shared" si="229"/>
        <v>47399</v>
      </c>
      <c r="C3607" s="82" t="str">
        <f t="shared" si="226"/>
        <v>lundi</v>
      </c>
      <c r="D3607" s="87"/>
      <c r="E3607" s="115" t="str">
        <f t="shared" si="227"/>
        <v/>
      </c>
      <c r="F3607" s="115" t="str">
        <f t="shared" si="228"/>
        <v/>
      </c>
      <c r="G3607" s="116" t="str">
        <f>IF(ISNONTEXT(D3607),"",E3607-MAX($F$2:F3606))</f>
        <v/>
      </c>
      <c r="H3607" s="97"/>
      <c r="I3607" s="74" t="str">
        <f ca="1">IF(D3607="N",COUNTIF(INDIRECT(ADDRESS(MATCH(Plages!$D$19,'Planning annuel mixing coater'!$B:$B),4)):D3607,"N"),IF(D3607="N1",COUNTIF($D$9:D3607,"N1"),""))</f>
        <v/>
      </c>
      <c r="J3607" s="96" t="str">
        <f>IF(D3607="","",COUNTA(D3600:D3607)-(COUNTA(D3607:D3607)-1))</f>
        <v/>
      </c>
    </row>
    <row r="3608" spans="1:10" thickBot="1">
      <c r="A3608" s="117"/>
      <c r="B3608" s="70">
        <f t="shared" si="229"/>
        <v>47400</v>
      </c>
      <c r="C3608" s="82" t="str">
        <f t="shared" si="226"/>
        <v>mardi</v>
      </c>
      <c r="D3608" s="87"/>
      <c r="E3608" s="115" t="str">
        <f t="shared" si="227"/>
        <v/>
      </c>
      <c r="F3608" s="115" t="str">
        <f t="shared" si="228"/>
        <v/>
      </c>
      <c r="G3608" s="116" t="str">
        <f>IF(ISNONTEXT(D3608),"",E3608-MAX($F$2:F3607))</f>
        <v/>
      </c>
      <c r="H3608" s="97"/>
      <c r="I3608" s="74" t="str">
        <f ca="1">IF(D3608="N",COUNTIF(INDIRECT(ADDRESS(MATCH(Plages!$D$19,'Planning annuel mixing coater'!$B:$B),4)):D3608,"N"),IF(D3608="N1",COUNTIF($D$9:D3608,"N1"),""))</f>
        <v/>
      </c>
      <c r="J3608" s="96" t="str">
        <f>IF(D3608="","",COUNTA(D3600:D3608)-(COUNTA(D3608:D3608)-1))</f>
        <v/>
      </c>
    </row>
    <row r="3609" spans="1:10" thickBot="1">
      <c r="A3609" s="117"/>
      <c r="B3609" s="70">
        <f t="shared" si="229"/>
        <v>47401</v>
      </c>
      <c r="C3609" s="82" t="str">
        <f t="shared" si="226"/>
        <v>mercredi</v>
      </c>
      <c r="D3609" s="87"/>
      <c r="E3609" s="115" t="str">
        <f t="shared" si="227"/>
        <v/>
      </c>
      <c r="F3609" s="115" t="str">
        <f t="shared" si="228"/>
        <v/>
      </c>
      <c r="G3609" s="116" t="str">
        <f>IF(ISNONTEXT(D3609),"",E3609-MAX($F$2:F3608))</f>
        <v/>
      </c>
      <c r="H3609" s="97"/>
      <c r="I3609" s="74" t="str">
        <f ca="1">IF(D3609="N",COUNTIF(INDIRECT(ADDRESS(MATCH(Plages!$D$19,'Planning annuel mixing coater'!$B:$B),4)):D3609,"N"),IF(D3609="N1",COUNTIF($D$9:D3609,"N1"),""))</f>
        <v/>
      </c>
      <c r="J3609" s="96" t="str">
        <f>IF(D3609="","",COUNTA(D3600:D3609)-(COUNTA(D3609:D3609)-1))</f>
        <v/>
      </c>
    </row>
    <row r="3610" spans="1:10" thickBot="1">
      <c r="A3610" s="117"/>
      <c r="B3610" s="70">
        <f t="shared" si="229"/>
        <v>47402</v>
      </c>
      <c r="C3610" s="82" t="str">
        <f t="shared" si="226"/>
        <v>jeudi</v>
      </c>
      <c r="D3610" s="87"/>
      <c r="E3610" s="115" t="str">
        <f t="shared" si="227"/>
        <v/>
      </c>
      <c r="F3610" s="115" t="str">
        <f t="shared" si="228"/>
        <v/>
      </c>
      <c r="G3610" s="116" t="str">
        <f>IF(ISNONTEXT(D3610),"",E3610-MAX($F$2:F3609))</f>
        <v/>
      </c>
      <c r="H3610" s="97"/>
      <c r="I3610" s="74" t="str">
        <f ca="1">IF(D3610="N",COUNTIF(INDIRECT(ADDRESS(MATCH(Plages!$D$19,'Planning annuel mixing coater'!$B:$B),4)):D3610,"N"),IF(D3610="N1",COUNTIF($D$9:D3610,"N1"),""))</f>
        <v/>
      </c>
      <c r="J3610" s="96" t="str">
        <f>IF(D3610="","",COUNTA(D3600:D3610)-(COUNTA(D3610:D3610)-1))</f>
        <v/>
      </c>
    </row>
    <row r="3611" spans="1:10" thickBot="1">
      <c r="A3611" s="117"/>
      <c r="B3611" s="70">
        <f t="shared" si="229"/>
        <v>47403</v>
      </c>
      <c r="C3611" s="82" t="str">
        <f t="shared" si="226"/>
        <v>vendredi</v>
      </c>
      <c r="D3611" s="87"/>
      <c r="E3611" s="115" t="str">
        <f t="shared" si="227"/>
        <v/>
      </c>
      <c r="F3611" s="115" t="str">
        <f t="shared" si="228"/>
        <v/>
      </c>
      <c r="G3611" s="116" t="str">
        <f>IF(ISNONTEXT(D3611),"",E3611-MAX($F$2:F3610))</f>
        <v/>
      </c>
      <c r="H3611" s="97"/>
      <c r="I3611" s="74" t="str">
        <f ca="1">IF(D3611="N",COUNTIF(INDIRECT(ADDRESS(MATCH(Plages!$D$19,'Planning annuel mixing coater'!$B:$B),4)):D3611,"N"),IF(D3611="N1",COUNTIF($D$9:D3611,"N1"),""))</f>
        <v/>
      </c>
      <c r="J3611" s="96" t="str">
        <f>IF(D3611="","",COUNTA(D3600:D3611)-(COUNTA(D3611:D3611)-1))</f>
        <v/>
      </c>
    </row>
    <row r="3612" spans="1:10" thickBot="1">
      <c r="A3612" s="117"/>
      <c r="B3612" s="70">
        <f t="shared" si="229"/>
        <v>47404</v>
      </c>
      <c r="C3612" s="82" t="str">
        <f t="shared" si="226"/>
        <v>samedi</v>
      </c>
      <c r="D3612" s="87"/>
      <c r="E3612" s="115" t="str">
        <f t="shared" si="227"/>
        <v/>
      </c>
      <c r="F3612" s="115" t="str">
        <f t="shared" si="228"/>
        <v/>
      </c>
      <c r="G3612" s="116" t="str">
        <f>IF(ISNONTEXT(D3612),"",E3612-MAX($F$2:F3611))</f>
        <v/>
      </c>
      <c r="H3612" s="97"/>
      <c r="I3612" s="74" t="str">
        <f ca="1">IF(D3612="N",COUNTIF(INDIRECT(ADDRESS(MATCH(Plages!$D$19,'Planning annuel mixing coater'!$B:$B),4)):D3612,"N"),IF(D3612="N1",COUNTIF($D$9:D3612,"N1"),""))</f>
        <v/>
      </c>
      <c r="J3612" s="96" t="str">
        <f>IF(D3612="","",COUNTA(D3600:D3612)-(COUNTA(D3612:D3612)-1))</f>
        <v/>
      </c>
    </row>
    <row r="3613" spans="1:10" s="77" customFormat="1" thickBot="1">
      <c r="A3613" s="117"/>
      <c r="B3613" s="75">
        <f t="shared" si="229"/>
        <v>47405</v>
      </c>
      <c r="C3613" s="83" t="str">
        <f t="shared" si="226"/>
        <v>dimanche</v>
      </c>
      <c r="D3613" s="88"/>
      <c r="E3613" s="115" t="str">
        <f t="shared" si="227"/>
        <v/>
      </c>
      <c r="F3613" s="115" t="str">
        <f t="shared" si="228"/>
        <v/>
      </c>
      <c r="G3613" s="116" t="str">
        <f>IF(ISNONTEXT(D3613),"",E3613-MAX($F$2:F3612))</f>
        <v/>
      </c>
      <c r="H3613" s="98"/>
      <c r="I3613" s="76" t="str">
        <f ca="1">IF(D3613="N",COUNTIF(INDIRECT(ADDRESS(MATCH(Plages!$D$19,'Planning annuel mixing coater'!$B:$B),4)):D3613,"N"),IF(D3613="N1",COUNTIF($D$9:D3613,"N1"),""))</f>
        <v/>
      </c>
      <c r="J3613" s="99" t="str">
        <f>IF(D3613="","",COUNTA(D3600:D3613)-(COUNTA(D3613:D3613)-1))</f>
        <v/>
      </c>
    </row>
    <row r="3614" spans="1:10" ht="16.5" thickTop="1" thickBot="1">
      <c r="A3614" s="117"/>
      <c r="B3614" s="78">
        <f t="shared" si="229"/>
        <v>47406</v>
      </c>
      <c r="C3614" s="81" t="str">
        <f t="shared" ref="C3614:C3677" si="230">IF(B3614="","",TEXT(B3614,"jjjj"))</f>
        <v>lundi</v>
      </c>
      <c r="D3614" s="89"/>
      <c r="E3614" s="115" t="str">
        <f t="shared" ref="E3614:E3677" si="231">IF(D3614="","",B3614+VLOOKUP(D3614,Plageh,2,0))</f>
        <v/>
      </c>
      <c r="F3614" s="115" t="str">
        <f t="shared" ref="F3614:F3677" si="232">IF(D3614="","",B3614+VLOOKUP(D3614,Plageh,3,0))</f>
        <v/>
      </c>
      <c r="G3614" s="116" t="str">
        <f>IF(ISNONTEXT(D3614),"",E3614-MAX($F$2:F3613))</f>
        <v/>
      </c>
      <c r="H3614" s="100"/>
      <c r="I3614" s="79" t="str">
        <f ca="1">IF(D3614="N",COUNTIF(INDIRECT(ADDRESS(MATCH(Plages!$D$19,'Planning annuel mixing coater'!$B:$B),4)):D3614,"N"),IF(D3614="N1",COUNTIF($D$9:D3614,"N1"),""))</f>
        <v/>
      </c>
      <c r="J3614" s="101" t="str">
        <f>IF(D3614="","",COUNTA(D3614:D3614)-(COUNTA(D3614:D3614)-1))</f>
        <v/>
      </c>
    </row>
    <row r="3615" spans="1:10" thickBot="1">
      <c r="A3615" s="117"/>
      <c r="B3615" s="70">
        <f t="shared" si="229"/>
        <v>47407</v>
      </c>
      <c r="C3615" s="82" t="str">
        <f t="shared" si="230"/>
        <v>mardi</v>
      </c>
      <c r="D3615" s="87"/>
      <c r="E3615" s="115" t="str">
        <f t="shared" si="231"/>
        <v/>
      </c>
      <c r="F3615" s="115" t="str">
        <f t="shared" si="232"/>
        <v/>
      </c>
      <c r="G3615" s="116" t="str">
        <f>IF(ISNONTEXT(D3615),"",E3615-MAX($F$2:F3614))</f>
        <v/>
      </c>
      <c r="H3615" s="97"/>
      <c r="I3615" s="74" t="str">
        <f ca="1">IF(D3615="N",COUNTIF(INDIRECT(ADDRESS(MATCH(Plages!$D$19,'Planning annuel mixing coater'!$B:$B),4)):D3615,"N"),IF(D3615="N1",COUNTIF($D$9:D3615,"N1"),""))</f>
        <v/>
      </c>
      <c r="J3615" s="96" t="str">
        <f>IF(D3615="","",COUNTA(D3614:D3615)-(COUNTA(D3615:D3615)-1))</f>
        <v/>
      </c>
    </row>
    <row r="3616" spans="1:10" thickBot="1">
      <c r="A3616" s="117"/>
      <c r="B3616" s="70">
        <f t="shared" si="229"/>
        <v>47408</v>
      </c>
      <c r="C3616" s="82" t="str">
        <f t="shared" si="230"/>
        <v>mercredi</v>
      </c>
      <c r="D3616" s="87"/>
      <c r="E3616" s="115" t="str">
        <f t="shared" si="231"/>
        <v/>
      </c>
      <c r="F3616" s="115" t="str">
        <f t="shared" si="232"/>
        <v/>
      </c>
      <c r="G3616" s="116" t="str">
        <f>IF(ISNONTEXT(D3616),"",E3616-MAX($F$2:F3615))</f>
        <v/>
      </c>
      <c r="H3616" s="97"/>
      <c r="I3616" s="74" t="str">
        <f ca="1">IF(D3616="N",COUNTIF(INDIRECT(ADDRESS(MATCH(Plages!$D$19,'Planning annuel mixing coater'!$B:$B),4)):D3616,"N"),IF(D3616="N1",COUNTIF($D$9:D3616,"N1"),""))</f>
        <v/>
      </c>
      <c r="J3616" s="96" t="str">
        <f>IF(D3616="","",COUNTA(D3614:D3616)-(COUNTA(D3616:D3616)-1))</f>
        <v/>
      </c>
    </row>
    <row r="3617" spans="1:10" thickBot="1">
      <c r="A3617" s="117"/>
      <c r="B3617" s="70">
        <f t="shared" si="229"/>
        <v>47409</v>
      </c>
      <c r="C3617" s="82" t="str">
        <f t="shared" si="230"/>
        <v>jeudi</v>
      </c>
      <c r="D3617" s="87"/>
      <c r="E3617" s="115" t="str">
        <f t="shared" si="231"/>
        <v/>
      </c>
      <c r="F3617" s="115" t="str">
        <f t="shared" si="232"/>
        <v/>
      </c>
      <c r="G3617" s="116" t="str">
        <f>IF(ISNONTEXT(D3617),"",E3617-MAX($F$2:F3616))</f>
        <v/>
      </c>
      <c r="H3617" s="97"/>
      <c r="I3617" s="74" t="str">
        <f ca="1">IF(D3617="N",COUNTIF(INDIRECT(ADDRESS(MATCH(Plages!$D$19,'Planning annuel mixing coater'!$B:$B),4)):D3617,"N"),IF(D3617="N1",COUNTIF($D$9:D3617,"N1"),""))</f>
        <v/>
      </c>
      <c r="J3617" s="96" t="str">
        <f>IF(D3617="","",COUNTA(D3614:D3617)-(COUNTA(D3617:D3617)-1))</f>
        <v/>
      </c>
    </row>
    <row r="3618" spans="1:10" thickBot="1">
      <c r="A3618" s="117"/>
      <c r="B3618" s="70">
        <f t="shared" si="229"/>
        <v>47410</v>
      </c>
      <c r="C3618" s="82" t="str">
        <f t="shared" si="230"/>
        <v>vendredi</v>
      </c>
      <c r="D3618" s="87"/>
      <c r="E3618" s="115" t="str">
        <f t="shared" si="231"/>
        <v/>
      </c>
      <c r="F3618" s="115" t="str">
        <f t="shared" si="232"/>
        <v/>
      </c>
      <c r="G3618" s="116" t="str">
        <f>IF(ISNONTEXT(D3618),"",E3618-MAX($F$2:F3617))</f>
        <v/>
      </c>
      <c r="H3618" s="97"/>
      <c r="I3618" s="74" t="str">
        <f ca="1">IF(D3618="N",COUNTIF(INDIRECT(ADDRESS(MATCH(Plages!$D$19,'Planning annuel mixing coater'!$B:$B),4)):D3618,"N"),IF(D3618="N1",COUNTIF($D$9:D3618,"N1"),""))</f>
        <v/>
      </c>
      <c r="J3618" s="96" t="str">
        <f>IF(D3618="","",COUNTA(D3614:D3618)-(COUNTA(D3618:D3618)-1))</f>
        <v/>
      </c>
    </row>
    <row r="3619" spans="1:10" thickBot="1">
      <c r="A3619" s="117"/>
      <c r="B3619" s="70">
        <f t="shared" si="229"/>
        <v>47411</v>
      </c>
      <c r="C3619" s="82" t="str">
        <f t="shared" si="230"/>
        <v>samedi</v>
      </c>
      <c r="D3619" s="87"/>
      <c r="E3619" s="115" t="str">
        <f t="shared" si="231"/>
        <v/>
      </c>
      <c r="F3619" s="115" t="str">
        <f t="shared" si="232"/>
        <v/>
      </c>
      <c r="G3619" s="116" t="str">
        <f>IF(ISNONTEXT(D3619),"",E3619-MAX($F$2:F3618))</f>
        <v/>
      </c>
      <c r="H3619" s="97"/>
      <c r="I3619" s="74" t="str">
        <f ca="1">IF(D3619="N",COUNTIF(INDIRECT(ADDRESS(MATCH(Plages!$D$19,'Planning annuel mixing coater'!$B:$B),4)):D3619,"N"),IF(D3619="N1",COUNTIF($D$9:D3619,"N1"),""))</f>
        <v/>
      </c>
      <c r="J3619" s="96" t="str">
        <f>IF(D3619="","",COUNTA(D3614:D3619)-(COUNTA(D3619:D3619)-1))</f>
        <v/>
      </c>
    </row>
    <row r="3620" spans="1:10" thickBot="1">
      <c r="A3620" s="117"/>
      <c r="B3620" s="70">
        <f t="shared" si="229"/>
        <v>47412</v>
      </c>
      <c r="C3620" s="82" t="str">
        <f t="shared" si="230"/>
        <v>dimanche</v>
      </c>
      <c r="D3620" s="87"/>
      <c r="E3620" s="115" t="str">
        <f t="shared" si="231"/>
        <v/>
      </c>
      <c r="F3620" s="115" t="str">
        <f t="shared" si="232"/>
        <v/>
      </c>
      <c r="G3620" s="116" t="str">
        <f>IF(ISNONTEXT(D3620),"",E3620-MAX($F$2:F3619))</f>
        <v/>
      </c>
      <c r="H3620" s="98"/>
      <c r="I3620" s="74" t="str">
        <f ca="1">IF(D3620="N",COUNTIF(INDIRECT(ADDRESS(MATCH(Plages!$D$19,'Planning annuel mixing coater'!$B:$B),4)):D3620,"N"),IF(D3620="N1",COUNTIF($D$9:D3620,"N1"),""))</f>
        <v/>
      </c>
      <c r="J3620" s="96" t="str">
        <f>IF(D3620="","",COUNTA(D3614:D3620)-(COUNTA(D3620:D3620)-1))</f>
        <v/>
      </c>
    </row>
    <row r="3621" spans="1:10" thickBot="1">
      <c r="A3621" s="117"/>
      <c r="B3621" s="70">
        <f t="shared" si="229"/>
        <v>47413</v>
      </c>
      <c r="C3621" s="82" t="str">
        <f t="shared" si="230"/>
        <v>lundi</v>
      </c>
      <c r="D3621" s="87"/>
      <c r="E3621" s="115" t="str">
        <f t="shared" si="231"/>
        <v/>
      </c>
      <c r="F3621" s="115" t="str">
        <f t="shared" si="232"/>
        <v/>
      </c>
      <c r="G3621" s="116" t="str">
        <f>IF(ISNONTEXT(D3621),"",E3621-MAX($F$2:F3620))</f>
        <v/>
      </c>
      <c r="H3621" s="97"/>
      <c r="I3621" s="74" t="str">
        <f ca="1">IF(D3621="N",COUNTIF(INDIRECT(ADDRESS(MATCH(Plages!$D$19,'Planning annuel mixing coater'!$B:$B),4)):D3621,"N"),IF(D3621="N1",COUNTIF($D$9:D3621,"N1"),""))</f>
        <v/>
      </c>
      <c r="J3621" s="96" t="str">
        <f>IF(D3621="","",COUNTA(D3614:D3621)-(COUNTA(D3621:D3621)-1))</f>
        <v/>
      </c>
    </row>
    <row r="3622" spans="1:10" thickBot="1">
      <c r="A3622" s="117"/>
      <c r="B3622" s="70">
        <f t="shared" si="229"/>
        <v>47414</v>
      </c>
      <c r="C3622" s="82" t="str">
        <f t="shared" si="230"/>
        <v>mardi</v>
      </c>
      <c r="D3622" s="87"/>
      <c r="E3622" s="115" t="str">
        <f t="shared" si="231"/>
        <v/>
      </c>
      <c r="F3622" s="115" t="str">
        <f t="shared" si="232"/>
        <v/>
      </c>
      <c r="G3622" s="116" t="str">
        <f>IF(ISNONTEXT(D3622),"",E3622-MAX($F$2:F3621))</f>
        <v/>
      </c>
      <c r="H3622" s="97"/>
      <c r="I3622" s="74" t="str">
        <f ca="1">IF(D3622="N",COUNTIF(INDIRECT(ADDRESS(MATCH(Plages!$D$19,'Planning annuel mixing coater'!$B:$B),4)):D3622,"N"),IF(D3622="N1",COUNTIF($D$9:D3622,"N1"),""))</f>
        <v/>
      </c>
      <c r="J3622" s="96" t="str">
        <f>IF(D3622="","",COUNTA(D3614:D3622)-(COUNTA(D3622:D3622)-1))</f>
        <v/>
      </c>
    </row>
    <row r="3623" spans="1:10" thickBot="1">
      <c r="A3623" s="117"/>
      <c r="B3623" s="70">
        <f t="shared" si="229"/>
        <v>47415</v>
      </c>
      <c r="C3623" s="82" t="str">
        <f t="shared" si="230"/>
        <v>mercredi</v>
      </c>
      <c r="D3623" s="87"/>
      <c r="E3623" s="115" t="str">
        <f t="shared" si="231"/>
        <v/>
      </c>
      <c r="F3623" s="115" t="str">
        <f t="shared" si="232"/>
        <v/>
      </c>
      <c r="G3623" s="116" t="str">
        <f>IF(ISNONTEXT(D3623),"",E3623-MAX($F$2:F3622))</f>
        <v/>
      </c>
      <c r="H3623" s="97"/>
      <c r="I3623" s="74" t="str">
        <f ca="1">IF(D3623="N",COUNTIF(INDIRECT(ADDRESS(MATCH(Plages!$D$19,'Planning annuel mixing coater'!$B:$B),4)):D3623,"N"),IF(D3623="N1",COUNTIF($D$9:D3623,"N1"),""))</f>
        <v/>
      </c>
      <c r="J3623" s="96" t="str">
        <f>IF(D3623="","",COUNTA(D3614:D3623)-(COUNTA(D3623:D3623)-1))</f>
        <v/>
      </c>
    </row>
    <row r="3624" spans="1:10" thickBot="1">
      <c r="A3624" s="117"/>
      <c r="B3624" s="70">
        <f t="shared" si="229"/>
        <v>47416</v>
      </c>
      <c r="C3624" s="82" t="str">
        <f t="shared" si="230"/>
        <v>jeudi</v>
      </c>
      <c r="D3624" s="87"/>
      <c r="E3624" s="115" t="str">
        <f t="shared" si="231"/>
        <v/>
      </c>
      <c r="F3624" s="115" t="str">
        <f t="shared" si="232"/>
        <v/>
      </c>
      <c r="G3624" s="116" t="str">
        <f>IF(ISNONTEXT(D3624),"",E3624-MAX($F$2:F3623))</f>
        <v/>
      </c>
      <c r="H3624" s="97"/>
      <c r="I3624" s="74" t="str">
        <f ca="1">IF(D3624="N",COUNTIF(INDIRECT(ADDRESS(MATCH(Plages!$D$19,'Planning annuel mixing coater'!$B:$B),4)):D3624,"N"),IF(D3624="N1",COUNTIF($D$9:D3624,"N1"),""))</f>
        <v/>
      </c>
      <c r="J3624" s="96" t="str">
        <f>IF(D3624="","",COUNTA(D3614:D3624)-(COUNTA(D3624:D3624)-1))</f>
        <v/>
      </c>
    </row>
    <row r="3625" spans="1:10" thickBot="1">
      <c r="A3625" s="117"/>
      <c r="B3625" s="70">
        <f t="shared" si="229"/>
        <v>47417</v>
      </c>
      <c r="C3625" s="82" t="str">
        <f t="shared" si="230"/>
        <v>vendredi</v>
      </c>
      <c r="D3625" s="87"/>
      <c r="E3625" s="115" t="str">
        <f t="shared" si="231"/>
        <v/>
      </c>
      <c r="F3625" s="115" t="str">
        <f t="shared" si="232"/>
        <v/>
      </c>
      <c r="G3625" s="116" t="str">
        <f>IF(ISNONTEXT(D3625),"",E3625-MAX($F$2:F3624))</f>
        <v/>
      </c>
      <c r="H3625" s="97"/>
      <c r="I3625" s="74" t="str">
        <f ca="1">IF(D3625="N",COUNTIF(INDIRECT(ADDRESS(MATCH(Plages!$D$19,'Planning annuel mixing coater'!$B:$B),4)):D3625,"N"),IF(D3625="N1",COUNTIF($D$9:D3625,"N1"),""))</f>
        <v/>
      </c>
      <c r="J3625" s="96" t="str">
        <f>IF(D3625="","",COUNTA(D3614:D3625)-(COUNTA(D3625:D3625)-1))</f>
        <v/>
      </c>
    </row>
    <row r="3626" spans="1:10" thickBot="1">
      <c r="A3626" s="117"/>
      <c r="B3626" s="70">
        <f t="shared" si="229"/>
        <v>47418</v>
      </c>
      <c r="C3626" s="82" t="str">
        <f t="shared" si="230"/>
        <v>samedi</v>
      </c>
      <c r="D3626" s="87"/>
      <c r="E3626" s="115" t="str">
        <f t="shared" si="231"/>
        <v/>
      </c>
      <c r="F3626" s="115" t="str">
        <f t="shared" si="232"/>
        <v/>
      </c>
      <c r="G3626" s="116" t="str">
        <f>IF(ISNONTEXT(D3626),"",E3626-MAX($F$2:F3625))</f>
        <v/>
      </c>
      <c r="H3626" s="97"/>
      <c r="I3626" s="74" t="str">
        <f ca="1">IF(D3626="N",COUNTIF(INDIRECT(ADDRESS(MATCH(Plages!$D$19,'Planning annuel mixing coater'!$B:$B),4)):D3626,"N"),IF(D3626="N1",COUNTIF($D$9:D3626,"N1"),""))</f>
        <v/>
      </c>
      <c r="J3626" s="96" t="str">
        <f>IF(D3626="","",COUNTA(D3614:D3626)-(COUNTA(D3626:D3626)-1))</f>
        <v/>
      </c>
    </row>
    <row r="3627" spans="1:10" s="77" customFormat="1" thickBot="1">
      <c r="A3627" s="117"/>
      <c r="B3627" s="75">
        <f t="shared" si="229"/>
        <v>47419</v>
      </c>
      <c r="C3627" s="83" t="str">
        <f t="shared" si="230"/>
        <v>dimanche</v>
      </c>
      <c r="D3627" s="88"/>
      <c r="E3627" s="115" t="str">
        <f t="shared" si="231"/>
        <v/>
      </c>
      <c r="F3627" s="115" t="str">
        <f t="shared" si="232"/>
        <v/>
      </c>
      <c r="G3627" s="116" t="str">
        <f>IF(ISNONTEXT(D3627),"",E3627-MAX($F$2:F3626))</f>
        <v/>
      </c>
      <c r="H3627" s="98"/>
      <c r="I3627" s="76" t="str">
        <f ca="1">IF(D3627="N",COUNTIF(INDIRECT(ADDRESS(MATCH(Plages!$D$19,'Planning annuel mixing coater'!$B:$B),4)):D3627,"N"),IF(D3627="N1",COUNTIF($D$9:D3627,"N1"),""))</f>
        <v/>
      </c>
      <c r="J3627" s="99" t="str">
        <f>IF(D3627="","",COUNTA(D3614:D3627)-(COUNTA(D3627:D3627)-1))</f>
        <v/>
      </c>
    </row>
    <row r="3628" spans="1:10" ht="16.5" thickTop="1" thickBot="1">
      <c r="A3628" s="117"/>
      <c r="B3628" s="78">
        <f t="shared" si="229"/>
        <v>47420</v>
      </c>
      <c r="C3628" s="81" t="str">
        <f t="shared" si="230"/>
        <v>lundi</v>
      </c>
      <c r="D3628" s="89"/>
      <c r="E3628" s="115" t="str">
        <f t="shared" si="231"/>
        <v/>
      </c>
      <c r="F3628" s="115" t="str">
        <f t="shared" si="232"/>
        <v/>
      </c>
      <c r="G3628" s="116" t="str">
        <f>IF(ISNONTEXT(D3628),"",E3628-MAX($F$2:F3627))</f>
        <v/>
      </c>
      <c r="H3628" s="100"/>
      <c r="I3628" s="79" t="str">
        <f ca="1">IF(D3628="N",COUNTIF(INDIRECT(ADDRESS(MATCH(Plages!$D$19,'Planning annuel mixing coater'!$B:$B),4)):D3628,"N"),IF(D3628="N1",COUNTIF($D$9:D3628,"N1"),""))</f>
        <v/>
      </c>
      <c r="J3628" s="101" t="str">
        <f>IF(D3628="","",COUNTA(D3628:D3628)-(COUNTA(D3628:D3628)-1))</f>
        <v/>
      </c>
    </row>
    <row r="3629" spans="1:10" thickBot="1">
      <c r="A3629" s="117"/>
      <c r="B3629" s="70">
        <f t="shared" si="229"/>
        <v>47421</v>
      </c>
      <c r="C3629" s="82" t="str">
        <f t="shared" si="230"/>
        <v>mardi</v>
      </c>
      <c r="D3629" s="87"/>
      <c r="E3629" s="115" t="str">
        <f t="shared" si="231"/>
        <v/>
      </c>
      <c r="F3629" s="115" t="str">
        <f t="shared" si="232"/>
        <v/>
      </c>
      <c r="G3629" s="116" t="str">
        <f>IF(ISNONTEXT(D3629),"",E3629-MAX($F$2:F3628))</f>
        <v/>
      </c>
      <c r="H3629" s="97"/>
      <c r="I3629" s="74" t="str">
        <f ca="1">IF(D3629="N",COUNTIF(INDIRECT(ADDRESS(MATCH(Plages!$D$19,'Planning annuel mixing coater'!$B:$B),4)):D3629,"N"),IF(D3629="N1",COUNTIF($D$9:D3629,"N1"),""))</f>
        <v/>
      </c>
      <c r="J3629" s="96" t="str">
        <f>IF(D3629="","",COUNTA(D3628:D3629)-(COUNTA(D3629:D3629)-1))</f>
        <v/>
      </c>
    </row>
    <row r="3630" spans="1:10" thickBot="1">
      <c r="A3630" s="117"/>
      <c r="B3630" s="70">
        <f t="shared" si="229"/>
        <v>47422</v>
      </c>
      <c r="C3630" s="82" t="str">
        <f t="shared" si="230"/>
        <v>mercredi</v>
      </c>
      <c r="D3630" s="87"/>
      <c r="E3630" s="115" t="str">
        <f t="shared" si="231"/>
        <v/>
      </c>
      <c r="F3630" s="115" t="str">
        <f t="shared" si="232"/>
        <v/>
      </c>
      <c r="G3630" s="116" t="str">
        <f>IF(ISNONTEXT(D3630),"",E3630-MAX($F$2:F3629))</f>
        <v/>
      </c>
      <c r="H3630" s="97"/>
      <c r="I3630" s="74" t="str">
        <f ca="1">IF(D3630="N",COUNTIF(INDIRECT(ADDRESS(MATCH(Plages!$D$19,'Planning annuel mixing coater'!$B:$B),4)):D3630,"N"),IF(D3630="N1",COUNTIF($D$9:D3630,"N1"),""))</f>
        <v/>
      </c>
      <c r="J3630" s="96" t="str">
        <f>IF(D3630="","",COUNTA(D3628:D3630)-(COUNTA(D3630:D3630)-1))</f>
        <v/>
      </c>
    </row>
    <row r="3631" spans="1:10" thickBot="1">
      <c r="A3631" s="117"/>
      <c r="B3631" s="70">
        <f t="shared" si="229"/>
        <v>47423</v>
      </c>
      <c r="C3631" s="82" t="str">
        <f t="shared" si="230"/>
        <v>jeudi</v>
      </c>
      <c r="D3631" s="87"/>
      <c r="E3631" s="115" t="str">
        <f t="shared" si="231"/>
        <v/>
      </c>
      <c r="F3631" s="115" t="str">
        <f t="shared" si="232"/>
        <v/>
      </c>
      <c r="G3631" s="116" t="str">
        <f>IF(ISNONTEXT(D3631),"",E3631-MAX($F$2:F3630))</f>
        <v/>
      </c>
      <c r="H3631" s="97"/>
      <c r="I3631" s="74" t="str">
        <f ca="1">IF(D3631="N",COUNTIF(INDIRECT(ADDRESS(MATCH(Plages!$D$19,'Planning annuel mixing coater'!$B:$B),4)):D3631,"N"),IF(D3631="N1",COUNTIF($D$9:D3631,"N1"),""))</f>
        <v/>
      </c>
      <c r="J3631" s="96" t="str">
        <f>IF(D3631="","",COUNTA(D3628:D3631)-(COUNTA(D3631:D3631)-1))</f>
        <v/>
      </c>
    </row>
    <row r="3632" spans="1:10" thickBot="1">
      <c r="A3632" s="117"/>
      <c r="B3632" s="70">
        <f t="shared" si="229"/>
        <v>47424</v>
      </c>
      <c r="C3632" s="82" t="str">
        <f t="shared" si="230"/>
        <v>vendredi</v>
      </c>
      <c r="D3632" s="87"/>
      <c r="E3632" s="115" t="str">
        <f t="shared" si="231"/>
        <v/>
      </c>
      <c r="F3632" s="115" t="str">
        <f t="shared" si="232"/>
        <v/>
      </c>
      <c r="G3632" s="116" t="str">
        <f>IF(ISNONTEXT(D3632),"",E3632-MAX($F$2:F3631))</f>
        <v/>
      </c>
      <c r="H3632" s="97"/>
      <c r="I3632" s="74" t="str">
        <f ca="1">IF(D3632="N",COUNTIF(INDIRECT(ADDRESS(MATCH(Plages!$D$19,'Planning annuel mixing coater'!$B:$B),4)):D3632,"N"),IF(D3632="N1",COUNTIF($D$9:D3632,"N1"),""))</f>
        <v/>
      </c>
      <c r="J3632" s="96" t="str">
        <f>IF(D3632="","",COUNTA(D3628:D3632)-(COUNTA(D3632:D3632)-1))</f>
        <v/>
      </c>
    </row>
    <row r="3633" spans="1:10" thickBot="1">
      <c r="A3633" s="117"/>
      <c r="B3633" s="70">
        <f t="shared" si="229"/>
        <v>47425</v>
      </c>
      <c r="C3633" s="82" t="str">
        <f t="shared" si="230"/>
        <v>samedi</v>
      </c>
      <c r="D3633" s="87"/>
      <c r="E3633" s="115" t="str">
        <f t="shared" si="231"/>
        <v/>
      </c>
      <c r="F3633" s="115" t="str">
        <f t="shared" si="232"/>
        <v/>
      </c>
      <c r="G3633" s="116" t="str">
        <f>IF(ISNONTEXT(D3633),"",E3633-MAX($F$2:F3632))</f>
        <v/>
      </c>
      <c r="H3633" s="97"/>
      <c r="I3633" s="74" t="str">
        <f ca="1">IF(D3633="N",COUNTIF(INDIRECT(ADDRESS(MATCH(Plages!$D$19,'Planning annuel mixing coater'!$B:$B),4)):D3633,"N"),IF(D3633="N1",COUNTIF($D$9:D3633,"N1"),""))</f>
        <v/>
      </c>
      <c r="J3633" s="96" t="str">
        <f>IF(D3633="","",COUNTA(D3628:D3633)-(COUNTA(D3633:D3633)-1))</f>
        <v/>
      </c>
    </row>
    <row r="3634" spans="1:10" thickBot="1">
      <c r="A3634" s="117"/>
      <c r="B3634" s="70">
        <f t="shared" si="229"/>
        <v>47426</v>
      </c>
      <c r="C3634" s="82" t="str">
        <f t="shared" si="230"/>
        <v>dimanche</v>
      </c>
      <c r="D3634" s="87"/>
      <c r="E3634" s="115" t="str">
        <f t="shared" si="231"/>
        <v/>
      </c>
      <c r="F3634" s="115" t="str">
        <f t="shared" si="232"/>
        <v/>
      </c>
      <c r="G3634" s="116" t="str">
        <f>IF(ISNONTEXT(D3634),"",E3634-MAX($F$2:F3633))</f>
        <v/>
      </c>
      <c r="H3634" s="98"/>
      <c r="I3634" s="74" t="str">
        <f ca="1">IF(D3634="N",COUNTIF(INDIRECT(ADDRESS(MATCH(Plages!$D$19,'Planning annuel mixing coater'!$B:$B),4)):D3634,"N"),IF(D3634="N1",COUNTIF($D$9:D3634,"N1"),""))</f>
        <v/>
      </c>
      <c r="J3634" s="96" t="str">
        <f>IF(D3634="","",COUNTA(D3628:D3634)-(COUNTA(D3634:D3634)-1))</f>
        <v/>
      </c>
    </row>
    <row r="3635" spans="1:10" thickBot="1">
      <c r="A3635" s="117"/>
      <c r="B3635" s="70">
        <f t="shared" si="229"/>
        <v>47427</v>
      </c>
      <c r="C3635" s="82" t="str">
        <f t="shared" si="230"/>
        <v>lundi</v>
      </c>
      <c r="D3635" s="87"/>
      <c r="E3635" s="115" t="str">
        <f t="shared" si="231"/>
        <v/>
      </c>
      <c r="F3635" s="115" t="str">
        <f t="shared" si="232"/>
        <v/>
      </c>
      <c r="G3635" s="116" t="str">
        <f>IF(ISNONTEXT(D3635),"",E3635-MAX($F$2:F3634))</f>
        <v/>
      </c>
      <c r="H3635" s="97"/>
      <c r="I3635" s="74" t="str">
        <f ca="1">IF(D3635="N",COUNTIF(INDIRECT(ADDRESS(MATCH(Plages!$D$19,'Planning annuel mixing coater'!$B:$B),4)):D3635,"N"),IF(D3635="N1",COUNTIF($D$9:D3635,"N1"),""))</f>
        <v/>
      </c>
      <c r="J3635" s="96" t="str">
        <f>IF(D3635="","",COUNTA(D3628:D3635)-(COUNTA(D3635:D3635)-1))</f>
        <v/>
      </c>
    </row>
    <row r="3636" spans="1:10" thickBot="1">
      <c r="A3636" s="117"/>
      <c r="B3636" s="70">
        <f t="shared" si="229"/>
        <v>47428</v>
      </c>
      <c r="C3636" s="82" t="str">
        <f t="shared" si="230"/>
        <v>mardi</v>
      </c>
      <c r="D3636" s="87"/>
      <c r="E3636" s="115" t="str">
        <f t="shared" si="231"/>
        <v/>
      </c>
      <c r="F3636" s="115" t="str">
        <f t="shared" si="232"/>
        <v/>
      </c>
      <c r="G3636" s="116" t="str">
        <f>IF(ISNONTEXT(D3636),"",E3636-MAX($F$2:F3635))</f>
        <v/>
      </c>
      <c r="H3636" s="97"/>
      <c r="I3636" s="74" t="str">
        <f ca="1">IF(D3636="N",COUNTIF(INDIRECT(ADDRESS(MATCH(Plages!$D$19,'Planning annuel mixing coater'!$B:$B),4)):D3636,"N"),IF(D3636="N1",COUNTIF($D$9:D3636,"N1"),""))</f>
        <v/>
      </c>
      <c r="J3636" s="96" t="str">
        <f>IF(D3636="","",COUNTA(D3628:D3636)-(COUNTA(D3636:D3636)-1))</f>
        <v/>
      </c>
    </row>
    <row r="3637" spans="1:10" thickBot="1">
      <c r="A3637" s="117"/>
      <c r="B3637" s="70">
        <f t="shared" si="229"/>
        <v>47429</v>
      </c>
      <c r="C3637" s="82" t="str">
        <f t="shared" si="230"/>
        <v>mercredi</v>
      </c>
      <c r="D3637" s="87"/>
      <c r="E3637" s="115" t="str">
        <f t="shared" si="231"/>
        <v/>
      </c>
      <c r="F3637" s="115" t="str">
        <f t="shared" si="232"/>
        <v/>
      </c>
      <c r="G3637" s="116" t="str">
        <f>IF(ISNONTEXT(D3637),"",E3637-MAX($F$2:F3636))</f>
        <v/>
      </c>
      <c r="H3637" s="97"/>
      <c r="I3637" s="74" t="str">
        <f ca="1">IF(D3637="N",COUNTIF(INDIRECT(ADDRESS(MATCH(Plages!$D$19,'Planning annuel mixing coater'!$B:$B),4)):D3637,"N"),IF(D3637="N1",COUNTIF($D$9:D3637,"N1"),""))</f>
        <v/>
      </c>
      <c r="J3637" s="96" t="str">
        <f>IF(D3637="","",COUNTA(D3628:D3637)-(COUNTA(D3637:D3637)-1))</f>
        <v/>
      </c>
    </row>
    <row r="3638" spans="1:10" thickBot="1">
      <c r="A3638" s="117"/>
      <c r="B3638" s="70">
        <f t="shared" si="229"/>
        <v>47430</v>
      </c>
      <c r="C3638" s="82" t="str">
        <f t="shared" si="230"/>
        <v>jeudi</v>
      </c>
      <c r="D3638" s="87"/>
      <c r="E3638" s="115" t="str">
        <f t="shared" si="231"/>
        <v/>
      </c>
      <c r="F3638" s="115" t="str">
        <f t="shared" si="232"/>
        <v/>
      </c>
      <c r="G3638" s="116" t="str">
        <f>IF(ISNONTEXT(D3638),"",E3638-MAX($F$2:F3637))</f>
        <v/>
      </c>
      <c r="H3638" s="97"/>
      <c r="I3638" s="74" t="str">
        <f ca="1">IF(D3638="N",COUNTIF(INDIRECT(ADDRESS(MATCH(Plages!$D$19,'Planning annuel mixing coater'!$B:$B),4)):D3638,"N"),IF(D3638="N1",COUNTIF($D$9:D3638,"N1"),""))</f>
        <v/>
      </c>
      <c r="J3638" s="96" t="str">
        <f>IF(D3638="","",COUNTA(D3628:D3638)-(COUNTA(D3638:D3638)-1))</f>
        <v/>
      </c>
    </row>
    <row r="3639" spans="1:10" thickBot="1">
      <c r="A3639" s="117"/>
      <c r="B3639" s="70">
        <f t="shared" si="229"/>
        <v>47431</v>
      </c>
      <c r="C3639" s="82" t="str">
        <f t="shared" si="230"/>
        <v>vendredi</v>
      </c>
      <c r="D3639" s="87"/>
      <c r="E3639" s="115" t="str">
        <f t="shared" si="231"/>
        <v/>
      </c>
      <c r="F3639" s="115" t="str">
        <f t="shared" si="232"/>
        <v/>
      </c>
      <c r="G3639" s="116" t="str">
        <f>IF(ISNONTEXT(D3639),"",E3639-MAX($F$2:F3638))</f>
        <v/>
      </c>
      <c r="H3639" s="97"/>
      <c r="I3639" s="74" t="str">
        <f ca="1">IF(D3639="N",COUNTIF(INDIRECT(ADDRESS(MATCH(Plages!$D$19,'Planning annuel mixing coater'!$B:$B),4)):D3639,"N"),IF(D3639="N1",COUNTIF($D$9:D3639,"N1"),""))</f>
        <v/>
      </c>
      <c r="J3639" s="96" t="str">
        <f>IF(D3639="","",COUNTA(D3628:D3639)-(COUNTA(D3639:D3639)-1))</f>
        <v/>
      </c>
    </row>
    <row r="3640" spans="1:10" thickBot="1">
      <c r="A3640" s="117"/>
      <c r="B3640" s="70">
        <f t="shared" si="229"/>
        <v>47432</v>
      </c>
      <c r="C3640" s="82" t="str">
        <f t="shared" si="230"/>
        <v>samedi</v>
      </c>
      <c r="D3640" s="87"/>
      <c r="E3640" s="115" t="str">
        <f t="shared" si="231"/>
        <v/>
      </c>
      <c r="F3640" s="115" t="str">
        <f t="shared" si="232"/>
        <v/>
      </c>
      <c r="G3640" s="116" t="str">
        <f>IF(ISNONTEXT(D3640),"",E3640-MAX($F$2:F3639))</f>
        <v/>
      </c>
      <c r="H3640" s="97"/>
      <c r="I3640" s="74" t="str">
        <f ca="1">IF(D3640="N",COUNTIF(INDIRECT(ADDRESS(MATCH(Plages!$D$19,'Planning annuel mixing coater'!$B:$B),4)):D3640,"N"),IF(D3640="N1",COUNTIF($D$9:D3640,"N1"),""))</f>
        <v/>
      </c>
      <c r="J3640" s="96" t="str">
        <f>IF(D3640="","",COUNTA(D3628:D3640)-(COUNTA(D3640:D3640)-1))</f>
        <v/>
      </c>
    </row>
    <row r="3641" spans="1:10" s="77" customFormat="1" thickBot="1">
      <c r="A3641" s="117"/>
      <c r="B3641" s="75">
        <f t="shared" si="229"/>
        <v>47433</v>
      </c>
      <c r="C3641" s="83" t="str">
        <f t="shared" si="230"/>
        <v>dimanche</v>
      </c>
      <c r="D3641" s="88"/>
      <c r="E3641" s="115" t="str">
        <f t="shared" si="231"/>
        <v/>
      </c>
      <c r="F3641" s="115" t="str">
        <f t="shared" si="232"/>
        <v/>
      </c>
      <c r="G3641" s="116" t="str">
        <f>IF(ISNONTEXT(D3641),"",E3641-MAX($F$2:F3640))</f>
        <v/>
      </c>
      <c r="H3641" s="98"/>
      <c r="I3641" s="76" t="str">
        <f ca="1">IF(D3641="N",COUNTIF(INDIRECT(ADDRESS(MATCH(Plages!$D$19,'Planning annuel mixing coater'!$B:$B),4)):D3641,"N"),IF(D3641="N1",COUNTIF($D$9:D3641,"N1"),""))</f>
        <v/>
      </c>
      <c r="J3641" s="99" t="str">
        <f>IF(D3641="","",COUNTA(D3628:D3641)-(COUNTA(D3641:D3641)-1))</f>
        <v/>
      </c>
    </row>
    <row r="3642" spans="1:10" ht="16.5" thickTop="1" thickBot="1">
      <c r="A3642" s="117"/>
      <c r="B3642" s="78">
        <f t="shared" si="229"/>
        <v>47434</v>
      </c>
      <c r="C3642" s="81" t="str">
        <f t="shared" si="230"/>
        <v>lundi</v>
      </c>
      <c r="D3642" s="89"/>
      <c r="E3642" s="115" t="str">
        <f t="shared" si="231"/>
        <v/>
      </c>
      <c r="F3642" s="115" t="str">
        <f t="shared" si="232"/>
        <v/>
      </c>
      <c r="G3642" s="116" t="str">
        <f>IF(ISNONTEXT(D3642),"",E3642-MAX($F$2:F3641))</f>
        <v/>
      </c>
      <c r="H3642" s="100"/>
      <c r="I3642" s="79" t="str">
        <f ca="1">IF(D3642="N",COUNTIF(INDIRECT(ADDRESS(MATCH(Plages!$D$19,'Planning annuel mixing coater'!$B:$B),4)):D3642,"N"),IF(D3642="N1",COUNTIF($D$9:D3642,"N1"),""))</f>
        <v/>
      </c>
      <c r="J3642" s="101" t="str">
        <f>IF(D3642="","",COUNTA(D3642:D3642)-(COUNTA(D3642:D3642)-1))</f>
        <v/>
      </c>
    </row>
    <row r="3643" spans="1:10" thickBot="1">
      <c r="A3643" s="117"/>
      <c r="B3643" s="70">
        <f t="shared" si="229"/>
        <v>47435</v>
      </c>
      <c r="C3643" s="82" t="str">
        <f t="shared" si="230"/>
        <v>mardi</v>
      </c>
      <c r="D3643" s="87"/>
      <c r="E3643" s="115" t="str">
        <f t="shared" si="231"/>
        <v/>
      </c>
      <c r="F3643" s="115" t="str">
        <f t="shared" si="232"/>
        <v/>
      </c>
      <c r="G3643" s="116" t="str">
        <f>IF(ISNONTEXT(D3643),"",E3643-MAX($F$2:F3642))</f>
        <v/>
      </c>
      <c r="H3643" s="97"/>
      <c r="I3643" s="74" t="str">
        <f ca="1">IF(D3643="N",COUNTIF(INDIRECT(ADDRESS(MATCH(Plages!$D$19,'Planning annuel mixing coater'!$B:$B),4)):D3643,"N"),IF(D3643="N1",COUNTIF($D$9:D3643,"N1"),""))</f>
        <v/>
      </c>
      <c r="J3643" s="96" t="str">
        <f>IF(D3643="","",COUNTA(D3642:D3643)-(COUNTA(D3643:D3643)-1))</f>
        <v/>
      </c>
    </row>
    <row r="3644" spans="1:10" thickBot="1">
      <c r="A3644" s="117"/>
      <c r="B3644" s="70">
        <f t="shared" si="229"/>
        <v>47436</v>
      </c>
      <c r="C3644" s="82" t="str">
        <f t="shared" si="230"/>
        <v>mercredi</v>
      </c>
      <c r="D3644" s="87"/>
      <c r="E3644" s="115" t="str">
        <f t="shared" si="231"/>
        <v/>
      </c>
      <c r="F3644" s="115" t="str">
        <f t="shared" si="232"/>
        <v/>
      </c>
      <c r="G3644" s="116" t="str">
        <f>IF(ISNONTEXT(D3644),"",E3644-MAX($F$2:F3643))</f>
        <v/>
      </c>
      <c r="H3644" s="97"/>
      <c r="I3644" s="74" t="str">
        <f ca="1">IF(D3644="N",COUNTIF(INDIRECT(ADDRESS(MATCH(Plages!$D$19,'Planning annuel mixing coater'!$B:$B),4)):D3644,"N"),IF(D3644="N1",COUNTIF($D$9:D3644,"N1"),""))</f>
        <v/>
      </c>
      <c r="J3644" s="96" t="str">
        <f>IF(D3644="","",COUNTA(D3642:D3644)-(COUNTA(D3644:D3644)-1))</f>
        <v/>
      </c>
    </row>
    <row r="3645" spans="1:10" thickBot="1">
      <c r="A3645" s="117"/>
      <c r="B3645" s="70">
        <f t="shared" si="229"/>
        <v>47437</v>
      </c>
      <c r="C3645" s="82" t="str">
        <f t="shared" si="230"/>
        <v>jeudi</v>
      </c>
      <c r="D3645" s="87"/>
      <c r="E3645" s="115" t="str">
        <f t="shared" si="231"/>
        <v/>
      </c>
      <c r="F3645" s="115" t="str">
        <f t="shared" si="232"/>
        <v/>
      </c>
      <c r="G3645" s="116" t="str">
        <f>IF(ISNONTEXT(D3645),"",E3645-MAX($F$2:F3644))</f>
        <v/>
      </c>
      <c r="H3645" s="97"/>
      <c r="I3645" s="74" t="str">
        <f ca="1">IF(D3645="N",COUNTIF(INDIRECT(ADDRESS(MATCH(Plages!$D$19,'Planning annuel mixing coater'!$B:$B),4)):D3645,"N"),IF(D3645="N1",COUNTIF($D$9:D3645,"N1"),""))</f>
        <v/>
      </c>
      <c r="J3645" s="96" t="str">
        <f>IF(D3645="","",COUNTA(D3642:D3645)-(COUNTA(D3645:D3645)-1))</f>
        <v/>
      </c>
    </row>
    <row r="3646" spans="1:10" thickBot="1">
      <c r="A3646" s="117"/>
      <c r="B3646" s="70">
        <f t="shared" si="229"/>
        <v>47438</v>
      </c>
      <c r="C3646" s="82" t="str">
        <f t="shared" si="230"/>
        <v>vendredi</v>
      </c>
      <c r="D3646" s="87"/>
      <c r="E3646" s="115" t="str">
        <f t="shared" si="231"/>
        <v/>
      </c>
      <c r="F3646" s="115" t="str">
        <f t="shared" si="232"/>
        <v/>
      </c>
      <c r="G3646" s="116" t="str">
        <f>IF(ISNONTEXT(D3646),"",E3646-MAX($F$2:F3645))</f>
        <v/>
      </c>
      <c r="H3646" s="97"/>
      <c r="I3646" s="74" t="str">
        <f ca="1">IF(D3646="N",COUNTIF(INDIRECT(ADDRESS(MATCH(Plages!$D$19,'Planning annuel mixing coater'!$B:$B),4)):D3646,"N"),IF(D3646="N1",COUNTIF($D$9:D3646,"N1"),""))</f>
        <v/>
      </c>
      <c r="J3646" s="96" t="str">
        <f>IF(D3646="","",COUNTA(D3642:D3646)-(COUNTA(D3646:D3646)-1))</f>
        <v/>
      </c>
    </row>
    <row r="3647" spans="1:10" thickBot="1">
      <c r="A3647" s="117"/>
      <c r="B3647" s="70">
        <f t="shared" si="229"/>
        <v>47439</v>
      </c>
      <c r="C3647" s="82" t="str">
        <f t="shared" si="230"/>
        <v>samedi</v>
      </c>
      <c r="D3647" s="87"/>
      <c r="E3647" s="115" t="str">
        <f t="shared" si="231"/>
        <v/>
      </c>
      <c r="F3647" s="115" t="str">
        <f t="shared" si="232"/>
        <v/>
      </c>
      <c r="G3647" s="116" t="str">
        <f>IF(ISNONTEXT(D3647),"",E3647-MAX($F$2:F3646))</f>
        <v/>
      </c>
      <c r="H3647" s="97"/>
      <c r="I3647" s="74" t="str">
        <f ca="1">IF(D3647="N",COUNTIF(INDIRECT(ADDRESS(MATCH(Plages!$D$19,'Planning annuel mixing coater'!$B:$B),4)):D3647,"N"),IF(D3647="N1",COUNTIF($D$9:D3647,"N1"),""))</f>
        <v/>
      </c>
      <c r="J3647" s="96" t="str">
        <f>IF(D3647="","",COUNTA(D3642:D3647)-(COUNTA(D3647:D3647)-1))</f>
        <v/>
      </c>
    </row>
    <row r="3648" spans="1:10" thickBot="1">
      <c r="A3648" s="117"/>
      <c r="B3648" s="70">
        <f t="shared" si="229"/>
        <v>47440</v>
      </c>
      <c r="C3648" s="82" t="str">
        <f t="shared" si="230"/>
        <v>dimanche</v>
      </c>
      <c r="D3648" s="87"/>
      <c r="E3648" s="115" t="str">
        <f t="shared" si="231"/>
        <v/>
      </c>
      <c r="F3648" s="115" t="str">
        <f t="shared" si="232"/>
        <v/>
      </c>
      <c r="G3648" s="116" t="str">
        <f>IF(ISNONTEXT(D3648),"",E3648-MAX($F$2:F3647))</f>
        <v/>
      </c>
      <c r="H3648" s="98"/>
      <c r="I3648" s="74" t="str">
        <f ca="1">IF(D3648="N",COUNTIF(INDIRECT(ADDRESS(MATCH(Plages!$D$19,'Planning annuel mixing coater'!$B:$B),4)):D3648,"N"),IF(D3648="N1",COUNTIF($D$9:D3648,"N1"),""))</f>
        <v/>
      </c>
      <c r="J3648" s="96" t="str">
        <f>IF(D3648="","",COUNTA(D3642:D3648)-(COUNTA(D3648:D3648)-1))</f>
        <v/>
      </c>
    </row>
    <row r="3649" spans="1:10" thickBot="1">
      <c r="A3649" s="117"/>
      <c r="B3649" s="70">
        <f t="shared" si="229"/>
        <v>47441</v>
      </c>
      <c r="C3649" s="82" t="str">
        <f t="shared" si="230"/>
        <v>lundi</v>
      </c>
      <c r="D3649" s="87"/>
      <c r="E3649" s="115" t="str">
        <f t="shared" si="231"/>
        <v/>
      </c>
      <c r="F3649" s="115" t="str">
        <f t="shared" si="232"/>
        <v/>
      </c>
      <c r="G3649" s="116" t="str">
        <f>IF(ISNONTEXT(D3649),"",E3649-MAX($F$2:F3648))</f>
        <v/>
      </c>
      <c r="H3649" s="97"/>
      <c r="I3649" s="74" t="str">
        <f ca="1">IF(D3649="N",COUNTIF(INDIRECT(ADDRESS(MATCH(Plages!$D$19,'Planning annuel mixing coater'!$B:$B),4)):D3649,"N"),IF(D3649="N1",COUNTIF($D$9:D3649,"N1"),""))</f>
        <v/>
      </c>
      <c r="J3649" s="96" t="str">
        <f>IF(D3649="","",COUNTA(D3642:D3649)-(COUNTA(D3649:D3649)-1))</f>
        <v/>
      </c>
    </row>
    <row r="3650" spans="1:10" thickBot="1">
      <c r="A3650" s="117"/>
      <c r="B3650" s="70">
        <f t="shared" si="229"/>
        <v>47442</v>
      </c>
      <c r="C3650" s="82" t="str">
        <f t="shared" si="230"/>
        <v>mardi</v>
      </c>
      <c r="D3650" s="87"/>
      <c r="E3650" s="115" t="str">
        <f t="shared" si="231"/>
        <v/>
      </c>
      <c r="F3650" s="115" t="str">
        <f t="shared" si="232"/>
        <v/>
      </c>
      <c r="G3650" s="116" t="str">
        <f>IF(ISNONTEXT(D3650),"",E3650-MAX($F$2:F3649))</f>
        <v/>
      </c>
      <c r="H3650" s="97"/>
      <c r="I3650" s="74" t="str">
        <f ca="1">IF(D3650="N",COUNTIF(INDIRECT(ADDRESS(MATCH(Plages!$D$19,'Planning annuel mixing coater'!$B:$B),4)):D3650,"N"),IF(D3650="N1",COUNTIF($D$9:D3650,"N1"),""))</f>
        <v/>
      </c>
      <c r="J3650" s="96" t="str">
        <f>IF(D3650="","",COUNTA(D3642:D3650)-(COUNTA(D3650:D3650)-1))</f>
        <v/>
      </c>
    </row>
    <row r="3651" spans="1:10" thickBot="1">
      <c r="A3651" s="117"/>
      <c r="B3651" s="70">
        <f t="shared" si="229"/>
        <v>47443</v>
      </c>
      <c r="C3651" s="82" t="str">
        <f t="shared" si="230"/>
        <v>mercredi</v>
      </c>
      <c r="D3651" s="87"/>
      <c r="E3651" s="115" t="str">
        <f t="shared" si="231"/>
        <v/>
      </c>
      <c r="F3651" s="115" t="str">
        <f t="shared" si="232"/>
        <v/>
      </c>
      <c r="G3651" s="116" t="str">
        <f>IF(ISNONTEXT(D3651),"",E3651-MAX($F$2:F3650))</f>
        <v/>
      </c>
      <c r="H3651" s="97"/>
      <c r="I3651" s="74" t="str">
        <f ca="1">IF(D3651="N",COUNTIF(INDIRECT(ADDRESS(MATCH(Plages!$D$19,'Planning annuel mixing coater'!$B:$B),4)):D3651,"N"),IF(D3651="N1",COUNTIF($D$9:D3651,"N1"),""))</f>
        <v/>
      </c>
      <c r="J3651" s="96" t="str">
        <f>IF(D3651="","",COUNTA(D3642:D3651)-(COUNTA(D3651:D3651)-1))</f>
        <v/>
      </c>
    </row>
    <row r="3652" spans="1:10" thickBot="1">
      <c r="A3652" s="117"/>
      <c r="B3652" s="70">
        <f t="shared" ref="B3652:B3715" si="233">IF(B3651="","",B3651+1)</f>
        <v>47444</v>
      </c>
      <c r="C3652" s="82" t="str">
        <f t="shared" si="230"/>
        <v>jeudi</v>
      </c>
      <c r="D3652" s="87"/>
      <c r="E3652" s="115" t="str">
        <f t="shared" si="231"/>
        <v/>
      </c>
      <c r="F3652" s="115" t="str">
        <f t="shared" si="232"/>
        <v/>
      </c>
      <c r="G3652" s="116" t="str">
        <f>IF(ISNONTEXT(D3652),"",E3652-MAX($F$2:F3651))</f>
        <v/>
      </c>
      <c r="H3652" s="97"/>
      <c r="I3652" s="74" t="str">
        <f ca="1">IF(D3652="N",COUNTIF(INDIRECT(ADDRESS(MATCH(Plages!$D$19,'Planning annuel mixing coater'!$B:$B),4)):D3652,"N"),IF(D3652="N1",COUNTIF($D$9:D3652,"N1"),""))</f>
        <v/>
      </c>
      <c r="J3652" s="96" t="str">
        <f>IF(D3652="","",COUNTA(D3642:D3652)-(COUNTA(D3652:D3652)-1))</f>
        <v/>
      </c>
    </row>
    <row r="3653" spans="1:10" thickBot="1">
      <c r="A3653" s="117"/>
      <c r="B3653" s="70">
        <f t="shared" si="233"/>
        <v>47445</v>
      </c>
      <c r="C3653" s="82" t="str">
        <f t="shared" si="230"/>
        <v>vendredi</v>
      </c>
      <c r="D3653" s="87"/>
      <c r="E3653" s="115" t="str">
        <f t="shared" si="231"/>
        <v/>
      </c>
      <c r="F3653" s="115" t="str">
        <f t="shared" si="232"/>
        <v/>
      </c>
      <c r="G3653" s="116" t="str">
        <f>IF(ISNONTEXT(D3653),"",E3653-MAX($F$2:F3652))</f>
        <v/>
      </c>
      <c r="H3653" s="97"/>
      <c r="I3653" s="74" t="str">
        <f ca="1">IF(D3653="N",COUNTIF(INDIRECT(ADDRESS(MATCH(Plages!$D$19,'Planning annuel mixing coater'!$B:$B),4)):D3653,"N"),IF(D3653="N1",COUNTIF($D$9:D3653,"N1"),""))</f>
        <v/>
      </c>
      <c r="J3653" s="96" t="str">
        <f>IF(D3653="","",COUNTA(D3642:D3653)-(COUNTA(D3653:D3653)-1))</f>
        <v/>
      </c>
    </row>
    <row r="3654" spans="1:10" thickBot="1">
      <c r="A3654" s="117"/>
      <c r="B3654" s="70">
        <f t="shared" si="233"/>
        <v>47446</v>
      </c>
      <c r="C3654" s="82" t="str">
        <f t="shared" si="230"/>
        <v>samedi</v>
      </c>
      <c r="D3654" s="87"/>
      <c r="E3654" s="115" t="str">
        <f t="shared" si="231"/>
        <v/>
      </c>
      <c r="F3654" s="115" t="str">
        <f t="shared" si="232"/>
        <v/>
      </c>
      <c r="G3654" s="116" t="str">
        <f>IF(ISNONTEXT(D3654),"",E3654-MAX($F$2:F3653))</f>
        <v/>
      </c>
      <c r="H3654" s="97"/>
      <c r="I3654" s="74" t="str">
        <f ca="1">IF(D3654="N",COUNTIF(INDIRECT(ADDRESS(MATCH(Plages!$D$19,'Planning annuel mixing coater'!$B:$B),4)):D3654,"N"),IF(D3654="N1",COUNTIF($D$9:D3654,"N1"),""))</f>
        <v/>
      </c>
      <c r="J3654" s="96" t="str">
        <f>IF(D3654="","",COUNTA(D3642:D3654)-(COUNTA(D3654:D3654)-1))</f>
        <v/>
      </c>
    </row>
    <row r="3655" spans="1:10" s="77" customFormat="1" thickBot="1">
      <c r="A3655" s="117"/>
      <c r="B3655" s="75">
        <f t="shared" si="233"/>
        <v>47447</v>
      </c>
      <c r="C3655" s="83" t="str">
        <f t="shared" si="230"/>
        <v>dimanche</v>
      </c>
      <c r="D3655" s="88"/>
      <c r="E3655" s="115" t="str">
        <f t="shared" si="231"/>
        <v/>
      </c>
      <c r="F3655" s="115" t="str">
        <f t="shared" si="232"/>
        <v/>
      </c>
      <c r="G3655" s="116" t="str">
        <f>IF(ISNONTEXT(D3655),"",E3655-MAX($F$2:F3654))</f>
        <v/>
      </c>
      <c r="H3655" s="98"/>
      <c r="I3655" s="76" t="str">
        <f ca="1">IF(D3655="N",COUNTIF(INDIRECT(ADDRESS(MATCH(Plages!$D$19,'Planning annuel mixing coater'!$B:$B),4)):D3655,"N"),IF(D3655="N1",COUNTIF($D$9:D3655,"N1"),""))</f>
        <v/>
      </c>
      <c r="J3655" s="99" t="str">
        <f>IF(D3655="","",COUNTA(D3642:D3655)-(COUNTA(D3655:D3655)-1))</f>
        <v/>
      </c>
    </row>
    <row r="3656" spans="1:10" ht="16.5" thickTop="1" thickBot="1">
      <c r="A3656" s="117"/>
      <c r="B3656" s="78">
        <f t="shared" si="233"/>
        <v>47448</v>
      </c>
      <c r="C3656" s="81" t="str">
        <f t="shared" si="230"/>
        <v>lundi</v>
      </c>
      <c r="D3656" s="89"/>
      <c r="E3656" s="115" t="str">
        <f t="shared" si="231"/>
        <v/>
      </c>
      <c r="F3656" s="115" t="str">
        <f t="shared" si="232"/>
        <v/>
      </c>
      <c r="G3656" s="116" t="str">
        <f>IF(ISNONTEXT(D3656),"",E3656-MAX($F$2:F3655))</f>
        <v/>
      </c>
      <c r="H3656" s="100"/>
      <c r="I3656" s="79" t="str">
        <f ca="1">IF(D3656="N",COUNTIF(INDIRECT(ADDRESS(MATCH(Plages!$D$19,'Planning annuel mixing coater'!$B:$B),4)):D3656,"N"),IF(D3656="N1",COUNTIF($D$9:D3656,"N1"),""))</f>
        <v/>
      </c>
      <c r="J3656" s="101" t="str">
        <f>IF(D3656="","",COUNTA(D3656:D3656)-(COUNTA(D3656:D3656)-1))</f>
        <v/>
      </c>
    </row>
    <row r="3657" spans="1:10" thickBot="1">
      <c r="A3657" s="117"/>
      <c r="B3657" s="70">
        <f t="shared" si="233"/>
        <v>47449</v>
      </c>
      <c r="C3657" s="82" t="str">
        <f t="shared" si="230"/>
        <v>mardi</v>
      </c>
      <c r="D3657" s="87"/>
      <c r="E3657" s="115" t="str">
        <f t="shared" si="231"/>
        <v/>
      </c>
      <c r="F3657" s="115" t="str">
        <f t="shared" si="232"/>
        <v/>
      </c>
      <c r="G3657" s="116" t="str">
        <f>IF(ISNONTEXT(D3657),"",E3657-MAX($F$2:F3656))</f>
        <v/>
      </c>
      <c r="H3657" s="97"/>
      <c r="I3657" s="74" t="str">
        <f ca="1">IF(D3657="N",COUNTIF(INDIRECT(ADDRESS(MATCH(Plages!$D$19,'Planning annuel mixing coater'!$B:$B),4)):D3657,"N"),IF(D3657="N1",COUNTIF($D$9:D3657,"N1"),""))</f>
        <v/>
      </c>
      <c r="J3657" s="96" t="str">
        <f>IF(D3657="","",COUNTA(D3656:D3657)-(COUNTA(D3657:D3657)-1))</f>
        <v/>
      </c>
    </row>
    <row r="3658" spans="1:10" thickBot="1">
      <c r="A3658" s="117"/>
      <c r="B3658" s="70">
        <f t="shared" si="233"/>
        <v>47450</v>
      </c>
      <c r="C3658" s="82" t="str">
        <f t="shared" si="230"/>
        <v>mercredi</v>
      </c>
      <c r="D3658" s="87"/>
      <c r="E3658" s="115" t="str">
        <f t="shared" si="231"/>
        <v/>
      </c>
      <c r="F3658" s="115" t="str">
        <f t="shared" si="232"/>
        <v/>
      </c>
      <c r="G3658" s="116" t="str">
        <f>IF(ISNONTEXT(D3658),"",E3658-MAX($F$2:F3657))</f>
        <v/>
      </c>
      <c r="H3658" s="97"/>
      <c r="I3658" s="74" t="str">
        <f ca="1">IF(D3658="N",COUNTIF(INDIRECT(ADDRESS(MATCH(Plages!$D$19,'Planning annuel mixing coater'!$B:$B),4)):D3658,"N"),IF(D3658="N1",COUNTIF($D$9:D3658,"N1"),""))</f>
        <v/>
      </c>
      <c r="J3658" s="96" t="str">
        <f>IF(D3658="","",COUNTA(D3656:D3658)-(COUNTA(D3658:D3658)-1))</f>
        <v/>
      </c>
    </row>
    <row r="3659" spans="1:10" thickBot="1">
      <c r="A3659" s="117"/>
      <c r="B3659" s="70">
        <f t="shared" si="233"/>
        <v>47451</v>
      </c>
      <c r="C3659" s="82" t="str">
        <f t="shared" si="230"/>
        <v>jeudi</v>
      </c>
      <c r="D3659" s="87"/>
      <c r="E3659" s="115" t="str">
        <f t="shared" si="231"/>
        <v/>
      </c>
      <c r="F3659" s="115" t="str">
        <f t="shared" si="232"/>
        <v/>
      </c>
      <c r="G3659" s="116" t="str">
        <f>IF(ISNONTEXT(D3659),"",E3659-MAX($F$2:F3658))</f>
        <v/>
      </c>
      <c r="H3659" s="97"/>
      <c r="I3659" s="74" t="str">
        <f ca="1">IF(D3659="N",COUNTIF(INDIRECT(ADDRESS(MATCH(Plages!$D$19,'Planning annuel mixing coater'!$B:$B),4)):D3659,"N"),IF(D3659="N1",COUNTIF($D$9:D3659,"N1"),""))</f>
        <v/>
      </c>
      <c r="J3659" s="96" t="str">
        <f>IF(D3659="","",COUNTA(D3656:D3659)-(COUNTA(D3659:D3659)-1))</f>
        <v/>
      </c>
    </row>
    <row r="3660" spans="1:10" thickBot="1">
      <c r="A3660" s="117"/>
      <c r="B3660" s="70">
        <f t="shared" si="233"/>
        <v>47452</v>
      </c>
      <c r="C3660" s="82" t="str">
        <f t="shared" si="230"/>
        <v>vendredi</v>
      </c>
      <c r="D3660" s="87"/>
      <c r="E3660" s="115" t="str">
        <f t="shared" si="231"/>
        <v/>
      </c>
      <c r="F3660" s="115" t="str">
        <f t="shared" si="232"/>
        <v/>
      </c>
      <c r="G3660" s="116" t="str">
        <f>IF(ISNONTEXT(D3660),"",E3660-MAX($F$2:F3659))</f>
        <v/>
      </c>
      <c r="H3660" s="97"/>
      <c r="I3660" s="74" t="str">
        <f ca="1">IF(D3660="N",COUNTIF(INDIRECT(ADDRESS(MATCH(Plages!$D$19,'Planning annuel mixing coater'!$B:$B),4)):D3660,"N"),IF(D3660="N1",COUNTIF($D$9:D3660,"N1"),""))</f>
        <v/>
      </c>
      <c r="J3660" s="96" t="str">
        <f>IF(D3660="","",COUNTA(D3656:D3660)-(COUNTA(D3660:D3660)-1))</f>
        <v/>
      </c>
    </row>
    <row r="3661" spans="1:10" thickBot="1">
      <c r="A3661" s="117"/>
      <c r="B3661" s="70">
        <f t="shared" si="233"/>
        <v>47453</v>
      </c>
      <c r="C3661" s="82" t="str">
        <f t="shared" si="230"/>
        <v>samedi</v>
      </c>
      <c r="D3661" s="87"/>
      <c r="E3661" s="115" t="str">
        <f t="shared" si="231"/>
        <v/>
      </c>
      <c r="F3661" s="115" t="str">
        <f t="shared" si="232"/>
        <v/>
      </c>
      <c r="G3661" s="116" t="str">
        <f>IF(ISNONTEXT(D3661),"",E3661-MAX($F$2:F3660))</f>
        <v/>
      </c>
      <c r="H3661" s="97"/>
      <c r="I3661" s="74" t="str">
        <f ca="1">IF(D3661="N",COUNTIF(INDIRECT(ADDRESS(MATCH(Plages!$D$19,'Planning annuel mixing coater'!$B:$B),4)):D3661,"N"),IF(D3661="N1",COUNTIF($D$9:D3661,"N1"),""))</f>
        <v/>
      </c>
      <c r="J3661" s="96" t="str">
        <f>IF(D3661="","",COUNTA(D3656:D3661)-(COUNTA(D3661:D3661)-1))</f>
        <v/>
      </c>
    </row>
    <row r="3662" spans="1:10" thickBot="1">
      <c r="A3662" s="117"/>
      <c r="B3662" s="70">
        <f t="shared" si="233"/>
        <v>47454</v>
      </c>
      <c r="C3662" s="82" t="str">
        <f t="shared" si="230"/>
        <v>dimanche</v>
      </c>
      <c r="D3662" s="87"/>
      <c r="E3662" s="115" t="str">
        <f t="shared" si="231"/>
        <v/>
      </c>
      <c r="F3662" s="115" t="str">
        <f t="shared" si="232"/>
        <v/>
      </c>
      <c r="G3662" s="116" t="str">
        <f>IF(ISNONTEXT(D3662),"",E3662-MAX($F$2:F3661))</f>
        <v/>
      </c>
      <c r="H3662" s="98"/>
      <c r="I3662" s="74" t="str">
        <f ca="1">IF(D3662="N",COUNTIF(INDIRECT(ADDRESS(MATCH(Plages!$D$19,'Planning annuel mixing coater'!$B:$B),4)):D3662,"N"),IF(D3662="N1",COUNTIF($D$9:D3662,"N1"),""))</f>
        <v/>
      </c>
      <c r="J3662" s="96" t="str">
        <f>IF(D3662="","",COUNTA(D3656:D3662)-(COUNTA(D3662:D3662)-1))</f>
        <v/>
      </c>
    </row>
    <row r="3663" spans="1:10" thickBot="1">
      <c r="A3663" s="117"/>
      <c r="B3663" s="70">
        <f t="shared" si="233"/>
        <v>47455</v>
      </c>
      <c r="C3663" s="82" t="str">
        <f t="shared" si="230"/>
        <v>lundi</v>
      </c>
      <c r="D3663" s="87"/>
      <c r="E3663" s="115" t="str">
        <f t="shared" si="231"/>
        <v/>
      </c>
      <c r="F3663" s="115" t="str">
        <f t="shared" si="232"/>
        <v/>
      </c>
      <c r="G3663" s="116" t="str">
        <f>IF(ISNONTEXT(D3663),"",E3663-MAX($F$2:F3662))</f>
        <v/>
      </c>
      <c r="H3663" s="97"/>
      <c r="I3663" s="74" t="str">
        <f ca="1">IF(D3663="N",COUNTIF(INDIRECT(ADDRESS(MATCH(Plages!$D$19,'Planning annuel mixing coater'!$B:$B),4)):D3663,"N"),IF(D3663="N1",COUNTIF($D$9:D3663,"N1"),""))</f>
        <v/>
      </c>
      <c r="J3663" s="96" t="str">
        <f>IF(D3663="","",COUNTA(D3656:D3663)-(COUNTA(D3663:D3663)-1))</f>
        <v/>
      </c>
    </row>
    <row r="3664" spans="1:10" thickBot="1">
      <c r="A3664" s="117"/>
      <c r="B3664" s="70">
        <f t="shared" si="233"/>
        <v>47456</v>
      </c>
      <c r="C3664" s="82" t="str">
        <f t="shared" si="230"/>
        <v>mardi</v>
      </c>
      <c r="D3664" s="87"/>
      <c r="E3664" s="115" t="str">
        <f t="shared" si="231"/>
        <v/>
      </c>
      <c r="F3664" s="115" t="str">
        <f t="shared" si="232"/>
        <v/>
      </c>
      <c r="G3664" s="116" t="str">
        <f>IF(ISNONTEXT(D3664),"",E3664-MAX($F$2:F3663))</f>
        <v/>
      </c>
      <c r="H3664" s="97"/>
      <c r="I3664" s="74" t="str">
        <f ca="1">IF(D3664="N",COUNTIF(INDIRECT(ADDRESS(MATCH(Plages!$D$19,'Planning annuel mixing coater'!$B:$B),4)):D3664,"N"),IF(D3664="N1",COUNTIF($D$9:D3664,"N1"),""))</f>
        <v/>
      </c>
      <c r="J3664" s="96" t="str">
        <f>IF(D3664="","",COUNTA(D3656:D3664)-(COUNTA(D3664:D3664)-1))</f>
        <v/>
      </c>
    </row>
    <row r="3665" spans="1:10" thickBot="1">
      <c r="A3665" s="117"/>
      <c r="B3665" s="70">
        <f t="shared" si="233"/>
        <v>47457</v>
      </c>
      <c r="C3665" s="82" t="str">
        <f t="shared" si="230"/>
        <v>mercredi</v>
      </c>
      <c r="D3665" s="87"/>
      <c r="E3665" s="115" t="str">
        <f t="shared" si="231"/>
        <v/>
      </c>
      <c r="F3665" s="115" t="str">
        <f t="shared" si="232"/>
        <v/>
      </c>
      <c r="G3665" s="116" t="str">
        <f>IF(ISNONTEXT(D3665),"",E3665-MAX($F$2:F3664))</f>
        <v/>
      </c>
      <c r="H3665" s="97"/>
      <c r="I3665" s="74" t="str">
        <f ca="1">IF(D3665="N",COUNTIF(INDIRECT(ADDRESS(MATCH(Plages!$D$19,'Planning annuel mixing coater'!$B:$B),4)):D3665,"N"),IF(D3665="N1",COUNTIF($D$9:D3665,"N1"),""))</f>
        <v/>
      </c>
      <c r="J3665" s="96" t="str">
        <f>IF(D3665="","",COUNTA(D3656:D3665)-(COUNTA(D3665:D3665)-1))</f>
        <v/>
      </c>
    </row>
    <row r="3666" spans="1:10" thickBot="1">
      <c r="A3666" s="117"/>
      <c r="B3666" s="70">
        <f t="shared" si="233"/>
        <v>47458</v>
      </c>
      <c r="C3666" s="82" t="str">
        <f t="shared" si="230"/>
        <v>jeudi</v>
      </c>
      <c r="D3666" s="87"/>
      <c r="E3666" s="115" t="str">
        <f t="shared" si="231"/>
        <v/>
      </c>
      <c r="F3666" s="115" t="str">
        <f t="shared" si="232"/>
        <v/>
      </c>
      <c r="G3666" s="116" t="str">
        <f>IF(ISNONTEXT(D3666),"",E3666-MAX($F$2:F3665))</f>
        <v/>
      </c>
      <c r="H3666" s="97"/>
      <c r="I3666" s="74" t="str">
        <f ca="1">IF(D3666="N",COUNTIF(INDIRECT(ADDRESS(MATCH(Plages!$D$19,'Planning annuel mixing coater'!$B:$B),4)):D3666,"N"),IF(D3666="N1",COUNTIF($D$9:D3666,"N1"),""))</f>
        <v/>
      </c>
      <c r="J3666" s="96" t="str">
        <f>IF(D3666="","",COUNTA(D3656:D3666)-(COUNTA(D3666:D3666)-1))</f>
        <v/>
      </c>
    </row>
    <row r="3667" spans="1:10" thickBot="1">
      <c r="A3667" s="117"/>
      <c r="B3667" s="70">
        <f t="shared" si="233"/>
        <v>47459</v>
      </c>
      <c r="C3667" s="82" t="str">
        <f t="shared" si="230"/>
        <v>vendredi</v>
      </c>
      <c r="D3667" s="87"/>
      <c r="E3667" s="115" t="str">
        <f t="shared" si="231"/>
        <v/>
      </c>
      <c r="F3667" s="115" t="str">
        <f t="shared" si="232"/>
        <v/>
      </c>
      <c r="G3667" s="116" t="str">
        <f>IF(ISNONTEXT(D3667),"",E3667-MAX($F$2:F3666))</f>
        <v/>
      </c>
      <c r="H3667" s="97"/>
      <c r="I3667" s="74" t="str">
        <f ca="1">IF(D3667="N",COUNTIF(INDIRECT(ADDRESS(MATCH(Plages!$D$19,'Planning annuel mixing coater'!$B:$B),4)):D3667,"N"),IF(D3667="N1",COUNTIF($D$9:D3667,"N1"),""))</f>
        <v/>
      </c>
      <c r="J3667" s="96" t="str">
        <f>IF(D3667="","",COUNTA(D3656:D3667)-(COUNTA(D3667:D3667)-1))</f>
        <v/>
      </c>
    </row>
    <row r="3668" spans="1:10" thickBot="1">
      <c r="A3668" s="117"/>
      <c r="B3668" s="70">
        <f t="shared" si="233"/>
        <v>47460</v>
      </c>
      <c r="C3668" s="82" t="str">
        <f t="shared" si="230"/>
        <v>samedi</v>
      </c>
      <c r="D3668" s="87"/>
      <c r="E3668" s="115" t="str">
        <f t="shared" si="231"/>
        <v/>
      </c>
      <c r="F3668" s="115" t="str">
        <f t="shared" si="232"/>
        <v/>
      </c>
      <c r="G3668" s="116" t="str">
        <f>IF(ISNONTEXT(D3668),"",E3668-MAX($F$2:F3667))</f>
        <v/>
      </c>
      <c r="H3668" s="97"/>
      <c r="I3668" s="74" t="str">
        <f ca="1">IF(D3668="N",COUNTIF(INDIRECT(ADDRESS(MATCH(Plages!$D$19,'Planning annuel mixing coater'!$B:$B),4)):D3668,"N"),IF(D3668="N1",COUNTIF($D$9:D3668,"N1"),""))</f>
        <v/>
      </c>
      <c r="J3668" s="96" t="str">
        <f>IF(D3668="","",COUNTA(D3656:D3668)-(COUNTA(D3668:D3668)-1))</f>
        <v/>
      </c>
    </row>
    <row r="3669" spans="1:10" s="77" customFormat="1" thickBot="1">
      <c r="A3669" s="117"/>
      <c r="B3669" s="75">
        <f t="shared" si="233"/>
        <v>47461</v>
      </c>
      <c r="C3669" s="83" t="str">
        <f t="shared" si="230"/>
        <v>dimanche</v>
      </c>
      <c r="D3669" s="88"/>
      <c r="E3669" s="115" t="str">
        <f t="shared" si="231"/>
        <v/>
      </c>
      <c r="F3669" s="115" t="str">
        <f t="shared" si="232"/>
        <v/>
      </c>
      <c r="G3669" s="116" t="str">
        <f>IF(ISNONTEXT(D3669),"",E3669-MAX($F$2:F3668))</f>
        <v/>
      </c>
      <c r="H3669" s="98"/>
      <c r="I3669" s="76" t="str">
        <f ca="1">IF(D3669="N",COUNTIF(INDIRECT(ADDRESS(MATCH(Plages!$D$19,'Planning annuel mixing coater'!$B:$B),4)):D3669,"N"),IF(D3669="N1",COUNTIF($D$9:D3669,"N1"),""))</f>
        <v/>
      </c>
      <c r="J3669" s="99" t="str">
        <f>IF(D3669="","",COUNTA(D3656:D3669)-(COUNTA(D3669:D3669)-1))</f>
        <v/>
      </c>
    </row>
    <row r="3670" spans="1:10" ht="16.5" thickTop="1" thickBot="1">
      <c r="A3670" s="117"/>
      <c r="B3670" s="78">
        <f t="shared" si="233"/>
        <v>47462</v>
      </c>
      <c r="C3670" s="81" t="str">
        <f t="shared" si="230"/>
        <v>lundi</v>
      </c>
      <c r="D3670" s="89"/>
      <c r="E3670" s="115" t="str">
        <f t="shared" si="231"/>
        <v/>
      </c>
      <c r="F3670" s="115" t="str">
        <f t="shared" si="232"/>
        <v/>
      </c>
      <c r="G3670" s="116" t="str">
        <f>IF(ISNONTEXT(D3670),"",E3670-MAX($F$2:F3669))</f>
        <v/>
      </c>
      <c r="H3670" s="100"/>
      <c r="I3670" s="79" t="str">
        <f ca="1">IF(D3670="N",COUNTIF(INDIRECT(ADDRESS(MATCH(Plages!$D$19,'Planning annuel mixing coater'!$B:$B),4)):D3670,"N"),IF(D3670="N1",COUNTIF($D$9:D3670,"N1"),""))</f>
        <v/>
      </c>
      <c r="J3670" s="101" t="str">
        <f>IF(D3670="","",COUNTA(D3670:D3670)-(COUNTA(D3670:D3670)-1))</f>
        <v/>
      </c>
    </row>
    <row r="3671" spans="1:10" thickBot="1">
      <c r="A3671" s="117"/>
      <c r="B3671" s="70">
        <f t="shared" si="233"/>
        <v>47463</v>
      </c>
      <c r="C3671" s="82" t="str">
        <f t="shared" si="230"/>
        <v>mardi</v>
      </c>
      <c r="D3671" s="87"/>
      <c r="E3671" s="115" t="str">
        <f t="shared" si="231"/>
        <v/>
      </c>
      <c r="F3671" s="115" t="str">
        <f t="shared" si="232"/>
        <v/>
      </c>
      <c r="G3671" s="116" t="str">
        <f>IF(ISNONTEXT(D3671),"",E3671-MAX($F$2:F3670))</f>
        <v/>
      </c>
      <c r="H3671" s="97"/>
      <c r="I3671" s="74" t="str">
        <f ca="1">IF(D3671="N",COUNTIF(INDIRECT(ADDRESS(MATCH(Plages!$D$19,'Planning annuel mixing coater'!$B:$B),4)):D3671,"N"),IF(D3671="N1",COUNTIF($D$9:D3671,"N1"),""))</f>
        <v/>
      </c>
      <c r="J3671" s="96" t="str">
        <f>IF(D3671="","",COUNTA(D3670:D3671)-(COUNTA(D3671:D3671)-1))</f>
        <v/>
      </c>
    </row>
    <row r="3672" spans="1:10" thickBot="1">
      <c r="A3672" s="117"/>
      <c r="B3672" s="70">
        <f t="shared" si="233"/>
        <v>47464</v>
      </c>
      <c r="C3672" s="82" t="str">
        <f t="shared" si="230"/>
        <v>mercredi</v>
      </c>
      <c r="D3672" s="87"/>
      <c r="E3672" s="115" t="str">
        <f t="shared" si="231"/>
        <v/>
      </c>
      <c r="F3672" s="115" t="str">
        <f t="shared" si="232"/>
        <v/>
      </c>
      <c r="G3672" s="116" t="str">
        <f>IF(ISNONTEXT(D3672),"",E3672-MAX($F$2:F3671))</f>
        <v/>
      </c>
      <c r="H3672" s="97"/>
      <c r="I3672" s="74" t="str">
        <f ca="1">IF(D3672="N",COUNTIF(INDIRECT(ADDRESS(MATCH(Plages!$D$19,'Planning annuel mixing coater'!$B:$B),4)):D3672,"N"),IF(D3672="N1",COUNTIF($D$9:D3672,"N1"),""))</f>
        <v/>
      </c>
      <c r="J3672" s="96" t="str">
        <f>IF(D3672="","",COUNTA(D3670:D3672)-(COUNTA(D3672:D3672)-1))</f>
        <v/>
      </c>
    </row>
    <row r="3673" spans="1:10" thickBot="1">
      <c r="A3673" s="117"/>
      <c r="B3673" s="70">
        <f t="shared" si="233"/>
        <v>47465</v>
      </c>
      <c r="C3673" s="82" t="str">
        <f t="shared" si="230"/>
        <v>jeudi</v>
      </c>
      <c r="D3673" s="87"/>
      <c r="E3673" s="115" t="str">
        <f t="shared" si="231"/>
        <v/>
      </c>
      <c r="F3673" s="115" t="str">
        <f t="shared" si="232"/>
        <v/>
      </c>
      <c r="G3673" s="116" t="str">
        <f>IF(ISNONTEXT(D3673),"",E3673-MAX($F$2:F3672))</f>
        <v/>
      </c>
      <c r="H3673" s="97"/>
      <c r="I3673" s="74" t="str">
        <f ca="1">IF(D3673="N",COUNTIF(INDIRECT(ADDRESS(MATCH(Plages!$D$19,'Planning annuel mixing coater'!$B:$B),4)):D3673,"N"),IF(D3673="N1",COUNTIF($D$9:D3673,"N1"),""))</f>
        <v/>
      </c>
      <c r="J3673" s="96" t="str">
        <f>IF(D3673="","",COUNTA(D3670:D3673)-(COUNTA(D3673:D3673)-1))</f>
        <v/>
      </c>
    </row>
    <row r="3674" spans="1:10" thickBot="1">
      <c r="A3674" s="117"/>
      <c r="B3674" s="70">
        <f t="shared" si="233"/>
        <v>47466</v>
      </c>
      <c r="C3674" s="82" t="str">
        <f t="shared" si="230"/>
        <v>vendredi</v>
      </c>
      <c r="D3674" s="87"/>
      <c r="E3674" s="115" t="str">
        <f t="shared" si="231"/>
        <v/>
      </c>
      <c r="F3674" s="115" t="str">
        <f t="shared" si="232"/>
        <v/>
      </c>
      <c r="G3674" s="116" t="str">
        <f>IF(ISNONTEXT(D3674),"",E3674-MAX($F$2:F3673))</f>
        <v/>
      </c>
      <c r="H3674" s="97"/>
      <c r="I3674" s="74" t="str">
        <f ca="1">IF(D3674="N",COUNTIF(INDIRECT(ADDRESS(MATCH(Plages!$D$19,'Planning annuel mixing coater'!$B:$B),4)):D3674,"N"),IF(D3674="N1",COUNTIF($D$9:D3674,"N1"),""))</f>
        <v/>
      </c>
      <c r="J3674" s="96" t="str">
        <f>IF(D3674="","",COUNTA(D3670:D3674)-(COUNTA(D3674:D3674)-1))</f>
        <v/>
      </c>
    </row>
    <row r="3675" spans="1:10" thickBot="1">
      <c r="A3675" s="117"/>
      <c r="B3675" s="70">
        <f t="shared" si="233"/>
        <v>47467</v>
      </c>
      <c r="C3675" s="82" t="str">
        <f t="shared" si="230"/>
        <v>samedi</v>
      </c>
      <c r="D3675" s="87"/>
      <c r="E3675" s="115" t="str">
        <f t="shared" si="231"/>
        <v/>
      </c>
      <c r="F3675" s="115" t="str">
        <f t="shared" si="232"/>
        <v/>
      </c>
      <c r="G3675" s="116" t="str">
        <f>IF(ISNONTEXT(D3675),"",E3675-MAX($F$2:F3674))</f>
        <v/>
      </c>
      <c r="H3675" s="97"/>
      <c r="I3675" s="74" t="str">
        <f ca="1">IF(D3675="N",COUNTIF(INDIRECT(ADDRESS(MATCH(Plages!$D$19,'Planning annuel mixing coater'!$B:$B),4)):D3675,"N"),IF(D3675="N1",COUNTIF($D$9:D3675,"N1"),""))</f>
        <v/>
      </c>
      <c r="J3675" s="96" t="str">
        <f>IF(D3675="","",COUNTA(D3670:D3675)-(COUNTA(D3675:D3675)-1))</f>
        <v/>
      </c>
    </row>
    <row r="3676" spans="1:10" thickBot="1">
      <c r="A3676" s="117"/>
      <c r="B3676" s="70">
        <f t="shared" si="233"/>
        <v>47468</v>
      </c>
      <c r="C3676" s="82" t="str">
        <f t="shared" si="230"/>
        <v>dimanche</v>
      </c>
      <c r="D3676" s="87"/>
      <c r="E3676" s="115" t="str">
        <f t="shared" si="231"/>
        <v/>
      </c>
      <c r="F3676" s="115" t="str">
        <f t="shared" si="232"/>
        <v/>
      </c>
      <c r="G3676" s="116" t="str">
        <f>IF(ISNONTEXT(D3676),"",E3676-MAX($F$2:F3675))</f>
        <v/>
      </c>
      <c r="H3676" s="98"/>
      <c r="I3676" s="74" t="str">
        <f ca="1">IF(D3676="N",COUNTIF(INDIRECT(ADDRESS(MATCH(Plages!$D$19,'Planning annuel mixing coater'!$B:$B),4)):D3676,"N"),IF(D3676="N1",COUNTIF($D$9:D3676,"N1"),""))</f>
        <v/>
      </c>
      <c r="J3676" s="96" t="str">
        <f>IF(D3676="","",COUNTA(D3670:D3676)-(COUNTA(D3676:D3676)-1))</f>
        <v/>
      </c>
    </row>
    <row r="3677" spans="1:10" thickBot="1">
      <c r="A3677" s="117"/>
      <c r="B3677" s="70">
        <f t="shared" si="233"/>
        <v>47469</v>
      </c>
      <c r="C3677" s="82" t="str">
        <f t="shared" si="230"/>
        <v>lundi</v>
      </c>
      <c r="D3677" s="87"/>
      <c r="E3677" s="115" t="str">
        <f t="shared" si="231"/>
        <v/>
      </c>
      <c r="F3677" s="115" t="str">
        <f t="shared" si="232"/>
        <v/>
      </c>
      <c r="G3677" s="116" t="str">
        <f>IF(ISNONTEXT(D3677),"",E3677-MAX($F$2:F3676))</f>
        <v/>
      </c>
      <c r="H3677" s="97"/>
      <c r="I3677" s="74" t="str">
        <f ca="1">IF(D3677="N",COUNTIF(INDIRECT(ADDRESS(MATCH(Plages!$D$19,'Planning annuel mixing coater'!$B:$B),4)):D3677,"N"),IF(D3677="N1",COUNTIF($D$9:D3677,"N1"),""))</f>
        <v/>
      </c>
      <c r="J3677" s="96" t="str">
        <f>IF(D3677="","",COUNTA(D3670:D3677)-(COUNTA(D3677:D3677)-1))</f>
        <v/>
      </c>
    </row>
    <row r="3678" spans="1:10" thickBot="1">
      <c r="A3678" s="117"/>
      <c r="B3678" s="70">
        <f t="shared" si="233"/>
        <v>47470</v>
      </c>
      <c r="C3678" s="82" t="str">
        <f t="shared" ref="C3678:C3741" si="234">IF(B3678="","",TEXT(B3678,"jjjj"))</f>
        <v>mardi</v>
      </c>
      <c r="D3678" s="87"/>
      <c r="E3678" s="115" t="str">
        <f t="shared" ref="E3678:E3741" si="235">IF(D3678="","",B3678+VLOOKUP(D3678,Plageh,2,0))</f>
        <v/>
      </c>
      <c r="F3678" s="115" t="str">
        <f t="shared" ref="F3678:F3741" si="236">IF(D3678="","",B3678+VLOOKUP(D3678,Plageh,3,0))</f>
        <v/>
      </c>
      <c r="G3678" s="116" t="str">
        <f>IF(ISNONTEXT(D3678),"",E3678-MAX($F$2:F3677))</f>
        <v/>
      </c>
      <c r="H3678" s="97"/>
      <c r="I3678" s="74" t="str">
        <f ca="1">IF(D3678="N",COUNTIF(INDIRECT(ADDRESS(MATCH(Plages!$D$19,'Planning annuel mixing coater'!$B:$B),4)):D3678,"N"),IF(D3678="N1",COUNTIF($D$9:D3678,"N1"),""))</f>
        <v/>
      </c>
      <c r="J3678" s="96" t="str">
        <f>IF(D3678="","",COUNTA(D3670:D3678)-(COUNTA(D3678:D3678)-1))</f>
        <v/>
      </c>
    </row>
    <row r="3679" spans="1:10" thickBot="1">
      <c r="A3679" s="117"/>
      <c r="B3679" s="70">
        <f t="shared" si="233"/>
        <v>47471</v>
      </c>
      <c r="C3679" s="82" t="str">
        <f t="shared" si="234"/>
        <v>mercredi</v>
      </c>
      <c r="D3679" s="87"/>
      <c r="E3679" s="115" t="str">
        <f t="shared" si="235"/>
        <v/>
      </c>
      <c r="F3679" s="115" t="str">
        <f t="shared" si="236"/>
        <v/>
      </c>
      <c r="G3679" s="116" t="str">
        <f>IF(ISNONTEXT(D3679),"",E3679-MAX($F$2:F3678))</f>
        <v/>
      </c>
      <c r="H3679" s="97"/>
      <c r="I3679" s="74" t="str">
        <f ca="1">IF(D3679="N",COUNTIF(INDIRECT(ADDRESS(MATCH(Plages!$D$19,'Planning annuel mixing coater'!$B:$B),4)):D3679,"N"),IF(D3679="N1",COUNTIF($D$9:D3679,"N1"),""))</f>
        <v/>
      </c>
      <c r="J3679" s="96" t="str">
        <f>IF(D3679="","",COUNTA(D3670:D3679)-(COUNTA(D3679:D3679)-1))</f>
        <v/>
      </c>
    </row>
    <row r="3680" spans="1:10" thickBot="1">
      <c r="A3680" s="117"/>
      <c r="B3680" s="70">
        <f t="shared" si="233"/>
        <v>47472</v>
      </c>
      <c r="C3680" s="82" t="str">
        <f t="shared" si="234"/>
        <v>jeudi</v>
      </c>
      <c r="D3680" s="87"/>
      <c r="E3680" s="115" t="str">
        <f t="shared" si="235"/>
        <v/>
      </c>
      <c r="F3680" s="115" t="str">
        <f t="shared" si="236"/>
        <v/>
      </c>
      <c r="G3680" s="116" t="str">
        <f>IF(ISNONTEXT(D3680),"",E3680-MAX($F$2:F3679))</f>
        <v/>
      </c>
      <c r="H3680" s="97"/>
      <c r="I3680" s="74" t="str">
        <f ca="1">IF(D3680="N",COUNTIF(INDIRECT(ADDRESS(MATCH(Plages!$D$19,'Planning annuel mixing coater'!$B:$B),4)):D3680,"N"),IF(D3680="N1",COUNTIF($D$9:D3680,"N1"),""))</f>
        <v/>
      </c>
      <c r="J3680" s="96" t="str">
        <f>IF(D3680="","",COUNTA(D3670:D3680)-(COUNTA(D3680:D3680)-1))</f>
        <v/>
      </c>
    </row>
    <row r="3681" spans="1:10" thickBot="1">
      <c r="A3681" s="117"/>
      <c r="B3681" s="70">
        <f t="shared" si="233"/>
        <v>47473</v>
      </c>
      <c r="C3681" s="82" t="str">
        <f t="shared" si="234"/>
        <v>vendredi</v>
      </c>
      <c r="D3681" s="87"/>
      <c r="E3681" s="115" t="str">
        <f t="shared" si="235"/>
        <v/>
      </c>
      <c r="F3681" s="115" t="str">
        <f t="shared" si="236"/>
        <v/>
      </c>
      <c r="G3681" s="116" t="str">
        <f>IF(ISNONTEXT(D3681),"",E3681-MAX($F$2:F3680))</f>
        <v/>
      </c>
      <c r="H3681" s="97"/>
      <c r="I3681" s="74" t="str">
        <f ca="1">IF(D3681="N",COUNTIF(INDIRECT(ADDRESS(MATCH(Plages!$D$19,'Planning annuel mixing coater'!$B:$B),4)):D3681,"N"),IF(D3681="N1",COUNTIF($D$9:D3681,"N1"),""))</f>
        <v/>
      </c>
      <c r="J3681" s="96" t="str">
        <f>IF(D3681="","",COUNTA(D3670:D3681)-(COUNTA(D3681:D3681)-1))</f>
        <v/>
      </c>
    </row>
    <row r="3682" spans="1:10" thickBot="1">
      <c r="A3682" s="117"/>
      <c r="B3682" s="70">
        <f t="shared" si="233"/>
        <v>47474</v>
      </c>
      <c r="C3682" s="82" t="str">
        <f t="shared" si="234"/>
        <v>samedi</v>
      </c>
      <c r="D3682" s="87"/>
      <c r="E3682" s="115" t="str">
        <f t="shared" si="235"/>
        <v/>
      </c>
      <c r="F3682" s="115" t="str">
        <f t="shared" si="236"/>
        <v/>
      </c>
      <c r="G3682" s="116" t="str">
        <f>IF(ISNONTEXT(D3682),"",E3682-MAX($F$2:F3681))</f>
        <v/>
      </c>
      <c r="H3682" s="97"/>
      <c r="I3682" s="74" t="str">
        <f ca="1">IF(D3682="N",COUNTIF(INDIRECT(ADDRESS(MATCH(Plages!$D$19,'Planning annuel mixing coater'!$B:$B),4)):D3682,"N"),IF(D3682="N1",COUNTIF($D$9:D3682,"N1"),""))</f>
        <v/>
      </c>
      <c r="J3682" s="96" t="str">
        <f>IF(D3682="","",COUNTA(D3670:D3682)-(COUNTA(D3682:D3682)-1))</f>
        <v/>
      </c>
    </row>
    <row r="3683" spans="1:10" s="77" customFormat="1" thickBot="1">
      <c r="A3683" s="117"/>
      <c r="B3683" s="75">
        <f t="shared" si="233"/>
        <v>47475</v>
      </c>
      <c r="C3683" s="83" t="str">
        <f t="shared" si="234"/>
        <v>dimanche</v>
      </c>
      <c r="D3683" s="88"/>
      <c r="E3683" s="115" t="str">
        <f t="shared" si="235"/>
        <v/>
      </c>
      <c r="F3683" s="115" t="str">
        <f t="shared" si="236"/>
        <v/>
      </c>
      <c r="G3683" s="116" t="str">
        <f>IF(ISNONTEXT(D3683),"",E3683-MAX($F$2:F3682))</f>
        <v/>
      </c>
      <c r="H3683" s="98"/>
      <c r="I3683" s="76" t="str">
        <f ca="1">IF(D3683="N",COUNTIF(INDIRECT(ADDRESS(MATCH(Plages!$D$19,'Planning annuel mixing coater'!$B:$B),4)):D3683,"N"),IF(D3683="N1",COUNTIF($D$9:D3683,"N1"),""))</f>
        <v/>
      </c>
      <c r="J3683" s="99" t="str">
        <f>IF(D3683="","",COUNTA(D3670:D3683)-(COUNTA(D3683:D3683)-1))</f>
        <v/>
      </c>
    </row>
    <row r="3684" spans="1:10" ht="16.5" thickTop="1" thickBot="1">
      <c r="A3684" s="117"/>
      <c r="B3684" s="78">
        <f t="shared" si="233"/>
        <v>47476</v>
      </c>
      <c r="C3684" s="81" t="str">
        <f t="shared" si="234"/>
        <v>lundi</v>
      </c>
      <c r="D3684" s="89"/>
      <c r="E3684" s="115" t="str">
        <f t="shared" si="235"/>
        <v/>
      </c>
      <c r="F3684" s="115" t="str">
        <f t="shared" si="236"/>
        <v/>
      </c>
      <c r="G3684" s="116" t="str">
        <f>IF(ISNONTEXT(D3684),"",E3684-MAX($F$2:F3683))</f>
        <v/>
      </c>
      <c r="H3684" s="100"/>
      <c r="I3684" s="79" t="str">
        <f ca="1">IF(D3684="N",COUNTIF(INDIRECT(ADDRESS(MATCH(Plages!$D$19,'Planning annuel mixing coater'!$B:$B),4)):D3684,"N"),IF(D3684="N1",COUNTIF($D$9:D3684,"N1"),""))</f>
        <v/>
      </c>
      <c r="J3684" s="101" t="str">
        <f>IF(D3684="","",COUNTA(D3684:D3684)-(COUNTA(D3684:D3684)-1))</f>
        <v/>
      </c>
    </row>
    <row r="3685" spans="1:10" thickBot="1">
      <c r="A3685" s="117"/>
      <c r="B3685" s="70">
        <f t="shared" si="233"/>
        <v>47477</v>
      </c>
      <c r="C3685" s="82" t="str">
        <f t="shared" si="234"/>
        <v>mardi</v>
      </c>
      <c r="D3685" s="87"/>
      <c r="E3685" s="115" t="str">
        <f t="shared" si="235"/>
        <v/>
      </c>
      <c r="F3685" s="115" t="str">
        <f t="shared" si="236"/>
        <v/>
      </c>
      <c r="G3685" s="116" t="str">
        <f>IF(ISNONTEXT(D3685),"",E3685-MAX($F$2:F3684))</f>
        <v/>
      </c>
      <c r="H3685" s="97"/>
      <c r="I3685" s="74" t="str">
        <f ca="1">IF(D3685="N",COUNTIF(INDIRECT(ADDRESS(MATCH(Plages!$D$19,'Planning annuel mixing coater'!$B:$B),4)):D3685,"N"),IF(D3685="N1",COUNTIF($D$9:D3685,"N1"),""))</f>
        <v/>
      </c>
      <c r="J3685" s="96" t="str">
        <f>IF(D3685="","",COUNTA(D3684:D3685)-(COUNTA(D3685:D3685)-1))</f>
        <v/>
      </c>
    </row>
    <row r="3686" spans="1:10" thickBot="1">
      <c r="A3686" s="117"/>
      <c r="B3686" s="70">
        <f t="shared" si="233"/>
        <v>47478</v>
      </c>
      <c r="C3686" s="82" t="str">
        <f t="shared" si="234"/>
        <v>mercredi</v>
      </c>
      <c r="D3686" s="87"/>
      <c r="E3686" s="115" t="str">
        <f t="shared" si="235"/>
        <v/>
      </c>
      <c r="F3686" s="115" t="str">
        <f t="shared" si="236"/>
        <v/>
      </c>
      <c r="G3686" s="116" t="str">
        <f>IF(ISNONTEXT(D3686),"",E3686-MAX($F$2:F3685))</f>
        <v/>
      </c>
      <c r="H3686" s="97"/>
      <c r="I3686" s="74" t="str">
        <f ca="1">IF(D3686="N",COUNTIF(INDIRECT(ADDRESS(MATCH(Plages!$D$19,'Planning annuel mixing coater'!$B:$B),4)):D3686,"N"),IF(D3686="N1",COUNTIF($D$9:D3686,"N1"),""))</f>
        <v/>
      </c>
      <c r="J3686" s="96" t="str">
        <f>IF(D3686="","",COUNTA(D3684:D3686)-(COUNTA(D3686:D3686)-1))</f>
        <v/>
      </c>
    </row>
    <row r="3687" spans="1:10" thickBot="1">
      <c r="A3687" s="117"/>
      <c r="B3687" s="70">
        <f t="shared" si="233"/>
        <v>47479</v>
      </c>
      <c r="C3687" s="82" t="str">
        <f t="shared" si="234"/>
        <v>jeudi</v>
      </c>
      <c r="D3687" s="87"/>
      <c r="E3687" s="115" t="str">
        <f t="shared" si="235"/>
        <v/>
      </c>
      <c r="F3687" s="115" t="str">
        <f t="shared" si="236"/>
        <v/>
      </c>
      <c r="G3687" s="116" t="str">
        <f>IF(ISNONTEXT(D3687),"",E3687-MAX($F$2:F3686))</f>
        <v/>
      </c>
      <c r="H3687" s="97"/>
      <c r="I3687" s="74" t="str">
        <f ca="1">IF(D3687="N",COUNTIF(INDIRECT(ADDRESS(MATCH(Plages!$D$19,'Planning annuel mixing coater'!$B:$B),4)):D3687,"N"),IF(D3687="N1",COUNTIF($D$9:D3687,"N1"),""))</f>
        <v/>
      </c>
      <c r="J3687" s="96" t="str">
        <f>IF(D3687="","",COUNTA(D3684:D3687)-(COUNTA(D3687:D3687)-1))</f>
        <v/>
      </c>
    </row>
    <row r="3688" spans="1:10" thickBot="1">
      <c r="A3688" s="117"/>
      <c r="B3688" s="70">
        <f t="shared" si="233"/>
        <v>47480</v>
      </c>
      <c r="C3688" s="82" t="str">
        <f t="shared" si="234"/>
        <v>vendredi</v>
      </c>
      <c r="D3688" s="87"/>
      <c r="E3688" s="115" t="str">
        <f t="shared" si="235"/>
        <v/>
      </c>
      <c r="F3688" s="115" t="str">
        <f t="shared" si="236"/>
        <v/>
      </c>
      <c r="G3688" s="116" t="str">
        <f>IF(ISNONTEXT(D3688),"",E3688-MAX($F$2:F3687))</f>
        <v/>
      </c>
      <c r="H3688" s="97"/>
      <c r="I3688" s="74" t="str">
        <f ca="1">IF(D3688="N",COUNTIF(INDIRECT(ADDRESS(MATCH(Plages!$D$19,'Planning annuel mixing coater'!$B:$B),4)):D3688,"N"),IF(D3688="N1",COUNTIF($D$9:D3688,"N1"),""))</f>
        <v/>
      </c>
      <c r="J3688" s="96" t="str">
        <f>IF(D3688="","",COUNTA(D3684:D3688)-(COUNTA(D3688:D3688)-1))</f>
        <v/>
      </c>
    </row>
    <row r="3689" spans="1:10" thickBot="1">
      <c r="A3689" s="117"/>
      <c r="B3689" s="70">
        <f t="shared" si="233"/>
        <v>47481</v>
      </c>
      <c r="C3689" s="82" t="str">
        <f t="shared" si="234"/>
        <v>samedi</v>
      </c>
      <c r="D3689" s="87"/>
      <c r="E3689" s="115" t="str">
        <f t="shared" si="235"/>
        <v/>
      </c>
      <c r="F3689" s="115" t="str">
        <f t="shared" si="236"/>
        <v/>
      </c>
      <c r="G3689" s="116" t="str">
        <f>IF(ISNONTEXT(D3689),"",E3689-MAX($F$2:F3688))</f>
        <v/>
      </c>
      <c r="H3689" s="97"/>
      <c r="I3689" s="74" t="str">
        <f ca="1">IF(D3689="N",COUNTIF(INDIRECT(ADDRESS(MATCH(Plages!$D$19,'Planning annuel mixing coater'!$B:$B),4)):D3689,"N"),IF(D3689="N1",COUNTIF($D$9:D3689,"N1"),""))</f>
        <v/>
      </c>
      <c r="J3689" s="96" t="str">
        <f>IF(D3689="","",COUNTA(D3684:D3689)-(COUNTA(D3689:D3689)-1))</f>
        <v/>
      </c>
    </row>
    <row r="3690" spans="1:10" thickBot="1">
      <c r="A3690" s="117"/>
      <c r="B3690" s="70">
        <f t="shared" si="233"/>
        <v>47482</v>
      </c>
      <c r="C3690" s="82" t="str">
        <f t="shared" si="234"/>
        <v>dimanche</v>
      </c>
      <c r="D3690" s="87"/>
      <c r="E3690" s="115" t="str">
        <f t="shared" si="235"/>
        <v/>
      </c>
      <c r="F3690" s="115" t="str">
        <f t="shared" si="236"/>
        <v/>
      </c>
      <c r="G3690" s="116" t="str">
        <f>IF(ISNONTEXT(D3690),"",E3690-MAX($F$2:F3689))</f>
        <v/>
      </c>
      <c r="H3690" s="98"/>
      <c r="I3690" s="74" t="str">
        <f ca="1">IF(D3690="N",COUNTIF(INDIRECT(ADDRESS(MATCH(Plages!$D$19,'Planning annuel mixing coater'!$B:$B),4)):D3690,"N"),IF(D3690="N1",COUNTIF($D$9:D3690,"N1"),""))</f>
        <v/>
      </c>
      <c r="J3690" s="96" t="str">
        <f>IF(D3690="","",COUNTA(D3684:D3690)-(COUNTA(D3690:D3690)-1))</f>
        <v/>
      </c>
    </row>
    <row r="3691" spans="1:10" thickBot="1">
      <c r="A3691" s="117"/>
      <c r="B3691" s="70">
        <f t="shared" si="233"/>
        <v>47483</v>
      </c>
      <c r="C3691" s="82" t="str">
        <f t="shared" si="234"/>
        <v>lundi</v>
      </c>
      <c r="D3691" s="87"/>
      <c r="E3691" s="115" t="str">
        <f t="shared" si="235"/>
        <v/>
      </c>
      <c r="F3691" s="115" t="str">
        <f t="shared" si="236"/>
        <v/>
      </c>
      <c r="G3691" s="116" t="str">
        <f>IF(ISNONTEXT(D3691),"",E3691-MAX($F$2:F3690))</f>
        <v/>
      </c>
      <c r="H3691" s="97"/>
      <c r="I3691" s="74" t="str">
        <f ca="1">IF(D3691="N",COUNTIF(INDIRECT(ADDRESS(MATCH(Plages!$D$19,'Planning annuel mixing coater'!$B:$B),4)):D3691,"N"),IF(D3691="N1",COUNTIF($D$9:D3691,"N1"),""))</f>
        <v/>
      </c>
      <c r="J3691" s="96" t="str">
        <f>IF(D3691="","",COUNTA(D3684:D3691)-(COUNTA(D3691:D3691)-1))</f>
        <v/>
      </c>
    </row>
    <row r="3692" spans="1:10" thickBot="1">
      <c r="A3692" s="117"/>
      <c r="B3692" s="70">
        <f t="shared" si="233"/>
        <v>47484</v>
      </c>
      <c r="C3692" s="82" t="str">
        <f t="shared" si="234"/>
        <v>mardi</v>
      </c>
      <c r="D3692" s="87"/>
      <c r="E3692" s="115" t="str">
        <f t="shared" si="235"/>
        <v/>
      </c>
      <c r="F3692" s="115" t="str">
        <f t="shared" si="236"/>
        <v/>
      </c>
      <c r="G3692" s="116" t="str">
        <f>IF(ISNONTEXT(D3692),"",E3692-MAX($F$2:F3691))</f>
        <v/>
      </c>
      <c r="H3692" s="97"/>
      <c r="I3692" s="74" t="str">
        <f ca="1">IF(D3692="N",COUNTIF(INDIRECT(ADDRESS(MATCH(Plages!$D$19,'Planning annuel mixing coater'!$B:$B),4)):D3692,"N"),IF(D3692="N1",COUNTIF($D$9:D3692,"N1"),""))</f>
        <v/>
      </c>
      <c r="J3692" s="96" t="str">
        <f>IF(D3692="","",COUNTA(D3684:D3692)-(COUNTA(D3692:D3692)-1))</f>
        <v/>
      </c>
    </row>
    <row r="3693" spans="1:10" thickBot="1">
      <c r="A3693" s="117"/>
      <c r="B3693" s="70">
        <f t="shared" si="233"/>
        <v>47485</v>
      </c>
      <c r="C3693" s="82" t="str">
        <f t="shared" si="234"/>
        <v>mercredi</v>
      </c>
      <c r="D3693" s="87"/>
      <c r="E3693" s="115" t="str">
        <f t="shared" si="235"/>
        <v/>
      </c>
      <c r="F3693" s="115" t="str">
        <f t="shared" si="236"/>
        <v/>
      </c>
      <c r="G3693" s="116" t="str">
        <f>IF(ISNONTEXT(D3693),"",E3693-MAX($F$2:F3692))</f>
        <v/>
      </c>
      <c r="H3693" s="97"/>
      <c r="I3693" s="74" t="str">
        <f ca="1">IF(D3693="N",COUNTIF(INDIRECT(ADDRESS(MATCH(Plages!$D$19,'Planning annuel mixing coater'!$B:$B),4)):D3693,"N"),IF(D3693="N1",COUNTIF($D$9:D3693,"N1"),""))</f>
        <v/>
      </c>
      <c r="J3693" s="96" t="str">
        <f>IF(D3693="","",COUNTA(D3684:D3693)-(COUNTA(D3693:D3693)-1))</f>
        <v/>
      </c>
    </row>
    <row r="3694" spans="1:10" thickBot="1">
      <c r="A3694" s="117"/>
      <c r="B3694" s="70">
        <f t="shared" si="233"/>
        <v>47486</v>
      </c>
      <c r="C3694" s="82" t="str">
        <f t="shared" si="234"/>
        <v>jeudi</v>
      </c>
      <c r="D3694" s="87"/>
      <c r="E3694" s="115" t="str">
        <f t="shared" si="235"/>
        <v/>
      </c>
      <c r="F3694" s="115" t="str">
        <f t="shared" si="236"/>
        <v/>
      </c>
      <c r="G3694" s="116" t="str">
        <f>IF(ISNONTEXT(D3694),"",E3694-MAX($F$2:F3693))</f>
        <v/>
      </c>
      <c r="H3694" s="97"/>
      <c r="I3694" s="74" t="str">
        <f ca="1">IF(D3694="N",COUNTIF(INDIRECT(ADDRESS(MATCH(Plages!$D$19,'Planning annuel mixing coater'!$B:$B),4)):D3694,"N"),IF(D3694="N1",COUNTIF($D$9:D3694,"N1"),""))</f>
        <v/>
      </c>
      <c r="J3694" s="96" t="str">
        <f>IF(D3694="","",COUNTA(D3684:D3694)-(COUNTA(D3694:D3694)-1))</f>
        <v/>
      </c>
    </row>
    <row r="3695" spans="1:10" thickBot="1">
      <c r="A3695" s="117"/>
      <c r="B3695" s="70">
        <f t="shared" si="233"/>
        <v>47487</v>
      </c>
      <c r="C3695" s="82" t="str">
        <f t="shared" si="234"/>
        <v>vendredi</v>
      </c>
      <c r="D3695" s="87"/>
      <c r="E3695" s="115" t="str">
        <f t="shared" si="235"/>
        <v/>
      </c>
      <c r="F3695" s="115" t="str">
        <f t="shared" si="236"/>
        <v/>
      </c>
      <c r="G3695" s="116" t="str">
        <f>IF(ISNONTEXT(D3695),"",E3695-MAX($F$2:F3694))</f>
        <v/>
      </c>
      <c r="H3695" s="97"/>
      <c r="I3695" s="74" t="str">
        <f ca="1">IF(D3695="N",COUNTIF(INDIRECT(ADDRESS(MATCH(Plages!$D$19,'Planning annuel mixing coater'!$B:$B),4)):D3695,"N"),IF(D3695="N1",COUNTIF($D$9:D3695,"N1"),""))</f>
        <v/>
      </c>
      <c r="J3695" s="96" t="str">
        <f>IF(D3695="","",COUNTA(D3684:D3695)-(COUNTA(D3695:D3695)-1))</f>
        <v/>
      </c>
    </row>
    <row r="3696" spans="1:10" thickBot="1">
      <c r="A3696" s="117"/>
      <c r="B3696" s="70">
        <f t="shared" si="233"/>
        <v>47488</v>
      </c>
      <c r="C3696" s="82" t="str">
        <f t="shared" si="234"/>
        <v>samedi</v>
      </c>
      <c r="D3696" s="87"/>
      <c r="E3696" s="115" t="str">
        <f t="shared" si="235"/>
        <v/>
      </c>
      <c r="F3696" s="115" t="str">
        <f t="shared" si="236"/>
        <v/>
      </c>
      <c r="G3696" s="116" t="str">
        <f>IF(ISNONTEXT(D3696),"",E3696-MAX($F$2:F3695))</f>
        <v/>
      </c>
      <c r="H3696" s="97"/>
      <c r="I3696" s="74" t="str">
        <f ca="1">IF(D3696="N",COUNTIF(INDIRECT(ADDRESS(MATCH(Plages!$D$19,'Planning annuel mixing coater'!$B:$B),4)):D3696,"N"),IF(D3696="N1",COUNTIF($D$9:D3696,"N1"),""))</f>
        <v/>
      </c>
      <c r="J3696" s="96" t="str">
        <f>IF(D3696="","",COUNTA(D3684:D3696)-(COUNTA(D3696:D3696)-1))</f>
        <v/>
      </c>
    </row>
    <row r="3697" spans="1:10" s="77" customFormat="1" thickBot="1">
      <c r="A3697" s="117"/>
      <c r="B3697" s="75">
        <f t="shared" si="233"/>
        <v>47489</v>
      </c>
      <c r="C3697" s="83" t="str">
        <f t="shared" si="234"/>
        <v>dimanche</v>
      </c>
      <c r="D3697" s="88"/>
      <c r="E3697" s="115" t="str">
        <f t="shared" si="235"/>
        <v/>
      </c>
      <c r="F3697" s="115" t="str">
        <f t="shared" si="236"/>
        <v/>
      </c>
      <c r="G3697" s="116" t="str">
        <f>IF(ISNONTEXT(D3697),"",E3697-MAX($F$2:F3696))</f>
        <v/>
      </c>
      <c r="H3697" s="98"/>
      <c r="I3697" s="76" t="str">
        <f ca="1">IF(D3697="N",COUNTIF(INDIRECT(ADDRESS(MATCH(Plages!$D$19,'Planning annuel mixing coater'!$B:$B),4)):D3697,"N"),IF(D3697="N1",COUNTIF($D$9:D3697,"N1"),""))</f>
        <v/>
      </c>
      <c r="J3697" s="99" t="str">
        <f>IF(D3697="","",COUNTA(D3684:D3697)-(COUNTA(D3697:D3697)-1))</f>
        <v/>
      </c>
    </row>
    <row r="3698" spans="1:10" ht="16.5" thickTop="1" thickBot="1">
      <c r="A3698" s="117"/>
      <c r="B3698" s="78">
        <f t="shared" si="233"/>
        <v>47490</v>
      </c>
      <c r="C3698" s="81" t="str">
        <f t="shared" si="234"/>
        <v>lundi</v>
      </c>
      <c r="D3698" s="89"/>
      <c r="E3698" s="115" t="str">
        <f t="shared" si="235"/>
        <v/>
      </c>
      <c r="F3698" s="115" t="str">
        <f t="shared" si="236"/>
        <v/>
      </c>
      <c r="G3698" s="116" t="str">
        <f>IF(ISNONTEXT(D3698),"",E3698-MAX($F$2:F3697))</f>
        <v/>
      </c>
      <c r="H3698" s="100"/>
      <c r="I3698" s="79" t="str">
        <f ca="1">IF(D3698="N",COUNTIF(INDIRECT(ADDRESS(MATCH(Plages!$D$19,'Planning annuel mixing coater'!$B:$B),4)):D3698,"N"),IF(D3698="N1",COUNTIF($D$9:D3698,"N1"),""))</f>
        <v/>
      </c>
      <c r="J3698" s="101" t="str">
        <f>IF(D3698="","",COUNTA(D3698:D3698)-(COUNTA(D3698:D3698)-1))</f>
        <v/>
      </c>
    </row>
    <row r="3699" spans="1:10" thickBot="1">
      <c r="A3699" s="117"/>
      <c r="B3699" s="70">
        <f t="shared" si="233"/>
        <v>47491</v>
      </c>
      <c r="C3699" s="82" t="str">
        <f t="shared" si="234"/>
        <v>mardi</v>
      </c>
      <c r="D3699" s="87"/>
      <c r="E3699" s="115" t="str">
        <f t="shared" si="235"/>
        <v/>
      </c>
      <c r="F3699" s="115" t="str">
        <f t="shared" si="236"/>
        <v/>
      </c>
      <c r="G3699" s="116" t="str">
        <f>IF(ISNONTEXT(D3699),"",E3699-MAX($F$2:F3698))</f>
        <v/>
      </c>
      <c r="H3699" s="97"/>
      <c r="I3699" s="74" t="str">
        <f ca="1">IF(D3699="N",COUNTIF(INDIRECT(ADDRESS(MATCH(Plages!$D$19,'Planning annuel mixing coater'!$B:$B),4)):D3699,"N"),IF(D3699="N1",COUNTIF($D$9:D3699,"N1"),""))</f>
        <v/>
      </c>
      <c r="J3699" s="96" t="str">
        <f>IF(D3699="","",COUNTA(D3698:D3699)-(COUNTA(D3699:D3699)-1))</f>
        <v/>
      </c>
    </row>
    <row r="3700" spans="1:10" thickBot="1">
      <c r="A3700" s="117"/>
      <c r="B3700" s="70">
        <f t="shared" si="233"/>
        <v>47492</v>
      </c>
      <c r="C3700" s="82" t="str">
        <f t="shared" si="234"/>
        <v>mercredi</v>
      </c>
      <c r="D3700" s="87"/>
      <c r="E3700" s="115" t="str">
        <f t="shared" si="235"/>
        <v/>
      </c>
      <c r="F3700" s="115" t="str">
        <f t="shared" si="236"/>
        <v/>
      </c>
      <c r="G3700" s="116" t="str">
        <f>IF(ISNONTEXT(D3700),"",E3700-MAX($F$2:F3699))</f>
        <v/>
      </c>
      <c r="H3700" s="97"/>
      <c r="I3700" s="74" t="str">
        <f ca="1">IF(D3700="N",COUNTIF(INDIRECT(ADDRESS(MATCH(Plages!$D$19,'Planning annuel mixing coater'!$B:$B),4)):D3700,"N"),IF(D3700="N1",COUNTIF($D$9:D3700,"N1"),""))</f>
        <v/>
      </c>
      <c r="J3700" s="96" t="str">
        <f>IF(D3700="","",COUNTA(D3698:D3700)-(COUNTA(D3700:D3700)-1))</f>
        <v/>
      </c>
    </row>
    <row r="3701" spans="1:10" thickBot="1">
      <c r="A3701" s="117"/>
      <c r="B3701" s="70">
        <f t="shared" si="233"/>
        <v>47493</v>
      </c>
      <c r="C3701" s="82" t="str">
        <f t="shared" si="234"/>
        <v>jeudi</v>
      </c>
      <c r="D3701" s="87"/>
      <c r="E3701" s="115" t="str">
        <f t="shared" si="235"/>
        <v/>
      </c>
      <c r="F3701" s="115" t="str">
        <f t="shared" si="236"/>
        <v/>
      </c>
      <c r="G3701" s="116" t="str">
        <f>IF(ISNONTEXT(D3701),"",E3701-MAX($F$2:F3700))</f>
        <v/>
      </c>
      <c r="H3701" s="97"/>
      <c r="I3701" s="74" t="str">
        <f ca="1">IF(D3701="N",COUNTIF(INDIRECT(ADDRESS(MATCH(Plages!$D$19,'Planning annuel mixing coater'!$B:$B),4)):D3701,"N"),IF(D3701="N1",COUNTIF($D$9:D3701,"N1"),""))</f>
        <v/>
      </c>
      <c r="J3701" s="96" t="str">
        <f>IF(D3701="","",COUNTA(D3698:D3701)-(COUNTA(D3701:D3701)-1))</f>
        <v/>
      </c>
    </row>
    <row r="3702" spans="1:10" thickBot="1">
      <c r="A3702" s="117"/>
      <c r="B3702" s="70">
        <f t="shared" si="233"/>
        <v>47494</v>
      </c>
      <c r="C3702" s="82" t="str">
        <f t="shared" si="234"/>
        <v>vendredi</v>
      </c>
      <c r="D3702" s="87"/>
      <c r="E3702" s="115" t="str">
        <f t="shared" si="235"/>
        <v/>
      </c>
      <c r="F3702" s="115" t="str">
        <f t="shared" si="236"/>
        <v/>
      </c>
      <c r="G3702" s="116" t="str">
        <f>IF(ISNONTEXT(D3702),"",E3702-MAX($F$2:F3701))</f>
        <v/>
      </c>
      <c r="H3702" s="97"/>
      <c r="I3702" s="74" t="str">
        <f ca="1">IF(D3702="N",COUNTIF(INDIRECT(ADDRESS(MATCH(Plages!$D$19,'Planning annuel mixing coater'!$B:$B),4)):D3702,"N"),IF(D3702="N1",COUNTIF($D$9:D3702,"N1"),""))</f>
        <v/>
      </c>
      <c r="J3702" s="96" t="str">
        <f>IF(D3702="","",COUNTA(D3698:D3702)-(COUNTA(D3702:D3702)-1))</f>
        <v/>
      </c>
    </row>
    <row r="3703" spans="1:10" thickBot="1">
      <c r="A3703" s="117"/>
      <c r="B3703" s="70">
        <f t="shared" si="233"/>
        <v>47495</v>
      </c>
      <c r="C3703" s="82" t="str">
        <f t="shared" si="234"/>
        <v>samedi</v>
      </c>
      <c r="D3703" s="87"/>
      <c r="E3703" s="115" t="str">
        <f t="shared" si="235"/>
        <v/>
      </c>
      <c r="F3703" s="115" t="str">
        <f t="shared" si="236"/>
        <v/>
      </c>
      <c r="G3703" s="116" t="str">
        <f>IF(ISNONTEXT(D3703),"",E3703-MAX($F$2:F3702))</f>
        <v/>
      </c>
      <c r="H3703" s="97"/>
      <c r="I3703" s="74" t="str">
        <f ca="1">IF(D3703="N",COUNTIF(INDIRECT(ADDRESS(MATCH(Plages!$D$19,'Planning annuel mixing coater'!$B:$B),4)):D3703,"N"),IF(D3703="N1",COUNTIF($D$9:D3703,"N1"),""))</f>
        <v/>
      </c>
      <c r="J3703" s="96" t="str">
        <f>IF(D3703="","",COUNTA(D3698:D3703)-(COUNTA(D3703:D3703)-1))</f>
        <v/>
      </c>
    </row>
    <row r="3704" spans="1:10" thickBot="1">
      <c r="A3704" s="117"/>
      <c r="B3704" s="70">
        <f t="shared" si="233"/>
        <v>47496</v>
      </c>
      <c r="C3704" s="82" t="str">
        <f t="shared" si="234"/>
        <v>dimanche</v>
      </c>
      <c r="D3704" s="87"/>
      <c r="E3704" s="115" t="str">
        <f t="shared" si="235"/>
        <v/>
      </c>
      <c r="F3704" s="115" t="str">
        <f t="shared" si="236"/>
        <v/>
      </c>
      <c r="G3704" s="116" t="str">
        <f>IF(ISNONTEXT(D3704),"",E3704-MAX($F$2:F3703))</f>
        <v/>
      </c>
      <c r="H3704" s="98"/>
      <c r="I3704" s="74" t="str">
        <f ca="1">IF(D3704="N",COUNTIF(INDIRECT(ADDRESS(MATCH(Plages!$D$19,'Planning annuel mixing coater'!$B:$B),4)):D3704,"N"),IF(D3704="N1",COUNTIF($D$9:D3704,"N1"),""))</f>
        <v/>
      </c>
      <c r="J3704" s="96" t="str">
        <f>IF(D3704="","",COUNTA(D3698:D3704)-(COUNTA(D3704:D3704)-1))</f>
        <v/>
      </c>
    </row>
    <row r="3705" spans="1:10" thickBot="1">
      <c r="A3705" s="117"/>
      <c r="B3705" s="70">
        <f t="shared" si="233"/>
        <v>47497</v>
      </c>
      <c r="C3705" s="82" t="str">
        <f t="shared" si="234"/>
        <v>lundi</v>
      </c>
      <c r="D3705" s="87"/>
      <c r="E3705" s="115" t="str">
        <f t="shared" si="235"/>
        <v/>
      </c>
      <c r="F3705" s="115" t="str">
        <f t="shared" si="236"/>
        <v/>
      </c>
      <c r="G3705" s="116" t="str">
        <f>IF(ISNONTEXT(D3705),"",E3705-MAX($F$2:F3704))</f>
        <v/>
      </c>
      <c r="H3705" s="97"/>
      <c r="I3705" s="74" t="str">
        <f ca="1">IF(D3705="N",COUNTIF(INDIRECT(ADDRESS(MATCH(Plages!$D$19,'Planning annuel mixing coater'!$B:$B),4)):D3705,"N"),IF(D3705="N1",COUNTIF($D$9:D3705,"N1"),""))</f>
        <v/>
      </c>
      <c r="J3705" s="96" t="str">
        <f>IF(D3705="","",COUNTA(D3698:D3705)-(COUNTA(D3705:D3705)-1))</f>
        <v/>
      </c>
    </row>
    <row r="3706" spans="1:10" thickBot="1">
      <c r="A3706" s="117"/>
      <c r="B3706" s="70">
        <f t="shared" si="233"/>
        <v>47498</v>
      </c>
      <c r="C3706" s="82" t="str">
        <f t="shared" si="234"/>
        <v>mardi</v>
      </c>
      <c r="D3706" s="87"/>
      <c r="E3706" s="115" t="str">
        <f t="shared" si="235"/>
        <v/>
      </c>
      <c r="F3706" s="115" t="str">
        <f t="shared" si="236"/>
        <v/>
      </c>
      <c r="G3706" s="116" t="str">
        <f>IF(ISNONTEXT(D3706),"",E3706-MAX($F$2:F3705))</f>
        <v/>
      </c>
      <c r="H3706" s="97"/>
      <c r="I3706" s="74" t="str">
        <f ca="1">IF(D3706="N",COUNTIF(INDIRECT(ADDRESS(MATCH(Plages!$D$19,'Planning annuel mixing coater'!$B:$B),4)):D3706,"N"),IF(D3706="N1",COUNTIF($D$9:D3706,"N1"),""))</f>
        <v/>
      </c>
      <c r="J3706" s="96" t="str">
        <f>IF(D3706="","",COUNTA(D3698:D3706)-(COUNTA(D3706:D3706)-1))</f>
        <v/>
      </c>
    </row>
    <row r="3707" spans="1:10" thickBot="1">
      <c r="A3707" s="117"/>
      <c r="B3707" s="70">
        <f t="shared" si="233"/>
        <v>47499</v>
      </c>
      <c r="C3707" s="82" t="str">
        <f t="shared" si="234"/>
        <v>mercredi</v>
      </c>
      <c r="D3707" s="87"/>
      <c r="E3707" s="115" t="str">
        <f t="shared" si="235"/>
        <v/>
      </c>
      <c r="F3707" s="115" t="str">
        <f t="shared" si="236"/>
        <v/>
      </c>
      <c r="G3707" s="116" t="str">
        <f>IF(ISNONTEXT(D3707),"",E3707-MAX($F$2:F3706))</f>
        <v/>
      </c>
      <c r="H3707" s="97"/>
      <c r="I3707" s="74" t="str">
        <f ca="1">IF(D3707="N",COUNTIF(INDIRECT(ADDRESS(MATCH(Plages!$D$19,'Planning annuel mixing coater'!$B:$B),4)):D3707,"N"),IF(D3707="N1",COUNTIF($D$9:D3707,"N1"),""))</f>
        <v/>
      </c>
      <c r="J3707" s="96" t="str">
        <f>IF(D3707="","",COUNTA(D3698:D3707)-(COUNTA(D3707:D3707)-1))</f>
        <v/>
      </c>
    </row>
    <row r="3708" spans="1:10" thickBot="1">
      <c r="A3708" s="117"/>
      <c r="B3708" s="70">
        <f t="shared" si="233"/>
        <v>47500</v>
      </c>
      <c r="C3708" s="82" t="str">
        <f t="shared" si="234"/>
        <v>jeudi</v>
      </c>
      <c r="D3708" s="87"/>
      <c r="E3708" s="115" t="str">
        <f t="shared" si="235"/>
        <v/>
      </c>
      <c r="F3708" s="115" t="str">
        <f t="shared" si="236"/>
        <v/>
      </c>
      <c r="G3708" s="116" t="str">
        <f>IF(ISNONTEXT(D3708),"",E3708-MAX($F$2:F3707))</f>
        <v/>
      </c>
      <c r="H3708" s="97"/>
      <c r="I3708" s="74" t="str">
        <f ca="1">IF(D3708="N",COUNTIF(INDIRECT(ADDRESS(MATCH(Plages!$D$19,'Planning annuel mixing coater'!$B:$B),4)):D3708,"N"),IF(D3708="N1",COUNTIF($D$9:D3708,"N1"),""))</f>
        <v/>
      </c>
      <c r="J3708" s="96" t="str">
        <f>IF(D3708="","",COUNTA(D3698:D3708)-(COUNTA(D3708:D3708)-1))</f>
        <v/>
      </c>
    </row>
    <row r="3709" spans="1:10" thickBot="1">
      <c r="A3709" s="117"/>
      <c r="B3709" s="70">
        <f t="shared" si="233"/>
        <v>47501</v>
      </c>
      <c r="C3709" s="82" t="str">
        <f t="shared" si="234"/>
        <v>vendredi</v>
      </c>
      <c r="D3709" s="87"/>
      <c r="E3709" s="115" t="str">
        <f t="shared" si="235"/>
        <v/>
      </c>
      <c r="F3709" s="115" t="str">
        <f t="shared" si="236"/>
        <v/>
      </c>
      <c r="G3709" s="116" t="str">
        <f>IF(ISNONTEXT(D3709),"",E3709-MAX($F$2:F3708))</f>
        <v/>
      </c>
      <c r="H3709" s="97"/>
      <c r="I3709" s="74" t="str">
        <f ca="1">IF(D3709="N",COUNTIF(INDIRECT(ADDRESS(MATCH(Plages!$D$19,'Planning annuel mixing coater'!$B:$B),4)):D3709,"N"),IF(D3709="N1",COUNTIF($D$9:D3709,"N1"),""))</f>
        <v/>
      </c>
      <c r="J3709" s="96" t="str">
        <f>IF(D3709="","",COUNTA(D3698:D3709)-(COUNTA(D3709:D3709)-1))</f>
        <v/>
      </c>
    </row>
    <row r="3710" spans="1:10" thickBot="1">
      <c r="A3710" s="117"/>
      <c r="B3710" s="70">
        <f t="shared" si="233"/>
        <v>47502</v>
      </c>
      <c r="C3710" s="82" t="str">
        <f t="shared" si="234"/>
        <v>samedi</v>
      </c>
      <c r="D3710" s="87"/>
      <c r="E3710" s="115" t="str">
        <f t="shared" si="235"/>
        <v/>
      </c>
      <c r="F3710" s="115" t="str">
        <f t="shared" si="236"/>
        <v/>
      </c>
      <c r="G3710" s="116" t="str">
        <f>IF(ISNONTEXT(D3710),"",E3710-MAX($F$2:F3709))</f>
        <v/>
      </c>
      <c r="H3710" s="97"/>
      <c r="I3710" s="74" t="str">
        <f ca="1">IF(D3710="N",COUNTIF(INDIRECT(ADDRESS(MATCH(Plages!$D$19,'Planning annuel mixing coater'!$B:$B),4)):D3710,"N"),IF(D3710="N1",COUNTIF($D$9:D3710,"N1"),""))</f>
        <v/>
      </c>
      <c r="J3710" s="96" t="str">
        <f>IF(D3710="","",COUNTA(D3698:D3710)-(COUNTA(D3710:D3710)-1))</f>
        <v/>
      </c>
    </row>
    <row r="3711" spans="1:10" s="77" customFormat="1" thickBot="1">
      <c r="A3711" s="117"/>
      <c r="B3711" s="75">
        <f t="shared" si="233"/>
        <v>47503</v>
      </c>
      <c r="C3711" s="83" t="str">
        <f t="shared" si="234"/>
        <v>dimanche</v>
      </c>
      <c r="D3711" s="88"/>
      <c r="E3711" s="115" t="str">
        <f t="shared" si="235"/>
        <v/>
      </c>
      <c r="F3711" s="115" t="str">
        <f t="shared" si="236"/>
        <v/>
      </c>
      <c r="G3711" s="116" t="str">
        <f>IF(ISNONTEXT(D3711),"",E3711-MAX($F$2:F3710))</f>
        <v/>
      </c>
      <c r="H3711" s="98"/>
      <c r="I3711" s="76" t="str">
        <f ca="1">IF(D3711="N",COUNTIF(INDIRECT(ADDRESS(MATCH(Plages!$D$19,'Planning annuel mixing coater'!$B:$B),4)):D3711,"N"),IF(D3711="N1",COUNTIF($D$9:D3711,"N1"),""))</f>
        <v/>
      </c>
      <c r="J3711" s="99" t="str">
        <f>IF(D3711="","",COUNTA(D3698:D3711)-(COUNTA(D3711:D3711)-1))</f>
        <v/>
      </c>
    </row>
    <row r="3712" spans="1:10" ht="16.5" thickTop="1" thickBot="1">
      <c r="A3712" s="117"/>
      <c r="B3712" s="78">
        <f t="shared" si="233"/>
        <v>47504</v>
      </c>
      <c r="C3712" s="81" t="str">
        <f t="shared" si="234"/>
        <v>lundi</v>
      </c>
      <c r="D3712" s="89"/>
      <c r="E3712" s="115" t="str">
        <f t="shared" si="235"/>
        <v/>
      </c>
      <c r="F3712" s="115" t="str">
        <f t="shared" si="236"/>
        <v/>
      </c>
      <c r="G3712" s="116" t="str">
        <f>IF(ISNONTEXT(D3712),"",E3712-MAX($F$2:F3711))</f>
        <v/>
      </c>
      <c r="H3712" s="100"/>
      <c r="I3712" s="79" t="str">
        <f ca="1">IF(D3712="N",COUNTIF(INDIRECT(ADDRESS(MATCH(Plages!$D$19,'Planning annuel mixing coater'!$B:$B),4)):D3712,"N"),IF(D3712="N1",COUNTIF($D$9:D3712,"N1"),""))</f>
        <v/>
      </c>
      <c r="J3712" s="101" t="str">
        <f>IF(D3712="","",COUNTA(D3712:D3712)-(COUNTA(D3712:D3712)-1))</f>
        <v/>
      </c>
    </row>
    <row r="3713" spans="1:10" thickBot="1">
      <c r="A3713" s="117"/>
      <c r="B3713" s="70">
        <f t="shared" si="233"/>
        <v>47505</v>
      </c>
      <c r="C3713" s="82" t="str">
        <f t="shared" si="234"/>
        <v>mardi</v>
      </c>
      <c r="D3713" s="87"/>
      <c r="E3713" s="115" t="str">
        <f t="shared" si="235"/>
        <v/>
      </c>
      <c r="F3713" s="115" t="str">
        <f t="shared" si="236"/>
        <v/>
      </c>
      <c r="G3713" s="116" t="str">
        <f>IF(ISNONTEXT(D3713),"",E3713-MAX($F$2:F3712))</f>
        <v/>
      </c>
      <c r="H3713" s="97"/>
      <c r="I3713" s="74" t="str">
        <f ca="1">IF(D3713="N",COUNTIF(INDIRECT(ADDRESS(MATCH(Plages!$D$19,'Planning annuel mixing coater'!$B:$B),4)):D3713,"N"),IF(D3713="N1",COUNTIF($D$9:D3713,"N1"),""))</f>
        <v/>
      </c>
      <c r="J3713" s="96" t="str">
        <f>IF(D3713="","",COUNTA(D3712:D3713)-(COUNTA(D3713:D3713)-1))</f>
        <v/>
      </c>
    </row>
    <row r="3714" spans="1:10" thickBot="1">
      <c r="A3714" s="117"/>
      <c r="B3714" s="70">
        <f t="shared" si="233"/>
        <v>47506</v>
      </c>
      <c r="C3714" s="82" t="str">
        <f t="shared" si="234"/>
        <v>mercredi</v>
      </c>
      <c r="D3714" s="87"/>
      <c r="E3714" s="115" t="str">
        <f t="shared" si="235"/>
        <v/>
      </c>
      <c r="F3714" s="115" t="str">
        <f t="shared" si="236"/>
        <v/>
      </c>
      <c r="G3714" s="116" t="str">
        <f>IF(ISNONTEXT(D3714),"",E3714-MAX($F$2:F3713))</f>
        <v/>
      </c>
      <c r="H3714" s="97"/>
      <c r="I3714" s="74" t="str">
        <f ca="1">IF(D3714="N",COUNTIF(INDIRECT(ADDRESS(MATCH(Plages!$D$19,'Planning annuel mixing coater'!$B:$B),4)):D3714,"N"),IF(D3714="N1",COUNTIF($D$9:D3714,"N1"),""))</f>
        <v/>
      </c>
      <c r="J3714" s="96" t="str">
        <f>IF(D3714="","",COUNTA(D3712:D3714)-(COUNTA(D3714:D3714)-1))</f>
        <v/>
      </c>
    </row>
    <row r="3715" spans="1:10" thickBot="1">
      <c r="A3715" s="117"/>
      <c r="B3715" s="70">
        <f t="shared" si="233"/>
        <v>47507</v>
      </c>
      <c r="C3715" s="82" t="str">
        <f t="shared" si="234"/>
        <v>jeudi</v>
      </c>
      <c r="D3715" s="87"/>
      <c r="E3715" s="115" t="str">
        <f t="shared" si="235"/>
        <v/>
      </c>
      <c r="F3715" s="115" t="str">
        <f t="shared" si="236"/>
        <v/>
      </c>
      <c r="G3715" s="116" t="str">
        <f>IF(ISNONTEXT(D3715),"",E3715-MAX($F$2:F3714))</f>
        <v/>
      </c>
      <c r="H3715" s="97"/>
      <c r="I3715" s="74" t="str">
        <f ca="1">IF(D3715="N",COUNTIF(INDIRECT(ADDRESS(MATCH(Plages!$D$19,'Planning annuel mixing coater'!$B:$B),4)):D3715,"N"),IF(D3715="N1",COUNTIF($D$9:D3715,"N1"),""))</f>
        <v/>
      </c>
      <c r="J3715" s="96" t="str">
        <f>IF(D3715="","",COUNTA(D3712:D3715)-(COUNTA(D3715:D3715)-1))</f>
        <v/>
      </c>
    </row>
    <row r="3716" spans="1:10" thickBot="1">
      <c r="A3716" s="117"/>
      <c r="B3716" s="70">
        <f t="shared" ref="B3716:B3779" si="237">IF(B3715="","",B3715+1)</f>
        <v>47508</v>
      </c>
      <c r="C3716" s="82" t="str">
        <f t="shared" si="234"/>
        <v>vendredi</v>
      </c>
      <c r="D3716" s="87"/>
      <c r="E3716" s="115" t="str">
        <f t="shared" si="235"/>
        <v/>
      </c>
      <c r="F3716" s="115" t="str">
        <f t="shared" si="236"/>
        <v/>
      </c>
      <c r="G3716" s="116" t="str">
        <f>IF(ISNONTEXT(D3716),"",E3716-MAX($F$2:F3715))</f>
        <v/>
      </c>
      <c r="H3716" s="97"/>
      <c r="I3716" s="74" t="str">
        <f ca="1">IF(D3716="N",COUNTIF(INDIRECT(ADDRESS(MATCH(Plages!$D$19,'Planning annuel mixing coater'!$B:$B),4)):D3716,"N"),IF(D3716="N1",COUNTIF($D$9:D3716,"N1"),""))</f>
        <v/>
      </c>
      <c r="J3716" s="96" t="str">
        <f>IF(D3716="","",COUNTA(D3712:D3716)-(COUNTA(D3716:D3716)-1))</f>
        <v/>
      </c>
    </row>
    <row r="3717" spans="1:10" thickBot="1">
      <c r="A3717" s="117"/>
      <c r="B3717" s="70">
        <f t="shared" si="237"/>
        <v>47509</v>
      </c>
      <c r="C3717" s="82" t="str">
        <f t="shared" si="234"/>
        <v>samedi</v>
      </c>
      <c r="D3717" s="87"/>
      <c r="E3717" s="115" t="str">
        <f t="shared" si="235"/>
        <v/>
      </c>
      <c r="F3717" s="115" t="str">
        <f t="shared" si="236"/>
        <v/>
      </c>
      <c r="G3717" s="116" t="str">
        <f>IF(ISNONTEXT(D3717),"",E3717-MAX($F$2:F3716))</f>
        <v/>
      </c>
      <c r="H3717" s="97"/>
      <c r="I3717" s="74" t="str">
        <f ca="1">IF(D3717="N",COUNTIF(INDIRECT(ADDRESS(MATCH(Plages!$D$19,'Planning annuel mixing coater'!$B:$B),4)):D3717,"N"),IF(D3717="N1",COUNTIF($D$9:D3717,"N1"),""))</f>
        <v/>
      </c>
      <c r="J3717" s="96" t="str">
        <f>IF(D3717="","",COUNTA(D3712:D3717)-(COUNTA(D3717:D3717)-1))</f>
        <v/>
      </c>
    </row>
    <row r="3718" spans="1:10" thickBot="1">
      <c r="A3718" s="117"/>
      <c r="B3718" s="70">
        <f t="shared" si="237"/>
        <v>47510</v>
      </c>
      <c r="C3718" s="82" t="str">
        <f t="shared" si="234"/>
        <v>dimanche</v>
      </c>
      <c r="D3718" s="87"/>
      <c r="E3718" s="115" t="str">
        <f t="shared" si="235"/>
        <v/>
      </c>
      <c r="F3718" s="115" t="str">
        <f t="shared" si="236"/>
        <v/>
      </c>
      <c r="G3718" s="116" t="str">
        <f>IF(ISNONTEXT(D3718),"",E3718-MAX($F$2:F3717))</f>
        <v/>
      </c>
      <c r="H3718" s="98"/>
      <c r="I3718" s="74" t="str">
        <f ca="1">IF(D3718="N",COUNTIF(INDIRECT(ADDRESS(MATCH(Plages!$D$19,'Planning annuel mixing coater'!$B:$B),4)):D3718,"N"),IF(D3718="N1",COUNTIF($D$9:D3718,"N1"),""))</f>
        <v/>
      </c>
      <c r="J3718" s="96" t="str">
        <f>IF(D3718="","",COUNTA(D3712:D3718)-(COUNTA(D3718:D3718)-1))</f>
        <v/>
      </c>
    </row>
    <row r="3719" spans="1:10" thickBot="1">
      <c r="A3719" s="117"/>
      <c r="B3719" s="70">
        <f t="shared" si="237"/>
        <v>47511</v>
      </c>
      <c r="C3719" s="82" t="str">
        <f t="shared" si="234"/>
        <v>lundi</v>
      </c>
      <c r="D3719" s="87"/>
      <c r="E3719" s="115" t="str">
        <f t="shared" si="235"/>
        <v/>
      </c>
      <c r="F3719" s="115" t="str">
        <f t="shared" si="236"/>
        <v/>
      </c>
      <c r="G3719" s="116" t="str">
        <f>IF(ISNONTEXT(D3719),"",E3719-MAX($F$2:F3718))</f>
        <v/>
      </c>
      <c r="H3719" s="97"/>
      <c r="I3719" s="74" t="str">
        <f ca="1">IF(D3719="N",COUNTIF(INDIRECT(ADDRESS(MATCH(Plages!$D$19,'Planning annuel mixing coater'!$B:$B),4)):D3719,"N"),IF(D3719="N1",COUNTIF($D$9:D3719,"N1"),""))</f>
        <v/>
      </c>
      <c r="J3719" s="96" t="str">
        <f>IF(D3719="","",COUNTA(D3712:D3719)-(COUNTA(D3719:D3719)-1))</f>
        <v/>
      </c>
    </row>
    <row r="3720" spans="1:10" thickBot="1">
      <c r="A3720" s="117"/>
      <c r="B3720" s="70">
        <f t="shared" si="237"/>
        <v>47512</v>
      </c>
      <c r="C3720" s="82" t="str">
        <f t="shared" si="234"/>
        <v>mardi</v>
      </c>
      <c r="D3720" s="87"/>
      <c r="E3720" s="115" t="str">
        <f t="shared" si="235"/>
        <v/>
      </c>
      <c r="F3720" s="115" t="str">
        <f t="shared" si="236"/>
        <v/>
      </c>
      <c r="G3720" s="116" t="str">
        <f>IF(ISNONTEXT(D3720),"",E3720-MAX($F$2:F3719))</f>
        <v/>
      </c>
      <c r="H3720" s="97"/>
      <c r="I3720" s="74" t="str">
        <f ca="1">IF(D3720="N",COUNTIF(INDIRECT(ADDRESS(MATCH(Plages!$D$19,'Planning annuel mixing coater'!$B:$B),4)):D3720,"N"),IF(D3720="N1",COUNTIF($D$9:D3720,"N1"),""))</f>
        <v/>
      </c>
      <c r="J3720" s="96" t="str">
        <f>IF(D3720="","",COUNTA(D3712:D3720)-(COUNTA(D3720:D3720)-1))</f>
        <v/>
      </c>
    </row>
    <row r="3721" spans="1:10" thickBot="1">
      <c r="A3721" s="117"/>
      <c r="B3721" s="70">
        <f t="shared" si="237"/>
        <v>47513</v>
      </c>
      <c r="C3721" s="82" t="str">
        <f t="shared" si="234"/>
        <v>mercredi</v>
      </c>
      <c r="D3721" s="87"/>
      <c r="E3721" s="115" t="str">
        <f t="shared" si="235"/>
        <v/>
      </c>
      <c r="F3721" s="115" t="str">
        <f t="shared" si="236"/>
        <v/>
      </c>
      <c r="G3721" s="116" t="str">
        <f>IF(ISNONTEXT(D3721),"",E3721-MAX($F$2:F3720))</f>
        <v/>
      </c>
      <c r="H3721" s="97"/>
      <c r="I3721" s="74" t="str">
        <f ca="1">IF(D3721="N",COUNTIF(INDIRECT(ADDRESS(MATCH(Plages!$D$19,'Planning annuel mixing coater'!$B:$B),4)):D3721,"N"),IF(D3721="N1",COUNTIF($D$9:D3721,"N1"),""))</f>
        <v/>
      </c>
      <c r="J3721" s="96" t="str">
        <f>IF(D3721="","",COUNTA(D3712:D3721)-(COUNTA(D3721:D3721)-1))</f>
        <v/>
      </c>
    </row>
    <row r="3722" spans="1:10" thickBot="1">
      <c r="A3722" s="117"/>
      <c r="B3722" s="70">
        <f t="shared" si="237"/>
        <v>47514</v>
      </c>
      <c r="C3722" s="82" t="str">
        <f t="shared" si="234"/>
        <v>jeudi</v>
      </c>
      <c r="D3722" s="87"/>
      <c r="E3722" s="115" t="str">
        <f t="shared" si="235"/>
        <v/>
      </c>
      <c r="F3722" s="115" t="str">
        <f t="shared" si="236"/>
        <v/>
      </c>
      <c r="G3722" s="116" t="str">
        <f>IF(ISNONTEXT(D3722),"",E3722-MAX($F$2:F3721))</f>
        <v/>
      </c>
      <c r="H3722" s="97"/>
      <c r="I3722" s="74" t="str">
        <f ca="1">IF(D3722="N",COUNTIF(INDIRECT(ADDRESS(MATCH(Plages!$D$19,'Planning annuel mixing coater'!$B:$B),4)):D3722,"N"),IF(D3722="N1",COUNTIF($D$9:D3722,"N1"),""))</f>
        <v/>
      </c>
      <c r="J3722" s="96" t="str">
        <f>IF(D3722="","",COUNTA(D3712:D3722)-(COUNTA(D3722:D3722)-1))</f>
        <v/>
      </c>
    </row>
    <row r="3723" spans="1:10" thickBot="1">
      <c r="A3723" s="117"/>
      <c r="B3723" s="70">
        <f t="shared" si="237"/>
        <v>47515</v>
      </c>
      <c r="C3723" s="82" t="str">
        <f t="shared" si="234"/>
        <v>vendredi</v>
      </c>
      <c r="D3723" s="87"/>
      <c r="E3723" s="115" t="str">
        <f t="shared" si="235"/>
        <v/>
      </c>
      <c r="F3723" s="115" t="str">
        <f t="shared" si="236"/>
        <v/>
      </c>
      <c r="G3723" s="116" t="str">
        <f>IF(ISNONTEXT(D3723),"",E3723-MAX($F$2:F3722))</f>
        <v/>
      </c>
      <c r="H3723" s="97"/>
      <c r="I3723" s="74" t="str">
        <f ca="1">IF(D3723="N",COUNTIF(INDIRECT(ADDRESS(MATCH(Plages!$D$19,'Planning annuel mixing coater'!$B:$B),4)):D3723,"N"),IF(D3723="N1",COUNTIF($D$9:D3723,"N1"),""))</f>
        <v/>
      </c>
      <c r="J3723" s="96" t="str">
        <f>IF(D3723="","",COUNTA(D3712:D3723)-(COUNTA(D3723:D3723)-1))</f>
        <v/>
      </c>
    </row>
    <row r="3724" spans="1:10" thickBot="1">
      <c r="A3724" s="117"/>
      <c r="B3724" s="70">
        <f t="shared" si="237"/>
        <v>47516</v>
      </c>
      <c r="C3724" s="82" t="str">
        <f t="shared" si="234"/>
        <v>samedi</v>
      </c>
      <c r="D3724" s="87"/>
      <c r="E3724" s="115" t="str">
        <f t="shared" si="235"/>
        <v/>
      </c>
      <c r="F3724" s="115" t="str">
        <f t="shared" si="236"/>
        <v/>
      </c>
      <c r="G3724" s="116" t="str">
        <f>IF(ISNONTEXT(D3724),"",E3724-MAX($F$2:F3723))</f>
        <v/>
      </c>
      <c r="H3724" s="97"/>
      <c r="I3724" s="74" t="str">
        <f ca="1">IF(D3724="N",COUNTIF(INDIRECT(ADDRESS(MATCH(Plages!$D$19,'Planning annuel mixing coater'!$B:$B),4)):D3724,"N"),IF(D3724="N1",COUNTIF($D$9:D3724,"N1"),""))</f>
        <v/>
      </c>
      <c r="J3724" s="96" t="str">
        <f>IF(D3724="","",COUNTA(D3712:D3724)-(COUNTA(D3724:D3724)-1))</f>
        <v/>
      </c>
    </row>
    <row r="3725" spans="1:10" s="77" customFormat="1" thickBot="1">
      <c r="A3725" s="117"/>
      <c r="B3725" s="75">
        <f t="shared" si="237"/>
        <v>47517</v>
      </c>
      <c r="C3725" s="83" t="str">
        <f t="shared" si="234"/>
        <v>dimanche</v>
      </c>
      <c r="D3725" s="88"/>
      <c r="E3725" s="115" t="str">
        <f t="shared" si="235"/>
        <v/>
      </c>
      <c r="F3725" s="115" t="str">
        <f t="shared" si="236"/>
        <v/>
      </c>
      <c r="G3725" s="116" t="str">
        <f>IF(ISNONTEXT(D3725),"",E3725-MAX($F$2:F3724))</f>
        <v/>
      </c>
      <c r="H3725" s="98"/>
      <c r="I3725" s="76" t="str">
        <f ca="1">IF(D3725="N",COUNTIF(INDIRECT(ADDRESS(MATCH(Plages!$D$19,'Planning annuel mixing coater'!$B:$B),4)):D3725,"N"),IF(D3725="N1",COUNTIF($D$9:D3725,"N1"),""))</f>
        <v/>
      </c>
      <c r="J3725" s="99" t="str">
        <f>IF(D3725="","",COUNTA(D3712:D3725)-(COUNTA(D3725:D3725)-1))</f>
        <v/>
      </c>
    </row>
    <row r="3726" spans="1:10" ht="16.5" thickTop="1" thickBot="1">
      <c r="A3726" s="117"/>
      <c r="B3726" s="78">
        <f t="shared" si="237"/>
        <v>47518</v>
      </c>
      <c r="C3726" s="81" t="str">
        <f t="shared" si="234"/>
        <v>lundi</v>
      </c>
      <c r="D3726" s="89"/>
      <c r="E3726" s="115" t="str">
        <f t="shared" si="235"/>
        <v/>
      </c>
      <c r="F3726" s="115" t="str">
        <f t="shared" si="236"/>
        <v/>
      </c>
      <c r="G3726" s="116" t="str">
        <f>IF(ISNONTEXT(D3726),"",E3726-MAX($F$2:F3725))</f>
        <v/>
      </c>
      <c r="H3726" s="100"/>
      <c r="I3726" s="79" t="str">
        <f ca="1">IF(D3726="N",COUNTIF(INDIRECT(ADDRESS(MATCH(Plages!$D$19,'Planning annuel mixing coater'!$B:$B),4)):D3726,"N"),IF(D3726="N1",COUNTIF($D$9:D3726,"N1"),""))</f>
        <v/>
      </c>
      <c r="J3726" s="101" t="str">
        <f>IF(D3726="","",COUNTA(D3726:D3726)-(COUNTA(D3726:D3726)-1))</f>
        <v/>
      </c>
    </row>
    <row r="3727" spans="1:10" thickBot="1">
      <c r="A3727" s="117"/>
      <c r="B3727" s="70">
        <f t="shared" si="237"/>
        <v>47519</v>
      </c>
      <c r="C3727" s="82" t="str">
        <f t="shared" si="234"/>
        <v>mardi</v>
      </c>
      <c r="D3727" s="87"/>
      <c r="E3727" s="115" t="str">
        <f t="shared" si="235"/>
        <v/>
      </c>
      <c r="F3727" s="115" t="str">
        <f t="shared" si="236"/>
        <v/>
      </c>
      <c r="G3727" s="116" t="str">
        <f>IF(ISNONTEXT(D3727),"",E3727-MAX($F$2:F3726))</f>
        <v/>
      </c>
      <c r="H3727" s="97"/>
      <c r="I3727" s="74" t="str">
        <f ca="1">IF(D3727="N",COUNTIF(INDIRECT(ADDRESS(MATCH(Plages!$D$19,'Planning annuel mixing coater'!$B:$B),4)):D3727,"N"),IF(D3727="N1",COUNTIF($D$9:D3727,"N1"),""))</f>
        <v/>
      </c>
      <c r="J3727" s="96" t="str">
        <f>IF(D3727="","",COUNTA(D3726:D3727)-(COUNTA(D3727:D3727)-1))</f>
        <v/>
      </c>
    </row>
    <row r="3728" spans="1:10" thickBot="1">
      <c r="A3728" s="117"/>
      <c r="B3728" s="70">
        <f t="shared" si="237"/>
        <v>47520</v>
      </c>
      <c r="C3728" s="82" t="str">
        <f t="shared" si="234"/>
        <v>mercredi</v>
      </c>
      <c r="D3728" s="87"/>
      <c r="E3728" s="115" t="str">
        <f t="shared" si="235"/>
        <v/>
      </c>
      <c r="F3728" s="115" t="str">
        <f t="shared" si="236"/>
        <v/>
      </c>
      <c r="G3728" s="116" t="str">
        <f>IF(ISNONTEXT(D3728),"",E3728-MAX($F$2:F3727))</f>
        <v/>
      </c>
      <c r="H3728" s="97"/>
      <c r="I3728" s="74" t="str">
        <f ca="1">IF(D3728="N",COUNTIF(INDIRECT(ADDRESS(MATCH(Plages!$D$19,'Planning annuel mixing coater'!$B:$B),4)):D3728,"N"),IF(D3728="N1",COUNTIF($D$9:D3728,"N1"),""))</f>
        <v/>
      </c>
      <c r="J3728" s="96" t="str">
        <f>IF(D3728="","",COUNTA(D3726:D3728)-(COUNTA(D3728:D3728)-1))</f>
        <v/>
      </c>
    </row>
    <row r="3729" spans="1:10" thickBot="1">
      <c r="A3729" s="117"/>
      <c r="B3729" s="70">
        <f t="shared" si="237"/>
        <v>47521</v>
      </c>
      <c r="C3729" s="82" t="str">
        <f t="shared" si="234"/>
        <v>jeudi</v>
      </c>
      <c r="D3729" s="87"/>
      <c r="E3729" s="115" t="str">
        <f t="shared" si="235"/>
        <v/>
      </c>
      <c r="F3729" s="115" t="str">
        <f t="shared" si="236"/>
        <v/>
      </c>
      <c r="G3729" s="116" t="str">
        <f>IF(ISNONTEXT(D3729),"",E3729-MAX($F$2:F3728))</f>
        <v/>
      </c>
      <c r="H3729" s="97"/>
      <c r="I3729" s="74" t="str">
        <f ca="1">IF(D3729="N",COUNTIF(INDIRECT(ADDRESS(MATCH(Plages!$D$19,'Planning annuel mixing coater'!$B:$B),4)):D3729,"N"),IF(D3729="N1",COUNTIF($D$9:D3729,"N1"),""))</f>
        <v/>
      </c>
      <c r="J3729" s="96" t="str">
        <f>IF(D3729="","",COUNTA(D3726:D3729)-(COUNTA(D3729:D3729)-1))</f>
        <v/>
      </c>
    </row>
    <row r="3730" spans="1:10" thickBot="1">
      <c r="A3730" s="117"/>
      <c r="B3730" s="70">
        <f t="shared" si="237"/>
        <v>47522</v>
      </c>
      <c r="C3730" s="82" t="str">
        <f t="shared" si="234"/>
        <v>vendredi</v>
      </c>
      <c r="D3730" s="87"/>
      <c r="E3730" s="115" t="str">
        <f t="shared" si="235"/>
        <v/>
      </c>
      <c r="F3730" s="115" t="str">
        <f t="shared" si="236"/>
        <v/>
      </c>
      <c r="G3730" s="116" t="str">
        <f>IF(ISNONTEXT(D3730),"",E3730-MAX($F$2:F3729))</f>
        <v/>
      </c>
      <c r="H3730" s="97"/>
      <c r="I3730" s="74" t="str">
        <f ca="1">IF(D3730="N",COUNTIF(INDIRECT(ADDRESS(MATCH(Plages!$D$19,'Planning annuel mixing coater'!$B:$B),4)):D3730,"N"),IF(D3730="N1",COUNTIF($D$9:D3730,"N1"),""))</f>
        <v/>
      </c>
      <c r="J3730" s="96" t="str">
        <f>IF(D3730="","",COUNTA(D3726:D3730)-(COUNTA(D3730:D3730)-1))</f>
        <v/>
      </c>
    </row>
    <row r="3731" spans="1:10" thickBot="1">
      <c r="A3731" s="117"/>
      <c r="B3731" s="70">
        <f t="shared" si="237"/>
        <v>47523</v>
      </c>
      <c r="C3731" s="82" t="str">
        <f t="shared" si="234"/>
        <v>samedi</v>
      </c>
      <c r="D3731" s="87"/>
      <c r="E3731" s="115" t="str">
        <f t="shared" si="235"/>
        <v/>
      </c>
      <c r="F3731" s="115" t="str">
        <f t="shared" si="236"/>
        <v/>
      </c>
      <c r="G3731" s="116" t="str">
        <f>IF(ISNONTEXT(D3731),"",E3731-MAX($F$2:F3730))</f>
        <v/>
      </c>
      <c r="H3731" s="97"/>
      <c r="I3731" s="74" t="str">
        <f ca="1">IF(D3731="N",COUNTIF(INDIRECT(ADDRESS(MATCH(Plages!$D$19,'Planning annuel mixing coater'!$B:$B),4)):D3731,"N"),IF(D3731="N1",COUNTIF($D$9:D3731,"N1"),""))</f>
        <v/>
      </c>
      <c r="J3731" s="96" t="str">
        <f>IF(D3731="","",COUNTA(D3726:D3731)-(COUNTA(D3731:D3731)-1))</f>
        <v/>
      </c>
    </row>
    <row r="3732" spans="1:10" thickBot="1">
      <c r="A3732" s="117"/>
      <c r="B3732" s="70">
        <f t="shared" si="237"/>
        <v>47524</v>
      </c>
      <c r="C3732" s="82" t="str">
        <f t="shared" si="234"/>
        <v>dimanche</v>
      </c>
      <c r="D3732" s="87"/>
      <c r="E3732" s="115" t="str">
        <f t="shared" si="235"/>
        <v/>
      </c>
      <c r="F3732" s="115" t="str">
        <f t="shared" si="236"/>
        <v/>
      </c>
      <c r="G3732" s="116" t="str">
        <f>IF(ISNONTEXT(D3732),"",E3732-MAX($F$2:F3731))</f>
        <v/>
      </c>
      <c r="H3732" s="98"/>
      <c r="I3732" s="74" t="str">
        <f ca="1">IF(D3732="N",COUNTIF(INDIRECT(ADDRESS(MATCH(Plages!$D$19,'Planning annuel mixing coater'!$B:$B),4)):D3732,"N"),IF(D3732="N1",COUNTIF($D$9:D3732,"N1"),""))</f>
        <v/>
      </c>
      <c r="J3732" s="96" t="str">
        <f>IF(D3732="","",COUNTA(D3726:D3732)-(COUNTA(D3732:D3732)-1))</f>
        <v/>
      </c>
    </row>
    <row r="3733" spans="1:10" thickBot="1">
      <c r="A3733" s="117"/>
      <c r="B3733" s="70">
        <f t="shared" si="237"/>
        <v>47525</v>
      </c>
      <c r="C3733" s="82" t="str">
        <f t="shared" si="234"/>
        <v>lundi</v>
      </c>
      <c r="D3733" s="87"/>
      <c r="E3733" s="115" t="str">
        <f t="shared" si="235"/>
        <v/>
      </c>
      <c r="F3733" s="115" t="str">
        <f t="shared" si="236"/>
        <v/>
      </c>
      <c r="G3733" s="116" t="str">
        <f>IF(ISNONTEXT(D3733),"",E3733-MAX($F$2:F3732))</f>
        <v/>
      </c>
      <c r="H3733" s="97"/>
      <c r="I3733" s="74" t="str">
        <f ca="1">IF(D3733="N",COUNTIF(INDIRECT(ADDRESS(MATCH(Plages!$D$19,'Planning annuel mixing coater'!$B:$B),4)):D3733,"N"),IF(D3733="N1",COUNTIF($D$9:D3733,"N1"),""))</f>
        <v/>
      </c>
      <c r="J3733" s="96" t="str">
        <f>IF(D3733="","",COUNTA(D3726:D3733)-(COUNTA(D3733:D3733)-1))</f>
        <v/>
      </c>
    </row>
    <row r="3734" spans="1:10" thickBot="1">
      <c r="A3734" s="117"/>
      <c r="B3734" s="70">
        <f t="shared" si="237"/>
        <v>47526</v>
      </c>
      <c r="C3734" s="82" t="str">
        <f t="shared" si="234"/>
        <v>mardi</v>
      </c>
      <c r="D3734" s="87"/>
      <c r="E3734" s="115" t="str">
        <f t="shared" si="235"/>
        <v/>
      </c>
      <c r="F3734" s="115" t="str">
        <f t="shared" si="236"/>
        <v/>
      </c>
      <c r="G3734" s="116" t="str">
        <f>IF(ISNONTEXT(D3734),"",E3734-MAX($F$2:F3733))</f>
        <v/>
      </c>
      <c r="H3734" s="97"/>
      <c r="I3734" s="74" t="str">
        <f ca="1">IF(D3734="N",COUNTIF(INDIRECT(ADDRESS(MATCH(Plages!$D$19,'Planning annuel mixing coater'!$B:$B),4)):D3734,"N"),IF(D3734="N1",COUNTIF($D$9:D3734,"N1"),""))</f>
        <v/>
      </c>
      <c r="J3734" s="96" t="str">
        <f>IF(D3734="","",COUNTA(D3726:D3734)-(COUNTA(D3734:D3734)-1))</f>
        <v/>
      </c>
    </row>
    <row r="3735" spans="1:10" thickBot="1">
      <c r="A3735" s="117"/>
      <c r="B3735" s="70">
        <f t="shared" si="237"/>
        <v>47527</v>
      </c>
      <c r="C3735" s="82" t="str">
        <f t="shared" si="234"/>
        <v>mercredi</v>
      </c>
      <c r="D3735" s="87"/>
      <c r="E3735" s="115" t="str">
        <f t="shared" si="235"/>
        <v/>
      </c>
      <c r="F3735" s="115" t="str">
        <f t="shared" si="236"/>
        <v/>
      </c>
      <c r="G3735" s="116" t="str">
        <f>IF(ISNONTEXT(D3735),"",E3735-MAX($F$2:F3734))</f>
        <v/>
      </c>
      <c r="H3735" s="97"/>
      <c r="I3735" s="74" t="str">
        <f ca="1">IF(D3735="N",COUNTIF(INDIRECT(ADDRESS(MATCH(Plages!$D$19,'Planning annuel mixing coater'!$B:$B),4)):D3735,"N"),IF(D3735="N1",COUNTIF($D$9:D3735,"N1"),""))</f>
        <v/>
      </c>
      <c r="J3735" s="96" t="str">
        <f>IF(D3735="","",COUNTA(D3726:D3735)-(COUNTA(D3735:D3735)-1))</f>
        <v/>
      </c>
    </row>
    <row r="3736" spans="1:10" thickBot="1">
      <c r="A3736" s="117"/>
      <c r="B3736" s="70">
        <f t="shared" si="237"/>
        <v>47528</v>
      </c>
      <c r="C3736" s="82" t="str">
        <f t="shared" si="234"/>
        <v>jeudi</v>
      </c>
      <c r="D3736" s="87"/>
      <c r="E3736" s="115" t="str">
        <f t="shared" si="235"/>
        <v/>
      </c>
      <c r="F3736" s="115" t="str">
        <f t="shared" si="236"/>
        <v/>
      </c>
      <c r="G3736" s="116" t="str">
        <f>IF(ISNONTEXT(D3736),"",E3736-MAX($F$2:F3735))</f>
        <v/>
      </c>
      <c r="H3736" s="97"/>
      <c r="I3736" s="74" t="str">
        <f ca="1">IF(D3736="N",COUNTIF(INDIRECT(ADDRESS(MATCH(Plages!$D$19,'Planning annuel mixing coater'!$B:$B),4)):D3736,"N"),IF(D3736="N1",COUNTIF($D$9:D3736,"N1"),""))</f>
        <v/>
      </c>
      <c r="J3736" s="96" t="str">
        <f>IF(D3736="","",COUNTA(D3726:D3736)-(COUNTA(D3736:D3736)-1))</f>
        <v/>
      </c>
    </row>
    <row r="3737" spans="1:10" thickBot="1">
      <c r="A3737" s="117"/>
      <c r="B3737" s="70">
        <f t="shared" si="237"/>
        <v>47529</v>
      </c>
      <c r="C3737" s="82" t="str">
        <f t="shared" si="234"/>
        <v>vendredi</v>
      </c>
      <c r="D3737" s="87"/>
      <c r="E3737" s="115" t="str">
        <f t="shared" si="235"/>
        <v/>
      </c>
      <c r="F3737" s="115" t="str">
        <f t="shared" si="236"/>
        <v/>
      </c>
      <c r="G3737" s="116" t="str">
        <f>IF(ISNONTEXT(D3737),"",E3737-MAX($F$2:F3736))</f>
        <v/>
      </c>
      <c r="H3737" s="97"/>
      <c r="I3737" s="74" t="str">
        <f ca="1">IF(D3737="N",COUNTIF(INDIRECT(ADDRESS(MATCH(Plages!$D$19,'Planning annuel mixing coater'!$B:$B),4)):D3737,"N"),IF(D3737="N1",COUNTIF($D$9:D3737,"N1"),""))</f>
        <v/>
      </c>
      <c r="J3737" s="96" t="str">
        <f>IF(D3737="","",COUNTA(D3726:D3737)-(COUNTA(D3737:D3737)-1))</f>
        <v/>
      </c>
    </row>
    <row r="3738" spans="1:10" thickBot="1">
      <c r="A3738" s="117"/>
      <c r="B3738" s="70">
        <f t="shared" si="237"/>
        <v>47530</v>
      </c>
      <c r="C3738" s="82" t="str">
        <f t="shared" si="234"/>
        <v>samedi</v>
      </c>
      <c r="D3738" s="87"/>
      <c r="E3738" s="115" t="str">
        <f t="shared" si="235"/>
        <v/>
      </c>
      <c r="F3738" s="115" t="str">
        <f t="shared" si="236"/>
        <v/>
      </c>
      <c r="G3738" s="116" t="str">
        <f>IF(ISNONTEXT(D3738),"",E3738-MAX($F$2:F3737))</f>
        <v/>
      </c>
      <c r="H3738" s="97"/>
      <c r="I3738" s="74" t="str">
        <f ca="1">IF(D3738="N",COUNTIF(INDIRECT(ADDRESS(MATCH(Plages!$D$19,'Planning annuel mixing coater'!$B:$B),4)):D3738,"N"),IF(D3738="N1",COUNTIF($D$9:D3738,"N1"),""))</f>
        <v/>
      </c>
      <c r="J3738" s="96" t="str">
        <f>IF(D3738="","",COUNTA(D3726:D3738)-(COUNTA(D3738:D3738)-1))</f>
        <v/>
      </c>
    </row>
    <row r="3739" spans="1:10" s="77" customFormat="1" thickBot="1">
      <c r="A3739" s="117"/>
      <c r="B3739" s="75">
        <f t="shared" si="237"/>
        <v>47531</v>
      </c>
      <c r="C3739" s="83" t="str">
        <f t="shared" si="234"/>
        <v>dimanche</v>
      </c>
      <c r="D3739" s="88"/>
      <c r="E3739" s="115" t="str">
        <f t="shared" si="235"/>
        <v/>
      </c>
      <c r="F3739" s="115" t="str">
        <f t="shared" si="236"/>
        <v/>
      </c>
      <c r="G3739" s="116" t="str">
        <f>IF(ISNONTEXT(D3739),"",E3739-MAX($F$2:F3738))</f>
        <v/>
      </c>
      <c r="H3739" s="98"/>
      <c r="I3739" s="76" t="str">
        <f ca="1">IF(D3739="N",COUNTIF(INDIRECT(ADDRESS(MATCH(Plages!$D$19,'Planning annuel mixing coater'!$B:$B),4)):D3739,"N"),IF(D3739="N1",COUNTIF($D$9:D3739,"N1"),""))</f>
        <v/>
      </c>
      <c r="J3739" s="99" t="str">
        <f>IF(D3739="","",COUNTA(D3726:D3739)-(COUNTA(D3739:D3739)-1))</f>
        <v/>
      </c>
    </row>
    <row r="3740" spans="1:10" ht="16.5" thickTop="1" thickBot="1">
      <c r="A3740" s="117"/>
      <c r="B3740" s="78">
        <f t="shared" si="237"/>
        <v>47532</v>
      </c>
      <c r="C3740" s="81" t="str">
        <f t="shared" si="234"/>
        <v>lundi</v>
      </c>
      <c r="D3740" s="89"/>
      <c r="E3740" s="115" t="str">
        <f t="shared" si="235"/>
        <v/>
      </c>
      <c r="F3740" s="115" t="str">
        <f t="shared" si="236"/>
        <v/>
      </c>
      <c r="G3740" s="116" t="str">
        <f>IF(ISNONTEXT(D3740),"",E3740-MAX($F$2:F3739))</f>
        <v/>
      </c>
      <c r="H3740" s="100"/>
      <c r="I3740" s="79" t="str">
        <f ca="1">IF(D3740="N",COUNTIF(INDIRECT(ADDRESS(MATCH(Plages!$D$19,'Planning annuel mixing coater'!$B:$B),4)):D3740,"N"),IF(D3740="N1",COUNTIF($D$9:D3740,"N1"),""))</f>
        <v/>
      </c>
      <c r="J3740" s="101" t="str">
        <f>IF(D3740="","",COUNTA(D3740:D3740)-(COUNTA(D3740:D3740)-1))</f>
        <v/>
      </c>
    </row>
    <row r="3741" spans="1:10" thickBot="1">
      <c r="A3741" s="117"/>
      <c r="B3741" s="70">
        <f t="shared" si="237"/>
        <v>47533</v>
      </c>
      <c r="C3741" s="82" t="str">
        <f t="shared" si="234"/>
        <v>mardi</v>
      </c>
      <c r="D3741" s="87"/>
      <c r="E3741" s="115" t="str">
        <f t="shared" si="235"/>
        <v/>
      </c>
      <c r="F3741" s="115" t="str">
        <f t="shared" si="236"/>
        <v/>
      </c>
      <c r="G3741" s="116" t="str">
        <f>IF(ISNONTEXT(D3741),"",E3741-MAX($F$2:F3740))</f>
        <v/>
      </c>
      <c r="H3741" s="97"/>
      <c r="I3741" s="74" t="str">
        <f ca="1">IF(D3741="N",COUNTIF(INDIRECT(ADDRESS(MATCH(Plages!$D$19,'Planning annuel mixing coater'!$B:$B),4)):D3741,"N"),IF(D3741="N1",COUNTIF($D$9:D3741,"N1"),""))</f>
        <v/>
      </c>
      <c r="J3741" s="96" t="str">
        <f>IF(D3741="","",COUNTA(D3740:D3741)-(COUNTA(D3741:D3741)-1))</f>
        <v/>
      </c>
    </row>
    <row r="3742" spans="1:10" thickBot="1">
      <c r="A3742" s="117"/>
      <c r="B3742" s="70">
        <f t="shared" si="237"/>
        <v>47534</v>
      </c>
      <c r="C3742" s="82" t="str">
        <f t="shared" ref="C3742:C3805" si="238">IF(B3742="","",TEXT(B3742,"jjjj"))</f>
        <v>mercredi</v>
      </c>
      <c r="D3742" s="87"/>
      <c r="E3742" s="115" t="str">
        <f t="shared" ref="E3742:E3805" si="239">IF(D3742="","",B3742+VLOOKUP(D3742,Plageh,2,0))</f>
        <v/>
      </c>
      <c r="F3742" s="115" t="str">
        <f t="shared" ref="F3742:F3805" si="240">IF(D3742="","",B3742+VLOOKUP(D3742,Plageh,3,0))</f>
        <v/>
      </c>
      <c r="G3742" s="116" t="str">
        <f>IF(ISNONTEXT(D3742),"",E3742-MAX($F$2:F3741))</f>
        <v/>
      </c>
      <c r="H3742" s="97"/>
      <c r="I3742" s="74" t="str">
        <f ca="1">IF(D3742="N",COUNTIF(INDIRECT(ADDRESS(MATCH(Plages!$D$19,'Planning annuel mixing coater'!$B:$B),4)):D3742,"N"),IF(D3742="N1",COUNTIF($D$9:D3742,"N1"),""))</f>
        <v/>
      </c>
      <c r="J3742" s="96" t="str">
        <f>IF(D3742="","",COUNTA(D3740:D3742)-(COUNTA(D3742:D3742)-1))</f>
        <v/>
      </c>
    </row>
    <row r="3743" spans="1:10" thickBot="1">
      <c r="A3743" s="117"/>
      <c r="B3743" s="70">
        <f t="shared" si="237"/>
        <v>47535</v>
      </c>
      <c r="C3743" s="82" t="str">
        <f t="shared" si="238"/>
        <v>jeudi</v>
      </c>
      <c r="D3743" s="87"/>
      <c r="E3743" s="115" t="str">
        <f t="shared" si="239"/>
        <v/>
      </c>
      <c r="F3743" s="115" t="str">
        <f t="shared" si="240"/>
        <v/>
      </c>
      <c r="G3743" s="116" t="str">
        <f>IF(ISNONTEXT(D3743),"",E3743-MAX($F$2:F3742))</f>
        <v/>
      </c>
      <c r="H3743" s="97"/>
      <c r="I3743" s="74" t="str">
        <f ca="1">IF(D3743="N",COUNTIF(INDIRECT(ADDRESS(MATCH(Plages!$D$19,'Planning annuel mixing coater'!$B:$B),4)):D3743,"N"),IF(D3743="N1",COUNTIF($D$9:D3743,"N1"),""))</f>
        <v/>
      </c>
      <c r="J3743" s="96" t="str">
        <f>IF(D3743="","",COUNTA(D3740:D3743)-(COUNTA(D3743:D3743)-1))</f>
        <v/>
      </c>
    </row>
    <row r="3744" spans="1:10" thickBot="1">
      <c r="A3744" s="117"/>
      <c r="B3744" s="70">
        <f t="shared" si="237"/>
        <v>47536</v>
      </c>
      <c r="C3744" s="82" t="str">
        <f t="shared" si="238"/>
        <v>vendredi</v>
      </c>
      <c r="D3744" s="87"/>
      <c r="E3744" s="115" t="str">
        <f t="shared" si="239"/>
        <v/>
      </c>
      <c r="F3744" s="115" t="str">
        <f t="shared" si="240"/>
        <v/>
      </c>
      <c r="G3744" s="116" t="str">
        <f>IF(ISNONTEXT(D3744),"",E3744-MAX($F$2:F3743))</f>
        <v/>
      </c>
      <c r="H3744" s="97"/>
      <c r="I3744" s="74" t="str">
        <f ca="1">IF(D3744="N",COUNTIF(INDIRECT(ADDRESS(MATCH(Plages!$D$19,'Planning annuel mixing coater'!$B:$B),4)):D3744,"N"),IF(D3744="N1",COUNTIF($D$9:D3744,"N1"),""))</f>
        <v/>
      </c>
      <c r="J3744" s="96" t="str">
        <f>IF(D3744="","",COUNTA(D3740:D3744)-(COUNTA(D3744:D3744)-1))</f>
        <v/>
      </c>
    </row>
    <row r="3745" spans="1:10" thickBot="1">
      <c r="A3745" s="117"/>
      <c r="B3745" s="70">
        <f t="shared" si="237"/>
        <v>47537</v>
      </c>
      <c r="C3745" s="82" t="str">
        <f t="shared" si="238"/>
        <v>samedi</v>
      </c>
      <c r="D3745" s="87"/>
      <c r="E3745" s="115" t="str">
        <f t="shared" si="239"/>
        <v/>
      </c>
      <c r="F3745" s="115" t="str">
        <f t="shared" si="240"/>
        <v/>
      </c>
      <c r="G3745" s="116" t="str">
        <f>IF(ISNONTEXT(D3745),"",E3745-MAX($F$2:F3744))</f>
        <v/>
      </c>
      <c r="H3745" s="97"/>
      <c r="I3745" s="74" t="str">
        <f ca="1">IF(D3745="N",COUNTIF(INDIRECT(ADDRESS(MATCH(Plages!$D$19,'Planning annuel mixing coater'!$B:$B),4)):D3745,"N"),IF(D3745="N1",COUNTIF($D$9:D3745,"N1"),""))</f>
        <v/>
      </c>
      <c r="J3745" s="96" t="str">
        <f>IF(D3745="","",COUNTA(D3740:D3745)-(COUNTA(D3745:D3745)-1))</f>
        <v/>
      </c>
    </row>
    <row r="3746" spans="1:10" thickBot="1">
      <c r="A3746" s="117"/>
      <c r="B3746" s="70">
        <f t="shared" si="237"/>
        <v>47538</v>
      </c>
      <c r="C3746" s="82" t="str">
        <f t="shared" si="238"/>
        <v>dimanche</v>
      </c>
      <c r="D3746" s="87"/>
      <c r="E3746" s="115" t="str">
        <f t="shared" si="239"/>
        <v/>
      </c>
      <c r="F3746" s="115" t="str">
        <f t="shared" si="240"/>
        <v/>
      </c>
      <c r="G3746" s="116" t="str">
        <f>IF(ISNONTEXT(D3746),"",E3746-MAX($F$2:F3745))</f>
        <v/>
      </c>
      <c r="H3746" s="98"/>
      <c r="I3746" s="74" t="str">
        <f ca="1">IF(D3746="N",COUNTIF(INDIRECT(ADDRESS(MATCH(Plages!$D$19,'Planning annuel mixing coater'!$B:$B),4)):D3746,"N"),IF(D3746="N1",COUNTIF($D$9:D3746,"N1"),""))</f>
        <v/>
      </c>
      <c r="J3746" s="96" t="str">
        <f>IF(D3746="","",COUNTA(D3740:D3746)-(COUNTA(D3746:D3746)-1))</f>
        <v/>
      </c>
    </row>
    <row r="3747" spans="1:10" thickBot="1">
      <c r="A3747" s="117"/>
      <c r="B3747" s="70">
        <f t="shared" si="237"/>
        <v>47539</v>
      </c>
      <c r="C3747" s="82" t="str">
        <f t="shared" si="238"/>
        <v>lundi</v>
      </c>
      <c r="D3747" s="87"/>
      <c r="E3747" s="115" t="str">
        <f t="shared" si="239"/>
        <v/>
      </c>
      <c r="F3747" s="115" t="str">
        <f t="shared" si="240"/>
        <v/>
      </c>
      <c r="G3747" s="116" t="str">
        <f>IF(ISNONTEXT(D3747),"",E3747-MAX($F$2:F3746))</f>
        <v/>
      </c>
      <c r="H3747" s="97"/>
      <c r="I3747" s="74" t="str">
        <f ca="1">IF(D3747="N",COUNTIF(INDIRECT(ADDRESS(MATCH(Plages!$D$19,'Planning annuel mixing coater'!$B:$B),4)):D3747,"N"),IF(D3747="N1",COUNTIF($D$9:D3747,"N1"),""))</f>
        <v/>
      </c>
      <c r="J3747" s="96" t="str">
        <f>IF(D3747="","",COUNTA(D3740:D3747)-(COUNTA(D3747:D3747)-1))</f>
        <v/>
      </c>
    </row>
    <row r="3748" spans="1:10" thickBot="1">
      <c r="A3748" s="117"/>
      <c r="B3748" s="70">
        <f t="shared" si="237"/>
        <v>47540</v>
      </c>
      <c r="C3748" s="82" t="str">
        <f t="shared" si="238"/>
        <v>mardi</v>
      </c>
      <c r="D3748" s="87"/>
      <c r="E3748" s="115" t="str">
        <f t="shared" si="239"/>
        <v/>
      </c>
      <c r="F3748" s="115" t="str">
        <f t="shared" si="240"/>
        <v/>
      </c>
      <c r="G3748" s="116" t="str">
        <f>IF(ISNONTEXT(D3748),"",E3748-MAX($F$2:F3747))</f>
        <v/>
      </c>
      <c r="H3748" s="97"/>
      <c r="I3748" s="74" t="str">
        <f ca="1">IF(D3748="N",COUNTIF(INDIRECT(ADDRESS(MATCH(Plages!$D$19,'Planning annuel mixing coater'!$B:$B),4)):D3748,"N"),IF(D3748="N1",COUNTIF($D$9:D3748,"N1"),""))</f>
        <v/>
      </c>
      <c r="J3748" s="96" t="str">
        <f>IF(D3748="","",COUNTA(D3740:D3748)-(COUNTA(D3748:D3748)-1))</f>
        <v/>
      </c>
    </row>
    <row r="3749" spans="1:10" thickBot="1">
      <c r="A3749" s="117"/>
      <c r="B3749" s="70">
        <f t="shared" si="237"/>
        <v>47541</v>
      </c>
      <c r="C3749" s="82" t="str">
        <f t="shared" si="238"/>
        <v>mercredi</v>
      </c>
      <c r="D3749" s="87"/>
      <c r="E3749" s="115" t="str">
        <f t="shared" si="239"/>
        <v/>
      </c>
      <c r="F3749" s="115" t="str">
        <f t="shared" si="240"/>
        <v/>
      </c>
      <c r="G3749" s="116" t="str">
        <f>IF(ISNONTEXT(D3749),"",E3749-MAX($F$2:F3748))</f>
        <v/>
      </c>
      <c r="H3749" s="97"/>
      <c r="I3749" s="74" t="str">
        <f ca="1">IF(D3749="N",COUNTIF(INDIRECT(ADDRESS(MATCH(Plages!$D$19,'Planning annuel mixing coater'!$B:$B),4)):D3749,"N"),IF(D3749="N1",COUNTIF($D$9:D3749,"N1"),""))</f>
        <v/>
      </c>
      <c r="J3749" s="96" t="str">
        <f>IF(D3749="","",COUNTA(D3740:D3749)-(COUNTA(D3749:D3749)-1))</f>
        <v/>
      </c>
    </row>
    <row r="3750" spans="1:10" thickBot="1">
      <c r="A3750" s="117"/>
      <c r="B3750" s="70">
        <f t="shared" si="237"/>
        <v>47542</v>
      </c>
      <c r="C3750" s="82" t="str">
        <f t="shared" si="238"/>
        <v>jeudi</v>
      </c>
      <c r="D3750" s="87"/>
      <c r="E3750" s="115" t="str">
        <f t="shared" si="239"/>
        <v/>
      </c>
      <c r="F3750" s="115" t="str">
        <f t="shared" si="240"/>
        <v/>
      </c>
      <c r="G3750" s="116" t="str">
        <f>IF(ISNONTEXT(D3750),"",E3750-MAX($F$2:F3749))</f>
        <v/>
      </c>
      <c r="H3750" s="97"/>
      <c r="I3750" s="74" t="str">
        <f ca="1">IF(D3750="N",COUNTIF(INDIRECT(ADDRESS(MATCH(Plages!$D$19,'Planning annuel mixing coater'!$B:$B),4)):D3750,"N"),IF(D3750="N1",COUNTIF($D$9:D3750,"N1"),""))</f>
        <v/>
      </c>
      <c r="J3750" s="96" t="str">
        <f>IF(D3750="","",COUNTA(D3740:D3750)-(COUNTA(D3750:D3750)-1))</f>
        <v/>
      </c>
    </row>
    <row r="3751" spans="1:10" thickBot="1">
      <c r="A3751" s="117"/>
      <c r="B3751" s="70">
        <f t="shared" si="237"/>
        <v>47543</v>
      </c>
      <c r="C3751" s="82" t="str">
        <f t="shared" si="238"/>
        <v>vendredi</v>
      </c>
      <c r="D3751" s="87"/>
      <c r="E3751" s="115" t="str">
        <f t="shared" si="239"/>
        <v/>
      </c>
      <c r="F3751" s="115" t="str">
        <f t="shared" si="240"/>
        <v/>
      </c>
      <c r="G3751" s="116" t="str">
        <f>IF(ISNONTEXT(D3751),"",E3751-MAX($F$2:F3750))</f>
        <v/>
      </c>
      <c r="H3751" s="97"/>
      <c r="I3751" s="74" t="str">
        <f ca="1">IF(D3751="N",COUNTIF(INDIRECT(ADDRESS(MATCH(Plages!$D$19,'Planning annuel mixing coater'!$B:$B),4)):D3751,"N"),IF(D3751="N1",COUNTIF($D$9:D3751,"N1"),""))</f>
        <v/>
      </c>
      <c r="J3751" s="96" t="str">
        <f>IF(D3751="","",COUNTA(D3740:D3751)-(COUNTA(D3751:D3751)-1))</f>
        <v/>
      </c>
    </row>
    <row r="3752" spans="1:10" thickBot="1">
      <c r="A3752" s="117"/>
      <c r="B3752" s="70">
        <f t="shared" si="237"/>
        <v>47544</v>
      </c>
      <c r="C3752" s="82" t="str">
        <f t="shared" si="238"/>
        <v>samedi</v>
      </c>
      <c r="D3752" s="87"/>
      <c r="E3752" s="115" t="str">
        <f t="shared" si="239"/>
        <v/>
      </c>
      <c r="F3752" s="115" t="str">
        <f t="shared" si="240"/>
        <v/>
      </c>
      <c r="G3752" s="116" t="str">
        <f>IF(ISNONTEXT(D3752),"",E3752-MAX($F$2:F3751))</f>
        <v/>
      </c>
      <c r="H3752" s="97"/>
      <c r="I3752" s="74" t="str">
        <f ca="1">IF(D3752="N",COUNTIF(INDIRECT(ADDRESS(MATCH(Plages!$D$19,'Planning annuel mixing coater'!$B:$B),4)):D3752,"N"),IF(D3752="N1",COUNTIF($D$9:D3752,"N1"),""))</f>
        <v/>
      </c>
      <c r="J3752" s="96" t="str">
        <f>IF(D3752="","",COUNTA(D3740:D3752)-(COUNTA(D3752:D3752)-1))</f>
        <v/>
      </c>
    </row>
    <row r="3753" spans="1:10" s="77" customFormat="1" thickBot="1">
      <c r="A3753" s="117"/>
      <c r="B3753" s="75">
        <f t="shared" si="237"/>
        <v>47545</v>
      </c>
      <c r="C3753" s="83" t="str">
        <f t="shared" si="238"/>
        <v>dimanche</v>
      </c>
      <c r="D3753" s="88"/>
      <c r="E3753" s="115" t="str">
        <f t="shared" si="239"/>
        <v/>
      </c>
      <c r="F3753" s="115" t="str">
        <f t="shared" si="240"/>
        <v/>
      </c>
      <c r="G3753" s="116" t="str">
        <f>IF(ISNONTEXT(D3753),"",E3753-MAX($F$2:F3752))</f>
        <v/>
      </c>
      <c r="H3753" s="98"/>
      <c r="I3753" s="76" t="str">
        <f ca="1">IF(D3753="N",COUNTIF(INDIRECT(ADDRESS(MATCH(Plages!$D$19,'Planning annuel mixing coater'!$B:$B),4)):D3753,"N"),IF(D3753="N1",COUNTIF($D$9:D3753,"N1"),""))</f>
        <v/>
      </c>
      <c r="J3753" s="99" t="str">
        <f>IF(D3753="","",COUNTA(D3740:D3753)-(COUNTA(D3753:D3753)-1))</f>
        <v/>
      </c>
    </row>
    <row r="3754" spans="1:10" ht="16.5" thickTop="1" thickBot="1">
      <c r="A3754" s="117"/>
      <c r="B3754" s="78">
        <f t="shared" si="237"/>
        <v>47546</v>
      </c>
      <c r="C3754" s="81" t="str">
        <f t="shared" si="238"/>
        <v>lundi</v>
      </c>
      <c r="D3754" s="89"/>
      <c r="E3754" s="115" t="str">
        <f t="shared" si="239"/>
        <v/>
      </c>
      <c r="F3754" s="115" t="str">
        <f t="shared" si="240"/>
        <v/>
      </c>
      <c r="G3754" s="116" t="str">
        <f>IF(ISNONTEXT(D3754),"",E3754-MAX($F$2:F3753))</f>
        <v/>
      </c>
      <c r="H3754" s="100"/>
      <c r="I3754" s="79" t="str">
        <f ca="1">IF(D3754="N",COUNTIF(INDIRECT(ADDRESS(MATCH(Plages!$D$19,'Planning annuel mixing coater'!$B:$B),4)):D3754,"N"),IF(D3754="N1",COUNTIF($D$9:D3754,"N1"),""))</f>
        <v/>
      </c>
      <c r="J3754" s="101" t="str">
        <f>IF(D3754="","",COUNTA(D3754:D3754)-(COUNTA(D3754:D3754)-1))</f>
        <v/>
      </c>
    </row>
    <row r="3755" spans="1:10" thickBot="1">
      <c r="A3755" s="117"/>
      <c r="B3755" s="70">
        <f t="shared" si="237"/>
        <v>47547</v>
      </c>
      <c r="C3755" s="82" t="str">
        <f t="shared" si="238"/>
        <v>mardi</v>
      </c>
      <c r="D3755" s="87"/>
      <c r="E3755" s="115" t="str">
        <f t="shared" si="239"/>
        <v/>
      </c>
      <c r="F3755" s="115" t="str">
        <f t="shared" si="240"/>
        <v/>
      </c>
      <c r="G3755" s="116" t="str">
        <f>IF(ISNONTEXT(D3755),"",E3755-MAX($F$2:F3754))</f>
        <v/>
      </c>
      <c r="H3755" s="97"/>
      <c r="I3755" s="74" t="str">
        <f ca="1">IF(D3755="N",COUNTIF(INDIRECT(ADDRESS(MATCH(Plages!$D$19,'Planning annuel mixing coater'!$B:$B),4)):D3755,"N"),IF(D3755="N1",COUNTIF($D$9:D3755,"N1"),""))</f>
        <v/>
      </c>
      <c r="J3755" s="96" t="str">
        <f>IF(D3755="","",COUNTA(D3754:D3755)-(COUNTA(D3755:D3755)-1))</f>
        <v/>
      </c>
    </row>
    <row r="3756" spans="1:10" thickBot="1">
      <c r="A3756" s="117"/>
      <c r="B3756" s="70">
        <f t="shared" si="237"/>
        <v>47548</v>
      </c>
      <c r="C3756" s="82" t="str">
        <f t="shared" si="238"/>
        <v>mercredi</v>
      </c>
      <c r="D3756" s="87"/>
      <c r="E3756" s="115" t="str">
        <f t="shared" si="239"/>
        <v/>
      </c>
      <c r="F3756" s="115" t="str">
        <f t="shared" si="240"/>
        <v/>
      </c>
      <c r="G3756" s="116" t="str">
        <f>IF(ISNONTEXT(D3756),"",E3756-MAX($F$2:F3755))</f>
        <v/>
      </c>
      <c r="H3756" s="97"/>
      <c r="I3756" s="74" t="str">
        <f ca="1">IF(D3756="N",COUNTIF(INDIRECT(ADDRESS(MATCH(Plages!$D$19,'Planning annuel mixing coater'!$B:$B),4)):D3756,"N"),IF(D3756="N1",COUNTIF($D$9:D3756,"N1"),""))</f>
        <v/>
      </c>
      <c r="J3756" s="96" t="str">
        <f>IF(D3756="","",COUNTA(D3754:D3756)-(COUNTA(D3756:D3756)-1))</f>
        <v/>
      </c>
    </row>
    <row r="3757" spans="1:10" thickBot="1">
      <c r="A3757" s="117"/>
      <c r="B3757" s="70">
        <f t="shared" si="237"/>
        <v>47549</v>
      </c>
      <c r="C3757" s="82" t="str">
        <f t="shared" si="238"/>
        <v>jeudi</v>
      </c>
      <c r="D3757" s="87"/>
      <c r="E3757" s="115" t="str">
        <f t="shared" si="239"/>
        <v/>
      </c>
      <c r="F3757" s="115" t="str">
        <f t="shared" si="240"/>
        <v/>
      </c>
      <c r="G3757" s="116" t="str">
        <f>IF(ISNONTEXT(D3757),"",E3757-MAX($F$2:F3756))</f>
        <v/>
      </c>
      <c r="H3757" s="97"/>
      <c r="I3757" s="74" t="str">
        <f ca="1">IF(D3757="N",COUNTIF(INDIRECT(ADDRESS(MATCH(Plages!$D$19,'Planning annuel mixing coater'!$B:$B),4)):D3757,"N"),IF(D3757="N1",COUNTIF($D$9:D3757,"N1"),""))</f>
        <v/>
      </c>
      <c r="J3757" s="96" t="str">
        <f>IF(D3757="","",COUNTA(D3754:D3757)-(COUNTA(D3757:D3757)-1))</f>
        <v/>
      </c>
    </row>
    <row r="3758" spans="1:10" thickBot="1">
      <c r="A3758" s="117"/>
      <c r="B3758" s="70">
        <f t="shared" si="237"/>
        <v>47550</v>
      </c>
      <c r="C3758" s="82" t="str">
        <f t="shared" si="238"/>
        <v>vendredi</v>
      </c>
      <c r="D3758" s="87"/>
      <c r="E3758" s="115" t="str">
        <f t="shared" si="239"/>
        <v/>
      </c>
      <c r="F3758" s="115" t="str">
        <f t="shared" si="240"/>
        <v/>
      </c>
      <c r="G3758" s="116" t="str">
        <f>IF(ISNONTEXT(D3758),"",E3758-MAX($F$2:F3757))</f>
        <v/>
      </c>
      <c r="H3758" s="97"/>
      <c r="I3758" s="74" t="str">
        <f ca="1">IF(D3758="N",COUNTIF(INDIRECT(ADDRESS(MATCH(Plages!$D$19,'Planning annuel mixing coater'!$B:$B),4)):D3758,"N"),IF(D3758="N1",COUNTIF($D$9:D3758,"N1"),""))</f>
        <v/>
      </c>
      <c r="J3758" s="96" t="str">
        <f>IF(D3758="","",COUNTA(D3754:D3758)-(COUNTA(D3758:D3758)-1))</f>
        <v/>
      </c>
    </row>
    <row r="3759" spans="1:10" thickBot="1">
      <c r="A3759" s="117"/>
      <c r="B3759" s="70">
        <f t="shared" si="237"/>
        <v>47551</v>
      </c>
      <c r="C3759" s="82" t="str">
        <f t="shared" si="238"/>
        <v>samedi</v>
      </c>
      <c r="D3759" s="87"/>
      <c r="E3759" s="115" t="str">
        <f t="shared" si="239"/>
        <v/>
      </c>
      <c r="F3759" s="115" t="str">
        <f t="shared" si="240"/>
        <v/>
      </c>
      <c r="G3759" s="116" t="str">
        <f>IF(ISNONTEXT(D3759),"",E3759-MAX($F$2:F3758))</f>
        <v/>
      </c>
      <c r="H3759" s="97"/>
      <c r="I3759" s="74" t="str">
        <f ca="1">IF(D3759="N",COUNTIF(INDIRECT(ADDRESS(MATCH(Plages!$D$19,'Planning annuel mixing coater'!$B:$B),4)):D3759,"N"),IF(D3759="N1",COUNTIF($D$9:D3759,"N1"),""))</f>
        <v/>
      </c>
      <c r="J3759" s="96" t="str">
        <f>IF(D3759="","",COUNTA(D3754:D3759)-(COUNTA(D3759:D3759)-1))</f>
        <v/>
      </c>
    </row>
    <row r="3760" spans="1:10" thickBot="1">
      <c r="A3760" s="117"/>
      <c r="B3760" s="70">
        <f t="shared" si="237"/>
        <v>47552</v>
      </c>
      <c r="C3760" s="82" t="str">
        <f t="shared" si="238"/>
        <v>dimanche</v>
      </c>
      <c r="D3760" s="87"/>
      <c r="E3760" s="115" t="str">
        <f t="shared" si="239"/>
        <v/>
      </c>
      <c r="F3760" s="115" t="str">
        <f t="shared" si="240"/>
        <v/>
      </c>
      <c r="G3760" s="116" t="str">
        <f>IF(ISNONTEXT(D3760),"",E3760-MAX($F$2:F3759))</f>
        <v/>
      </c>
      <c r="H3760" s="98"/>
      <c r="I3760" s="74" t="str">
        <f ca="1">IF(D3760="N",COUNTIF(INDIRECT(ADDRESS(MATCH(Plages!$D$19,'Planning annuel mixing coater'!$B:$B),4)):D3760,"N"),IF(D3760="N1",COUNTIF($D$9:D3760,"N1"),""))</f>
        <v/>
      </c>
      <c r="J3760" s="96" t="str">
        <f>IF(D3760="","",COUNTA(D3754:D3760)-(COUNTA(D3760:D3760)-1))</f>
        <v/>
      </c>
    </row>
    <row r="3761" spans="1:10" thickBot="1">
      <c r="A3761" s="117"/>
      <c r="B3761" s="70">
        <f t="shared" si="237"/>
        <v>47553</v>
      </c>
      <c r="C3761" s="82" t="str">
        <f t="shared" si="238"/>
        <v>lundi</v>
      </c>
      <c r="D3761" s="87"/>
      <c r="E3761" s="115" t="str">
        <f t="shared" si="239"/>
        <v/>
      </c>
      <c r="F3761" s="115" t="str">
        <f t="shared" si="240"/>
        <v/>
      </c>
      <c r="G3761" s="116" t="str">
        <f>IF(ISNONTEXT(D3761),"",E3761-MAX($F$2:F3760))</f>
        <v/>
      </c>
      <c r="H3761" s="97"/>
      <c r="I3761" s="74" t="str">
        <f ca="1">IF(D3761="N",COUNTIF(INDIRECT(ADDRESS(MATCH(Plages!$D$19,'Planning annuel mixing coater'!$B:$B),4)):D3761,"N"),IF(D3761="N1",COUNTIF($D$9:D3761,"N1"),""))</f>
        <v/>
      </c>
      <c r="J3761" s="96" t="str">
        <f>IF(D3761="","",COUNTA(D3754:D3761)-(COUNTA(D3761:D3761)-1))</f>
        <v/>
      </c>
    </row>
    <row r="3762" spans="1:10" thickBot="1">
      <c r="A3762" s="117"/>
      <c r="B3762" s="70">
        <f t="shared" si="237"/>
        <v>47554</v>
      </c>
      <c r="C3762" s="82" t="str">
        <f t="shared" si="238"/>
        <v>mardi</v>
      </c>
      <c r="D3762" s="87"/>
      <c r="E3762" s="115" t="str">
        <f t="shared" si="239"/>
        <v/>
      </c>
      <c r="F3762" s="115" t="str">
        <f t="shared" si="240"/>
        <v/>
      </c>
      <c r="G3762" s="116" t="str">
        <f>IF(ISNONTEXT(D3762),"",E3762-MAX($F$2:F3761))</f>
        <v/>
      </c>
      <c r="H3762" s="97"/>
      <c r="I3762" s="74" t="str">
        <f ca="1">IF(D3762="N",COUNTIF(INDIRECT(ADDRESS(MATCH(Plages!$D$19,'Planning annuel mixing coater'!$B:$B),4)):D3762,"N"),IF(D3762="N1",COUNTIF($D$9:D3762,"N1"),""))</f>
        <v/>
      </c>
      <c r="J3762" s="96" t="str">
        <f>IF(D3762="","",COUNTA(D3754:D3762)-(COUNTA(D3762:D3762)-1))</f>
        <v/>
      </c>
    </row>
    <row r="3763" spans="1:10" thickBot="1">
      <c r="A3763" s="117"/>
      <c r="B3763" s="70">
        <f t="shared" si="237"/>
        <v>47555</v>
      </c>
      <c r="C3763" s="82" t="str">
        <f t="shared" si="238"/>
        <v>mercredi</v>
      </c>
      <c r="D3763" s="87"/>
      <c r="E3763" s="115" t="str">
        <f t="shared" si="239"/>
        <v/>
      </c>
      <c r="F3763" s="115" t="str">
        <f t="shared" si="240"/>
        <v/>
      </c>
      <c r="G3763" s="116" t="str">
        <f>IF(ISNONTEXT(D3763),"",E3763-MAX($F$2:F3762))</f>
        <v/>
      </c>
      <c r="H3763" s="97"/>
      <c r="I3763" s="74" t="str">
        <f ca="1">IF(D3763="N",COUNTIF(INDIRECT(ADDRESS(MATCH(Plages!$D$19,'Planning annuel mixing coater'!$B:$B),4)):D3763,"N"),IF(D3763="N1",COUNTIF($D$9:D3763,"N1"),""))</f>
        <v/>
      </c>
      <c r="J3763" s="96" t="str">
        <f>IF(D3763="","",COUNTA(D3754:D3763)-(COUNTA(D3763:D3763)-1))</f>
        <v/>
      </c>
    </row>
    <row r="3764" spans="1:10" thickBot="1">
      <c r="A3764" s="117"/>
      <c r="B3764" s="70">
        <f t="shared" si="237"/>
        <v>47556</v>
      </c>
      <c r="C3764" s="82" t="str">
        <f t="shared" si="238"/>
        <v>jeudi</v>
      </c>
      <c r="D3764" s="87"/>
      <c r="E3764" s="115" t="str">
        <f t="shared" si="239"/>
        <v/>
      </c>
      <c r="F3764" s="115" t="str">
        <f t="shared" si="240"/>
        <v/>
      </c>
      <c r="G3764" s="116" t="str">
        <f>IF(ISNONTEXT(D3764),"",E3764-MAX($F$2:F3763))</f>
        <v/>
      </c>
      <c r="H3764" s="97"/>
      <c r="I3764" s="74" t="str">
        <f ca="1">IF(D3764="N",COUNTIF(INDIRECT(ADDRESS(MATCH(Plages!$D$19,'Planning annuel mixing coater'!$B:$B),4)):D3764,"N"),IF(D3764="N1",COUNTIF($D$9:D3764,"N1"),""))</f>
        <v/>
      </c>
      <c r="J3764" s="96" t="str">
        <f>IF(D3764="","",COUNTA(D3754:D3764)-(COUNTA(D3764:D3764)-1))</f>
        <v/>
      </c>
    </row>
    <row r="3765" spans="1:10" thickBot="1">
      <c r="A3765" s="117"/>
      <c r="B3765" s="70">
        <f t="shared" si="237"/>
        <v>47557</v>
      </c>
      <c r="C3765" s="82" t="str">
        <f t="shared" si="238"/>
        <v>vendredi</v>
      </c>
      <c r="D3765" s="87"/>
      <c r="E3765" s="115" t="str">
        <f t="shared" si="239"/>
        <v/>
      </c>
      <c r="F3765" s="115" t="str">
        <f t="shared" si="240"/>
        <v/>
      </c>
      <c r="G3765" s="116" t="str">
        <f>IF(ISNONTEXT(D3765),"",E3765-MAX($F$2:F3764))</f>
        <v/>
      </c>
      <c r="H3765" s="97"/>
      <c r="I3765" s="74" t="str">
        <f ca="1">IF(D3765="N",COUNTIF(INDIRECT(ADDRESS(MATCH(Plages!$D$19,'Planning annuel mixing coater'!$B:$B),4)):D3765,"N"),IF(D3765="N1",COUNTIF($D$9:D3765,"N1"),""))</f>
        <v/>
      </c>
      <c r="J3765" s="96" t="str">
        <f>IF(D3765="","",COUNTA(D3754:D3765)-(COUNTA(D3765:D3765)-1))</f>
        <v/>
      </c>
    </row>
    <row r="3766" spans="1:10" thickBot="1">
      <c r="A3766" s="117"/>
      <c r="B3766" s="70">
        <f t="shared" si="237"/>
        <v>47558</v>
      </c>
      <c r="C3766" s="82" t="str">
        <f t="shared" si="238"/>
        <v>samedi</v>
      </c>
      <c r="D3766" s="87"/>
      <c r="E3766" s="115" t="str">
        <f t="shared" si="239"/>
        <v/>
      </c>
      <c r="F3766" s="115" t="str">
        <f t="shared" si="240"/>
        <v/>
      </c>
      <c r="G3766" s="116" t="str">
        <f>IF(ISNONTEXT(D3766),"",E3766-MAX($F$2:F3765))</f>
        <v/>
      </c>
      <c r="H3766" s="97"/>
      <c r="I3766" s="74" t="str">
        <f ca="1">IF(D3766="N",COUNTIF(INDIRECT(ADDRESS(MATCH(Plages!$D$19,'Planning annuel mixing coater'!$B:$B),4)):D3766,"N"),IF(D3766="N1",COUNTIF($D$9:D3766,"N1"),""))</f>
        <v/>
      </c>
      <c r="J3766" s="96" t="str">
        <f>IF(D3766="","",COUNTA(D3754:D3766)-(COUNTA(D3766:D3766)-1))</f>
        <v/>
      </c>
    </row>
    <row r="3767" spans="1:10" s="77" customFormat="1" thickBot="1">
      <c r="A3767" s="117"/>
      <c r="B3767" s="75">
        <f t="shared" si="237"/>
        <v>47559</v>
      </c>
      <c r="C3767" s="83" t="str">
        <f t="shared" si="238"/>
        <v>dimanche</v>
      </c>
      <c r="D3767" s="88"/>
      <c r="E3767" s="115" t="str">
        <f t="shared" si="239"/>
        <v/>
      </c>
      <c r="F3767" s="115" t="str">
        <f t="shared" si="240"/>
        <v/>
      </c>
      <c r="G3767" s="116" t="str">
        <f>IF(ISNONTEXT(D3767),"",E3767-MAX($F$2:F3766))</f>
        <v/>
      </c>
      <c r="H3767" s="98"/>
      <c r="I3767" s="76" t="str">
        <f ca="1">IF(D3767="N",COUNTIF(INDIRECT(ADDRESS(MATCH(Plages!$D$19,'Planning annuel mixing coater'!$B:$B),4)):D3767,"N"),IF(D3767="N1",COUNTIF($D$9:D3767,"N1"),""))</f>
        <v/>
      </c>
      <c r="J3767" s="99" t="str">
        <f>IF(D3767="","",COUNTA(D3754:D3767)-(COUNTA(D3767:D3767)-1))</f>
        <v/>
      </c>
    </row>
    <row r="3768" spans="1:10" ht="16.5" thickTop="1" thickBot="1">
      <c r="A3768" s="117"/>
      <c r="B3768" s="78">
        <f t="shared" si="237"/>
        <v>47560</v>
      </c>
      <c r="C3768" s="81" t="str">
        <f t="shared" si="238"/>
        <v>lundi</v>
      </c>
      <c r="D3768" s="89"/>
      <c r="E3768" s="115" t="str">
        <f t="shared" si="239"/>
        <v/>
      </c>
      <c r="F3768" s="115" t="str">
        <f t="shared" si="240"/>
        <v/>
      </c>
      <c r="G3768" s="116" t="str">
        <f>IF(ISNONTEXT(D3768),"",E3768-MAX($F$2:F3767))</f>
        <v/>
      </c>
      <c r="H3768" s="100"/>
      <c r="I3768" s="79" t="str">
        <f ca="1">IF(D3768="N",COUNTIF(INDIRECT(ADDRESS(MATCH(Plages!$D$19,'Planning annuel mixing coater'!$B:$B),4)):D3768,"N"),IF(D3768="N1",COUNTIF($D$9:D3768,"N1"),""))</f>
        <v/>
      </c>
      <c r="J3768" s="101" t="str">
        <f>IF(D3768="","",COUNTA(D3768:D3768)-(COUNTA(D3768:D3768)-1))</f>
        <v/>
      </c>
    </row>
    <row r="3769" spans="1:10" thickBot="1">
      <c r="A3769" s="117"/>
      <c r="B3769" s="70">
        <f t="shared" si="237"/>
        <v>47561</v>
      </c>
      <c r="C3769" s="82" t="str">
        <f t="shared" si="238"/>
        <v>mardi</v>
      </c>
      <c r="D3769" s="87"/>
      <c r="E3769" s="115" t="str">
        <f t="shared" si="239"/>
        <v/>
      </c>
      <c r="F3769" s="115" t="str">
        <f t="shared" si="240"/>
        <v/>
      </c>
      <c r="G3769" s="116" t="str">
        <f>IF(ISNONTEXT(D3769),"",E3769-MAX($F$2:F3768))</f>
        <v/>
      </c>
      <c r="H3769" s="97"/>
      <c r="I3769" s="74" t="str">
        <f ca="1">IF(D3769="N",COUNTIF(INDIRECT(ADDRESS(MATCH(Plages!$D$19,'Planning annuel mixing coater'!$B:$B),4)):D3769,"N"),IF(D3769="N1",COUNTIF($D$9:D3769,"N1"),""))</f>
        <v/>
      </c>
      <c r="J3769" s="96" t="str">
        <f>IF(D3769="","",COUNTA(D3768:D3769)-(COUNTA(D3769:D3769)-1))</f>
        <v/>
      </c>
    </row>
    <row r="3770" spans="1:10" thickBot="1">
      <c r="A3770" s="117"/>
      <c r="B3770" s="70">
        <f t="shared" si="237"/>
        <v>47562</v>
      </c>
      <c r="C3770" s="82" t="str">
        <f t="shared" si="238"/>
        <v>mercredi</v>
      </c>
      <c r="D3770" s="87"/>
      <c r="E3770" s="115" t="str">
        <f t="shared" si="239"/>
        <v/>
      </c>
      <c r="F3770" s="115" t="str">
        <f t="shared" si="240"/>
        <v/>
      </c>
      <c r="G3770" s="116" t="str">
        <f>IF(ISNONTEXT(D3770),"",E3770-MAX($F$2:F3769))</f>
        <v/>
      </c>
      <c r="H3770" s="97"/>
      <c r="I3770" s="74" t="str">
        <f ca="1">IF(D3770="N",COUNTIF(INDIRECT(ADDRESS(MATCH(Plages!$D$19,'Planning annuel mixing coater'!$B:$B),4)):D3770,"N"),IF(D3770="N1",COUNTIF($D$9:D3770,"N1"),""))</f>
        <v/>
      </c>
      <c r="J3770" s="96" t="str">
        <f>IF(D3770="","",COUNTA(D3768:D3770)-(COUNTA(D3770:D3770)-1))</f>
        <v/>
      </c>
    </row>
    <row r="3771" spans="1:10" thickBot="1">
      <c r="A3771" s="117"/>
      <c r="B3771" s="70">
        <f t="shared" si="237"/>
        <v>47563</v>
      </c>
      <c r="C3771" s="82" t="str">
        <f t="shared" si="238"/>
        <v>jeudi</v>
      </c>
      <c r="D3771" s="87"/>
      <c r="E3771" s="115" t="str">
        <f t="shared" si="239"/>
        <v/>
      </c>
      <c r="F3771" s="115" t="str">
        <f t="shared" si="240"/>
        <v/>
      </c>
      <c r="G3771" s="116" t="str">
        <f>IF(ISNONTEXT(D3771),"",E3771-MAX($F$2:F3770))</f>
        <v/>
      </c>
      <c r="H3771" s="97"/>
      <c r="I3771" s="74" t="str">
        <f ca="1">IF(D3771="N",COUNTIF(INDIRECT(ADDRESS(MATCH(Plages!$D$19,'Planning annuel mixing coater'!$B:$B),4)):D3771,"N"),IF(D3771="N1",COUNTIF($D$9:D3771,"N1"),""))</f>
        <v/>
      </c>
      <c r="J3771" s="96" t="str">
        <f>IF(D3771="","",COUNTA(D3768:D3771)-(COUNTA(D3771:D3771)-1))</f>
        <v/>
      </c>
    </row>
    <row r="3772" spans="1:10" thickBot="1">
      <c r="A3772" s="117"/>
      <c r="B3772" s="70">
        <f t="shared" si="237"/>
        <v>47564</v>
      </c>
      <c r="C3772" s="82" t="str">
        <f t="shared" si="238"/>
        <v>vendredi</v>
      </c>
      <c r="D3772" s="87"/>
      <c r="E3772" s="115" t="str">
        <f t="shared" si="239"/>
        <v/>
      </c>
      <c r="F3772" s="115" t="str">
        <f t="shared" si="240"/>
        <v/>
      </c>
      <c r="G3772" s="116" t="str">
        <f>IF(ISNONTEXT(D3772),"",E3772-MAX($F$2:F3771))</f>
        <v/>
      </c>
      <c r="H3772" s="97"/>
      <c r="I3772" s="74" t="str">
        <f ca="1">IF(D3772="N",COUNTIF(INDIRECT(ADDRESS(MATCH(Plages!$D$19,'Planning annuel mixing coater'!$B:$B),4)):D3772,"N"),IF(D3772="N1",COUNTIF($D$9:D3772,"N1"),""))</f>
        <v/>
      </c>
      <c r="J3772" s="96" t="str">
        <f>IF(D3772="","",COUNTA(D3768:D3772)-(COUNTA(D3772:D3772)-1))</f>
        <v/>
      </c>
    </row>
    <row r="3773" spans="1:10" thickBot="1">
      <c r="A3773" s="117"/>
      <c r="B3773" s="70">
        <f t="shared" si="237"/>
        <v>47565</v>
      </c>
      <c r="C3773" s="82" t="str">
        <f t="shared" si="238"/>
        <v>samedi</v>
      </c>
      <c r="D3773" s="87"/>
      <c r="E3773" s="115" t="str">
        <f t="shared" si="239"/>
        <v/>
      </c>
      <c r="F3773" s="115" t="str">
        <f t="shared" si="240"/>
        <v/>
      </c>
      <c r="G3773" s="116" t="str">
        <f>IF(ISNONTEXT(D3773),"",E3773-MAX($F$2:F3772))</f>
        <v/>
      </c>
      <c r="H3773" s="97"/>
      <c r="I3773" s="74" t="str">
        <f ca="1">IF(D3773="N",COUNTIF(INDIRECT(ADDRESS(MATCH(Plages!$D$19,'Planning annuel mixing coater'!$B:$B),4)):D3773,"N"),IF(D3773="N1",COUNTIF($D$9:D3773,"N1"),""))</f>
        <v/>
      </c>
      <c r="J3773" s="96" t="str">
        <f>IF(D3773="","",COUNTA(D3768:D3773)-(COUNTA(D3773:D3773)-1))</f>
        <v/>
      </c>
    </row>
    <row r="3774" spans="1:10" thickBot="1">
      <c r="A3774" s="117"/>
      <c r="B3774" s="70">
        <f t="shared" si="237"/>
        <v>47566</v>
      </c>
      <c r="C3774" s="82" t="str">
        <f t="shared" si="238"/>
        <v>dimanche</v>
      </c>
      <c r="D3774" s="87"/>
      <c r="E3774" s="115" t="str">
        <f t="shared" si="239"/>
        <v/>
      </c>
      <c r="F3774" s="115" t="str">
        <f t="shared" si="240"/>
        <v/>
      </c>
      <c r="G3774" s="116" t="str">
        <f>IF(ISNONTEXT(D3774),"",E3774-MAX($F$2:F3773))</f>
        <v/>
      </c>
      <c r="H3774" s="98"/>
      <c r="I3774" s="74" t="str">
        <f ca="1">IF(D3774="N",COUNTIF(INDIRECT(ADDRESS(MATCH(Plages!$D$19,'Planning annuel mixing coater'!$B:$B),4)):D3774,"N"),IF(D3774="N1",COUNTIF($D$9:D3774,"N1"),""))</f>
        <v/>
      </c>
      <c r="J3774" s="96" t="str">
        <f>IF(D3774="","",COUNTA(D3768:D3774)-(COUNTA(D3774:D3774)-1))</f>
        <v/>
      </c>
    </row>
    <row r="3775" spans="1:10" thickBot="1">
      <c r="A3775" s="117"/>
      <c r="B3775" s="70">
        <f t="shared" si="237"/>
        <v>47567</v>
      </c>
      <c r="C3775" s="82" t="str">
        <f t="shared" si="238"/>
        <v>lundi</v>
      </c>
      <c r="D3775" s="87"/>
      <c r="E3775" s="115" t="str">
        <f t="shared" si="239"/>
        <v/>
      </c>
      <c r="F3775" s="115" t="str">
        <f t="shared" si="240"/>
        <v/>
      </c>
      <c r="G3775" s="116" t="str">
        <f>IF(ISNONTEXT(D3775),"",E3775-MAX($F$2:F3774))</f>
        <v/>
      </c>
      <c r="H3775" s="97"/>
      <c r="I3775" s="74" t="str">
        <f ca="1">IF(D3775="N",COUNTIF(INDIRECT(ADDRESS(MATCH(Plages!$D$19,'Planning annuel mixing coater'!$B:$B),4)):D3775,"N"),IF(D3775="N1",COUNTIF($D$9:D3775,"N1"),""))</f>
        <v/>
      </c>
      <c r="J3775" s="96" t="str">
        <f>IF(D3775="","",COUNTA(D3768:D3775)-(COUNTA(D3775:D3775)-1))</f>
        <v/>
      </c>
    </row>
    <row r="3776" spans="1:10" thickBot="1">
      <c r="A3776" s="117"/>
      <c r="B3776" s="70">
        <f t="shared" si="237"/>
        <v>47568</v>
      </c>
      <c r="C3776" s="82" t="str">
        <f t="shared" si="238"/>
        <v>mardi</v>
      </c>
      <c r="D3776" s="87"/>
      <c r="E3776" s="115" t="str">
        <f t="shared" si="239"/>
        <v/>
      </c>
      <c r="F3776" s="115" t="str">
        <f t="shared" si="240"/>
        <v/>
      </c>
      <c r="G3776" s="116" t="str">
        <f>IF(ISNONTEXT(D3776),"",E3776-MAX($F$2:F3775))</f>
        <v/>
      </c>
      <c r="H3776" s="97"/>
      <c r="I3776" s="74" t="str">
        <f ca="1">IF(D3776="N",COUNTIF(INDIRECT(ADDRESS(MATCH(Plages!$D$19,'Planning annuel mixing coater'!$B:$B),4)):D3776,"N"),IF(D3776="N1",COUNTIF($D$9:D3776,"N1"),""))</f>
        <v/>
      </c>
      <c r="J3776" s="96" t="str">
        <f>IF(D3776="","",COUNTA(D3768:D3776)-(COUNTA(D3776:D3776)-1))</f>
        <v/>
      </c>
    </row>
    <row r="3777" spans="1:10" thickBot="1">
      <c r="A3777" s="117"/>
      <c r="B3777" s="70">
        <f t="shared" si="237"/>
        <v>47569</v>
      </c>
      <c r="C3777" s="82" t="str">
        <f t="shared" si="238"/>
        <v>mercredi</v>
      </c>
      <c r="D3777" s="87"/>
      <c r="E3777" s="115" t="str">
        <f t="shared" si="239"/>
        <v/>
      </c>
      <c r="F3777" s="115" t="str">
        <f t="shared" si="240"/>
        <v/>
      </c>
      <c r="G3777" s="116" t="str">
        <f>IF(ISNONTEXT(D3777),"",E3777-MAX($F$2:F3776))</f>
        <v/>
      </c>
      <c r="H3777" s="97"/>
      <c r="I3777" s="74" t="str">
        <f ca="1">IF(D3777="N",COUNTIF(INDIRECT(ADDRESS(MATCH(Plages!$D$19,'Planning annuel mixing coater'!$B:$B),4)):D3777,"N"),IF(D3777="N1",COUNTIF($D$9:D3777,"N1"),""))</f>
        <v/>
      </c>
      <c r="J3777" s="96" t="str">
        <f>IF(D3777="","",COUNTA(D3768:D3777)-(COUNTA(D3777:D3777)-1))</f>
        <v/>
      </c>
    </row>
    <row r="3778" spans="1:10" thickBot="1">
      <c r="A3778" s="117"/>
      <c r="B3778" s="70">
        <f t="shared" si="237"/>
        <v>47570</v>
      </c>
      <c r="C3778" s="82" t="str">
        <f t="shared" si="238"/>
        <v>jeudi</v>
      </c>
      <c r="D3778" s="87"/>
      <c r="E3778" s="115" t="str">
        <f t="shared" si="239"/>
        <v/>
      </c>
      <c r="F3778" s="115" t="str">
        <f t="shared" si="240"/>
        <v/>
      </c>
      <c r="G3778" s="116" t="str">
        <f>IF(ISNONTEXT(D3778),"",E3778-MAX($F$2:F3777))</f>
        <v/>
      </c>
      <c r="H3778" s="97"/>
      <c r="I3778" s="74" t="str">
        <f ca="1">IF(D3778="N",COUNTIF(INDIRECT(ADDRESS(MATCH(Plages!$D$19,'Planning annuel mixing coater'!$B:$B),4)):D3778,"N"),IF(D3778="N1",COUNTIF($D$9:D3778,"N1"),""))</f>
        <v/>
      </c>
      <c r="J3778" s="96" t="str">
        <f>IF(D3778="","",COUNTA(D3768:D3778)-(COUNTA(D3778:D3778)-1))</f>
        <v/>
      </c>
    </row>
    <row r="3779" spans="1:10" thickBot="1">
      <c r="A3779" s="117"/>
      <c r="B3779" s="70">
        <f t="shared" si="237"/>
        <v>47571</v>
      </c>
      <c r="C3779" s="82" t="str">
        <f t="shared" si="238"/>
        <v>vendredi</v>
      </c>
      <c r="D3779" s="87"/>
      <c r="E3779" s="115" t="str">
        <f t="shared" si="239"/>
        <v/>
      </c>
      <c r="F3779" s="115" t="str">
        <f t="shared" si="240"/>
        <v/>
      </c>
      <c r="G3779" s="116" t="str">
        <f>IF(ISNONTEXT(D3779),"",E3779-MAX($F$2:F3778))</f>
        <v/>
      </c>
      <c r="H3779" s="97"/>
      <c r="I3779" s="74" t="str">
        <f ca="1">IF(D3779="N",COUNTIF(INDIRECT(ADDRESS(MATCH(Plages!$D$19,'Planning annuel mixing coater'!$B:$B),4)):D3779,"N"),IF(D3779="N1",COUNTIF($D$9:D3779,"N1"),""))</f>
        <v/>
      </c>
      <c r="J3779" s="96" t="str">
        <f>IF(D3779="","",COUNTA(D3768:D3779)-(COUNTA(D3779:D3779)-1))</f>
        <v/>
      </c>
    </row>
    <row r="3780" spans="1:10" thickBot="1">
      <c r="A3780" s="117"/>
      <c r="B3780" s="70">
        <f t="shared" ref="B3780:B3843" si="241">IF(B3779="","",B3779+1)</f>
        <v>47572</v>
      </c>
      <c r="C3780" s="82" t="str">
        <f t="shared" si="238"/>
        <v>samedi</v>
      </c>
      <c r="D3780" s="87"/>
      <c r="E3780" s="115" t="str">
        <f t="shared" si="239"/>
        <v/>
      </c>
      <c r="F3780" s="115" t="str">
        <f t="shared" si="240"/>
        <v/>
      </c>
      <c r="G3780" s="116" t="str">
        <f>IF(ISNONTEXT(D3780),"",E3780-MAX($F$2:F3779))</f>
        <v/>
      </c>
      <c r="H3780" s="97"/>
      <c r="I3780" s="74" t="str">
        <f ca="1">IF(D3780="N",COUNTIF(INDIRECT(ADDRESS(MATCH(Plages!$D$19,'Planning annuel mixing coater'!$B:$B),4)):D3780,"N"),IF(D3780="N1",COUNTIF($D$9:D3780,"N1"),""))</f>
        <v/>
      </c>
      <c r="J3780" s="96" t="str">
        <f>IF(D3780="","",COUNTA(D3768:D3780)-(COUNTA(D3780:D3780)-1))</f>
        <v/>
      </c>
    </row>
    <row r="3781" spans="1:10" s="77" customFormat="1" thickBot="1">
      <c r="A3781" s="117"/>
      <c r="B3781" s="75">
        <f t="shared" si="241"/>
        <v>47573</v>
      </c>
      <c r="C3781" s="83" t="str">
        <f t="shared" si="238"/>
        <v>dimanche</v>
      </c>
      <c r="D3781" s="88"/>
      <c r="E3781" s="115" t="str">
        <f t="shared" si="239"/>
        <v/>
      </c>
      <c r="F3781" s="115" t="str">
        <f t="shared" si="240"/>
        <v/>
      </c>
      <c r="G3781" s="116" t="str">
        <f>IF(ISNONTEXT(D3781),"",E3781-MAX($F$2:F3780))</f>
        <v/>
      </c>
      <c r="H3781" s="98"/>
      <c r="I3781" s="76" t="str">
        <f ca="1">IF(D3781="N",COUNTIF(INDIRECT(ADDRESS(MATCH(Plages!$D$19,'Planning annuel mixing coater'!$B:$B),4)):D3781,"N"),IF(D3781="N1",COUNTIF($D$9:D3781,"N1"),""))</f>
        <v/>
      </c>
      <c r="J3781" s="99" t="str">
        <f>IF(D3781="","",COUNTA(D3768:D3781)-(COUNTA(D3781:D3781)-1))</f>
        <v/>
      </c>
    </row>
    <row r="3782" spans="1:10" ht="16.5" thickTop="1" thickBot="1">
      <c r="A3782" s="117"/>
      <c r="B3782" s="78">
        <f t="shared" si="241"/>
        <v>47574</v>
      </c>
      <c r="C3782" s="81" t="str">
        <f t="shared" si="238"/>
        <v>lundi</v>
      </c>
      <c r="D3782" s="89"/>
      <c r="E3782" s="115" t="str">
        <f t="shared" si="239"/>
        <v/>
      </c>
      <c r="F3782" s="115" t="str">
        <f t="shared" si="240"/>
        <v/>
      </c>
      <c r="G3782" s="116" t="str">
        <f>IF(ISNONTEXT(D3782),"",E3782-MAX($F$2:F3781))</f>
        <v/>
      </c>
      <c r="H3782" s="100"/>
      <c r="I3782" s="79" t="str">
        <f ca="1">IF(D3782="N",COUNTIF(INDIRECT(ADDRESS(MATCH(Plages!$D$19,'Planning annuel mixing coater'!$B:$B),4)):D3782,"N"),IF(D3782="N1",COUNTIF($D$9:D3782,"N1"),""))</f>
        <v/>
      </c>
      <c r="J3782" s="101" t="str">
        <f>IF(D3782="","",COUNTA(D3782:D3782)-(COUNTA(D3782:D3782)-1))</f>
        <v/>
      </c>
    </row>
    <row r="3783" spans="1:10" thickBot="1">
      <c r="A3783" s="117"/>
      <c r="B3783" s="70">
        <f t="shared" si="241"/>
        <v>47575</v>
      </c>
      <c r="C3783" s="82" t="str">
        <f t="shared" si="238"/>
        <v>mardi</v>
      </c>
      <c r="D3783" s="87"/>
      <c r="E3783" s="115" t="str">
        <f t="shared" si="239"/>
        <v/>
      </c>
      <c r="F3783" s="115" t="str">
        <f t="shared" si="240"/>
        <v/>
      </c>
      <c r="G3783" s="116" t="str">
        <f>IF(ISNONTEXT(D3783),"",E3783-MAX($F$2:F3782))</f>
        <v/>
      </c>
      <c r="H3783" s="97"/>
      <c r="I3783" s="74" t="str">
        <f ca="1">IF(D3783="N",COUNTIF(INDIRECT(ADDRESS(MATCH(Plages!$D$19,'Planning annuel mixing coater'!$B:$B),4)):D3783,"N"),IF(D3783="N1",COUNTIF($D$9:D3783,"N1"),""))</f>
        <v/>
      </c>
      <c r="J3783" s="96" t="str">
        <f>IF(D3783="","",COUNTA(D3782:D3783)-(COUNTA(D3783:D3783)-1))</f>
        <v/>
      </c>
    </row>
    <row r="3784" spans="1:10" thickBot="1">
      <c r="A3784" s="117"/>
      <c r="B3784" s="70">
        <f t="shared" si="241"/>
        <v>47576</v>
      </c>
      <c r="C3784" s="82" t="str">
        <f t="shared" si="238"/>
        <v>mercredi</v>
      </c>
      <c r="D3784" s="87"/>
      <c r="E3784" s="115" t="str">
        <f t="shared" si="239"/>
        <v/>
      </c>
      <c r="F3784" s="115" t="str">
        <f t="shared" si="240"/>
        <v/>
      </c>
      <c r="G3784" s="116" t="str">
        <f>IF(ISNONTEXT(D3784),"",E3784-MAX($F$2:F3783))</f>
        <v/>
      </c>
      <c r="H3784" s="97"/>
      <c r="I3784" s="74" t="str">
        <f ca="1">IF(D3784="N",COUNTIF(INDIRECT(ADDRESS(MATCH(Plages!$D$19,'Planning annuel mixing coater'!$B:$B),4)):D3784,"N"),IF(D3784="N1",COUNTIF($D$9:D3784,"N1"),""))</f>
        <v/>
      </c>
      <c r="J3784" s="96" t="str">
        <f>IF(D3784="","",COUNTA(D3782:D3784)-(COUNTA(D3784:D3784)-1))</f>
        <v/>
      </c>
    </row>
    <row r="3785" spans="1:10" thickBot="1">
      <c r="A3785" s="117"/>
      <c r="B3785" s="70">
        <f t="shared" si="241"/>
        <v>47577</v>
      </c>
      <c r="C3785" s="82" t="str">
        <f t="shared" si="238"/>
        <v>jeudi</v>
      </c>
      <c r="D3785" s="87"/>
      <c r="E3785" s="115" t="str">
        <f t="shared" si="239"/>
        <v/>
      </c>
      <c r="F3785" s="115" t="str">
        <f t="shared" si="240"/>
        <v/>
      </c>
      <c r="G3785" s="116" t="str">
        <f>IF(ISNONTEXT(D3785),"",E3785-MAX($F$2:F3784))</f>
        <v/>
      </c>
      <c r="H3785" s="97"/>
      <c r="I3785" s="74" t="str">
        <f ca="1">IF(D3785="N",COUNTIF(INDIRECT(ADDRESS(MATCH(Plages!$D$19,'Planning annuel mixing coater'!$B:$B),4)):D3785,"N"),IF(D3785="N1",COUNTIF($D$9:D3785,"N1"),""))</f>
        <v/>
      </c>
      <c r="J3785" s="96" t="str">
        <f>IF(D3785="","",COUNTA(D3782:D3785)-(COUNTA(D3785:D3785)-1))</f>
        <v/>
      </c>
    </row>
    <row r="3786" spans="1:10" thickBot="1">
      <c r="A3786" s="117"/>
      <c r="B3786" s="70">
        <f t="shared" si="241"/>
        <v>47578</v>
      </c>
      <c r="C3786" s="82" t="str">
        <f t="shared" si="238"/>
        <v>vendredi</v>
      </c>
      <c r="D3786" s="87"/>
      <c r="E3786" s="115" t="str">
        <f t="shared" si="239"/>
        <v/>
      </c>
      <c r="F3786" s="115" t="str">
        <f t="shared" si="240"/>
        <v/>
      </c>
      <c r="G3786" s="116" t="str">
        <f>IF(ISNONTEXT(D3786),"",E3786-MAX($F$2:F3785))</f>
        <v/>
      </c>
      <c r="H3786" s="97"/>
      <c r="I3786" s="74" t="str">
        <f ca="1">IF(D3786="N",COUNTIF(INDIRECT(ADDRESS(MATCH(Plages!$D$19,'Planning annuel mixing coater'!$B:$B),4)):D3786,"N"),IF(D3786="N1",COUNTIF($D$9:D3786,"N1"),""))</f>
        <v/>
      </c>
      <c r="J3786" s="96" t="str">
        <f>IF(D3786="","",COUNTA(D3782:D3786)-(COUNTA(D3786:D3786)-1))</f>
        <v/>
      </c>
    </row>
    <row r="3787" spans="1:10" thickBot="1">
      <c r="A3787" s="117"/>
      <c r="B3787" s="70">
        <f t="shared" si="241"/>
        <v>47579</v>
      </c>
      <c r="C3787" s="82" t="str">
        <f t="shared" si="238"/>
        <v>samedi</v>
      </c>
      <c r="D3787" s="87"/>
      <c r="E3787" s="115" t="str">
        <f t="shared" si="239"/>
        <v/>
      </c>
      <c r="F3787" s="115" t="str">
        <f t="shared" si="240"/>
        <v/>
      </c>
      <c r="G3787" s="116" t="str">
        <f>IF(ISNONTEXT(D3787),"",E3787-MAX($F$2:F3786))</f>
        <v/>
      </c>
      <c r="H3787" s="97"/>
      <c r="I3787" s="74" t="str">
        <f ca="1">IF(D3787="N",COUNTIF(INDIRECT(ADDRESS(MATCH(Plages!$D$19,'Planning annuel mixing coater'!$B:$B),4)):D3787,"N"),IF(D3787="N1",COUNTIF($D$9:D3787,"N1"),""))</f>
        <v/>
      </c>
      <c r="J3787" s="96" t="str">
        <f>IF(D3787="","",COUNTA(D3782:D3787)-(COUNTA(D3787:D3787)-1))</f>
        <v/>
      </c>
    </row>
    <row r="3788" spans="1:10" thickBot="1">
      <c r="A3788" s="117"/>
      <c r="B3788" s="70">
        <f t="shared" si="241"/>
        <v>47580</v>
      </c>
      <c r="C3788" s="82" t="str">
        <f t="shared" si="238"/>
        <v>dimanche</v>
      </c>
      <c r="D3788" s="87"/>
      <c r="E3788" s="115" t="str">
        <f t="shared" si="239"/>
        <v/>
      </c>
      <c r="F3788" s="115" t="str">
        <f t="shared" si="240"/>
        <v/>
      </c>
      <c r="G3788" s="116" t="str">
        <f>IF(ISNONTEXT(D3788),"",E3788-MAX($F$2:F3787))</f>
        <v/>
      </c>
      <c r="H3788" s="98"/>
      <c r="I3788" s="74" t="str">
        <f ca="1">IF(D3788="N",COUNTIF(INDIRECT(ADDRESS(MATCH(Plages!$D$19,'Planning annuel mixing coater'!$B:$B),4)):D3788,"N"),IF(D3788="N1",COUNTIF($D$9:D3788,"N1"),""))</f>
        <v/>
      </c>
      <c r="J3788" s="96" t="str">
        <f>IF(D3788="","",COUNTA(D3782:D3788)-(COUNTA(D3788:D3788)-1))</f>
        <v/>
      </c>
    </row>
    <row r="3789" spans="1:10" thickBot="1">
      <c r="A3789" s="117"/>
      <c r="B3789" s="70">
        <f t="shared" si="241"/>
        <v>47581</v>
      </c>
      <c r="C3789" s="82" t="str">
        <f t="shared" si="238"/>
        <v>lundi</v>
      </c>
      <c r="D3789" s="87"/>
      <c r="E3789" s="115" t="str">
        <f t="shared" si="239"/>
        <v/>
      </c>
      <c r="F3789" s="115" t="str">
        <f t="shared" si="240"/>
        <v/>
      </c>
      <c r="G3789" s="116" t="str">
        <f>IF(ISNONTEXT(D3789),"",E3789-MAX($F$2:F3788))</f>
        <v/>
      </c>
      <c r="H3789" s="97"/>
      <c r="I3789" s="74" t="str">
        <f ca="1">IF(D3789="N",COUNTIF(INDIRECT(ADDRESS(MATCH(Plages!$D$19,'Planning annuel mixing coater'!$B:$B),4)):D3789,"N"),IF(D3789="N1",COUNTIF($D$9:D3789,"N1"),""))</f>
        <v/>
      </c>
      <c r="J3789" s="96" t="str">
        <f>IF(D3789="","",COUNTA(D3782:D3789)-(COUNTA(D3789:D3789)-1))</f>
        <v/>
      </c>
    </row>
    <row r="3790" spans="1:10" thickBot="1">
      <c r="A3790" s="117"/>
      <c r="B3790" s="70">
        <f t="shared" si="241"/>
        <v>47582</v>
      </c>
      <c r="C3790" s="82" t="str">
        <f t="shared" si="238"/>
        <v>mardi</v>
      </c>
      <c r="D3790" s="87"/>
      <c r="E3790" s="115" t="str">
        <f t="shared" si="239"/>
        <v/>
      </c>
      <c r="F3790" s="115" t="str">
        <f t="shared" si="240"/>
        <v/>
      </c>
      <c r="G3790" s="116" t="str">
        <f>IF(ISNONTEXT(D3790),"",E3790-MAX($F$2:F3789))</f>
        <v/>
      </c>
      <c r="H3790" s="97"/>
      <c r="I3790" s="74" t="str">
        <f ca="1">IF(D3790="N",COUNTIF(INDIRECT(ADDRESS(MATCH(Plages!$D$19,'Planning annuel mixing coater'!$B:$B),4)):D3790,"N"),IF(D3790="N1",COUNTIF($D$9:D3790,"N1"),""))</f>
        <v/>
      </c>
      <c r="J3790" s="96" t="str">
        <f>IF(D3790="","",COUNTA(D3782:D3790)-(COUNTA(D3790:D3790)-1))</f>
        <v/>
      </c>
    </row>
    <row r="3791" spans="1:10" thickBot="1">
      <c r="A3791" s="117"/>
      <c r="B3791" s="70">
        <f t="shared" si="241"/>
        <v>47583</v>
      </c>
      <c r="C3791" s="82" t="str">
        <f t="shared" si="238"/>
        <v>mercredi</v>
      </c>
      <c r="D3791" s="87"/>
      <c r="E3791" s="115" t="str">
        <f t="shared" si="239"/>
        <v/>
      </c>
      <c r="F3791" s="115" t="str">
        <f t="shared" si="240"/>
        <v/>
      </c>
      <c r="G3791" s="116" t="str">
        <f>IF(ISNONTEXT(D3791),"",E3791-MAX($F$2:F3790))</f>
        <v/>
      </c>
      <c r="H3791" s="97"/>
      <c r="I3791" s="74" t="str">
        <f ca="1">IF(D3791="N",COUNTIF(INDIRECT(ADDRESS(MATCH(Plages!$D$19,'Planning annuel mixing coater'!$B:$B),4)):D3791,"N"),IF(D3791="N1",COUNTIF($D$9:D3791,"N1"),""))</f>
        <v/>
      </c>
      <c r="J3791" s="96" t="str">
        <f>IF(D3791="","",COUNTA(D3782:D3791)-(COUNTA(D3791:D3791)-1))</f>
        <v/>
      </c>
    </row>
    <row r="3792" spans="1:10" thickBot="1">
      <c r="A3792" s="117"/>
      <c r="B3792" s="70">
        <f t="shared" si="241"/>
        <v>47584</v>
      </c>
      <c r="C3792" s="82" t="str">
        <f t="shared" si="238"/>
        <v>jeudi</v>
      </c>
      <c r="D3792" s="87"/>
      <c r="E3792" s="115" t="str">
        <f t="shared" si="239"/>
        <v/>
      </c>
      <c r="F3792" s="115" t="str">
        <f t="shared" si="240"/>
        <v/>
      </c>
      <c r="G3792" s="116" t="str">
        <f>IF(ISNONTEXT(D3792),"",E3792-MAX($F$2:F3791))</f>
        <v/>
      </c>
      <c r="H3792" s="97"/>
      <c r="I3792" s="74" t="str">
        <f ca="1">IF(D3792="N",COUNTIF(INDIRECT(ADDRESS(MATCH(Plages!$D$19,'Planning annuel mixing coater'!$B:$B),4)):D3792,"N"),IF(D3792="N1",COUNTIF($D$9:D3792,"N1"),""))</f>
        <v/>
      </c>
      <c r="J3792" s="96" t="str">
        <f>IF(D3792="","",COUNTA(D3782:D3792)-(COUNTA(D3792:D3792)-1))</f>
        <v/>
      </c>
    </row>
    <row r="3793" spans="1:10" thickBot="1">
      <c r="A3793" s="117"/>
      <c r="B3793" s="70">
        <f t="shared" si="241"/>
        <v>47585</v>
      </c>
      <c r="C3793" s="82" t="str">
        <f t="shared" si="238"/>
        <v>vendredi</v>
      </c>
      <c r="D3793" s="87"/>
      <c r="E3793" s="115" t="str">
        <f t="shared" si="239"/>
        <v/>
      </c>
      <c r="F3793" s="115" t="str">
        <f t="shared" si="240"/>
        <v/>
      </c>
      <c r="G3793" s="116" t="str">
        <f>IF(ISNONTEXT(D3793),"",E3793-MAX($F$2:F3792))</f>
        <v/>
      </c>
      <c r="H3793" s="97"/>
      <c r="I3793" s="74" t="str">
        <f ca="1">IF(D3793="N",COUNTIF(INDIRECT(ADDRESS(MATCH(Plages!$D$19,'Planning annuel mixing coater'!$B:$B),4)):D3793,"N"),IF(D3793="N1",COUNTIF($D$9:D3793,"N1"),""))</f>
        <v/>
      </c>
      <c r="J3793" s="96" t="str">
        <f>IF(D3793="","",COUNTA(D3782:D3793)-(COUNTA(D3793:D3793)-1))</f>
        <v/>
      </c>
    </row>
    <row r="3794" spans="1:10" thickBot="1">
      <c r="A3794" s="117"/>
      <c r="B3794" s="70">
        <f t="shared" si="241"/>
        <v>47586</v>
      </c>
      <c r="C3794" s="82" t="str">
        <f t="shared" si="238"/>
        <v>samedi</v>
      </c>
      <c r="D3794" s="87"/>
      <c r="E3794" s="115" t="str">
        <f t="shared" si="239"/>
        <v/>
      </c>
      <c r="F3794" s="115" t="str">
        <f t="shared" si="240"/>
        <v/>
      </c>
      <c r="G3794" s="116" t="str">
        <f>IF(ISNONTEXT(D3794),"",E3794-MAX($F$2:F3793))</f>
        <v/>
      </c>
      <c r="H3794" s="97"/>
      <c r="I3794" s="74" t="str">
        <f ca="1">IF(D3794="N",COUNTIF(INDIRECT(ADDRESS(MATCH(Plages!$D$19,'Planning annuel mixing coater'!$B:$B),4)):D3794,"N"),IF(D3794="N1",COUNTIF($D$9:D3794,"N1"),""))</f>
        <v/>
      </c>
      <c r="J3794" s="96" t="str">
        <f>IF(D3794="","",COUNTA(D3782:D3794)-(COUNTA(D3794:D3794)-1))</f>
        <v/>
      </c>
    </row>
    <row r="3795" spans="1:10" s="77" customFormat="1" thickBot="1">
      <c r="A3795" s="117"/>
      <c r="B3795" s="75">
        <f t="shared" si="241"/>
        <v>47587</v>
      </c>
      <c r="C3795" s="83" t="str">
        <f t="shared" si="238"/>
        <v>dimanche</v>
      </c>
      <c r="D3795" s="88"/>
      <c r="E3795" s="115" t="str">
        <f t="shared" si="239"/>
        <v/>
      </c>
      <c r="F3795" s="115" t="str">
        <f t="shared" si="240"/>
        <v/>
      </c>
      <c r="G3795" s="116" t="str">
        <f>IF(ISNONTEXT(D3795),"",E3795-MAX($F$2:F3794))</f>
        <v/>
      </c>
      <c r="H3795" s="98"/>
      <c r="I3795" s="76" t="str">
        <f ca="1">IF(D3795="N",COUNTIF(INDIRECT(ADDRESS(MATCH(Plages!$D$19,'Planning annuel mixing coater'!$B:$B),4)):D3795,"N"),IF(D3795="N1",COUNTIF($D$9:D3795,"N1"),""))</f>
        <v/>
      </c>
      <c r="J3795" s="99" t="str">
        <f>IF(D3795="","",COUNTA(D3782:D3795)-(COUNTA(D3795:D3795)-1))</f>
        <v/>
      </c>
    </row>
    <row r="3796" spans="1:10" ht="16.5" thickTop="1" thickBot="1">
      <c r="A3796" s="117"/>
      <c r="B3796" s="78">
        <f t="shared" si="241"/>
        <v>47588</v>
      </c>
      <c r="C3796" s="81" t="str">
        <f t="shared" si="238"/>
        <v>lundi</v>
      </c>
      <c r="D3796" s="89"/>
      <c r="E3796" s="115" t="str">
        <f t="shared" si="239"/>
        <v/>
      </c>
      <c r="F3796" s="115" t="str">
        <f t="shared" si="240"/>
        <v/>
      </c>
      <c r="G3796" s="116" t="str">
        <f>IF(ISNONTEXT(D3796),"",E3796-MAX($F$2:F3795))</f>
        <v/>
      </c>
      <c r="H3796" s="100"/>
      <c r="I3796" s="79" t="str">
        <f ca="1">IF(D3796="N",COUNTIF(INDIRECT(ADDRESS(MATCH(Plages!$D$19,'Planning annuel mixing coater'!$B:$B),4)):D3796,"N"),IF(D3796="N1",COUNTIF($D$9:D3796,"N1"),""))</f>
        <v/>
      </c>
      <c r="J3796" s="101" t="str">
        <f>IF(D3796="","",COUNTA(D3796:D3796)-(COUNTA(D3796:D3796)-1))</f>
        <v/>
      </c>
    </row>
    <row r="3797" spans="1:10" thickBot="1">
      <c r="A3797" s="117"/>
      <c r="B3797" s="70">
        <f t="shared" si="241"/>
        <v>47589</v>
      </c>
      <c r="C3797" s="82" t="str">
        <f t="shared" si="238"/>
        <v>mardi</v>
      </c>
      <c r="D3797" s="87"/>
      <c r="E3797" s="115" t="str">
        <f t="shared" si="239"/>
        <v/>
      </c>
      <c r="F3797" s="115" t="str">
        <f t="shared" si="240"/>
        <v/>
      </c>
      <c r="G3797" s="116" t="str">
        <f>IF(ISNONTEXT(D3797),"",E3797-MAX($F$2:F3796))</f>
        <v/>
      </c>
      <c r="H3797" s="97"/>
      <c r="I3797" s="74" t="str">
        <f ca="1">IF(D3797="N",COUNTIF(INDIRECT(ADDRESS(MATCH(Plages!$D$19,'Planning annuel mixing coater'!$B:$B),4)):D3797,"N"),IF(D3797="N1",COUNTIF($D$9:D3797,"N1"),""))</f>
        <v/>
      </c>
      <c r="J3797" s="96" t="str">
        <f>IF(D3797="","",COUNTA(D3796:D3797)-(COUNTA(D3797:D3797)-1))</f>
        <v/>
      </c>
    </row>
    <row r="3798" spans="1:10" thickBot="1">
      <c r="A3798" s="117"/>
      <c r="B3798" s="70">
        <f t="shared" si="241"/>
        <v>47590</v>
      </c>
      <c r="C3798" s="82" t="str">
        <f t="shared" si="238"/>
        <v>mercredi</v>
      </c>
      <c r="D3798" s="87"/>
      <c r="E3798" s="115" t="str">
        <f t="shared" si="239"/>
        <v/>
      </c>
      <c r="F3798" s="115" t="str">
        <f t="shared" si="240"/>
        <v/>
      </c>
      <c r="G3798" s="116" t="str">
        <f>IF(ISNONTEXT(D3798),"",E3798-MAX($F$2:F3797))</f>
        <v/>
      </c>
      <c r="H3798" s="97"/>
      <c r="I3798" s="74" t="str">
        <f ca="1">IF(D3798="N",COUNTIF(INDIRECT(ADDRESS(MATCH(Plages!$D$19,'Planning annuel mixing coater'!$B:$B),4)):D3798,"N"),IF(D3798="N1",COUNTIF($D$9:D3798,"N1"),""))</f>
        <v/>
      </c>
      <c r="J3798" s="96" t="str">
        <f>IF(D3798="","",COUNTA(D3796:D3798)-(COUNTA(D3798:D3798)-1))</f>
        <v/>
      </c>
    </row>
    <row r="3799" spans="1:10" thickBot="1">
      <c r="A3799" s="117"/>
      <c r="B3799" s="70">
        <f t="shared" si="241"/>
        <v>47591</v>
      </c>
      <c r="C3799" s="82" t="str">
        <f t="shared" si="238"/>
        <v>jeudi</v>
      </c>
      <c r="D3799" s="87"/>
      <c r="E3799" s="115" t="str">
        <f t="shared" si="239"/>
        <v/>
      </c>
      <c r="F3799" s="115" t="str">
        <f t="shared" si="240"/>
        <v/>
      </c>
      <c r="G3799" s="116" t="str">
        <f>IF(ISNONTEXT(D3799),"",E3799-MAX($F$2:F3798))</f>
        <v/>
      </c>
      <c r="H3799" s="97"/>
      <c r="I3799" s="74" t="str">
        <f ca="1">IF(D3799="N",COUNTIF(INDIRECT(ADDRESS(MATCH(Plages!$D$19,'Planning annuel mixing coater'!$B:$B),4)):D3799,"N"),IF(D3799="N1",COUNTIF($D$9:D3799,"N1"),""))</f>
        <v/>
      </c>
      <c r="J3799" s="96" t="str">
        <f>IF(D3799="","",COUNTA(D3796:D3799)-(COUNTA(D3799:D3799)-1))</f>
        <v/>
      </c>
    </row>
    <row r="3800" spans="1:10" thickBot="1">
      <c r="A3800" s="117"/>
      <c r="B3800" s="70">
        <f t="shared" si="241"/>
        <v>47592</v>
      </c>
      <c r="C3800" s="82" t="str">
        <f t="shared" si="238"/>
        <v>vendredi</v>
      </c>
      <c r="D3800" s="87"/>
      <c r="E3800" s="115" t="str">
        <f t="shared" si="239"/>
        <v/>
      </c>
      <c r="F3800" s="115" t="str">
        <f t="shared" si="240"/>
        <v/>
      </c>
      <c r="G3800" s="116" t="str">
        <f>IF(ISNONTEXT(D3800),"",E3800-MAX($F$2:F3799))</f>
        <v/>
      </c>
      <c r="H3800" s="97"/>
      <c r="I3800" s="74" t="str">
        <f ca="1">IF(D3800="N",COUNTIF(INDIRECT(ADDRESS(MATCH(Plages!$D$19,'Planning annuel mixing coater'!$B:$B),4)):D3800,"N"),IF(D3800="N1",COUNTIF($D$9:D3800,"N1"),""))</f>
        <v/>
      </c>
      <c r="J3800" s="96" t="str">
        <f>IF(D3800="","",COUNTA(D3796:D3800)-(COUNTA(D3800:D3800)-1))</f>
        <v/>
      </c>
    </row>
    <row r="3801" spans="1:10" thickBot="1">
      <c r="A3801" s="117"/>
      <c r="B3801" s="70">
        <f t="shared" si="241"/>
        <v>47593</v>
      </c>
      <c r="C3801" s="82" t="str">
        <f t="shared" si="238"/>
        <v>samedi</v>
      </c>
      <c r="D3801" s="87"/>
      <c r="E3801" s="115" t="str">
        <f t="shared" si="239"/>
        <v/>
      </c>
      <c r="F3801" s="115" t="str">
        <f t="shared" si="240"/>
        <v/>
      </c>
      <c r="G3801" s="116" t="str">
        <f>IF(ISNONTEXT(D3801),"",E3801-MAX($F$2:F3800))</f>
        <v/>
      </c>
      <c r="H3801" s="97"/>
      <c r="I3801" s="74" t="str">
        <f ca="1">IF(D3801="N",COUNTIF(INDIRECT(ADDRESS(MATCH(Plages!$D$19,'Planning annuel mixing coater'!$B:$B),4)):D3801,"N"),IF(D3801="N1",COUNTIF($D$9:D3801,"N1"),""))</f>
        <v/>
      </c>
      <c r="J3801" s="96" t="str">
        <f>IF(D3801="","",COUNTA(D3796:D3801)-(COUNTA(D3801:D3801)-1))</f>
        <v/>
      </c>
    </row>
    <row r="3802" spans="1:10" thickBot="1">
      <c r="A3802" s="117"/>
      <c r="B3802" s="70">
        <f t="shared" si="241"/>
        <v>47594</v>
      </c>
      <c r="C3802" s="82" t="str">
        <f t="shared" si="238"/>
        <v>dimanche</v>
      </c>
      <c r="D3802" s="87"/>
      <c r="E3802" s="115" t="str">
        <f t="shared" si="239"/>
        <v/>
      </c>
      <c r="F3802" s="115" t="str">
        <f t="shared" si="240"/>
        <v/>
      </c>
      <c r="G3802" s="116" t="str">
        <f>IF(ISNONTEXT(D3802),"",E3802-MAX($F$2:F3801))</f>
        <v/>
      </c>
      <c r="H3802" s="98"/>
      <c r="I3802" s="74" t="str">
        <f ca="1">IF(D3802="N",COUNTIF(INDIRECT(ADDRESS(MATCH(Plages!$D$19,'Planning annuel mixing coater'!$B:$B),4)):D3802,"N"),IF(D3802="N1",COUNTIF($D$9:D3802,"N1"),""))</f>
        <v/>
      </c>
      <c r="J3802" s="96" t="str">
        <f>IF(D3802="","",COUNTA(D3796:D3802)-(COUNTA(D3802:D3802)-1))</f>
        <v/>
      </c>
    </row>
    <row r="3803" spans="1:10" thickBot="1">
      <c r="A3803" s="117"/>
      <c r="B3803" s="70">
        <f t="shared" si="241"/>
        <v>47595</v>
      </c>
      <c r="C3803" s="82" t="str">
        <f t="shared" si="238"/>
        <v>lundi</v>
      </c>
      <c r="D3803" s="87"/>
      <c r="E3803" s="115" t="str">
        <f t="shared" si="239"/>
        <v/>
      </c>
      <c r="F3803" s="115" t="str">
        <f t="shared" si="240"/>
        <v/>
      </c>
      <c r="G3803" s="116" t="str">
        <f>IF(ISNONTEXT(D3803),"",E3803-MAX($F$2:F3802))</f>
        <v/>
      </c>
      <c r="H3803" s="97"/>
      <c r="I3803" s="74" t="str">
        <f ca="1">IF(D3803="N",COUNTIF(INDIRECT(ADDRESS(MATCH(Plages!$D$19,'Planning annuel mixing coater'!$B:$B),4)):D3803,"N"),IF(D3803="N1",COUNTIF($D$9:D3803,"N1"),""))</f>
        <v/>
      </c>
      <c r="J3803" s="96" t="str">
        <f>IF(D3803="","",COUNTA(D3796:D3803)-(COUNTA(D3803:D3803)-1))</f>
        <v/>
      </c>
    </row>
    <row r="3804" spans="1:10" thickBot="1">
      <c r="A3804" s="117"/>
      <c r="B3804" s="70">
        <f t="shared" si="241"/>
        <v>47596</v>
      </c>
      <c r="C3804" s="82" t="str">
        <f t="shared" si="238"/>
        <v>mardi</v>
      </c>
      <c r="D3804" s="87"/>
      <c r="E3804" s="115" t="str">
        <f t="shared" si="239"/>
        <v/>
      </c>
      <c r="F3804" s="115" t="str">
        <f t="shared" si="240"/>
        <v/>
      </c>
      <c r="G3804" s="116" t="str">
        <f>IF(ISNONTEXT(D3804),"",E3804-MAX($F$2:F3803))</f>
        <v/>
      </c>
      <c r="H3804" s="97"/>
      <c r="I3804" s="74" t="str">
        <f ca="1">IF(D3804="N",COUNTIF(INDIRECT(ADDRESS(MATCH(Plages!$D$19,'Planning annuel mixing coater'!$B:$B),4)):D3804,"N"),IF(D3804="N1",COUNTIF($D$9:D3804,"N1"),""))</f>
        <v/>
      </c>
      <c r="J3804" s="96" t="str">
        <f>IF(D3804="","",COUNTA(D3796:D3804)-(COUNTA(D3804:D3804)-1))</f>
        <v/>
      </c>
    </row>
    <row r="3805" spans="1:10" thickBot="1">
      <c r="A3805" s="117"/>
      <c r="B3805" s="70">
        <f t="shared" si="241"/>
        <v>47597</v>
      </c>
      <c r="C3805" s="82" t="str">
        <f t="shared" si="238"/>
        <v>mercredi</v>
      </c>
      <c r="D3805" s="87"/>
      <c r="E3805" s="115" t="str">
        <f t="shared" si="239"/>
        <v/>
      </c>
      <c r="F3805" s="115" t="str">
        <f t="shared" si="240"/>
        <v/>
      </c>
      <c r="G3805" s="116" t="str">
        <f>IF(ISNONTEXT(D3805),"",E3805-MAX($F$2:F3804))</f>
        <v/>
      </c>
      <c r="H3805" s="97"/>
      <c r="I3805" s="74" t="str">
        <f ca="1">IF(D3805="N",COUNTIF(INDIRECT(ADDRESS(MATCH(Plages!$D$19,'Planning annuel mixing coater'!$B:$B),4)):D3805,"N"),IF(D3805="N1",COUNTIF($D$9:D3805,"N1"),""))</f>
        <v/>
      </c>
      <c r="J3805" s="96" t="str">
        <f>IF(D3805="","",COUNTA(D3796:D3805)-(COUNTA(D3805:D3805)-1))</f>
        <v/>
      </c>
    </row>
    <row r="3806" spans="1:10" thickBot="1">
      <c r="A3806" s="117"/>
      <c r="B3806" s="70">
        <f t="shared" si="241"/>
        <v>47598</v>
      </c>
      <c r="C3806" s="82" t="str">
        <f t="shared" ref="C3806:C3869" si="242">IF(B3806="","",TEXT(B3806,"jjjj"))</f>
        <v>jeudi</v>
      </c>
      <c r="D3806" s="87"/>
      <c r="E3806" s="115" t="str">
        <f t="shared" ref="E3806:E3869" si="243">IF(D3806="","",B3806+VLOOKUP(D3806,Plageh,2,0))</f>
        <v/>
      </c>
      <c r="F3806" s="115" t="str">
        <f t="shared" ref="F3806:F3869" si="244">IF(D3806="","",B3806+VLOOKUP(D3806,Plageh,3,0))</f>
        <v/>
      </c>
      <c r="G3806" s="116" t="str">
        <f>IF(ISNONTEXT(D3806),"",E3806-MAX($F$2:F3805))</f>
        <v/>
      </c>
      <c r="H3806" s="97"/>
      <c r="I3806" s="74" t="str">
        <f ca="1">IF(D3806="N",COUNTIF(INDIRECT(ADDRESS(MATCH(Plages!$D$19,'Planning annuel mixing coater'!$B:$B),4)):D3806,"N"),IF(D3806="N1",COUNTIF($D$9:D3806,"N1"),""))</f>
        <v/>
      </c>
      <c r="J3806" s="96" t="str">
        <f>IF(D3806="","",COUNTA(D3796:D3806)-(COUNTA(D3806:D3806)-1))</f>
        <v/>
      </c>
    </row>
    <row r="3807" spans="1:10" thickBot="1">
      <c r="A3807" s="117"/>
      <c r="B3807" s="70">
        <f t="shared" si="241"/>
        <v>47599</v>
      </c>
      <c r="C3807" s="82" t="str">
        <f t="shared" si="242"/>
        <v>vendredi</v>
      </c>
      <c r="D3807" s="87"/>
      <c r="E3807" s="115" t="str">
        <f t="shared" si="243"/>
        <v/>
      </c>
      <c r="F3807" s="115" t="str">
        <f t="shared" si="244"/>
        <v/>
      </c>
      <c r="G3807" s="116" t="str">
        <f>IF(ISNONTEXT(D3807),"",E3807-MAX($F$2:F3806))</f>
        <v/>
      </c>
      <c r="H3807" s="97"/>
      <c r="I3807" s="74" t="str">
        <f ca="1">IF(D3807="N",COUNTIF(INDIRECT(ADDRESS(MATCH(Plages!$D$19,'Planning annuel mixing coater'!$B:$B),4)):D3807,"N"),IF(D3807="N1",COUNTIF($D$9:D3807,"N1"),""))</f>
        <v/>
      </c>
      <c r="J3807" s="96" t="str">
        <f>IF(D3807="","",COUNTA(D3796:D3807)-(COUNTA(D3807:D3807)-1))</f>
        <v/>
      </c>
    </row>
    <row r="3808" spans="1:10" thickBot="1">
      <c r="A3808" s="117"/>
      <c r="B3808" s="70">
        <f t="shared" si="241"/>
        <v>47600</v>
      </c>
      <c r="C3808" s="82" t="str">
        <f t="shared" si="242"/>
        <v>samedi</v>
      </c>
      <c r="D3808" s="87"/>
      <c r="E3808" s="115" t="str">
        <f t="shared" si="243"/>
        <v/>
      </c>
      <c r="F3808" s="115" t="str">
        <f t="shared" si="244"/>
        <v/>
      </c>
      <c r="G3808" s="116" t="str">
        <f>IF(ISNONTEXT(D3808),"",E3808-MAX($F$2:F3807))</f>
        <v/>
      </c>
      <c r="H3808" s="97"/>
      <c r="I3808" s="74" t="str">
        <f ca="1">IF(D3808="N",COUNTIF(INDIRECT(ADDRESS(MATCH(Plages!$D$19,'Planning annuel mixing coater'!$B:$B),4)):D3808,"N"),IF(D3808="N1",COUNTIF($D$9:D3808,"N1"),""))</f>
        <v/>
      </c>
      <c r="J3808" s="96" t="str">
        <f>IF(D3808="","",COUNTA(D3796:D3808)-(COUNTA(D3808:D3808)-1))</f>
        <v/>
      </c>
    </row>
    <row r="3809" spans="1:10" s="77" customFormat="1" thickBot="1">
      <c r="A3809" s="117"/>
      <c r="B3809" s="75">
        <f t="shared" si="241"/>
        <v>47601</v>
      </c>
      <c r="C3809" s="83" t="str">
        <f t="shared" si="242"/>
        <v>dimanche</v>
      </c>
      <c r="D3809" s="88"/>
      <c r="E3809" s="115" t="str">
        <f t="shared" si="243"/>
        <v/>
      </c>
      <c r="F3809" s="115" t="str">
        <f t="shared" si="244"/>
        <v/>
      </c>
      <c r="G3809" s="116" t="str">
        <f>IF(ISNONTEXT(D3809),"",E3809-MAX($F$2:F3808))</f>
        <v/>
      </c>
      <c r="H3809" s="98"/>
      <c r="I3809" s="76" t="str">
        <f ca="1">IF(D3809="N",COUNTIF(INDIRECT(ADDRESS(MATCH(Plages!$D$19,'Planning annuel mixing coater'!$B:$B),4)):D3809,"N"),IF(D3809="N1",COUNTIF($D$9:D3809,"N1"),""))</f>
        <v/>
      </c>
      <c r="J3809" s="99" t="str">
        <f>IF(D3809="","",COUNTA(D3796:D3809)-(COUNTA(D3809:D3809)-1))</f>
        <v/>
      </c>
    </row>
    <row r="3810" spans="1:10" ht="16.5" thickTop="1" thickBot="1">
      <c r="A3810" s="117"/>
      <c r="B3810" s="78">
        <f t="shared" si="241"/>
        <v>47602</v>
      </c>
      <c r="C3810" s="81" t="str">
        <f t="shared" si="242"/>
        <v>lundi</v>
      </c>
      <c r="D3810" s="89"/>
      <c r="E3810" s="115" t="str">
        <f t="shared" si="243"/>
        <v/>
      </c>
      <c r="F3810" s="115" t="str">
        <f t="shared" si="244"/>
        <v/>
      </c>
      <c r="G3810" s="116" t="str">
        <f>IF(ISNONTEXT(D3810),"",E3810-MAX($F$2:F3809))</f>
        <v/>
      </c>
      <c r="H3810" s="100"/>
      <c r="I3810" s="79" t="str">
        <f ca="1">IF(D3810="N",COUNTIF(INDIRECT(ADDRESS(MATCH(Plages!$D$19,'Planning annuel mixing coater'!$B:$B),4)):D3810,"N"),IF(D3810="N1",COUNTIF($D$9:D3810,"N1"),""))</f>
        <v/>
      </c>
      <c r="J3810" s="101" t="str">
        <f>IF(D3810="","",COUNTA(D3810:D3810)-(COUNTA(D3810:D3810)-1))</f>
        <v/>
      </c>
    </row>
    <row r="3811" spans="1:10" thickBot="1">
      <c r="A3811" s="117"/>
      <c r="B3811" s="70">
        <f t="shared" si="241"/>
        <v>47603</v>
      </c>
      <c r="C3811" s="82" t="str">
        <f t="shared" si="242"/>
        <v>mardi</v>
      </c>
      <c r="D3811" s="87"/>
      <c r="E3811" s="115" t="str">
        <f t="shared" si="243"/>
        <v/>
      </c>
      <c r="F3811" s="115" t="str">
        <f t="shared" si="244"/>
        <v/>
      </c>
      <c r="G3811" s="116" t="str">
        <f>IF(ISNONTEXT(D3811),"",E3811-MAX($F$2:F3810))</f>
        <v/>
      </c>
      <c r="H3811" s="97"/>
      <c r="I3811" s="74" t="str">
        <f ca="1">IF(D3811="N",COUNTIF(INDIRECT(ADDRESS(MATCH(Plages!$D$19,'Planning annuel mixing coater'!$B:$B),4)):D3811,"N"),IF(D3811="N1",COUNTIF($D$9:D3811,"N1"),""))</f>
        <v/>
      </c>
      <c r="J3811" s="96" t="str">
        <f>IF(D3811="","",COUNTA(D3810:D3811)-(COUNTA(D3811:D3811)-1))</f>
        <v/>
      </c>
    </row>
    <row r="3812" spans="1:10" thickBot="1">
      <c r="A3812" s="117"/>
      <c r="B3812" s="70">
        <f t="shared" si="241"/>
        <v>47604</v>
      </c>
      <c r="C3812" s="82" t="str">
        <f t="shared" si="242"/>
        <v>mercredi</v>
      </c>
      <c r="D3812" s="87"/>
      <c r="E3812" s="115" t="str">
        <f t="shared" si="243"/>
        <v/>
      </c>
      <c r="F3812" s="115" t="str">
        <f t="shared" si="244"/>
        <v/>
      </c>
      <c r="G3812" s="116" t="str">
        <f>IF(ISNONTEXT(D3812),"",E3812-MAX($F$2:F3811))</f>
        <v/>
      </c>
      <c r="H3812" s="97"/>
      <c r="I3812" s="74" t="str">
        <f ca="1">IF(D3812="N",COUNTIF(INDIRECT(ADDRESS(MATCH(Plages!$D$19,'Planning annuel mixing coater'!$B:$B),4)):D3812,"N"),IF(D3812="N1",COUNTIF($D$9:D3812,"N1"),""))</f>
        <v/>
      </c>
      <c r="J3812" s="96" t="str">
        <f>IF(D3812="","",COUNTA(D3810:D3812)-(COUNTA(D3812:D3812)-1))</f>
        <v/>
      </c>
    </row>
    <row r="3813" spans="1:10" thickBot="1">
      <c r="A3813" s="117"/>
      <c r="B3813" s="70">
        <f t="shared" si="241"/>
        <v>47605</v>
      </c>
      <c r="C3813" s="82" t="str">
        <f t="shared" si="242"/>
        <v>jeudi</v>
      </c>
      <c r="D3813" s="87"/>
      <c r="E3813" s="115" t="str">
        <f t="shared" si="243"/>
        <v/>
      </c>
      <c r="F3813" s="115" t="str">
        <f t="shared" si="244"/>
        <v/>
      </c>
      <c r="G3813" s="116" t="str">
        <f>IF(ISNONTEXT(D3813),"",E3813-MAX($F$2:F3812))</f>
        <v/>
      </c>
      <c r="H3813" s="97"/>
      <c r="I3813" s="74" t="str">
        <f ca="1">IF(D3813="N",COUNTIF(INDIRECT(ADDRESS(MATCH(Plages!$D$19,'Planning annuel mixing coater'!$B:$B),4)):D3813,"N"),IF(D3813="N1",COUNTIF($D$9:D3813,"N1"),""))</f>
        <v/>
      </c>
      <c r="J3813" s="96" t="str">
        <f>IF(D3813="","",COUNTA(D3810:D3813)-(COUNTA(D3813:D3813)-1))</f>
        <v/>
      </c>
    </row>
    <row r="3814" spans="1:10" thickBot="1">
      <c r="A3814" s="117"/>
      <c r="B3814" s="70">
        <f t="shared" si="241"/>
        <v>47606</v>
      </c>
      <c r="C3814" s="82" t="str">
        <f t="shared" si="242"/>
        <v>vendredi</v>
      </c>
      <c r="D3814" s="87"/>
      <c r="E3814" s="115" t="str">
        <f t="shared" si="243"/>
        <v/>
      </c>
      <c r="F3814" s="115" t="str">
        <f t="shared" si="244"/>
        <v/>
      </c>
      <c r="G3814" s="116" t="str">
        <f>IF(ISNONTEXT(D3814),"",E3814-MAX($F$2:F3813))</f>
        <v/>
      </c>
      <c r="H3814" s="97"/>
      <c r="I3814" s="74" t="str">
        <f ca="1">IF(D3814="N",COUNTIF(INDIRECT(ADDRESS(MATCH(Plages!$D$19,'Planning annuel mixing coater'!$B:$B),4)):D3814,"N"),IF(D3814="N1",COUNTIF($D$9:D3814,"N1"),""))</f>
        <v/>
      </c>
      <c r="J3814" s="96" t="str">
        <f>IF(D3814="","",COUNTA(D3810:D3814)-(COUNTA(D3814:D3814)-1))</f>
        <v/>
      </c>
    </row>
    <row r="3815" spans="1:10" thickBot="1">
      <c r="A3815" s="117"/>
      <c r="B3815" s="70">
        <f t="shared" si="241"/>
        <v>47607</v>
      </c>
      <c r="C3815" s="82" t="str">
        <f t="shared" si="242"/>
        <v>samedi</v>
      </c>
      <c r="D3815" s="87"/>
      <c r="E3815" s="115" t="str">
        <f t="shared" si="243"/>
        <v/>
      </c>
      <c r="F3815" s="115" t="str">
        <f t="shared" si="244"/>
        <v/>
      </c>
      <c r="G3815" s="116" t="str">
        <f>IF(ISNONTEXT(D3815),"",E3815-MAX($F$2:F3814))</f>
        <v/>
      </c>
      <c r="H3815" s="97"/>
      <c r="I3815" s="74" t="str">
        <f ca="1">IF(D3815="N",COUNTIF(INDIRECT(ADDRESS(MATCH(Plages!$D$19,'Planning annuel mixing coater'!$B:$B),4)):D3815,"N"),IF(D3815="N1",COUNTIF($D$9:D3815,"N1"),""))</f>
        <v/>
      </c>
      <c r="J3815" s="96" t="str">
        <f>IF(D3815="","",COUNTA(D3810:D3815)-(COUNTA(D3815:D3815)-1))</f>
        <v/>
      </c>
    </row>
    <row r="3816" spans="1:10" thickBot="1">
      <c r="A3816" s="117"/>
      <c r="B3816" s="70">
        <f t="shared" si="241"/>
        <v>47608</v>
      </c>
      <c r="C3816" s="82" t="str">
        <f t="shared" si="242"/>
        <v>dimanche</v>
      </c>
      <c r="D3816" s="87"/>
      <c r="E3816" s="115" t="str">
        <f t="shared" si="243"/>
        <v/>
      </c>
      <c r="F3816" s="115" t="str">
        <f t="shared" si="244"/>
        <v/>
      </c>
      <c r="G3816" s="116" t="str">
        <f>IF(ISNONTEXT(D3816),"",E3816-MAX($F$2:F3815))</f>
        <v/>
      </c>
      <c r="H3816" s="98"/>
      <c r="I3816" s="74" t="str">
        <f ca="1">IF(D3816="N",COUNTIF(INDIRECT(ADDRESS(MATCH(Plages!$D$19,'Planning annuel mixing coater'!$B:$B),4)):D3816,"N"),IF(D3816="N1",COUNTIF($D$9:D3816,"N1"),""))</f>
        <v/>
      </c>
      <c r="J3816" s="96" t="str">
        <f>IF(D3816="","",COUNTA(D3810:D3816)-(COUNTA(D3816:D3816)-1))</f>
        <v/>
      </c>
    </row>
    <row r="3817" spans="1:10" thickBot="1">
      <c r="A3817" s="117"/>
      <c r="B3817" s="70">
        <f t="shared" si="241"/>
        <v>47609</v>
      </c>
      <c r="C3817" s="82" t="str">
        <f t="shared" si="242"/>
        <v>lundi</v>
      </c>
      <c r="D3817" s="87"/>
      <c r="E3817" s="115" t="str">
        <f t="shared" si="243"/>
        <v/>
      </c>
      <c r="F3817" s="115" t="str">
        <f t="shared" si="244"/>
        <v/>
      </c>
      <c r="G3817" s="116" t="str">
        <f>IF(ISNONTEXT(D3817),"",E3817-MAX($F$2:F3816))</f>
        <v/>
      </c>
      <c r="H3817" s="97"/>
      <c r="I3817" s="74" t="str">
        <f ca="1">IF(D3817="N",COUNTIF(INDIRECT(ADDRESS(MATCH(Plages!$D$19,'Planning annuel mixing coater'!$B:$B),4)):D3817,"N"),IF(D3817="N1",COUNTIF($D$9:D3817,"N1"),""))</f>
        <v/>
      </c>
      <c r="J3817" s="96" t="str">
        <f>IF(D3817="","",COUNTA(D3810:D3817)-(COUNTA(D3817:D3817)-1))</f>
        <v/>
      </c>
    </row>
    <row r="3818" spans="1:10" thickBot="1">
      <c r="A3818" s="117"/>
      <c r="B3818" s="70">
        <f t="shared" si="241"/>
        <v>47610</v>
      </c>
      <c r="C3818" s="82" t="str">
        <f t="shared" si="242"/>
        <v>mardi</v>
      </c>
      <c r="D3818" s="87"/>
      <c r="E3818" s="115" t="str">
        <f t="shared" si="243"/>
        <v/>
      </c>
      <c r="F3818" s="115" t="str">
        <f t="shared" si="244"/>
        <v/>
      </c>
      <c r="G3818" s="116" t="str">
        <f>IF(ISNONTEXT(D3818),"",E3818-MAX($F$2:F3817))</f>
        <v/>
      </c>
      <c r="H3818" s="97"/>
      <c r="I3818" s="74" t="str">
        <f ca="1">IF(D3818="N",COUNTIF(INDIRECT(ADDRESS(MATCH(Plages!$D$19,'Planning annuel mixing coater'!$B:$B),4)):D3818,"N"),IF(D3818="N1",COUNTIF($D$9:D3818,"N1"),""))</f>
        <v/>
      </c>
      <c r="J3818" s="96" t="str">
        <f>IF(D3818="","",COUNTA(D3810:D3818)-(COUNTA(D3818:D3818)-1))</f>
        <v/>
      </c>
    </row>
    <row r="3819" spans="1:10" thickBot="1">
      <c r="A3819" s="117"/>
      <c r="B3819" s="70">
        <f t="shared" si="241"/>
        <v>47611</v>
      </c>
      <c r="C3819" s="82" t="str">
        <f t="shared" si="242"/>
        <v>mercredi</v>
      </c>
      <c r="D3819" s="87"/>
      <c r="E3819" s="115" t="str">
        <f t="shared" si="243"/>
        <v/>
      </c>
      <c r="F3819" s="115" t="str">
        <f t="shared" si="244"/>
        <v/>
      </c>
      <c r="G3819" s="116" t="str">
        <f>IF(ISNONTEXT(D3819),"",E3819-MAX($F$2:F3818))</f>
        <v/>
      </c>
      <c r="H3819" s="97"/>
      <c r="I3819" s="74" t="str">
        <f ca="1">IF(D3819="N",COUNTIF(INDIRECT(ADDRESS(MATCH(Plages!$D$19,'Planning annuel mixing coater'!$B:$B),4)):D3819,"N"),IF(D3819="N1",COUNTIF($D$9:D3819,"N1"),""))</f>
        <v/>
      </c>
      <c r="J3819" s="96" t="str">
        <f>IF(D3819="","",COUNTA(D3810:D3819)-(COUNTA(D3819:D3819)-1))</f>
        <v/>
      </c>
    </row>
    <row r="3820" spans="1:10" thickBot="1">
      <c r="A3820" s="117"/>
      <c r="B3820" s="70">
        <f t="shared" si="241"/>
        <v>47612</v>
      </c>
      <c r="C3820" s="82" t="str">
        <f t="shared" si="242"/>
        <v>jeudi</v>
      </c>
      <c r="D3820" s="87"/>
      <c r="E3820" s="115" t="str">
        <f t="shared" si="243"/>
        <v/>
      </c>
      <c r="F3820" s="115" t="str">
        <f t="shared" si="244"/>
        <v/>
      </c>
      <c r="G3820" s="116" t="str">
        <f>IF(ISNONTEXT(D3820),"",E3820-MAX($F$2:F3819))</f>
        <v/>
      </c>
      <c r="H3820" s="97"/>
      <c r="I3820" s="74" t="str">
        <f ca="1">IF(D3820="N",COUNTIF(INDIRECT(ADDRESS(MATCH(Plages!$D$19,'Planning annuel mixing coater'!$B:$B),4)):D3820,"N"),IF(D3820="N1",COUNTIF($D$9:D3820,"N1"),""))</f>
        <v/>
      </c>
      <c r="J3820" s="96" t="str">
        <f>IF(D3820="","",COUNTA(D3810:D3820)-(COUNTA(D3820:D3820)-1))</f>
        <v/>
      </c>
    </row>
    <row r="3821" spans="1:10" thickBot="1">
      <c r="A3821" s="117"/>
      <c r="B3821" s="70">
        <f t="shared" si="241"/>
        <v>47613</v>
      </c>
      <c r="C3821" s="82" t="str">
        <f t="shared" si="242"/>
        <v>vendredi</v>
      </c>
      <c r="D3821" s="87"/>
      <c r="E3821" s="115" t="str">
        <f t="shared" si="243"/>
        <v/>
      </c>
      <c r="F3821" s="115" t="str">
        <f t="shared" si="244"/>
        <v/>
      </c>
      <c r="G3821" s="116" t="str">
        <f>IF(ISNONTEXT(D3821),"",E3821-MAX($F$2:F3820))</f>
        <v/>
      </c>
      <c r="H3821" s="97"/>
      <c r="I3821" s="74" t="str">
        <f ca="1">IF(D3821="N",COUNTIF(INDIRECT(ADDRESS(MATCH(Plages!$D$19,'Planning annuel mixing coater'!$B:$B),4)):D3821,"N"),IF(D3821="N1",COUNTIF($D$9:D3821,"N1"),""))</f>
        <v/>
      </c>
      <c r="J3821" s="96" t="str">
        <f>IF(D3821="","",COUNTA(D3810:D3821)-(COUNTA(D3821:D3821)-1))</f>
        <v/>
      </c>
    </row>
    <row r="3822" spans="1:10" thickBot="1">
      <c r="A3822" s="117"/>
      <c r="B3822" s="70">
        <f t="shared" si="241"/>
        <v>47614</v>
      </c>
      <c r="C3822" s="82" t="str">
        <f t="shared" si="242"/>
        <v>samedi</v>
      </c>
      <c r="D3822" s="87"/>
      <c r="E3822" s="115" t="str">
        <f t="shared" si="243"/>
        <v/>
      </c>
      <c r="F3822" s="115" t="str">
        <f t="shared" si="244"/>
        <v/>
      </c>
      <c r="G3822" s="116" t="str">
        <f>IF(ISNONTEXT(D3822),"",E3822-MAX($F$2:F3821))</f>
        <v/>
      </c>
      <c r="H3822" s="97"/>
      <c r="I3822" s="74" t="str">
        <f ca="1">IF(D3822="N",COUNTIF(INDIRECT(ADDRESS(MATCH(Plages!$D$19,'Planning annuel mixing coater'!$B:$B),4)):D3822,"N"),IF(D3822="N1",COUNTIF($D$9:D3822,"N1"),""))</f>
        <v/>
      </c>
      <c r="J3822" s="96" t="str">
        <f>IF(D3822="","",COUNTA(D3810:D3822)-(COUNTA(D3822:D3822)-1))</f>
        <v/>
      </c>
    </row>
    <row r="3823" spans="1:10" s="77" customFormat="1" thickBot="1">
      <c r="A3823" s="117"/>
      <c r="B3823" s="75">
        <f t="shared" si="241"/>
        <v>47615</v>
      </c>
      <c r="C3823" s="83" t="str">
        <f t="shared" si="242"/>
        <v>dimanche</v>
      </c>
      <c r="D3823" s="88"/>
      <c r="E3823" s="115" t="str">
        <f t="shared" si="243"/>
        <v/>
      </c>
      <c r="F3823" s="115" t="str">
        <f t="shared" si="244"/>
        <v/>
      </c>
      <c r="G3823" s="116" t="str">
        <f>IF(ISNONTEXT(D3823),"",E3823-MAX($F$2:F3822))</f>
        <v/>
      </c>
      <c r="H3823" s="98"/>
      <c r="I3823" s="76" t="str">
        <f ca="1">IF(D3823="N",COUNTIF(INDIRECT(ADDRESS(MATCH(Plages!$D$19,'Planning annuel mixing coater'!$B:$B),4)):D3823,"N"),IF(D3823="N1",COUNTIF($D$9:D3823,"N1"),""))</f>
        <v/>
      </c>
      <c r="J3823" s="99" t="str">
        <f>IF(D3823="","",COUNTA(D3810:D3823)-(COUNTA(D3823:D3823)-1))</f>
        <v/>
      </c>
    </row>
    <row r="3824" spans="1:10" ht="16.5" thickTop="1" thickBot="1">
      <c r="A3824" s="117"/>
      <c r="B3824" s="78">
        <f t="shared" si="241"/>
        <v>47616</v>
      </c>
      <c r="C3824" s="81" t="str">
        <f t="shared" si="242"/>
        <v>lundi</v>
      </c>
      <c r="D3824" s="89"/>
      <c r="E3824" s="115" t="str">
        <f t="shared" si="243"/>
        <v/>
      </c>
      <c r="F3824" s="115" t="str">
        <f t="shared" si="244"/>
        <v/>
      </c>
      <c r="G3824" s="116" t="str">
        <f>IF(ISNONTEXT(D3824),"",E3824-MAX($F$2:F3823))</f>
        <v/>
      </c>
      <c r="H3824" s="100"/>
      <c r="I3824" s="79" t="str">
        <f ca="1">IF(D3824="N",COUNTIF(INDIRECT(ADDRESS(MATCH(Plages!$D$19,'Planning annuel mixing coater'!$B:$B),4)):D3824,"N"),IF(D3824="N1",COUNTIF($D$9:D3824,"N1"),""))</f>
        <v/>
      </c>
      <c r="J3824" s="101" t="str">
        <f>IF(D3824="","",COUNTA(D3824:D3824)-(COUNTA(D3824:D3824)-1))</f>
        <v/>
      </c>
    </row>
    <row r="3825" spans="1:10" thickBot="1">
      <c r="A3825" s="117"/>
      <c r="B3825" s="70">
        <f t="shared" si="241"/>
        <v>47617</v>
      </c>
      <c r="C3825" s="82" t="str">
        <f t="shared" si="242"/>
        <v>mardi</v>
      </c>
      <c r="D3825" s="87"/>
      <c r="E3825" s="115" t="str">
        <f t="shared" si="243"/>
        <v/>
      </c>
      <c r="F3825" s="115" t="str">
        <f t="shared" si="244"/>
        <v/>
      </c>
      <c r="G3825" s="116" t="str">
        <f>IF(ISNONTEXT(D3825),"",E3825-MAX($F$2:F3824))</f>
        <v/>
      </c>
      <c r="H3825" s="97"/>
      <c r="I3825" s="74" t="str">
        <f ca="1">IF(D3825="N",COUNTIF(INDIRECT(ADDRESS(MATCH(Plages!$D$19,'Planning annuel mixing coater'!$B:$B),4)):D3825,"N"),IF(D3825="N1",COUNTIF($D$9:D3825,"N1"),""))</f>
        <v/>
      </c>
      <c r="J3825" s="96" t="str">
        <f>IF(D3825="","",COUNTA(D3824:D3825)-(COUNTA(D3825:D3825)-1))</f>
        <v/>
      </c>
    </row>
    <row r="3826" spans="1:10" thickBot="1">
      <c r="A3826" s="117"/>
      <c r="B3826" s="70">
        <f t="shared" si="241"/>
        <v>47618</v>
      </c>
      <c r="C3826" s="82" t="str">
        <f t="shared" si="242"/>
        <v>mercredi</v>
      </c>
      <c r="D3826" s="87"/>
      <c r="E3826" s="115" t="str">
        <f t="shared" si="243"/>
        <v/>
      </c>
      <c r="F3826" s="115" t="str">
        <f t="shared" si="244"/>
        <v/>
      </c>
      <c r="G3826" s="116" t="str">
        <f>IF(ISNONTEXT(D3826),"",E3826-MAX($F$2:F3825))</f>
        <v/>
      </c>
      <c r="H3826" s="97"/>
      <c r="I3826" s="74" t="str">
        <f ca="1">IF(D3826="N",COUNTIF(INDIRECT(ADDRESS(MATCH(Plages!$D$19,'Planning annuel mixing coater'!$B:$B),4)):D3826,"N"),IF(D3826="N1",COUNTIF($D$9:D3826,"N1"),""))</f>
        <v/>
      </c>
      <c r="J3826" s="96" t="str">
        <f>IF(D3826="","",COUNTA(D3824:D3826)-(COUNTA(D3826:D3826)-1))</f>
        <v/>
      </c>
    </row>
    <row r="3827" spans="1:10" thickBot="1">
      <c r="A3827" s="117"/>
      <c r="B3827" s="70">
        <f t="shared" si="241"/>
        <v>47619</v>
      </c>
      <c r="C3827" s="82" t="str">
        <f t="shared" si="242"/>
        <v>jeudi</v>
      </c>
      <c r="D3827" s="87"/>
      <c r="E3827" s="115" t="str">
        <f t="shared" si="243"/>
        <v/>
      </c>
      <c r="F3827" s="115" t="str">
        <f t="shared" si="244"/>
        <v/>
      </c>
      <c r="G3827" s="116" t="str">
        <f>IF(ISNONTEXT(D3827),"",E3827-MAX($F$2:F3826))</f>
        <v/>
      </c>
      <c r="H3827" s="97"/>
      <c r="I3827" s="74" t="str">
        <f ca="1">IF(D3827="N",COUNTIF(INDIRECT(ADDRESS(MATCH(Plages!$D$19,'Planning annuel mixing coater'!$B:$B),4)):D3827,"N"),IF(D3827="N1",COUNTIF($D$9:D3827,"N1"),""))</f>
        <v/>
      </c>
      <c r="J3827" s="96" t="str">
        <f>IF(D3827="","",COUNTA(D3824:D3827)-(COUNTA(D3827:D3827)-1))</f>
        <v/>
      </c>
    </row>
    <row r="3828" spans="1:10" thickBot="1">
      <c r="A3828" s="117"/>
      <c r="B3828" s="70">
        <f t="shared" si="241"/>
        <v>47620</v>
      </c>
      <c r="C3828" s="82" t="str">
        <f t="shared" si="242"/>
        <v>vendredi</v>
      </c>
      <c r="D3828" s="87"/>
      <c r="E3828" s="115" t="str">
        <f t="shared" si="243"/>
        <v/>
      </c>
      <c r="F3828" s="115" t="str">
        <f t="shared" si="244"/>
        <v/>
      </c>
      <c r="G3828" s="116" t="str">
        <f>IF(ISNONTEXT(D3828),"",E3828-MAX($F$2:F3827))</f>
        <v/>
      </c>
      <c r="H3828" s="97"/>
      <c r="I3828" s="74" t="str">
        <f ca="1">IF(D3828="N",COUNTIF(INDIRECT(ADDRESS(MATCH(Plages!$D$19,'Planning annuel mixing coater'!$B:$B),4)):D3828,"N"),IF(D3828="N1",COUNTIF($D$9:D3828,"N1"),""))</f>
        <v/>
      </c>
      <c r="J3828" s="96" t="str">
        <f>IF(D3828="","",COUNTA(D3824:D3828)-(COUNTA(D3828:D3828)-1))</f>
        <v/>
      </c>
    </row>
    <row r="3829" spans="1:10" thickBot="1">
      <c r="A3829" s="117"/>
      <c r="B3829" s="70">
        <f t="shared" si="241"/>
        <v>47621</v>
      </c>
      <c r="C3829" s="82" t="str">
        <f t="shared" si="242"/>
        <v>samedi</v>
      </c>
      <c r="D3829" s="87"/>
      <c r="E3829" s="115" t="str">
        <f t="shared" si="243"/>
        <v/>
      </c>
      <c r="F3829" s="115" t="str">
        <f t="shared" si="244"/>
        <v/>
      </c>
      <c r="G3829" s="116" t="str">
        <f>IF(ISNONTEXT(D3829),"",E3829-MAX($F$2:F3828))</f>
        <v/>
      </c>
      <c r="H3829" s="97"/>
      <c r="I3829" s="74" t="str">
        <f ca="1">IF(D3829="N",COUNTIF(INDIRECT(ADDRESS(MATCH(Plages!$D$19,'Planning annuel mixing coater'!$B:$B),4)):D3829,"N"),IF(D3829="N1",COUNTIF($D$9:D3829,"N1"),""))</f>
        <v/>
      </c>
      <c r="J3829" s="96" t="str">
        <f>IF(D3829="","",COUNTA(D3824:D3829)-(COUNTA(D3829:D3829)-1))</f>
        <v/>
      </c>
    </row>
    <row r="3830" spans="1:10" thickBot="1">
      <c r="A3830" s="117"/>
      <c r="B3830" s="70">
        <f t="shared" si="241"/>
        <v>47622</v>
      </c>
      <c r="C3830" s="82" t="str">
        <f t="shared" si="242"/>
        <v>dimanche</v>
      </c>
      <c r="D3830" s="87"/>
      <c r="E3830" s="115" t="str">
        <f t="shared" si="243"/>
        <v/>
      </c>
      <c r="F3830" s="115" t="str">
        <f t="shared" si="244"/>
        <v/>
      </c>
      <c r="G3830" s="116" t="str">
        <f>IF(ISNONTEXT(D3830),"",E3830-MAX($F$2:F3829))</f>
        <v/>
      </c>
      <c r="H3830" s="98"/>
      <c r="I3830" s="74" t="str">
        <f ca="1">IF(D3830="N",COUNTIF(INDIRECT(ADDRESS(MATCH(Plages!$D$19,'Planning annuel mixing coater'!$B:$B),4)):D3830,"N"),IF(D3830="N1",COUNTIF($D$9:D3830,"N1"),""))</f>
        <v/>
      </c>
      <c r="J3830" s="96" t="str">
        <f>IF(D3830="","",COUNTA(D3824:D3830)-(COUNTA(D3830:D3830)-1))</f>
        <v/>
      </c>
    </row>
    <row r="3831" spans="1:10" thickBot="1">
      <c r="A3831" s="117"/>
      <c r="B3831" s="70">
        <f t="shared" si="241"/>
        <v>47623</v>
      </c>
      <c r="C3831" s="82" t="str">
        <f t="shared" si="242"/>
        <v>lundi</v>
      </c>
      <c r="D3831" s="87"/>
      <c r="E3831" s="115" t="str">
        <f t="shared" si="243"/>
        <v/>
      </c>
      <c r="F3831" s="115" t="str">
        <f t="shared" si="244"/>
        <v/>
      </c>
      <c r="G3831" s="116" t="str">
        <f>IF(ISNONTEXT(D3831),"",E3831-MAX($F$2:F3830))</f>
        <v/>
      </c>
      <c r="H3831" s="97"/>
      <c r="I3831" s="74" t="str">
        <f ca="1">IF(D3831="N",COUNTIF(INDIRECT(ADDRESS(MATCH(Plages!$D$19,'Planning annuel mixing coater'!$B:$B),4)):D3831,"N"),IF(D3831="N1",COUNTIF($D$9:D3831,"N1"),""))</f>
        <v/>
      </c>
      <c r="J3831" s="96" t="str">
        <f>IF(D3831="","",COUNTA(D3824:D3831)-(COUNTA(D3831:D3831)-1))</f>
        <v/>
      </c>
    </row>
    <row r="3832" spans="1:10" thickBot="1">
      <c r="A3832" s="117"/>
      <c r="B3832" s="70">
        <f t="shared" si="241"/>
        <v>47624</v>
      </c>
      <c r="C3832" s="82" t="str">
        <f t="shared" si="242"/>
        <v>mardi</v>
      </c>
      <c r="D3832" s="87"/>
      <c r="E3832" s="115" t="str">
        <f t="shared" si="243"/>
        <v/>
      </c>
      <c r="F3832" s="115" t="str">
        <f t="shared" si="244"/>
        <v/>
      </c>
      <c r="G3832" s="116" t="str">
        <f>IF(ISNONTEXT(D3832),"",E3832-MAX($F$2:F3831))</f>
        <v/>
      </c>
      <c r="H3832" s="97"/>
      <c r="I3832" s="74" t="str">
        <f ca="1">IF(D3832="N",COUNTIF(INDIRECT(ADDRESS(MATCH(Plages!$D$19,'Planning annuel mixing coater'!$B:$B),4)):D3832,"N"),IF(D3832="N1",COUNTIF($D$9:D3832,"N1"),""))</f>
        <v/>
      </c>
      <c r="J3832" s="96" t="str">
        <f>IF(D3832="","",COUNTA(D3824:D3832)-(COUNTA(D3832:D3832)-1))</f>
        <v/>
      </c>
    </row>
    <row r="3833" spans="1:10" thickBot="1">
      <c r="A3833" s="117"/>
      <c r="B3833" s="70">
        <f t="shared" si="241"/>
        <v>47625</v>
      </c>
      <c r="C3833" s="82" t="str">
        <f t="shared" si="242"/>
        <v>mercredi</v>
      </c>
      <c r="D3833" s="87"/>
      <c r="E3833" s="115" t="str">
        <f t="shared" si="243"/>
        <v/>
      </c>
      <c r="F3833" s="115" t="str">
        <f t="shared" si="244"/>
        <v/>
      </c>
      <c r="G3833" s="116" t="str">
        <f>IF(ISNONTEXT(D3833),"",E3833-MAX($F$2:F3832))</f>
        <v/>
      </c>
      <c r="H3833" s="97"/>
      <c r="I3833" s="74" t="str">
        <f ca="1">IF(D3833="N",COUNTIF(INDIRECT(ADDRESS(MATCH(Plages!$D$19,'Planning annuel mixing coater'!$B:$B),4)):D3833,"N"),IF(D3833="N1",COUNTIF($D$9:D3833,"N1"),""))</f>
        <v/>
      </c>
      <c r="J3833" s="96" t="str">
        <f>IF(D3833="","",COUNTA(D3824:D3833)-(COUNTA(D3833:D3833)-1))</f>
        <v/>
      </c>
    </row>
    <row r="3834" spans="1:10" thickBot="1">
      <c r="A3834" s="117"/>
      <c r="B3834" s="70">
        <f t="shared" si="241"/>
        <v>47626</v>
      </c>
      <c r="C3834" s="82" t="str">
        <f t="shared" si="242"/>
        <v>jeudi</v>
      </c>
      <c r="D3834" s="87"/>
      <c r="E3834" s="115" t="str">
        <f t="shared" si="243"/>
        <v/>
      </c>
      <c r="F3834" s="115" t="str">
        <f t="shared" si="244"/>
        <v/>
      </c>
      <c r="G3834" s="116" t="str">
        <f>IF(ISNONTEXT(D3834),"",E3834-MAX($F$2:F3833))</f>
        <v/>
      </c>
      <c r="H3834" s="97"/>
      <c r="I3834" s="74" t="str">
        <f ca="1">IF(D3834="N",COUNTIF(INDIRECT(ADDRESS(MATCH(Plages!$D$19,'Planning annuel mixing coater'!$B:$B),4)):D3834,"N"),IF(D3834="N1",COUNTIF($D$9:D3834,"N1"),""))</f>
        <v/>
      </c>
      <c r="J3834" s="96" t="str">
        <f>IF(D3834="","",COUNTA(D3824:D3834)-(COUNTA(D3834:D3834)-1))</f>
        <v/>
      </c>
    </row>
    <row r="3835" spans="1:10" thickBot="1">
      <c r="A3835" s="117"/>
      <c r="B3835" s="70">
        <f t="shared" si="241"/>
        <v>47627</v>
      </c>
      <c r="C3835" s="82" t="str">
        <f t="shared" si="242"/>
        <v>vendredi</v>
      </c>
      <c r="D3835" s="87"/>
      <c r="E3835" s="115" t="str">
        <f t="shared" si="243"/>
        <v/>
      </c>
      <c r="F3835" s="115" t="str">
        <f t="shared" si="244"/>
        <v/>
      </c>
      <c r="G3835" s="116" t="str">
        <f>IF(ISNONTEXT(D3835),"",E3835-MAX($F$2:F3834))</f>
        <v/>
      </c>
      <c r="H3835" s="97"/>
      <c r="I3835" s="74" t="str">
        <f ca="1">IF(D3835="N",COUNTIF(INDIRECT(ADDRESS(MATCH(Plages!$D$19,'Planning annuel mixing coater'!$B:$B),4)):D3835,"N"),IF(D3835="N1",COUNTIF($D$9:D3835,"N1"),""))</f>
        <v/>
      </c>
      <c r="J3835" s="96" t="str">
        <f>IF(D3835="","",COUNTA(D3824:D3835)-(COUNTA(D3835:D3835)-1))</f>
        <v/>
      </c>
    </row>
    <row r="3836" spans="1:10" thickBot="1">
      <c r="A3836" s="117"/>
      <c r="B3836" s="70">
        <f t="shared" si="241"/>
        <v>47628</v>
      </c>
      <c r="C3836" s="82" t="str">
        <f t="shared" si="242"/>
        <v>samedi</v>
      </c>
      <c r="D3836" s="87"/>
      <c r="E3836" s="115" t="str">
        <f t="shared" si="243"/>
        <v/>
      </c>
      <c r="F3836" s="115" t="str">
        <f t="shared" si="244"/>
        <v/>
      </c>
      <c r="G3836" s="116" t="str">
        <f>IF(ISNONTEXT(D3836),"",E3836-MAX($F$2:F3835))</f>
        <v/>
      </c>
      <c r="H3836" s="97"/>
      <c r="I3836" s="74" t="str">
        <f ca="1">IF(D3836="N",COUNTIF(INDIRECT(ADDRESS(MATCH(Plages!$D$19,'Planning annuel mixing coater'!$B:$B),4)):D3836,"N"),IF(D3836="N1",COUNTIF($D$9:D3836,"N1"),""))</f>
        <v/>
      </c>
      <c r="J3836" s="96" t="str">
        <f>IF(D3836="","",COUNTA(D3824:D3836)-(COUNTA(D3836:D3836)-1))</f>
        <v/>
      </c>
    </row>
    <row r="3837" spans="1:10" s="77" customFormat="1" thickBot="1">
      <c r="A3837" s="117"/>
      <c r="B3837" s="75">
        <f t="shared" si="241"/>
        <v>47629</v>
      </c>
      <c r="C3837" s="83" t="str">
        <f t="shared" si="242"/>
        <v>dimanche</v>
      </c>
      <c r="D3837" s="88"/>
      <c r="E3837" s="115" t="str">
        <f t="shared" si="243"/>
        <v/>
      </c>
      <c r="F3837" s="115" t="str">
        <f t="shared" si="244"/>
        <v/>
      </c>
      <c r="G3837" s="116" t="str">
        <f>IF(ISNONTEXT(D3837),"",E3837-MAX($F$2:F3836))</f>
        <v/>
      </c>
      <c r="H3837" s="98"/>
      <c r="I3837" s="76" t="str">
        <f ca="1">IF(D3837="N",COUNTIF(INDIRECT(ADDRESS(MATCH(Plages!$D$19,'Planning annuel mixing coater'!$B:$B),4)):D3837,"N"),IF(D3837="N1",COUNTIF($D$9:D3837,"N1"),""))</f>
        <v/>
      </c>
      <c r="J3837" s="99" t="str">
        <f>IF(D3837="","",COUNTA(D3824:D3837)-(COUNTA(D3837:D3837)-1))</f>
        <v/>
      </c>
    </row>
    <row r="3838" spans="1:10" ht="16.5" thickTop="1" thickBot="1">
      <c r="A3838" s="117"/>
      <c r="B3838" s="78">
        <f t="shared" si="241"/>
        <v>47630</v>
      </c>
      <c r="C3838" s="81" t="str">
        <f t="shared" si="242"/>
        <v>lundi</v>
      </c>
      <c r="D3838" s="89"/>
      <c r="E3838" s="115" t="str">
        <f t="shared" si="243"/>
        <v/>
      </c>
      <c r="F3838" s="115" t="str">
        <f t="shared" si="244"/>
        <v/>
      </c>
      <c r="G3838" s="116" t="str">
        <f>IF(ISNONTEXT(D3838),"",E3838-MAX($F$2:F3837))</f>
        <v/>
      </c>
      <c r="H3838" s="100"/>
      <c r="I3838" s="79" t="str">
        <f ca="1">IF(D3838="N",COUNTIF(INDIRECT(ADDRESS(MATCH(Plages!$D$19,'Planning annuel mixing coater'!$B:$B),4)):D3838,"N"),IF(D3838="N1",COUNTIF($D$9:D3838,"N1"),""))</f>
        <v/>
      </c>
      <c r="J3838" s="101" t="str">
        <f>IF(D3838="","",COUNTA(D3838:D3838)-(COUNTA(D3838:D3838)-1))</f>
        <v/>
      </c>
    </row>
    <row r="3839" spans="1:10" thickBot="1">
      <c r="A3839" s="117"/>
      <c r="B3839" s="70">
        <f t="shared" si="241"/>
        <v>47631</v>
      </c>
      <c r="C3839" s="82" t="str">
        <f t="shared" si="242"/>
        <v>mardi</v>
      </c>
      <c r="D3839" s="87"/>
      <c r="E3839" s="115" t="str">
        <f t="shared" si="243"/>
        <v/>
      </c>
      <c r="F3839" s="115" t="str">
        <f t="shared" si="244"/>
        <v/>
      </c>
      <c r="G3839" s="116" t="str">
        <f>IF(ISNONTEXT(D3839),"",E3839-MAX($F$2:F3838))</f>
        <v/>
      </c>
      <c r="H3839" s="97"/>
      <c r="I3839" s="74" t="str">
        <f ca="1">IF(D3839="N",COUNTIF(INDIRECT(ADDRESS(MATCH(Plages!$D$19,'Planning annuel mixing coater'!$B:$B),4)):D3839,"N"),IF(D3839="N1",COUNTIF($D$9:D3839,"N1"),""))</f>
        <v/>
      </c>
      <c r="J3839" s="96" t="str">
        <f>IF(D3839="","",COUNTA(D3838:D3839)-(COUNTA(D3839:D3839)-1))</f>
        <v/>
      </c>
    </row>
    <row r="3840" spans="1:10" thickBot="1">
      <c r="A3840" s="117"/>
      <c r="B3840" s="70">
        <f t="shared" si="241"/>
        <v>47632</v>
      </c>
      <c r="C3840" s="82" t="str">
        <f t="shared" si="242"/>
        <v>mercredi</v>
      </c>
      <c r="D3840" s="87"/>
      <c r="E3840" s="115" t="str">
        <f t="shared" si="243"/>
        <v/>
      </c>
      <c r="F3840" s="115" t="str">
        <f t="shared" si="244"/>
        <v/>
      </c>
      <c r="G3840" s="116" t="str">
        <f>IF(ISNONTEXT(D3840),"",E3840-MAX($F$2:F3839))</f>
        <v/>
      </c>
      <c r="H3840" s="97"/>
      <c r="I3840" s="74" t="str">
        <f ca="1">IF(D3840="N",COUNTIF(INDIRECT(ADDRESS(MATCH(Plages!$D$19,'Planning annuel mixing coater'!$B:$B),4)):D3840,"N"),IF(D3840="N1",COUNTIF($D$9:D3840,"N1"),""))</f>
        <v/>
      </c>
      <c r="J3840" s="96" t="str">
        <f>IF(D3840="","",COUNTA(D3838:D3840)-(COUNTA(D3840:D3840)-1))</f>
        <v/>
      </c>
    </row>
    <row r="3841" spans="1:10" thickBot="1">
      <c r="A3841" s="117"/>
      <c r="B3841" s="70">
        <f t="shared" si="241"/>
        <v>47633</v>
      </c>
      <c r="C3841" s="82" t="str">
        <f t="shared" si="242"/>
        <v>jeudi</v>
      </c>
      <c r="D3841" s="87"/>
      <c r="E3841" s="115" t="str">
        <f t="shared" si="243"/>
        <v/>
      </c>
      <c r="F3841" s="115" t="str">
        <f t="shared" si="244"/>
        <v/>
      </c>
      <c r="G3841" s="116" t="str">
        <f>IF(ISNONTEXT(D3841),"",E3841-MAX($F$2:F3840))</f>
        <v/>
      </c>
      <c r="H3841" s="97"/>
      <c r="I3841" s="74" t="str">
        <f ca="1">IF(D3841="N",COUNTIF(INDIRECT(ADDRESS(MATCH(Plages!$D$19,'Planning annuel mixing coater'!$B:$B),4)):D3841,"N"),IF(D3841="N1",COUNTIF($D$9:D3841,"N1"),""))</f>
        <v/>
      </c>
      <c r="J3841" s="96" t="str">
        <f>IF(D3841="","",COUNTA(D3838:D3841)-(COUNTA(D3841:D3841)-1))</f>
        <v/>
      </c>
    </row>
    <row r="3842" spans="1:10" thickBot="1">
      <c r="A3842" s="117"/>
      <c r="B3842" s="70">
        <f t="shared" si="241"/>
        <v>47634</v>
      </c>
      <c r="C3842" s="82" t="str">
        <f t="shared" si="242"/>
        <v>vendredi</v>
      </c>
      <c r="D3842" s="87"/>
      <c r="E3842" s="115" t="str">
        <f t="shared" si="243"/>
        <v/>
      </c>
      <c r="F3842" s="115" t="str">
        <f t="shared" si="244"/>
        <v/>
      </c>
      <c r="G3842" s="116" t="str">
        <f>IF(ISNONTEXT(D3842),"",E3842-MAX($F$2:F3841))</f>
        <v/>
      </c>
      <c r="H3842" s="97"/>
      <c r="I3842" s="74" t="str">
        <f ca="1">IF(D3842="N",COUNTIF(INDIRECT(ADDRESS(MATCH(Plages!$D$19,'Planning annuel mixing coater'!$B:$B),4)):D3842,"N"),IF(D3842="N1",COUNTIF($D$9:D3842,"N1"),""))</f>
        <v/>
      </c>
      <c r="J3842" s="96" t="str">
        <f>IF(D3842="","",COUNTA(D3838:D3842)-(COUNTA(D3842:D3842)-1))</f>
        <v/>
      </c>
    </row>
    <row r="3843" spans="1:10" thickBot="1">
      <c r="A3843" s="117"/>
      <c r="B3843" s="70">
        <f t="shared" si="241"/>
        <v>47635</v>
      </c>
      <c r="C3843" s="82" t="str">
        <f t="shared" si="242"/>
        <v>samedi</v>
      </c>
      <c r="D3843" s="87"/>
      <c r="E3843" s="115" t="str">
        <f t="shared" si="243"/>
        <v/>
      </c>
      <c r="F3843" s="115" t="str">
        <f t="shared" si="244"/>
        <v/>
      </c>
      <c r="G3843" s="116" t="str">
        <f>IF(ISNONTEXT(D3843),"",E3843-MAX($F$2:F3842))</f>
        <v/>
      </c>
      <c r="H3843" s="97"/>
      <c r="I3843" s="74" t="str">
        <f ca="1">IF(D3843="N",COUNTIF(INDIRECT(ADDRESS(MATCH(Plages!$D$19,'Planning annuel mixing coater'!$B:$B),4)):D3843,"N"),IF(D3843="N1",COUNTIF($D$9:D3843,"N1"),""))</f>
        <v/>
      </c>
      <c r="J3843" s="96" t="str">
        <f>IF(D3843="","",COUNTA(D3838:D3843)-(COUNTA(D3843:D3843)-1))</f>
        <v/>
      </c>
    </row>
    <row r="3844" spans="1:10" thickBot="1">
      <c r="A3844" s="117"/>
      <c r="B3844" s="70">
        <f t="shared" ref="B3844:B3907" si="245">IF(B3843="","",B3843+1)</f>
        <v>47636</v>
      </c>
      <c r="C3844" s="82" t="str">
        <f t="shared" si="242"/>
        <v>dimanche</v>
      </c>
      <c r="D3844" s="87"/>
      <c r="E3844" s="115" t="str">
        <f t="shared" si="243"/>
        <v/>
      </c>
      <c r="F3844" s="115" t="str">
        <f t="shared" si="244"/>
        <v/>
      </c>
      <c r="G3844" s="116" t="str">
        <f>IF(ISNONTEXT(D3844),"",E3844-MAX($F$2:F3843))</f>
        <v/>
      </c>
      <c r="H3844" s="98"/>
      <c r="I3844" s="74" t="str">
        <f ca="1">IF(D3844="N",COUNTIF(INDIRECT(ADDRESS(MATCH(Plages!$D$19,'Planning annuel mixing coater'!$B:$B),4)):D3844,"N"),IF(D3844="N1",COUNTIF($D$9:D3844,"N1"),""))</f>
        <v/>
      </c>
      <c r="J3844" s="96" t="str">
        <f>IF(D3844="","",COUNTA(D3838:D3844)-(COUNTA(D3844:D3844)-1))</f>
        <v/>
      </c>
    </row>
    <row r="3845" spans="1:10" thickBot="1">
      <c r="A3845" s="117"/>
      <c r="B3845" s="70">
        <f t="shared" si="245"/>
        <v>47637</v>
      </c>
      <c r="C3845" s="82" t="str">
        <f t="shared" si="242"/>
        <v>lundi</v>
      </c>
      <c r="D3845" s="87"/>
      <c r="E3845" s="115" t="str">
        <f t="shared" si="243"/>
        <v/>
      </c>
      <c r="F3845" s="115" t="str">
        <f t="shared" si="244"/>
        <v/>
      </c>
      <c r="G3845" s="116" t="str">
        <f>IF(ISNONTEXT(D3845),"",E3845-MAX($F$2:F3844))</f>
        <v/>
      </c>
      <c r="H3845" s="97"/>
      <c r="I3845" s="74" t="str">
        <f ca="1">IF(D3845="N",COUNTIF(INDIRECT(ADDRESS(MATCH(Plages!$D$19,'Planning annuel mixing coater'!$B:$B),4)):D3845,"N"),IF(D3845="N1",COUNTIF($D$9:D3845,"N1"),""))</f>
        <v/>
      </c>
      <c r="J3845" s="96" t="str">
        <f>IF(D3845="","",COUNTA(D3838:D3845)-(COUNTA(D3845:D3845)-1))</f>
        <v/>
      </c>
    </row>
    <row r="3846" spans="1:10" thickBot="1">
      <c r="A3846" s="117"/>
      <c r="B3846" s="70">
        <f t="shared" si="245"/>
        <v>47638</v>
      </c>
      <c r="C3846" s="82" t="str">
        <f t="shared" si="242"/>
        <v>mardi</v>
      </c>
      <c r="D3846" s="87"/>
      <c r="E3846" s="115" t="str">
        <f t="shared" si="243"/>
        <v/>
      </c>
      <c r="F3846" s="115" t="str">
        <f t="shared" si="244"/>
        <v/>
      </c>
      <c r="G3846" s="116" t="str">
        <f>IF(ISNONTEXT(D3846),"",E3846-MAX($F$2:F3845))</f>
        <v/>
      </c>
      <c r="H3846" s="97"/>
      <c r="I3846" s="74" t="str">
        <f ca="1">IF(D3846="N",COUNTIF(INDIRECT(ADDRESS(MATCH(Plages!$D$19,'Planning annuel mixing coater'!$B:$B),4)):D3846,"N"),IF(D3846="N1",COUNTIF($D$9:D3846,"N1"),""))</f>
        <v/>
      </c>
      <c r="J3846" s="96" t="str">
        <f>IF(D3846="","",COUNTA(D3838:D3846)-(COUNTA(D3846:D3846)-1))</f>
        <v/>
      </c>
    </row>
    <row r="3847" spans="1:10" thickBot="1">
      <c r="A3847" s="117"/>
      <c r="B3847" s="70">
        <f t="shared" si="245"/>
        <v>47639</v>
      </c>
      <c r="C3847" s="82" t="str">
        <f t="shared" si="242"/>
        <v>mercredi</v>
      </c>
      <c r="D3847" s="87"/>
      <c r="E3847" s="115" t="str">
        <f t="shared" si="243"/>
        <v/>
      </c>
      <c r="F3847" s="115" t="str">
        <f t="shared" si="244"/>
        <v/>
      </c>
      <c r="G3847" s="116" t="str">
        <f>IF(ISNONTEXT(D3847),"",E3847-MAX($F$2:F3846))</f>
        <v/>
      </c>
      <c r="H3847" s="97"/>
      <c r="I3847" s="74" t="str">
        <f ca="1">IF(D3847="N",COUNTIF(INDIRECT(ADDRESS(MATCH(Plages!$D$19,'Planning annuel mixing coater'!$B:$B),4)):D3847,"N"),IF(D3847="N1",COUNTIF($D$9:D3847,"N1"),""))</f>
        <v/>
      </c>
      <c r="J3847" s="96" t="str">
        <f>IF(D3847="","",COUNTA(D3838:D3847)-(COUNTA(D3847:D3847)-1))</f>
        <v/>
      </c>
    </row>
    <row r="3848" spans="1:10" thickBot="1">
      <c r="A3848" s="117"/>
      <c r="B3848" s="70">
        <f t="shared" si="245"/>
        <v>47640</v>
      </c>
      <c r="C3848" s="82" t="str">
        <f t="shared" si="242"/>
        <v>jeudi</v>
      </c>
      <c r="D3848" s="87"/>
      <c r="E3848" s="115" t="str">
        <f t="shared" si="243"/>
        <v/>
      </c>
      <c r="F3848" s="115" t="str">
        <f t="shared" si="244"/>
        <v/>
      </c>
      <c r="G3848" s="116" t="str">
        <f>IF(ISNONTEXT(D3848),"",E3848-MAX($F$2:F3847))</f>
        <v/>
      </c>
      <c r="H3848" s="97"/>
      <c r="I3848" s="74" t="str">
        <f ca="1">IF(D3848="N",COUNTIF(INDIRECT(ADDRESS(MATCH(Plages!$D$19,'Planning annuel mixing coater'!$B:$B),4)):D3848,"N"),IF(D3848="N1",COUNTIF($D$9:D3848,"N1"),""))</f>
        <v/>
      </c>
      <c r="J3848" s="96" t="str">
        <f>IF(D3848="","",COUNTA(D3838:D3848)-(COUNTA(D3848:D3848)-1))</f>
        <v/>
      </c>
    </row>
    <row r="3849" spans="1:10" thickBot="1">
      <c r="A3849" s="117"/>
      <c r="B3849" s="70">
        <f t="shared" si="245"/>
        <v>47641</v>
      </c>
      <c r="C3849" s="82" t="str">
        <f t="shared" si="242"/>
        <v>vendredi</v>
      </c>
      <c r="D3849" s="87"/>
      <c r="E3849" s="115" t="str">
        <f t="shared" si="243"/>
        <v/>
      </c>
      <c r="F3849" s="115" t="str">
        <f t="shared" si="244"/>
        <v/>
      </c>
      <c r="G3849" s="116" t="str">
        <f>IF(ISNONTEXT(D3849),"",E3849-MAX($F$2:F3848))</f>
        <v/>
      </c>
      <c r="H3849" s="97"/>
      <c r="I3849" s="74" t="str">
        <f ca="1">IF(D3849="N",COUNTIF(INDIRECT(ADDRESS(MATCH(Plages!$D$19,'Planning annuel mixing coater'!$B:$B),4)):D3849,"N"),IF(D3849="N1",COUNTIF($D$9:D3849,"N1"),""))</f>
        <v/>
      </c>
      <c r="J3849" s="96" t="str">
        <f>IF(D3849="","",COUNTA(D3838:D3849)-(COUNTA(D3849:D3849)-1))</f>
        <v/>
      </c>
    </row>
    <row r="3850" spans="1:10" thickBot="1">
      <c r="A3850" s="117"/>
      <c r="B3850" s="70">
        <f t="shared" si="245"/>
        <v>47642</v>
      </c>
      <c r="C3850" s="82" t="str">
        <f t="shared" si="242"/>
        <v>samedi</v>
      </c>
      <c r="D3850" s="87"/>
      <c r="E3850" s="115" t="str">
        <f t="shared" si="243"/>
        <v/>
      </c>
      <c r="F3850" s="115" t="str">
        <f t="shared" si="244"/>
        <v/>
      </c>
      <c r="G3850" s="116" t="str">
        <f>IF(ISNONTEXT(D3850),"",E3850-MAX($F$2:F3849))</f>
        <v/>
      </c>
      <c r="H3850" s="97"/>
      <c r="I3850" s="74" t="str">
        <f ca="1">IF(D3850="N",COUNTIF(INDIRECT(ADDRESS(MATCH(Plages!$D$19,'Planning annuel mixing coater'!$B:$B),4)):D3850,"N"),IF(D3850="N1",COUNTIF($D$9:D3850,"N1"),""))</f>
        <v/>
      </c>
      <c r="J3850" s="96" t="str">
        <f>IF(D3850="","",COUNTA(D3838:D3850)-(COUNTA(D3850:D3850)-1))</f>
        <v/>
      </c>
    </row>
    <row r="3851" spans="1:10" s="77" customFormat="1" thickBot="1">
      <c r="A3851" s="117"/>
      <c r="B3851" s="75">
        <f t="shared" si="245"/>
        <v>47643</v>
      </c>
      <c r="C3851" s="83" t="str">
        <f t="shared" si="242"/>
        <v>dimanche</v>
      </c>
      <c r="D3851" s="88"/>
      <c r="E3851" s="115" t="str">
        <f t="shared" si="243"/>
        <v/>
      </c>
      <c r="F3851" s="115" t="str">
        <f t="shared" si="244"/>
        <v/>
      </c>
      <c r="G3851" s="116" t="str">
        <f>IF(ISNONTEXT(D3851),"",E3851-MAX($F$2:F3850))</f>
        <v/>
      </c>
      <c r="H3851" s="98"/>
      <c r="I3851" s="76" t="str">
        <f ca="1">IF(D3851="N",COUNTIF(INDIRECT(ADDRESS(MATCH(Plages!$D$19,'Planning annuel mixing coater'!$B:$B),4)):D3851,"N"),IF(D3851="N1",COUNTIF($D$9:D3851,"N1"),""))</f>
        <v/>
      </c>
      <c r="J3851" s="99" t="str">
        <f>IF(D3851="","",COUNTA(D3838:D3851)-(COUNTA(D3851:D3851)-1))</f>
        <v/>
      </c>
    </row>
    <row r="3852" spans="1:10" ht="16.5" thickTop="1" thickBot="1">
      <c r="A3852" s="117"/>
      <c r="B3852" s="78">
        <f t="shared" si="245"/>
        <v>47644</v>
      </c>
      <c r="C3852" s="81" t="str">
        <f t="shared" si="242"/>
        <v>lundi</v>
      </c>
      <c r="D3852" s="89"/>
      <c r="E3852" s="115" t="str">
        <f t="shared" si="243"/>
        <v/>
      </c>
      <c r="F3852" s="115" t="str">
        <f t="shared" si="244"/>
        <v/>
      </c>
      <c r="G3852" s="116" t="str">
        <f>IF(ISNONTEXT(D3852),"",E3852-MAX($F$2:F3851))</f>
        <v/>
      </c>
      <c r="H3852" s="100"/>
      <c r="I3852" s="79" t="str">
        <f ca="1">IF(D3852="N",COUNTIF(INDIRECT(ADDRESS(MATCH(Plages!$D$19,'Planning annuel mixing coater'!$B:$B),4)):D3852,"N"),IF(D3852="N1",COUNTIF($D$9:D3852,"N1"),""))</f>
        <v/>
      </c>
      <c r="J3852" s="101" t="str">
        <f>IF(D3852="","",COUNTA(D3852:D3852)-(COUNTA(D3852:D3852)-1))</f>
        <v/>
      </c>
    </row>
    <row r="3853" spans="1:10" thickBot="1">
      <c r="A3853" s="117"/>
      <c r="B3853" s="70">
        <f t="shared" si="245"/>
        <v>47645</v>
      </c>
      <c r="C3853" s="82" t="str">
        <f t="shared" si="242"/>
        <v>mardi</v>
      </c>
      <c r="D3853" s="87"/>
      <c r="E3853" s="115" t="str">
        <f t="shared" si="243"/>
        <v/>
      </c>
      <c r="F3853" s="115" t="str">
        <f t="shared" si="244"/>
        <v/>
      </c>
      <c r="G3853" s="116" t="str">
        <f>IF(ISNONTEXT(D3853),"",E3853-MAX($F$2:F3852))</f>
        <v/>
      </c>
      <c r="H3853" s="97"/>
      <c r="I3853" s="74" t="str">
        <f ca="1">IF(D3853="N",COUNTIF(INDIRECT(ADDRESS(MATCH(Plages!$D$19,'Planning annuel mixing coater'!$B:$B),4)):D3853,"N"),IF(D3853="N1",COUNTIF($D$9:D3853,"N1"),""))</f>
        <v/>
      </c>
      <c r="J3853" s="96" t="str">
        <f>IF(D3853="","",COUNTA(D3852:D3853)-(COUNTA(D3853:D3853)-1))</f>
        <v/>
      </c>
    </row>
    <row r="3854" spans="1:10" thickBot="1">
      <c r="A3854" s="117"/>
      <c r="B3854" s="70">
        <f t="shared" si="245"/>
        <v>47646</v>
      </c>
      <c r="C3854" s="82" t="str">
        <f t="shared" si="242"/>
        <v>mercredi</v>
      </c>
      <c r="D3854" s="87"/>
      <c r="E3854" s="115" t="str">
        <f t="shared" si="243"/>
        <v/>
      </c>
      <c r="F3854" s="115" t="str">
        <f t="shared" si="244"/>
        <v/>
      </c>
      <c r="G3854" s="116" t="str">
        <f>IF(ISNONTEXT(D3854),"",E3854-MAX($F$2:F3853))</f>
        <v/>
      </c>
      <c r="H3854" s="97"/>
      <c r="I3854" s="74" t="str">
        <f ca="1">IF(D3854="N",COUNTIF(INDIRECT(ADDRESS(MATCH(Plages!$D$19,'Planning annuel mixing coater'!$B:$B),4)):D3854,"N"),IF(D3854="N1",COUNTIF($D$9:D3854,"N1"),""))</f>
        <v/>
      </c>
      <c r="J3854" s="96" t="str">
        <f>IF(D3854="","",COUNTA(D3852:D3854)-(COUNTA(D3854:D3854)-1))</f>
        <v/>
      </c>
    </row>
    <row r="3855" spans="1:10" thickBot="1">
      <c r="A3855" s="117"/>
      <c r="B3855" s="70">
        <f t="shared" si="245"/>
        <v>47647</v>
      </c>
      <c r="C3855" s="82" t="str">
        <f t="shared" si="242"/>
        <v>jeudi</v>
      </c>
      <c r="D3855" s="87"/>
      <c r="E3855" s="115" t="str">
        <f t="shared" si="243"/>
        <v/>
      </c>
      <c r="F3855" s="115" t="str">
        <f t="shared" si="244"/>
        <v/>
      </c>
      <c r="G3855" s="116" t="str">
        <f>IF(ISNONTEXT(D3855),"",E3855-MAX($F$2:F3854))</f>
        <v/>
      </c>
      <c r="H3855" s="97"/>
      <c r="I3855" s="74" t="str">
        <f ca="1">IF(D3855="N",COUNTIF(INDIRECT(ADDRESS(MATCH(Plages!$D$19,'Planning annuel mixing coater'!$B:$B),4)):D3855,"N"),IF(D3855="N1",COUNTIF($D$9:D3855,"N1"),""))</f>
        <v/>
      </c>
      <c r="J3855" s="96" t="str">
        <f>IF(D3855="","",COUNTA(D3852:D3855)-(COUNTA(D3855:D3855)-1))</f>
        <v/>
      </c>
    </row>
    <row r="3856" spans="1:10" thickBot="1">
      <c r="A3856" s="117"/>
      <c r="B3856" s="70">
        <f t="shared" si="245"/>
        <v>47648</v>
      </c>
      <c r="C3856" s="82" t="str">
        <f t="shared" si="242"/>
        <v>vendredi</v>
      </c>
      <c r="D3856" s="87"/>
      <c r="E3856" s="115" t="str">
        <f t="shared" si="243"/>
        <v/>
      </c>
      <c r="F3856" s="115" t="str">
        <f t="shared" si="244"/>
        <v/>
      </c>
      <c r="G3856" s="116" t="str">
        <f>IF(ISNONTEXT(D3856),"",E3856-MAX($F$2:F3855))</f>
        <v/>
      </c>
      <c r="H3856" s="97"/>
      <c r="I3856" s="74" t="str">
        <f ca="1">IF(D3856="N",COUNTIF(INDIRECT(ADDRESS(MATCH(Plages!$D$19,'Planning annuel mixing coater'!$B:$B),4)):D3856,"N"),IF(D3856="N1",COUNTIF($D$9:D3856,"N1"),""))</f>
        <v/>
      </c>
      <c r="J3856" s="96" t="str">
        <f>IF(D3856="","",COUNTA(D3852:D3856)-(COUNTA(D3856:D3856)-1))</f>
        <v/>
      </c>
    </row>
    <row r="3857" spans="1:10" thickBot="1">
      <c r="A3857" s="117"/>
      <c r="B3857" s="70">
        <f t="shared" si="245"/>
        <v>47649</v>
      </c>
      <c r="C3857" s="82" t="str">
        <f t="shared" si="242"/>
        <v>samedi</v>
      </c>
      <c r="D3857" s="87"/>
      <c r="E3857" s="115" t="str">
        <f t="shared" si="243"/>
        <v/>
      </c>
      <c r="F3857" s="115" t="str">
        <f t="shared" si="244"/>
        <v/>
      </c>
      <c r="G3857" s="116" t="str">
        <f>IF(ISNONTEXT(D3857),"",E3857-MAX($F$2:F3856))</f>
        <v/>
      </c>
      <c r="H3857" s="97"/>
      <c r="I3857" s="74" t="str">
        <f ca="1">IF(D3857="N",COUNTIF(INDIRECT(ADDRESS(MATCH(Plages!$D$19,'Planning annuel mixing coater'!$B:$B),4)):D3857,"N"),IF(D3857="N1",COUNTIF($D$9:D3857,"N1"),""))</f>
        <v/>
      </c>
      <c r="J3857" s="96" t="str">
        <f>IF(D3857="","",COUNTA(D3852:D3857)-(COUNTA(D3857:D3857)-1))</f>
        <v/>
      </c>
    </row>
    <row r="3858" spans="1:10" thickBot="1">
      <c r="A3858" s="117"/>
      <c r="B3858" s="70">
        <f t="shared" si="245"/>
        <v>47650</v>
      </c>
      <c r="C3858" s="82" t="str">
        <f t="shared" si="242"/>
        <v>dimanche</v>
      </c>
      <c r="D3858" s="87"/>
      <c r="E3858" s="115" t="str">
        <f t="shared" si="243"/>
        <v/>
      </c>
      <c r="F3858" s="115" t="str">
        <f t="shared" si="244"/>
        <v/>
      </c>
      <c r="G3858" s="116" t="str">
        <f>IF(ISNONTEXT(D3858),"",E3858-MAX($F$2:F3857))</f>
        <v/>
      </c>
      <c r="H3858" s="98"/>
      <c r="I3858" s="74" t="str">
        <f ca="1">IF(D3858="N",COUNTIF(INDIRECT(ADDRESS(MATCH(Plages!$D$19,'Planning annuel mixing coater'!$B:$B),4)):D3858,"N"),IF(D3858="N1",COUNTIF($D$9:D3858,"N1"),""))</f>
        <v/>
      </c>
      <c r="J3858" s="96" t="str">
        <f>IF(D3858="","",COUNTA(D3852:D3858)-(COUNTA(D3858:D3858)-1))</f>
        <v/>
      </c>
    </row>
    <row r="3859" spans="1:10" thickBot="1">
      <c r="A3859" s="117"/>
      <c r="B3859" s="70">
        <f t="shared" si="245"/>
        <v>47651</v>
      </c>
      <c r="C3859" s="82" t="str">
        <f t="shared" si="242"/>
        <v>lundi</v>
      </c>
      <c r="D3859" s="87"/>
      <c r="E3859" s="115" t="str">
        <f t="shared" si="243"/>
        <v/>
      </c>
      <c r="F3859" s="115" t="str">
        <f t="shared" si="244"/>
        <v/>
      </c>
      <c r="G3859" s="116" t="str">
        <f>IF(ISNONTEXT(D3859),"",E3859-MAX($F$2:F3858))</f>
        <v/>
      </c>
      <c r="H3859" s="97"/>
      <c r="I3859" s="74" t="str">
        <f ca="1">IF(D3859="N",COUNTIF(INDIRECT(ADDRESS(MATCH(Plages!$D$19,'Planning annuel mixing coater'!$B:$B),4)):D3859,"N"),IF(D3859="N1",COUNTIF($D$9:D3859,"N1"),""))</f>
        <v/>
      </c>
      <c r="J3859" s="96" t="str">
        <f>IF(D3859="","",COUNTA(D3852:D3859)-(COUNTA(D3859:D3859)-1))</f>
        <v/>
      </c>
    </row>
    <row r="3860" spans="1:10" thickBot="1">
      <c r="A3860" s="117"/>
      <c r="B3860" s="70">
        <f t="shared" si="245"/>
        <v>47652</v>
      </c>
      <c r="C3860" s="82" t="str">
        <f t="shared" si="242"/>
        <v>mardi</v>
      </c>
      <c r="D3860" s="87"/>
      <c r="E3860" s="115" t="str">
        <f t="shared" si="243"/>
        <v/>
      </c>
      <c r="F3860" s="115" t="str">
        <f t="shared" si="244"/>
        <v/>
      </c>
      <c r="G3860" s="116" t="str">
        <f>IF(ISNONTEXT(D3860),"",E3860-MAX($F$2:F3859))</f>
        <v/>
      </c>
      <c r="H3860" s="97"/>
      <c r="I3860" s="74" t="str">
        <f ca="1">IF(D3860="N",COUNTIF(INDIRECT(ADDRESS(MATCH(Plages!$D$19,'Planning annuel mixing coater'!$B:$B),4)):D3860,"N"),IF(D3860="N1",COUNTIF($D$9:D3860,"N1"),""))</f>
        <v/>
      </c>
      <c r="J3860" s="96" t="str">
        <f>IF(D3860="","",COUNTA(D3852:D3860)-(COUNTA(D3860:D3860)-1))</f>
        <v/>
      </c>
    </row>
    <row r="3861" spans="1:10" thickBot="1">
      <c r="A3861" s="117"/>
      <c r="B3861" s="70">
        <f t="shared" si="245"/>
        <v>47653</v>
      </c>
      <c r="C3861" s="82" t="str">
        <f t="shared" si="242"/>
        <v>mercredi</v>
      </c>
      <c r="D3861" s="87"/>
      <c r="E3861" s="115" t="str">
        <f t="shared" si="243"/>
        <v/>
      </c>
      <c r="F3861" s="115" t="str">
        <f t="shared" si="244"/>
        <v/>
      </c>
      <c r="G3861" s="116" t="str">
        <f>IF(ISNONTEXT(D3861),"",E3861-MAX($F$2:F3860))</f>
        <v/>
      </c>
      <c r="H3861" s="97"/>
      <c r="I3861" s="74" t="str">
        <f ca="1">IF(D3861="N",COUNTIF(INDIRECT(ADDRESS(MATCH(Plages!$D$19,'Planning annuel mixing coater'!$B:$B),4)):D3861,"N"),IF(D3861="N1",COUNTIF($D$9:D3861,"N1"),""))</f>
        <v/>
      </c>
      <c r="J3861" s="96" t="str">
        <f>IF(D3861="","",COUNTA(D3852:D3861)-(COUNTA(D3861:D3861)-1))</f>
        <v/>
      </c>
    </row>
    <row r="3862" spans="1:10" thickBot="1">
      <c r="A3862" s="117"/>
      <c r="B3862" s="70">
        <f t="shared" si="245"/>
        <v>47654</v>
      </c>
      <c r="C3862" s="82" t="str">
        <f t="shared" si="242"/>
        <v>jeudi</v>
      </c>
      <c r="D3862" s="87"/>
      <c r="E3862" s="115" t="str">
        <f t="shared" si="243"/>
        <v/>
      </c>
      <c r="F3862" s="115" t="str">
        <f t="shared" si="244"/>
        <v/>
      </c>
      <c r="G3862" s="116" t="str">
        <f>IF(ISNONTEXT(D3862),"",E3862-MAX($F$2:F3861))</f>
        <v/>
      </c>
      <c r="H3862" s="97"/>
      <c r="I3862" s="74" t="str">
        <f ca="1">IF(D3862="N",COUNTIF(INDIRECT(ADDRESS(MATCH(Plages!$D$19,'Planning annuel mixing coater'!$B:$B),4)):D3862,"N"),IF(D3862="N1",COUNTIF($D$9:D3862,"N1"),""))</f>
        <v/>
      </c>
      <c r="J3862" s="96" t="str">
        <f>IF(D3862="","",COUNTA(D3852:D3862)-(COUNTA(D3862:D3862)-1))</f>
        <v/>
      </c>
    </row>
    <row r="3863" spans="1:10" thickBot="1">
      <c r="A3863" s="117"/>
      <c r="B3863" s="70">
        <f t="shared" si="245"/>
        <v>47655</v>
      </c>
      <c r="C3863" s="82" t="str">
        <f t="shared" si="242"/>
        <v>vendredi</v>
      </c>
      <c r="D3863" s="87"/>
      <c r="E3863" s="115" t="str">
        <f t="shared" si="243"/>
        <v/>
      </c>
      <c r="F3863" s="115" t="str">
        <f t="shared" si="244"/>
        <v/>
      </c>
      <c r="G3863" s="116" t="str">
        <f>IF(ISNONTEXT(D3863),"",E3863-MAX($F$2:F3862))</f>
        <v/>
      </c>
      <c r="H3863" s="97"/>
      <c r="I3863" s="74" t="str">
        <f ca="1">IF(D3863="N",COUNTIF(INDIRECT(ADDRESS(MATCH(Plages!$D$19,'Planning annuel mixing coater'!$B:$B),4)):D3863,"N"),IF(D3863="N1",COUNTIF($D$9:D3863,"N1"),""))</f>
        <v/>
      </c>
      <c r="J3863" s="96" t="str">
        <f>IF(D3863="","",COUNTA(D3852:D3863)-(COUNTA(D3863:D3863)-1))</f>
        <v/>
      </c>
    </row>
    <row r="3864" spans="1:10" thickBot="1">
      <c r="A3864" s="117"/>
      <c r="B3864" s="70">
        <f t="shared" si="245"/>
        <v>47656</v>
      </c>
      <c r="C3864" s="82" t="str">
        <f t="shared" si="242"/>
        <v>samedi</v>
      </c>
      <c r="D3864" s="87"/>
      <c r="E3864" s="115" t="str">
        <f t="shared" si="243"/>
        <v/>
      </c>
      <c r="F3864" s="115" t="str">
        <f t="shared" si="244"/>
        <v/>
      </c>
      <c r="G3864" s="116" t="str">
        <f>IF(ISNONTEXT(D3864),"",E3864-MAX($F$2:F3863))</f>
        <v/>
      </c>
      <c r="H3864" s="97"/>
      <c r="I3864" s="74" t="str">
        <f ca="1">IF(D3864="N",COUNTIF(INDIRECT(ADDRESS(MATCH(Plages!$D$19,'Planning annuel mixing coater'!$B:$B),4)):D3864,"N"),IF(D3864="N1",COUNTIF($D$9:D3864,"N1"),""))</f>
        <v/>
      </c>
      <c r="J3864" s="96" t="str">
        <f>IF(D3864="","",COUNTA(D3852:D3864)-(COUNTA(D3864:D3864)-1))</f>
        <v/>
      </c>
    </row>
    <row r="3865" spans="1:10" s="77" customFormat="1" thickBot="1">
      <c r="A3865" s="117"/>
      <c r="B3865" s="75">
        <f t="shared" si="245"/>
        <v>47657</v>
      </c>
      <c r="C3865" s="83" t="str">
        <f t="shared" si="242"/>
        <v>dimanche</v>
      </c>
      <c r="D3865" s="88"/>
      <c r="E3865" s="115" t="str">
        <f t="shared" si="243"/>
        <v/>
      </c>
      <c r="F3865" s="115" t="str">
        <f t="shared" si="244"/>
        <v/>
      </c>
      <c r="G3865" s="116" t="str">
        <f>IF(ISNONTEXT(D3865),"",E3865-MAX($F$2:F3864))</f>
        <v/>
      </c>
      <c r="H3865" s="98"/>
      <c r="I3865" s="76" t="str">
        <f ca="1">IF(D3865="N",COUNTIF(INDIRECT(ADDRESS(MATCH(Plages!$D$19,'Planning annuel mixing coater'!$B:$B),4)):D3865,"N"),IF(D3865="N1",COUNTIF($D$9:D3865,"N1"),""))</f>
        <v/>
      </c>
      <c r="J3865" s="99" t="str">
        <f>IF(D3865="","",COUNTA(D3852:D3865)-(COUNTA(D3865:D3865)-1))</f>
        <v/>
      </c>
    </row>
    <row r="3866" spans="1:10" ht="16.5" thickTop="1" thickBot="1">
      <c r="A3866" s="117"/>
      <c r="B3866" s="78">
        <f t="shared" si="245"/>
        <v>47658</v>
      </c>
      <c r="C3866" s="81" t="str">
        <f t="shared" si="242"/>
        <v>lundi</v>
      </c>
      <c r="D3866" s="89"/>
      <c r="E3866" s="115" t="str">
        <f t="shared" si="243"/>
        <v/>
      </c>
      <c r="F3866" s="115" t="str">
        <f t="shared" si="244"/>
        <v/>
      </c>
      <c r="G3866" s="116" t="str">
        <f>IF(ISNONTEXT(D3866),"",E3866-MAX($F$2:F3865))</f>
        <v/>
      </c>
      <c r="H3866" s="100"/>
      <c r="I3866" s="79" t="str">
        <f ca="1">IF(D3866="N",COUNTIF(INDIRECT(ADDRESS(MATCH(Plages!$D$19,'Planning annuel mixing coater'!$B:$B),4)):D3866,"N"),IF(D3866="N1",COUNTIF($D$9:D3866,"N1"),""))</f>
        <v/>
      </c>
      <c r="J3866" s="101" t="str">
        <f>IF(D3866="","",COUNTA(D3866:D3866)-(COUNTA(D3866:D3866)-1))</f>
        <v/>
      </c>
    </row>
    <row r="3867" spans="1:10" thickBot="1">
      <c r="A3867" s="117"/>
      <c r="B3867" s="70">
        <f t="shared" si="245"/>
        <v>47659</v>
      </c>
      <c r="C3867" s="82" t="str">
        <f t="shared" si="242"/>
        <v>mardi</v>
      </c>
      <c r="D3867" s="87"/>
      <c r="E3867" s="115" t="str">
        <f t="shared" si="243"/>
        <v/>
      </c>
      <c r="F3867" s="115" t="str">
        <f t="shared" si="244"/>
        <v/>
      </c>
      <c r="G3867" s="116" t="str">
        <f>IF(ISNONTEXT(D3867),"",E3867-MAX($F$2:F3866))</f>
        <v/>
      </c>
      <c r="H3867" s="97"/>
      <c r="I3867" s="74" t="str">
        <f ca="1">IF(D3867="N",COUNTIF(INDIRECT(ADDRESS(MATCH(Plages!$D$19,'Planning annuel mixing coater'!$B:$B),4)):D3867,"N"),IF(D3867="N1",COUNTIF($D$9:D3867,"N1"),""))</f>
        <v/>
      </c>
      <c r="J3867" s="96" t="str">
        <f>IF(D3867="","",COUNTA(D3866:D3867)-(COUNTA(D3867:D3867)-1))</f>
        <v/>
      </c>
    </row>
    <row r="3868" spans="1:10" thickBot="1">
      <c r="A3868" s="117"/>
      <c r="B3868" s="70">
        <f t="shared" si="245"/>
        <v>47660</v>
      </c>
      <c r="C3868" s="82" t="str">
        <f t="shared" si="242"/>
        <v>mercredi</v>
      </c>
      <c r="D3868" s="87"/>
      <c r="E3868" s="115" t="str">
        <f t="shared" si="243"/>
        <v/>
      </c>
      <c r="F3868" s="115" t="str">
        <f t="shared" si="244"/>
        <v/>
      </c>
      <c r="G3868" s="116" t="str">
        <f>IF(ISNONTEXT(D3868),"",E3868-MAX($F$2:F3867))</f>
        <v/>
      </c>
      <c r="H3868" s="97"/>
      <c r="I3868" s="74" t="str">
        <f ca="1">IF(D3868="N",COUNTIF(INDIRECT(ADDRESS(MATCH(Plages!$D$19,'Planning annuel mixing coater'!$B:$B),4)):D3868,"N"),IF(D3868="N1",COUNTIF($D$9:D3868,"N1"),""))</f>
        <v/>
      </c>
      <c r="J3868" s="96" t="str">
        <f>IF(D3868="","",COUNTA(D3866:D3868)-(COUNTA(D3868:D3868)-1))</f>
        <v/>
      </c>
    </row>
    <row r="3869" spans="1:10" thickBot="1">
      <c r="A3869" s="117"/>
      <c r="B3869" s="70">
        <f t="shared" si="245"/>
        <v>47661</v>
      </c>
      <c r="C3869" s="82" t="str">
        <f t="shared" si="242"/>
        <v>jeudi</v>
      </c>
      <c r="D3869" s="87"/>
      <c r="E3869" s="115" t="str">
        <f t="shared" si="243"/>
        <v/>
      </c>
      <c r="F3869" s="115" t="str">
        <f t="shared" si="244"/>
        <v/>
      </c>
      <c r="G3869" s="116" t="str">
        <f>IF(ISNONTEXT(D3869),"",E3869-MAX($F$2:F3868))</f>
        <v/>
      </c>
      <c r="H3869" s="97"/>
      <c r="I3869" s="74" t="str">
        <f ca="1">IF(D3869="N",COUNTIF(INDIRECT(ADDRESS(MATCH(Plages!$D$19,'Planning annuel mixing coater'!$B:$B),4)):D3869,"N"),IF(D3869="N1",COUNTIF($D$9:D3869,"N1"),""))</f>
        <v/>
      </c>
      <c r="J3869" s="96" t="str">
        <f>IF(D3869="","",COUNTA(D3866:D3869)-(COUNTA(D3869:D3869)-1))</f>
        <v/>
      </c>
    </row>
    <row r="3870" spans="1:10" thickBot="1">
      <c r="A3870" s="117"/>
      <c r="B3870" s="70">
        <f t="shared" si="245"/>
        <v>47662</v>
      </c>
      <c r="C3870" s="82" t="str">
        <f t="shared" ref="C3870:C3933" si="246">IF(B3870="","",TEXT(B3870,"jjjj"))</f>
        <v>vendredi</v>
      </c>
      <c r="D3870" s="87"/>
      <c r="E3870" s="115" t="str">
        <f t="shared" ref="E3870:E3933" si="247">IF(D3870="","",B3870+VLOOKUP(D3870,Plageh,2,0))</f>
        <v/>
      </c>
      <c r="F3870" s="115" t="str">
        <f t="shared" ref="F3870:F3933" si="248">IF(D3870="","",B3870+VLOOKUP(D3870,Plageh,3,0))</f>
        <v/>
      </c>
      <c r="G3870" s="116" t="str">
        <f>IF(ISNONTEXT(D3870),"",E3870-MAX($F$2:F3869))</f>
        <v/>
      </c>
      <c r="H3870" s="97"/>
      <c r="I3870" s="74" t="str">
        <f ca="1">IF(D3870="N",COUNTIF(INDIRECT(ADDRESS(MATCH(Plages!$D$19,'Planning annuel mixing coater'!$B:$B),4)):D3870,"N"),IF(D3870="N1",COUNTIF($D$9:D3870,"N1"),""))</f>
        <v/>
      </c>
      <c r="J3870" s="96" t="str">
        <f>IF(D3870="","",COUNTA(D3866:D3870)-(COUNTA(D3870:D3870)-1))</f>
        <v/>
      </c>
    </row>
    <row r="3871" spans="1:10" thickBot="1">
      <c r="A3871" s="117"/>
      <c r="B3871" s="70">
        <f t="shared" si="245"/>
        <v>47663</v>
      </c>
      <c r="C3871" s="82" t="str">
        <f t="shared" si="246"/>
        <v>samedi</v>
      </c>
      <c r="D3871" s="87"/>
      <c r="E3871" s="115" t="str">
        <f t="shared" si="247"/>
        <v/>
      </c>
      <c r="F3871" s="115" t="str">
        <f t="shared" si="248"/>
        <v/>
      </c>
      <c r="G3871" s="116" t="str">
        <f>IF(ISNONTEXT(D3871),"",E3871-MAX($F$2:F3870))</f>
        <v/>
      </c>
      <c r="H3871" s="97"/>
      <c r="I3871" s="74" t="str">
        <f ca="1">IF(D3871="N",COUNTIF(INDIRECT(ADDRESS(MATCH(Plages!$D$19,'Planning annuel mixing coater'!$B:$B),4)):D3871,"N"),IF(D3871="N1",COUNTIF($D$9:D3871,"N1"),""))</f>
        <v/>
      </c>
      <c r="J3871" s="96" t="str">
        <f>IF(D3871="","",COUNTA(D3866:D3871)-(COUNTA(D3871:D3871)-1))</f>
        <v/>
      </c>
    </row>
    <row r="3872" spans="1:10" thickBot="1">
      <c r="A3872" s="117"/>
      <c r="B3872" s="70">
        <f t="shared" si="245"/>
        <v>47664</v>
      </c>
      <c r="C3872" s="82" t="str">
        <f t="shared" si="246"/>
        <v>dimanche</v>
      </c>
      <c r="D3872" s="87"/>
      <c r="E3872" s="115" t="str">
        <f t="shared" si="247"/>
        <v/>
      </c>
      <c r="F3872" s="115" t="str">
        <f t="shared" si="248"/>
        <v/>
      </c>
      <c r="G3872" s="116" t="str">
        <f>IF(ISNONTEXT(D3872),"",E3872-MAX($F$2:F3871))</f>
        <v/>
      </c>
      <c r="H3872" s="98"/>
      <c r="I3872" s="74" t="str">
        <f ca="1">IF(D3872="N",COUNTIF(INDIRECT(ADDRESS(MATCH(Plages!$D$19,'Planning annuel mixing coater'!$B:$B),4)):D3872,"N"),IF(D3872="N1",COUNTIF($D$9:D3872,"N1"),""))</f>
        <v/>
      </c>
      <c r="J3872" s="96" t="str">
        <f>IF(D3872="","",COUNTA(D3866:D3872)-(COUNTA(D3872:D3872)-1))</f>
        <v/>
      </c>
    </row>
    <row r="3873" spans="1:10" thickBot="1">
      <c r="A3873" s="117"/>
      <c r="B3873" s="70">
        <f t="shared" si="245"/>
        <v>47665</v>
      </c>
      <c r="C3873" s="82" t="str">
        <f t="shared" si="246"/>
        <v>lundi</v>
      </c>
      <c r="D3873" s="87"/>
      <c r="E3873" s="115" t="str">
        <f t="shared" si="247"/>
        <v/>
      </c>
      <c r="F3873" s="115" t="str">
        <f t="shared" si="248"/>
        <v/>
      </c>
      <c r="G3873" s="116" t="str">
        <f>IF(ISNONTEXT(D3873),"",E3873-MAX($F$2:F3872))</f>
        <v/>
      </c>
      <c r="H3873" s="97"/>
      <c r="I3873" s="74" t="str">
        <f ca="1">IF(D3873="N",COUNTIF(INDIRECT(ADDRESS(MATCH(Plages!$D$19,'Planning annuel mixing coater'!$B:$B),4)):D3873,"N"),IF(D3873="N1",COUNTIF($D$9:D3873,"N1"),""))</f>
        <v/>
      </c>
      <c r="J3873" s="96" t="str">
        <f>IF(D3873="","",COUNTA(D3866:D3873)-(COUNTA(D3873:D3873)-1))</f>
        <v/>
      </c>
    </row>
    <row r="3874" spans="1:10" thickBot="1">
      <c r="A3874" s="117"/>
      <c r="B3874" s="70">
        <f t="shared" si="245"/>
        <v>47666</v>
      </c>
      <c r="C3874" s="82" t="str">
        <f t="shared" si="246"/>
        <v>mardi</v>
      </c>
      <c r="D3874" s="87"/>
      <c r="E3874" s="115" t="str">
        <f t="shared" si="247"/>
        <v/>
      </c>
      <c r="F3874" s="115" t="str">
        <f t="shared" si="248"/>
        <v/>
      </c>
      <c r="G3874" s="116" t="str">
        <f>IF(ISNONTEXT(D3874),"",E3874-MAX($F$2:F3873))</f>
        <v/>
      </c>
      <c r="H3874" s="97"/>
      <c r="I3874" s="74" t="str">
        <f ca="1">IF(D3874="N",COUNTIF(INDIRECT(ADDRESS(MATCH(Plages!$D$19,'Planning annuel mixing coater'!$B:$B),4)):D3874,"N"),IF(D3874="N1",COUNTIF($D$9:D3874,"N1"),""))</f>
        <v/>
      </c>
      <c r="J3874" s="96" t="str">
        <f>IF(D3874="","",COUNTA(D3866:D3874)-(COUNTA(D3874:D3874)-1))</f>
        <v/>
      </c>
    </row>
    <row r="3875" spans="1:10" thickBot="1">
      <c r="A3875" s="117"/>
      <c r="B3875" s="70">
        <f t="shared" si="245"/>
        <v>47667</v>
      </c>
      <c r="C3875" s="82" t="str">
        <f t="shared" si="246"/>
        <v>mercredi</v>
      </c>
      <c r="D3875" s="87"/>
      <c r="E3875" s="115" t="str">
        <f t="shared" si="247"/>
        <v/>
      </c>
      <c r="F3875" s="115" t="str">
        <f t="shared" si="248"/>
        <v/>
      </c>
      <c r="G3875" s="116" t="str">
        <f>IF(ISNONTEXT(D3875),"",E3875-MAX($F$2:F3874))</f>
        <v/>
      </c>
      <c r="H3875" s="97"/>
      <c r="I3875" s="74" t="str">
        <f ca="1">IF(D3875="N",COUNTIF(INDIRECT(ADDRESS(MATCH(Plages!$D$19,'Planning annuel mixing coater'!$B:$B),4)):D3875,"N"),IF(D3875="N1",COUNTIF($D$9:D3875,"N1"),""))</f>
        <v/>
      </c>
      <c r="J3875" s="96" t="str">
        <f>IF(D3875="","",COUNTA(D3866:D3875)-(COUNTA(D3875:D3875)-1))</f>
        <v/>
      </c>
    </row>
    <row r="3876" spans="1:10" thickBot="1">
      <c r="A3876" s="117"/>
      <c r="B3876" s="70">
        <f t="shared" si="245"/>
        <v>47668</v>
      </c>
      <c r="C3876" s="82" t="str">
        <f t="shared" si="246"/>
        <v>jeudi</v>
      </c>
      <c r="D3876" s="87"/>
      <c r="E3876" s="115" t="str">
        <f t="shared" si="247"/>
        <v/>
      </c>
      <c r="F3876" s="115" t="str">
        <f t="shared" si="248"/>
        <v/>
      </c>
      <c r="G3876" s="116" t="str">
        <f>IF(ISNONTEXT(D3876),"",E3876-MAX($F$2:F3875))</f>
        <v/>
      </c>
      <c r="H3876" s="97"/>
      <c r="I3876" s="74" t="str">
        <f ca="1">IF(D3876="N",COUNTIF(INDIRECT(ADDRESS(MATCH(Plages!$D$19,'Planning annuel mixing coater'!$B:$B),4)):D3876,"N"),IF(D3876="N1",COUNTIF($D$9:D3876,"N1"),""))</f>
        <v/>
      </c>
      <c r="J3876" s="96" t="str">
        <f>IF(D3876="","",COUNTA(D3866:D3876)-(COUNTA(D3876:D3876)-1))</f>
        <v/>
      </c>
    </row>
    <row r="3877" spans="1:10" thickBot="1">
      <c r="A3877" s="117"/>
      <c r="B3877" s="70">
        <f t="shared" si="245"/>
        <v>47669</v>
      </c>
      <c r="C3877" s="82" t="str">
        <f t="shared" si="246"/>
        <v>vendredi</v>
      </c>
      <c r="D3877" s="87"/>
      <c r="E3877" s="115" t="str">
        <f t="shared" si="247"/>
        <v/>
      </c>
      <c r="F3877" s="115" t="str">
        <f t="shared" si="248"/>
        <v/>
      </c>
      <c r="G3877" s="116" t="str">
        <f>IF(ISNONTEXT(D3877),"",E3877-MAX($F$2:F3876))</f>
        <v/>
      </c>
      <c r="H3877" s="97"/>
      <c r="I3877" s="74" t="str">
        <f ca="1">IF(D3877="N",COUNTIF(INDIRECT(ADDRESS(MATCH(Plages!$D$19,'Planning annuel mixing coater'!$B:$B),4)):D3877,"N"),IF(D3877="N1",COUNTIF($D$9:D3877,"N1"),""))</f>
        <v/>
      </c>
      <c r="J3877" s="96" t="str">
        <f>IF(D3877="","",COUNTA(D3866:D3877)-(COUNTA(D3877:D3877)-1))</f>
        <v/>
      </c>
    </row>
    <row r="3878" spans="1:10" thickBot="1">
      <c r="A3878" s="117"/>
      <c r="B3878" s="70">
        <f t="shared" si="245"/>
        <v>47670</v>
      </c>
      <c r="C3878" s="82" t="str">
        <f t="shared" si="246"/>
        <v>samedi</v>
      </c>
      <c r="D3878" s="87"/>
      <c r="E3878" s="115" t="str">
        <f t="shared" si="247"/>
        <v/>
      </c>
      <c r="F3878" s="115" t="str">
        <f t="shared" si="248"/>
        <v/>
      </c>
      <c r="G3878" s="116" t="str">
        <f>IF(ISNONTEXT(D3878),"",E3878-MAX($F$2:F3877))</f>
        <v/>
      </c>
      <c r="H3878" s="97"/>
      <c r="I3878" s="74" t="str">
        <f ca="1">IF(D3878="N",COUNTIF(INDIRECT(ADDRESS(MATCH(Plages!$D$19,'Planning annuel mixing coater'!$B:$B),4)):D3878,"N"),IF(D3878="N1",COUNTIF($D$9:D3878,"N1"),""))</f>
        <v/>
      </c>
      <c r="J3878" s="96" t="str">
        <f>IF(D3878="","",COUNTA(D3866:D3878)-(COUNTA(D3878:D3878)-1))</f>
        <v/>
      </c>
    </row>
    <row r="3879" spans="1:10" s="77" customFormat="1" thickBot="1">
      <c r="A3879" s="117"/>
      <c r="B3879" s="75">
        <f t="shared" si="245"/>
        <v>47671</v>
      </c>
      <c r="C3879" s="83" t="str">
        <f t="shared" si="246"/>
        <v>dimanche</v>
      </c>
      <c r="D3879" s="88"/>
      <c r="E3879" s="115" t="str">
        <f t="shared" si="247"/>
        <v/>
      </c>
      <c r="F3879" s="115" t="str">
        <f t="shared" si="248"/>
        <v/>
      </c>
      <c r="G3879" s="116" t="str">
        <f>IF(ISNONTEXT(D3879),"",E3879-MAX($F$2:F3878))</f>
        <v/>
      </c>
      <c r="H3879" s="98"/>
      <c r="I3879" s="76" t="str">
        <f ca="1">IF(D3879="N",COUNTIF(INDIRECT(ADDRESS(MATCH(Plages!$D$19,'Planning annuel mixing coater'!$B:$B),4)):D3879,"N"),IF(D3879="N1",COUNTIF($D$9:D3879,"N1"),""))</f>
        <v/>
      </c>
      <c r="J3879" s="99" t="str">
        <f>IF(D3879="","",COUNTA(D3866:D3879)-(COUNTA(D3879:D3879)-1))</f>
        <v/>
      </c>
    </row>
    <row r="3880" spans="1:10" ht="16.5" thickTop="1" thickBot="1">
      <c r="A3880" s="117"/>
      <c r="B3880" s="78">
        <f t="shared" si="245"/>
        <v>47672</v>
      </c>
      <c r="C3880" s="81" t="str">
        <f t="shared" si="246"/>
        <v>lundi</v>
      </c>
      <c r="D3880" s="89"/>
      <c r="E3880" s="115" t="str">
        <f t="shared" si="247"/>
        <v/>
      </c>
      <c r="F3880" s="115" t="str">
        <f t="shared" si="248"/>
        <v/>
      </c>
      <c r="G3880" s="116" t="str">
        <f>IF(ISNONTEXT(D3880),"",E3880-MAX($F$2:F3879))</f>
        <v/>
      </c>
      <c r="H3880" s="100"/>
      <c r="I3880" s="79" t="str">
        <f ca="1">IF(D3880="N",COUNTIF(INDIRECT(ADDRESS(MATCH(Plages!$D$19,'Planning annuel mixing coater'!$B:$B),4)):D3880,"N"),IF(D3880="N1",COUNTIF($D$9:D3880,"N1"),""))</f>
        <v/>
      </c>
      <c r="J3880" s="101" t="str">
        <f>IF(D3880="","",COUNTA(D3880:D3880)-(COUNTA(D3880:D3880)-1))</f>
        <v/>
      </c>
    </row>
    <row r="3881" spans="1:10" thickBot="1">
      <c r="A3881" s="117"/>
      <c r="B3881" s="70">
        <f t="shared" si="245"/>
        <v>47673</v>
      </c>
      <c r="C3881" s="82" t="str">
        <f t="shared" si="246"/>
        <v>mardi</v>
      </c>
      <c r="D3881" s="87"/>
      <c r="E3881" s="115" t="str">
        <f t="shared" si="247"/>
        <v/>
      </c>
      <c r="F3881" s="115" t="str">
        <f t="shared" si="248"/>
        <v/>
      </c>
      <c r="G3881" s="116" t="str">
        <f>IF(ISNONTEXT(D3881),"",E3881-MAX($F$2:F3880))</f>
        <v/>
      </c>
      <c r="H3881" s="97"/>
      <c r="I3881" s="74" t="str">
        <f ca="1">IF(D3881="N",COUNTIF(INDIRECT(ADDRESS(MATCH(Plages!$D$19,'Planning annuel mixing coater'!$B:$B),4)):D3881,"N"),IF(D3881="N1",COUNTIF($D$9:D3881,"N1"),""))</f>
        <v/>
      </c>
      <c r="J3881" s="96" t="str">
        <f>IF(D3881="","",COUNTA(D3880:D3881)-(COUNTA(D3881:D3881)-1))</f>
        <v/>
      </c>
    </row>
    <row r="3882" spans="1:10" thickBot="1">
      <c r="A3882" s="117"/>
      <c r="B3882" s="70">
        <f t="shared" si="245"/>
        <v>47674</v>
      </c>
      <c r="C3882" s="82" t="str">
        <f t="shared" si="246"/>
        <v>mercredi</v>
      </c>
      <c r="D3882" s="87"/>
      <c r="E3882" s="115" t="str">
        <f t="shared" si="247"/>
        <v/>
      </c>
      <c r="F3882" s="115" t="str">
        <f t="shared" si="248"/>
        <v/>
      </c>
      <c r="G3882" s="116" t="str">
        <f>IF(ISNONTEXT(D3882),"",E3882-MAX($F$2:F3881))</f>
        <v/>
      </c>
      <c r="H3882" s="97"/>
      <c r="I3882" s="74" t="str">
        <f ca="1">IF(D3882="N",COUNTIF(INDIRECT(ADDRESS(MATCH(Plages!$D$19,'Planning annuel mixing coater'!$B:$B),4)):D3882,"N"),IF(D3882="N1",COUNTIF($D$9:D3882,"N1"),""))</f>
        <v/>
      </c>
      <c r="J3882" s="96" t="str">
        <f>IF(D3882="","",COUNTA(D3880:D3882)-(COUNTA(D3882:D3882)-1))</f>
        <v/>
      </c>
    </row>
    <row r="3883" spans="1:10" thickBot="1">
      <c r="A3883" s="117"/>
      <c r="B3883" s="70">
        <f t="shared" si="245"/>
        <v>47675</v>
      </c>
      <c r="C3883" s="82" t="str">
        <f t="shared" si="246"/>
        <v>jeudi</v>
      </c>
      <c r="D3883" s="87"/>
      <c r="E3883" s="115" t="str">
        <f t="shared" si="247"/>
        <v/>
      </c>
      <c r="F3883" s="115" t="str">
        <f t="shared" si="248"/>
        <v/>
      </c>
      <c r="G3883" s="116" t="str">
        <f>IF(ISNONTEXT(D3883),"",E3883-MAX($F$2:F3882))</f>
        <v/>
      </c>
      <c r="H3883" s="97"/>
      <c r="I3883" s="74" t="str">
        <f ca="1">IF(D3883="N",COUNTIF(INDIRECT(ADDRESS(MATCH(Plages!$D$19,'Planning annuel mixing coater'!$B:$B),4)):D3883,"N"),IF(D3883="N1",COUNTIF($D$9:D3883,"N1"),""))</f>
        <v/>
      </c>
      <c r="J3883" s="96" t="str">
        <f>IF(D3883="","",COUNTA(D3880:D3883)-(COUNTA(D3883:D3883)-1))</f>
        <v/>
      </c>
    </row>
    <row r="3884" spans="1:10" thickBot="1">
      <c r="A3884" s="117"/>
      <c r="B3884" s="70">
        <f t="shared" si="245"/>
        <v>47676</v>
      </c>
      <c r="C3884" s="82" t="str">
        <f t="shared" si="246"/>
        <v>vendredi</v>
      </c>
      <c r="D3884" s="87"/>
      <c r="E3884" s="115" t="str">
        <f t="shared" si="247"/>
        <v/>
      </c>
      <c r="F3884" s="115" t="str">
        <f t="shared" si="248"/>
        <v/>
      </c>
      <c r="G3884" s="116" t="str">
        <f>IF(ISNONTEXT(D3884),"",E3884-MAX($F$2:F3883))</f>
        <v/>
      </c>
      <c r="H3884" s="97"/>
      <c r="I3884" s="74" t="str">
        <f ca="1">IF(D3884="N",COUNTIF(INDIRECT(ADDRESS(MATCH(Plages!$D$19,'Planning annuel mixing coater'!$B:$B),4)):D3884,"N"),IF(D3884="N1",COUNTIF($D$9:D3884,"N1"),""))</f>
        <v/>
      </c>
      <c r="J3884" s="96" t="str">
        <f>IF(D3884="","",COUNTA(D3880:D3884)-(COUNTA(D3884:D3884)-1))</f>
        <v/>
      </c>
    </row>
    <row r="3885" spans="1:10" thickBot="1">
      <c r="A3885" s="117"/>
      <c r="B3885" s="70">
        <f t="shared" si="245"/>
        <v>47677</v>
      </c>
      <c r="C3885" s="82" t="str">
        <f t="shared" si="246"/>
        <v>samedi</v>
      </c>
      <c r="D3885" s="87"/>
      <c r="E3885" s="115" t="str">
        <f t="shared" si="247"/>
        <v/>
      </c>
      <c r="F3885" s="115" t="str">
        <f t="shared" si="248"/>
        <v/>
      </c>
      <c r="G3885" s="116" t="str">
        <f>IF(ISNONTEXT(D3885),"",E3885-MAX($F$2:F3884))</f>
        <v/>
      </c>
      <c r="H3885" s="97"/>
      <c r="I3885" s="74" t="str">
        <f ca="1">IF(D3885="N",COUNTIF(INDIRECT(ADDRESS(MATCH(Plages!$D$19,'Planning annuel mixing coater'!$B:$B),4)):D3885,"N"),IF(D3885="N1",COUNTIF($D$9:D3885,"N1"),""))</f>
        <v/>
      </c>
      <c r="J3885" s="96" t="str">
        <f>IF(D3885="","",COUNTA(D3880:D3885)-(COUNTA(D3885:D3885)-1))</f>
        <v/>
      </c>
    </row>
    <row r="3886" spans="1:10" thickBot="1">
      <c r="A3886" s="117"/>
      <c r="B3886" s="70">
        <f t="shared" si="245"/>
        <v>47678</v>
      </c>
      <c r="C3886" s="82" t="str">
        <f t="shared" si="246"/>
        <v>dimanche</v>
      </c>
      <c r="D3886" s="87"/>
      <c r="E3886" s="115" t="str">
        <f t="shared" si="247"/>
        <v/>
      </c>
      <c r="F3886" s="115" t="str">
        <f t="shared" si="248"/>
        <v/>
      </c>
      <c r="G3886" s="116" t="str">
        <f>IF(ISNONTEXT(D3886),"",E3886-MAX($F$2:F3885))</f>
        <v/>
      </c>
      <c r="H3886" s="98"/>
      <c r="I3886" s="74" t="str">
        <f ca="1">IF(D3886="N",COUNTIF(INDIRECT(ADDRESS(MATCH(Plages!$D$19,'Planning annuel mixing coater'!$B:$B),4)):D3886,"N"),IF(D3886="N1",COUNTIF($D$9:D3886,"N1"),""))</f>
        <v/>
      </c>
      <c r="J3886" s="96" t="str">
        <f>IF(D3886="","",COUNTA(D3880:D3886)-(COUNTA(D3886:D3886)-1))</f>
        <v/>
      </c>
    </row>
    <row r="3887" spans="1:10" thickBot="1">
      <c r="A3887" s="117"/>
      <c r="B3887" s="70">
        <f t="shared" si="245"/>
        <v>47679</v>
      </c>
      <c r="C3887" s="82" t="str">
        <f t="shared" si="246"/>
        <v>lundi</v>
      </c>
      <c r="D3887" s="87"/>
      <c r="E3887" s="115" t="str">
        <f t="shared" si="247"/>
        <v/>
      </c>
      <c r="F3887" s="115" t="str">
        <f t="shared" si="248"/>
        <v/>
      </c>
      <c r="G3887" s="116" t="str">
        <f>IF(ISNONTEXT(D3887),"",E3887-MAX($F$2:F3886))</f>
        <v/>
      </c>
      <c r="H3887" s="97"/>
      <c r="I3887" s="74" t="str">
        <f ca="1">IF(D3887="N",COUNTIF(INDIRECT(ADDRESS(MATCH(Plages!$D$19,'Planning annuel mixing coater'!$B:$B),4)):D3887,"N"),IF(D3887="N1",COUNTIF($D$9:D3887,"N1"),""))</f>
        <v/>
      </c>
      <c r="J3887" s="96" t="str">
        <f>IF(D3887="","",COUNTA(D3880:D3887)-(COUNTA(D3887:D3887)-1))</f>
        <v/>
      </c>
    </row>
    <row r="3888" spans="1:10" thickBot="1">
      <c r="A3888" s="117"/>
      <c r="B3888" s="70">
        <f t="shared" si="245"/>
        <v>47680</v>
      </c>
      <c r="C3888" s="82" t="str">
        <f t="shared" si="246"/>
        <v>mardi</v>
      </c>
      <c r="D3888" s="87"/>
      <c r="E3888" s="115" t="str">
        <f t="shared" si="247"/>
        <v/>
      </c>
      <c r="F3888" s="115" t="str">
        <f t="shared" si="248"/>
        <v/>
      </c>
      <c r="G3888" s="116" t="str">
        <f>IF(ISNONTEXT(D3888),"",E3888-MAX($F$2:F3887))</f>
        <v/>
      </c>
      <c r="H3888" s="97"/>
      <c r="I3888" s="74" t="str">
        <f ca="1">IF(D3888="N",COUNTIF(INDIRECT(ADDRESS(MATCH(Plages!$D$19,'Planning annuel mixing coater'!$B:$B),4)):D3888,"N"),IF(D3888="N1",COUNTIF($D$9:D3888,"N1"),""))</f>
        <v/>
      </c>
      <c r="J3888" s="96" t="str">
        <f>IF(D3888="","",COUNTA(D3880:D3888)-(COUNTA(D3888:D3888)-1))</f>
        <v/>
      </c>
    </row>
    <row r="3889" spans="1:10" thickBot="1">
      <c r="A3889" s="117"/>
      <c r="B3889" s="70">
        <f t="shared" si="245"/>
        <v>47681</v>
      </c>
      <c r="C3889" s="82" t="str">
        <f t="shared" si="246"/>
        <v>mercredi</v>
      </c>
      <c r="D3889" s="87"/>
      <c r="E3889" s="115" t="str">
        <f t="shared" si="247"/>
        <v/>
      </c>
      <c r="F3889" s="115" t="str">
        <f t="shared" si="248"/>
        <v/>
      </c>
      <c r="G3889" s="116" t="str">
        <f>IF(ISNONTEXT(D3889),"",E3889-MAX($F$2:F3888))</f>
        <v/>
      </c>
      <c r="H3889" s="97"/>
      <c r="I3889" s="74" t="str">
        <f ca="1">IF(D3889="N",COUNTIF(INDIRECT(ADDRESS(MATCH(Plages!$D$19,'Planning annuel mixing coater'!$B:$B),4)):D3889,"N"),IF(D3889="N1",COUNTIF($D$9:D3889,"N1"),""))</f>
        <v/>
      </c>
      <c r="J3889" s="96" t="str">
        <f>IF(D3889="","",COUNTA(D3880:D3889)-(COUNTA(D3889:D3889)-1))</f>
        <v/>
      </c>
    </row>
    <row r="3890" spans="1:10" thickBot="1">
      <c r="A3890" s="117"/>
      <c r="B3890" s="70">
        <f t="shared" si="245"/>
        <v>47682</v>
      </c>
      <c r="C3890" s="82" t="str">
        <f t="shared" si="246"/>
        <v>jeudi</v>
      </c>
      <c r="D3890" s="87"/>
      <c r="E3890" s="115" t="str">
        <f t="shared" si="247"/>
        <v/>
      </c>
      <c r="F3890" s="115" t="str">
        <f t="shared" si="248"/>
        <v/>
      </c>
      <c r="G3890" s="116" t="str">
        <f>IF(ISNONTEXT(D3890),"",E3890-MAX($F$2:F3889))</f>
        <v/>
      </c>
      <c r="H3890" s="97"/>
      <c r="I3890" s="74" t="str">
        <f ca="1">IF(D3890="N",COUNTIF(INDIRECT(ADDRESS(MATCH(Plages!$D$19,'Planning annuel mixing coater'!$B:$B),4)):D3890,"N"),IF(D3890="N1",COUNTIF($D$9:D3890,"N1"),""))</f>
        <v/>
      </c>
      <c r="J3890" s="96" t="str">
        <f>IF(D3890="","",COUNTA(D3880:D3890)-(COUNTA(D3890:D3890)-1))</f>
        <v/>
      </c>
    </row>
    <row r="3891" spans="1:10" thickBot="1">
      <c r="A3891" s="117"/>
      <c r="B3891" s="70">
        <f t="shared" si="245"/>
        <v>47683</v>
      </c>
      <c r="C3891" s="82" t="str">
        <f t="shared" si="246"/>
        <v>vendredi</v>
      </c>
      <c r="D3891" s="87"/>
      <c r="E3891" s="115" t="str">
        <f t="shared" si="247"/>
        <v/>
      </c>
      <c r="F3891" s="115" t="str">
        <f t="shared" si="248"/>
        <v/>
      </c>
      <c r="G3891" s="116" t="str">
        <f>IF(ISNONTEXT(D3891),"",E3891-MAX($F$2:F3890))</f>
        <v/>
      </c>
      <c r="H3891" s="97"/>
      <c r="I3891" s="74" t="str">
        <f ca="1">IF(D3891="N",COUNTIF(INDIRECT(ADDRESS(MATCH(Plages!$D$19,'Planning annuel mixing coater'!$B:$B),4)):D3891,"N"),IF(D3891="N1",COUNTIF($D$9:D3891,"N1"),""))</f>
        <v/>
      </c>
      <c r="J3891" s="96" t="str">
        <f>IF(D3891="","",COUNTA(D3880:D3891)-(COUNTA(D3891:D3891)-1))</f>
        <v/>
      </c>
    </row>
    <row r="3892" spans="1:10" thickBot="1">
      <c r="A3892" s="117"/>
      <c r="B3892" s="70">
        <f t="shared" si="245"/>
        <v>47684</v>
      </c>
      <c r="C3892" s="82" t="str">
        <f t="shared" si="246"/>
        <v>samedi</v>
      </c>
      <c r="D3892" s="87"/>
      <c r="E3892" s="115" t="str">
        <f t="shared" si="247"/>
        <v/>
      </c>
      <c r="F3892" s="115" t="str">
        <f t="shared" si="248"/>
        <v/>
      </c>
      <c r="G3892" s="116" t="str">
        <f>IF(ISNONTEXT(D3892),"",E3892-MAX($F$2:F3891))</f>
        <v/>
      </c>
      <c r="H3892" s="97"/>
      <c r="I3892" s="74" t="str">
        <f ca="1">IF(D3892="N",COUNTIF(INDIRECT(ADDRESS(MATCH(Plages!$D$19,'Planning annuel mixing coater'!$B:$B),4)):D3892,"N"),IF(D3892="N1",COUNTIF($D$9:D3892,"N1"),""))</f>
        <v/>
      </c>
      <c r="J3892" s="96" t="str">
        <f>IF(D3892="","",COUNTA(D3880:D3892)-(COUNTA(D3892:D3892)-1))</f>
        <v/>
      </c>
    </row>
    <row r="3893" spans="1:10" s="77" customFormat="1" thickBot="1">
      <c r="A3893" s="117"/>
      <c r="B3893" s="75">
        <f t="shared" si="245"/>
        <v>47685</v>
      </c>
      <c r="C3893" s="83" t="str">
        <f t="shared" si="246"/>
        <v>dimanche</v>
      </c>
      <c r="D3893" s="88"/>
      <c r="E3893" s="115" t="str">
        <f t="shared" si="247"/>
        <v/>
      </c>
      <c r="F3893" s="115" t="str">
        <f t="shared" si="248"/>
        <v/>
      </c>
      <c r="G3893" s="116" t="str">
        <f>IF(ISNONTEXT(D3893),"",E3893-MAX($F$2:F3892))</f>
        <v/>
      </c>
      <c r="H3893" s="98"/>
      <c r="I3893" s="76" t="str">
        <f ca="1">IF(D3893="N",COUNTIF(INDIRECT(ADDRESS(MATCH(Plages!$D$19,'Planning annuel mixing coater'!$B:$B),4)):D3893,"N"),IF(D3893="N1",COUNTIF($D$9:D3893,"N1"),""))</f>
        <v/>
      </c>
      <c r="J3893" s="99" t="str">
        <f>IF(D3893="","",COUNTA(D3880:D3893)-(COUNTA(D3893:D3893)-1))</f>
        <v/>
      </c>
    </row>
    <row r="3894" spans="1:10" ht="16.5" thickTop="1" thickBot="1">
      <c r="A3894" s="117"/>
      <c r="B3894" s="78">
        <f t="shared" si="245"/>
        <v>47686</v>
      </c>
      <c r="C3894" s="81" t="str">
        <f t="shared" si="246"/>
        <v>lundi</v>
      </c>
      <c r="D3894" s="89"/>
      <c r="E3894" s="115" t="str">
        <f t="shared" si="247"/>
        <v/>
      </c>
      <c r="F3894" s="115" t="str">
        <f t="shared" si="248"/>
        <v/>
      </c>
      <c r="G3894" s="116" t="str">
        <f>IF(ISNONTEXT(D3894),"",E3894-MAX($F$2:F3893))</f>
        <v/>
      </c>
      <c r="H3894" s="100"/>
      <c r="I3894" s="79" t="str">
        <f ca="1">IF(D3894="N",COUNTIF(INDIRECT(ADDRESS(MATCH(Plages!$D$19,'Planning annuel mixing coater'!$B:$B),4)):D3894,"N"),IF(D3894="N1",COUNTIF($D$9:D3894,"N1"),""))</f>
        <v/>
      </c>
      <c r="J3894" s="101" t="str">
        <f>IF(D3894="","",COUNTA(D3894:D3894)-(COUNTA(D3894:D3894)-1))</f>
        <v/>
      </c>
    </row>
    <row r="3895" spans="1:10" thickBot="1">
      <c r="A3895" s="117"/>
      <c r="B3895" s="70">
        <f t="shared" si="245"/>
        <v>47687</v>
      </c>
      <c r="C3895" s="82" t="str">
        <f t="shared" si="246"/>
        <v>mardi</v>
      </c>
      <c r="D3895" s="87"/>
      <c r="E3895" s="115" t="str">
        <f t="shared" si="247"/>
        <v/>
      </c>
      <c r="F3895" s="115" t="str">
        <f t="shared" si="248"/>
        <v/>
      </c>
      <c r="G3895" s="116" t="str">
        <f>IF(ISNONTEXT(D3895),"",E3895-MAX($F$2:F3894))</f>
        <v/>
      </c>
      <c r="H3895" s="97"/>
      <c r="I3895" s="74" t="str">
        <f ca="1">IF(D3895="N",COUNTIF(INDIRECT(ADDRESS(MATCH(Plages!$D$19,'Planning annuel mixing coater'!$B:$B),4)):D3895,"N"),IF(D3895="N1",COUNTIF($D$9:D3895,"N1"),""))</f>
        <v/>
      </c>
      <c r="J3895" s="96" t="str">
        <f>IF(D3895="","",COUNTA(D3894:D3895)-(COUNTA(D3895:D3895)-1))</f>
        <v/>
      </c>
    </row>
    <row r="3896" spans="1:10" thickBot="1">
      <c r="A3896" s="117"/>
      <c r="B3896" s="70">
        <f t="shared" si="245"/>
        <v>47688</v>
      </c>
      <c r="C3896" s="82" t="str">
        <f t="shared" si="246"/>
        <v>mercredi</v>
      </c>
      <c r="D3896" s="87"/>
      <c r="E3896" s="115" t="str">
        <f t="shared" si="247"/>
        <v/>
      </c>
      <c r="F3896" s="115" t="str">
        <f t="shared" si="248"/>
        <v/>
      </c>
      <c r="G3896" s="116" t="str">
        <f>IF(ISNONTEXT(D3896),"",E3896-MAX($F$2:F3895))</f>
        <v/>
      </c>
      <c r="H3896" s="97"/>
      <c r="I3896" s="74" t="str">
        <f ca="1">IF(D3896="N",COUNTIF(INDIRECT(ADDRESS(MATCH(Plages!$D$19,'Planning annuel mixing coater'!$B:$B),4)):D3896,"N"),IF(D3896="N1",COUNTIF($D$9:D3896,"N1"),""))</f>
        <v/>
      </c>
      <c r="J3896" s="96" t="str">
        <f>IF(D3896="","",COUNTA(D3894:D3896)-(COUNTA(D3896:D3896)-1))</f>
        <v/>
      </c>
    </row>
    <row r="3897" spans="1:10" thickBot="1">
      <c r="A3897" s="117"/>
      <c r="B3897" s="70">
        <f t="shared" si="245"/>
        <v>47689</v>
      </c>
      <c r="C3897" s="82" t="str">
        <f t="shared" si="246"/>
        <v>jeudi</v>
      </c>
      <c r="D3897" s="87"/>
      <c r="E3897" s="115" t="str">
        <f t="shared" si="247"/>
        <v/>
      </c>
      <c r="F3897" s="115" t="str">
        <f t="shared" si="248"/>
        <v/>
      </c>
      <c r="G3897" s="116" t="str">
        <f>IF(ISNONTEXT(D3897),"",E3897-MAX($F$2:F3896))</f>
        <v/>
      </c>
      <c r="H3897" s="97"/>
      <c r="I3897" s="74" t="str">
        <f ca="1">IF(D3897="N",COUNTIF(INDIRECT(ADDRESS(MATCH(Plages!$D$19,'Planning annuel mixing coater'!$B:$B),4)):D3897,"N"),IF(D3897="N1",COUNTIF($D$9:D3897,"N1"),""))</f>
        <v/>
      </c>
      <c r="J3897" s="96" t="str">
        <f>IF(D3897="","",COUNTA(D3894:D3897)-(COUNTA(D3897:D3897)-1))</f>
        <v/>
      </c>
    </row>
    <row r="3898" spans="1:10" thickBot="1">
      <c r="A3898" s="117"/>
      <c r="B3898" s="70">
        <f t="shared" si="245"/>
        <v>47690</v>
      </c>
      <c r="C3898" s="82" t="str">
        <f t="shared" si="246"/>
        <v>vendredi</v>
      </c>
      <c r="D3898" s="87"/>
      <c r="E3898" s="115" t="str">
        <f t="shared" si="247"/>
        <v/>
      </c>
      <c r="F3898" s="115" t="str">
        <f t="shared" si="248"/>
        <v/>
      </c>
      <c r="G3898" s="116" t="str">
        <f>IF(ISNONTEXT(D3898),"",E3898-MAX($F$2:F3897))</f>
        <v/>
      </c>
      <c r="H3898" s="97"/>
      <c r="I3898" s="74" t="str">
        <f ca="1">IF(D3898="N",COUNTIF(INDIRECT(ADDRESS(MATCH(Plages!$D$19,'Planning annuel mixing coater'!$B:$B),4)):D3898,"N"),IF(D3898="N1",COUNTIF($D$9:D3898,"N1"),""))</f>
        <v/>
      </c>
      <c r="J3898" s="96" t="str">
        <f>IF(D3898="","",COUNTA(D3894:D3898)-(COUNTA(D3898:D3898)-1))</f>
        <v/>
      </c>
    </row>
    <row r="3899" spans="1:10" thickBot="1">
      <c r="A3899" s="117"/>
      <c r="B3899" s="70">
        <f t="shared" si="245"/>
        <v>47691</v>
      </c>
      <c r="C3899" s="82" t="str">
        <f t="shared" si="246"/>
        <v>samedi</v>
      </c>
      <c r="D3899" s="87"/>
      <c r="E3899" s="115" t="str">
        <f t="shared" si="247"/>
        <v/>
      </c>
      <c r="F3899" s="115" t="str">
        <f t="shared" si="248"/>
        <v/>
      </c>
      <c r="G3899" s="116" t="str">
        <f>IF(ISNONTEXT(D3899),"",E3899-MAX($F$2:F3898))</f>
        <v/>
      </c>
      <c r="H3899" s="97"/>
      <c r="I3899" s="74" t="str">
        <f ca="1">IF(D3899="N",COUNTIF(INDIRECT(ADDRESS(MATCH(Plages!$D$19,'Planning annuel mixing coater'!$B:$B),4)):D3899,"N"),IF(D3899="N1",COUNTIF($D$9:D3899,"N1"),""))</f>
        <v/>
      </c>
      <c r="J3899" s="96" t="str">
        <f>IF(D3899="","",COUNTA(D3894:D3899)-(COUNTA(D3899:D3899)-1))</f>
        <v/>
      </c>
    </row>
    <row r="3900" spans="1:10" thickBot="1">
      <c r="A3900" s="117"/>
      <c r="B3900" s="70">
        <f t="shared" si="245"/>
        <v>47692</v>
      </c>
      <c r="C3900" s="82" t="str">
        <f t="shared" si="246"/>
        <v>dimanche</v>
      </c>
      <c r="D3900" s="87"/>
      <c r="E3900" s="115" t="str">
        <f t="shared" si="247"/>
        <v/>
      </c>
      <c r="F3900" s="115" t="str">
        <f t="shared" si="248"/>
        <v/>
      </c>
      <c r="G3900" s="116" t="str">
        <f>IF(ISNONTEXT(D3900),"",E3900-MAX($F$2:F3899))</f>
        <v/>
      </c>
      <c r="H3900" s="98"/>
      <c r="I3900" s="74" t="str">
        <f ca="1">IF(D3900="N",COUNTIF(INDIRECT(ADDRESS(MATCH(Plages!$D$19,'Planning annuel mixing coater'!$B:$B),4)):D3900,"N"),IF(D3900="N1",COUNTIF($D$9:D3900,"N1"),""))</f>
        <v/>
      </c>
      <c r="J3900" s="96" t="str">
        <f>IF(D3900="","",COUNTA(D3894:D3900)-(COUNTA(D3900:D3900)-1))</f>
        <v/>
      </c>
    </row>
    <row r="3901" spans="1:10" thickBot="1">
      <c r="A3901" s="117"/>
      <c r="B3901" s="70">
        <f t="shared" si="245"/>
        <v>47693</v>
      </c>
      <c r="C3901" s="82" t="str">
        <f t="shared" si="246"/>
        <v>lundi</v>
      </c>
      <c r="D3901" s="87"/>
      <c r="E3901" s="115" t="str">
        <f t="shared" si="247"/>
        <v/>
      </c>
      <c r="F3901" s="115" t="str">
        <f t="shared" si="248"/>
        <v/>
      </c>
      <c r="G3901" s="116" t="str">
        <f>IF(ISNONTEXT(D3901),"",E3901-MAX($F$2:F3900))</f>
        <v/>
      </c>
      <c r="H3901" s="97"/>
      <c r="I3901" s="74" t="str">
        <f ca="1">IF(D3901="N",COUNTIF(INDIRECT(ADDRESS(MATCH(Plages!$D$19,'Planning annuel mixing coater'!$B:$B),4)):D3901,"N"),IF(D3901="N1",COUNTIF($D$9:D3901,"N1"),""))</f>
        <v/>
      </c>
      <c r="J3901" s="96" t="str">
        <f>IF(D3901="","",COUNTA(D3894:D3901)-(COUNTA(D3901:D3901)-1))</f>
        <v/>
      </c>
    </row>
    <row r="3902" spans="1:10" thickBot="1">
      <c r="A3902" s="117"/>
      <c r="B3902" s="70">
        <f t="shared" si="245"/>
        <v>47694</v>
      </c>
      <c r="C3902" s="82" t="str">
        <f t="shared" si="246"/>
        <v>mardi</v>
      </c>
      <c r="D3902" s="87"/>
      <c r="E3902" s="115" t="str">
        <f t="shared" si="247"/>
        <v/>
      </c>
      <c r="F3902" s="115" t="str">
        <f t="shared" si="248"/>
        <v/>
      </c>
      <c r="G3902" s="116" t="str">
        <f>IF(ISNONTEXT(D3902),"",E3902-MAX($F$2:F3901))</f>
        <v/>
      </c>
      <c r="H3902" s="97"/>
      <c r="I3902" s="74" t="str">
        <f ca="1">IF(D3902="N",COUNTIF(INDIRECT(ADDRESS(MATCH(Plages!$D$19,'Planning annuel mixing coater'!$B:$B),4)):D3902,"N"),IF(D3902="N1",COUNTIF($D$9:D3902,"N1"),""))</f>
        <v/>
      </c>
      <c r="J3902" s="96" t="str">
        <f>IF(D3902="","",COUNTA(D3894:D3902)-(COUNTA(D3902:D3902)-1))</f>
        <v/>
      </c>
    </row>
    <row r="3903" spans="1:10" thickBot="1">
      <c r="A3903" s="117"/>
      <c r="B3903" s="70">
        <f t="shared" si="245"/>
        <v>47695</v>
      </c>
      <c r="C3903" s="82" t="str">
        <f t="shared" si="246"/>
        <v>mercredi</v>
      </c>
      <c r="D3903" s="87"/>
      <c r="E3903" s="115" t="str">
        <f t="shared" si="247"/>
        <v/>
      </c>
      <c r="F3903" s="115" t="str">
        <f t="shared" si="248"/>
        <v/>
      </c>
      <c r="G3903" s="116" t="str">
        <f>IF(ISNONTEXT(D3903),"",E3903-MAX($F$2:F3902))</f>
        <v/>
      </c>
      <c r="H3903" s="97"/>
      <c r="I3903" s="74" t="str">
        <f ca="1">IF(D3903="N",COUNTIF(INDIRECT(ADDRESS(MATCH(Plages!$D$19,'Planning annuel mixing coater'!$B:$B),4)):D3903,"N"),IF(D3903="N1",COUNTIF($D$9:D3903,"N1"),""))</f>
        <v/>
      </c>
      <c r="J3903" s="96" t="str">
        <f>IF(D3903="","",COUNTA(D3894:D3903)-(COUNTA(D3903:D3903)-1))</f>
        <v/>
      </c>
    </row>
    <row r="3904" spans="1:10" thickBot="1">
      <c r="A3904" s="117"/>
      <c r="B3904" s="70">
        <f t="shared" si="245"/>
        <v>47696</v>
      </c>
      <c r="C3904" s="82" t="str">
        <f t="shared" si="246"/>
        <v>jeudi</v>
      </c>
      <c r="D3904" s="87"/>
      <c r="E3904" s="115" t="str">
        <f t="shared" si="247"/>
        <v/>
      </c>
      <c r="F3904" s="115" t="str">
        <f t="shared" si="248"/>
        <v/>
      </c>
      <c r="G3904" s="116" t="str">
        <f>IF(ISNONTEXT(D3904),"",E3904-MAX($F$2:F3903))</f>
        <v/>
      </c>
      <c r="H3904" s="97"/>
      <c r="I3904" s="74" t="str">
        <f ca="1">IF(D3904="N",COUNTIF(INDIRECT(ADDRESS(MATCH(Plages!$D$19,'Planning annuel mixing coater'!$B:$B),4)):D3904,"N"),IF(D3904="N1",COUNTIF($D$9:D3904,"N1"),""))</f>
        <v/>
      </c>
      <c r="J3904" s="96" t="str">
        <f>IF(D3904="","",COUNTA(D3894:D3904)-(COUNTA(D3904:D3904)-1))</f>
        <v/>
      </c>
    </row>
    <row r="3905" spans="1:10" thickBot="1">
      <c r="A3905" s="117"/>
      <c r="B3905" s="70">
        <f t="shared" si="245"/>
        <v>47697</v>
      </c>
      <c r="C3905" s="82" t="str">
        <f t="shared" si="246"/>
        <v>vendredi</v>
      </c>
      <c r="D3905" s="87"/>
      <c r="E3905" s="115" t="str">
        <f t="shared" si="247"/>
        <v/>
      </c>
      <c r="F3905" s="115" t="str">
        <f t="shared" si="248"/>
        <v/>
      </c>
      <c r="G3905" s="116" t="str">
        <f>IF(ISNONTEXT(D3905),"",E3905-MAX($F$2:F3904))</f>
        <v/>
      </c>
      <c r="H3905" s="97"/>
      <c r="I3905" s="74" t="str">
        <f ca="1">IF(D3905="N",COUNTIF(INDIRECT(ADDRESS(MATCH(Plages!$D$19,'Planning annuel mixing coater'!$B:$B),4)):D3905,"N"),IF(D3905="N1",COUNTIF($D$9:D3905,"N1"),""))</f>
        <v/>
      </c>
      <c r="J3905" s="96" t="str">
        <f>IF(D3905="","",COUNTA(D3894:D3905)-(COUNTA(D3905:D3905)-1))</f>
        <v/>
      </c>
    </row>
    <row r="3906" spans="1:10" thickBot="1">
      <c r="A3906" s="117"/>
      <c r="B3906" s="70">
        <f t="shared" si="245"/>
        <v>47698</v>
      </c>
      <c r="C3906" s="82" t="str">
        <f t="shared" si="246"/>
        <v>samedi</v>
      </c>
      <c r="D3906" s="87"/>
      <c r="E3906" s="115" t="str">
        <f t="shared" si="247"/>
        <v/>
      </c>
      <c r="F3906" s="115" t="str">
        <f t="shared" si="248"/>
        <v/>
      </c>
      <c r="G3906" s="116" t="str">
        <f>IF(ISNONTEXT(D3906),"",E3906-MAX($F$2:F3905))</f>
        <v/>
      </c>
      <c r="H3906" s="97"/>
      <c r="I3906" s="74" t="str">
        <f ca="1">IF(D3906="N",COUNTIF(INDIRECT(ADDRESS(MATCH(Plages!$D$19,'Planning annuel mixing coater'!$B:$B),4)):D3906,"N"),IF(D3906="N1",COUNTIF($D$9:D3906,"N1"),""))</f>
        <v/>
      </c>
      <c r="J3906" s="96" t="str">
        <f>IF(D3906="","",COUNTA(D3894:D3906)-(COUNTA(D3906:D3906)-1))</f>
        <v/>
      </c>
    </row>
    <row r="3907" spans="1:10" s="77" customFormat="1" thickBot="1">
      <c r="A3907" s="117"/>
      <c r="B3907" s="75">
        <f t="shared" si="245"/>
        <v>47699</v>
      </c>
      <c r="C3907" s="83" t="str">
        <f t="shared" si="246"/>
        <v>dimanche</v>
      </c>
      <c r="D3907" s="88"/>
      <c r="E3907" s="115" t="str">
        <f t="shared" si="247"/>
        <v/>
      </c>
      <c r="F3907" s="115" t="str">
        <f t="shared" si="248"/>
        <v/>
      </c>
      <c r="G3907" s="116" t="str">
        <f>IF(ISNONTEXT(D3907),"",E3907-MAX($F$2:F3906))</f>
        <v/>
      </c>
      <c r="H3907" s="98"/>
      <c r="I3907" s="76" t="str">
        <f ca="1">IF(D3907="N",COUNTIF(INDIRECT(ADDRESS(MATCH(Plages!$D$19,'Planning annuel mixing coater'!$B:$B),4)):D3907,"N"),IF(D3907="N1",COUNTIF($D$9:D3907,"N1"),""))</f>
        <v/>
      </c>
      <c r="J3907" s="99" t="str">
        <f>IF(D3907="","",COUNTA(D3894:D3907)-(COUNTA(D3907:D3907)-1))</f>
        <v/>
      </c>
    </row>
    <row r="3908" spans="1:10" ht="16.5" thickTop="1" thickBot="1">
      <c r="A3908" s="117"/>
      <c r="B3908" s="78">
        <f t="shared" ref="B3908:B3971" si="249">IF(B3907="","",B3907+1)</f>
        <v>47700</v>
      </c>
      <c r="C3908" s="81" t="str">
        <f t="shared" si="246"/>
        <v>lundi</v>
      </c>
      <c r="D3908" s="89"/>
      <c r="E3908" s="115" t="str">
        <f t="shared" si="247"/>
        <v/>
      </c>
      <c r="F3908" s="115" t="str">
        <f t="shared" si="248"/>
        <v/>
      </c>
      <c r="G3908" s="116" t="str">
        <f>IF(ISNONTEXT(D3908),"",E3908-MAX($F$2:F3907))</f>
        <v/>
      </c>
      <c r="H3908" s="100"/>
      <c r="I3908" s="79" t="str">
        <f ca="1">IF(D3908="N",COUNTIF(INDIRECT(ADDRESS(MATCH(Plages!$D$19,'Planning annuel mixing coater'!$B:$B),4)):D3908,"N"),IF(D3908="N1",COUNTIF($D$9:D3908,"N1"),""))</f>
        <v/>
      </c>
      <c r="J3908" s="101" t="str">
        <f>IF(D3908="","",COUNTA(D3908:D3908)-(COUNTA(D3908:D3908)-1))</f>
        <v/>
      </c>
    </row>
    <row r="3909" spans="1:10" thickBot="1">
      <c r="A3909" s="117"/>
      <c r="B3909" s="70">
        <f t="shared" si="249"/>
        <v>47701</v>
      </c>
      <c r="C3909" s="82" t="str">
        <f t="shared" si="246"/>
        <v>mardi</v>
      </c>
      <c r="D3909" s="87"/>
      <c r="E3909" s="115" t="str">
        <f t="shared" si="247"/>
        <v/>
      </c>
      <c r="F3909" s="115" t="str">
        <f t="shared" si="248"/>
        <v/>
      </c>
      <c r="G3909" s="116" t="str">
        <f>IF(ISNONTEXT(D3909),"",E3909-MAX($F$2:F3908))</f>
        <v/>
      </c>
      <c r="H3909" s="97"/>
      <c r="I3909" s="74" t="str">
        <f ca="1">IF(D3909="N",COUNTIF(INDIRECT(ADDRESS(MATCH(Plages!$D$19,'Planning annuel mixing coater'!$B:$B),4)):D3909,"N"),IF(D3909="N1",COUNTIF($D$9:D3909,"N1"),""))</f>
        <v/>
      </c>
      <c r="J3909" s="96" t="str">
        <f>IF(D3909="","",COUNTA(D3908:D3909)-(COUNTA(D3909:D3909)-1))</f>
        <v/>
      </c>
    </row>
    <row r="3910" spans="1:10" thickBot="1">
      <c r="A3910" s="117"/>
      <c r="B3910" s="70">
        <f t="shared" si="249"/>
        <v>47702</v>
      </c>
      <c r="C3910" s="82" t="str">
        <f t="shared" si="246"/>
        <v>mercredi</v>
      </c>
      <c r="D3910" s="87"/>
      <c r="E3910" s="115" t="str">
        <f t="shared" si="247"/>
        <v/>
      </c>
      <c r="F3910" s="115" t="str">
        <f t="shared" si="248"/>
        <v/>
      </c>
      <c r="G3910" s="116" t="str">
        <f>IF(ISNONTEXT(D3910),"",E3910-MAX($F$2:F3909))</f>
        <v/>
      </c>
      <c r="H3910" s="97"/>
      <c r="I3910" s="74" t="str">
        <f ca="1">IF(D3910="N",COUNTIF(INDIRECT(ADDRESS(MATCH(Plages!$D$19,'Planning annuel mixing coater'!$B:$B),4)):D3910,"N"),IF(D3910="N1",COUNTIF($D$9:D3910,"N1"),""))</f>
        <v/>
      </c>
      <c r="J3910" s="96" t="str">
        <f>IF(D3910="","",COUNTA(D3908:D3910)-(COUNTA(D3910:D3910)-1))</f>
        <v/>
      </c>
    </row>
    <row r="3911" spans="1:10" thickBot="1">
      <c r="A3911" s="117"/>
      <c r="B3911" s="70">
        <f t="shared" si="249"/>
        <v>47703</v>
      </c>
      <c r="C3911" s="82" t="str">
        <f t="shared" si="246"/>
        <v>jeudi</v>
      </c>
      <c r="D3911" s="87"/>
      <c r="E3911" s="115" t="str">
        <f t="shared" si="247"/>
        <v/>
      </c>
      <c r="F3911" s="115" t="str">
        <f t="shared" si="248"/>
        <v/>
      </c>
      <c r="G3911" s="116" t="str">
        <f>IF(ISNONTEXT(D3911),"",E3911-MAX($F$2:F3910))</f>
        <v/>
      </c>
      <c r="H3911" s="97"/>
      <c r="I3911" s="74" t="str">
        <f ca="1">IF(D3911="N",COUNTIF(INDIRECT(ADDRESS(MATCH(Plages!$D$19,'Planning annuel mixing coater'!$B:$B),4)):D3911,"N"),IF(D3911="N1",COUNTIF($D$9:D3911,"N1"),""))</f>
        <v/>
      </c>
      <c r="J3911" s="96" t="str">
        <f>IF(D3911="","",COUNTA(D3908:D3911)-(COUNTA(D3911:D3911)-1))</f>
        <v/>
      </c>
    </row>
    <row r="3912" spans="1:10" thickBot="1">
      <c r="A3912" s="117"/>
      <c r="B3912" s="70">
        <f t="shared" si="249"/>
        <v>47704</v>
      </c>
      <c r="C3912" s="82" t="str">
        <f t="shared" si="246"/>
        <v>vendredi</v>
      </c>
      <c r="D3912" s="87"/>
      <c r="E3912" s="115" t="str">
        <f t="shared" si="247"/>
        <v/>
      </c>
      <c r="F3912" s="115" t="str">
        <f t="shared" si="248"/>
        <v/>
      </c>
      <c r="G3912" s="116" t="str">
        <f>IF(ISNONTEXT(D3912),"",E3912-MAX($F$2:F3911))</f>
        <v/>
      </c>
      <c r="H3912" s="97"/>
      <c r="I3912" s="74" t="str">
        <f ca="1">IF(D3912="N",COUNTIF(INDIRECT(ADDRESS(MATCH(Plages!$D$19,'Planning annuel mixing coater'!$B:$B),4)):D3912,"N"),IF(D3912="N1",COUNTIF($D$9:D3912,"N1"),""))</f>
        <v/>
      </c>
      <c r="J3912" s="96" t="str">
        <f>IF(D3912="","",COUNTA(D3908:D3912)-(COUNTA(D3912:D3912)-1))</f>
        <v/>
      </c>
    </row>
    <row r="3913" spans="1:10" thickBot="1">
      <c r="A3913" s="117"/>
      <c r="B3913" s="70">
        <f t="shared" si="249"/>
        <v>47705</v>
      </c>
      <c r="C3913" s="82" t="str">
        <f t="shared" si="246"/>
        <v>samedi</v>
      </c>
      <c r="D3913" s="87"/>
      <c r="E3913" s="115" t="str">
        <f t="shared" si="247"/>
        <v/>
      </c>
      <c r="F3913" s="115" t="str">
        <f t="shared" si="248"/>
        <v/>
      </c>
      <c r="G3913" s="116" t="str">
        <f>IF(ISNONTEXT(D3913),"",E3913-MAX($F$2:F3912))</f>
        <v/>
      </c>
      <c r="H3913" s="97"/>
      <c r="I3913" s="74" t="str">
        <f ca="1">IF(D3913="N",COUNTIF(INDIRECT(ADDRESS(MATCH(Plages!$D$19,'Planning annuel mixing coater'!$B:$B),4)):D3913,"N"),IF(D3913="N1",COUNTIF($D$9:D3913,"N1"),""))</f>
        <v/>
      </c>
      <c r="J3913" s="96" t="str">
        <f>IF(D3913="","",COUNTA(D3908:D3913)-(COUNTA(D3913:D3913)-1))</f>
        <v/>
      </c>
    </row>
    <row r="3914" spans="1:10" thickBot="1">
      <c r="A3914" s="117"/>
      <c r="B3914" s="70">
        <f t="shared" si="249"/>
        <v>47706</v>
      </c>
      <c r="C3914" s="82" t="str">
        <f t="shared" si="246"/>
        <v>dimanche</v>
      </c>
      <c r="D3914" s="87"/>
      <c r="E3914" s="115" t="str">
        <f t="shared" si="247"/>
        <v/>
      </c>
      <c r="F3914" s="115" t="str">
        <f t="shared" si="248"/>
        <v/>
      </c>
      <c r="G3914" s="116" t="str">
        <f>IF(ISNONTEXT(D3914),"",E3914-MAX($F$2:F3913))</f>
        <v/>
      </c>
      <c r="H3914" s="98"/>
      <c r="I3914" s="74" t="str">
        <f ca="1">IF(D3914="N",COUNTIF(INDIRECT(ADDRESS(MATCH(Plages!$D$19,'Planning annuel mixing coater'!$B:$B),4)):D3914,"N"),IF(D3914="N1",COUNTIF($D$9:D3914,"N1"),""))</f>
        <v/>
      </c>
      <c r="J3914" s="96" t="str">
        <f>IF(D3914="","",COUNTA(D3908:D3914)-(COUNTA(D3914:D3914)-1))</f>
        <v/>
      </c>
    </row>
    <row r="3915" spans="1:10" thickBot="1">
      <c r="A3915" s="117"/>
      <c r="B3915" s="70">
        <f t="shared" si="249"/>
        <v>47707</v>
      </c>
      <c r="C3915" s="82" t="str">
        <f t="shared" si="246"/>
        <v>lundi</v>
      </c>
      <c r="D3915" s="87"/>
      <c r="E3915" s="115" t="str">
        <f t="shared" si="247"/>
        <v/>
      </c>
      <c r="F3915" s="115" t="str">
        <f t="shared" si="248"/>
        <v/>
      </c>
      <c r="G3915" s="116" t="str">
        <f>IF(ISNONTEXT(D3915),"",E3915-MAX($F$2:F3914))</f>
        <v/>
      </c>
      <c r="H3915" s="97"/>
      <c r="I3915" s="74" t="str">
        <f ca="1">IF(D3915="N",COUNTIF(INDIRECT(ADDRESS(MATCH(Plages!$D$19,'Planning annuel mixing coater'!$B:$B),4)):D3915,"N"),IF(D3915="N1",COUNTIF($D$9:D3915,"N1"),""))</f>
        <v/>
      </c>
      <c r="J3915" s="96" t="str">
        <f>IF(D3915="","",COUNTA(D3908:D3915)-(COUNTA(D3915:D3915)-1))</f>
        <v/>
      </c>
    </row>
    <row r="3916" spans="1:10" thickBot="1">
      <c r="A3916" s="117"/>
      <c r="B3916" s="70">
        <f t="shared" si="249"/>
        <v>47708</v>
      </c>
      <c r="C3916" s="82" t="str">
        <f t="shared" si="246"/>
        <v>mardi</v>
      </c>
      <c r="D3916" s="87"/>
      <c r="E3916" s="115" t="str">
        <f t="shared" si="247"/>
        <v/>
      </c>
      <c r="F3916" s="115" t="str">
        <f t="shared" si="248"/>
        <v/>
      </c>
      <c r="G3916" s="116" t="str">
        <f>IF(ISNONTEXT(D3916),"",E3916-MAX($F$2:F3915))</f>
        <v/>
      </c>
      <c r="H3916" s="97"/>
      <c r="I3916" s="74" t="str">
        <f ca="1">IF(D3916="N",COUNTIF(INDIRECT(ADDRESS(MATCH(Plages!$D$19,'Planning annuel mixing coater'!$B:$B),4)):D3916,"N"),IF(D3916="N1",COUNTIF($D$9:D3916,"N1"),""))</f>
        <v/>
      </c>
      <c r="J3916" s="96" t="str">
        <f>IF(D3916="","",COUNTA(D3908:D3916)-(COUNTA(D3916:D3916)-1))</f>
        <v/>
      </c>
    </row>
    <row r="3917" spans="1:10" thickBot="1">
      <c r="A3917" s="117"/>
      <c r="B3917" s="70">
        <f t="shared" si="249"/>
        <v>47709</v>
      </c>
      <c r="C3917" s="82" t="str">
        <f t="shared" si="246"/>
        <v>mercredi</v>
      </c>
      <c r="D3917" s="87"/>
      <c r="E3917" s="115" t="str">
        <f t="shared" si="247"/>
        <v/>
      </c>
      <c r="F3917" s="115" t="str">
        <f t="shared" si="248"/>
        <v/>
      </c>
      <c r="G3917" s="116" t="str">
        <f>IF(ISNONTEXT(D3917),"",E3917-MAX($F$2:F3916))</f>
        <v/>
      </c>
      <c r="H3917" s="97"/>
      <c r="I3917" s="74" t="str">
        <f ca="1">IF(D3917="N",COUNTIF(INDIRECT(ADDRESS(MATCH(Plages!$D$19,'Planning annuel mixing coater'!$B:$B),4)):D3917,"N"),IF(D3917="N1",COUNTIF($D$9:D3917,"N1"),""))</f>
        <v/>
      </c>
      <c r="J3917" s="96" t="str">
        <f>IF(D3917="","",COUNTA(D3908:D3917)-(COUNTA(D3917:D3917)-1))</f>
        <v/>
      </c>
    </row>
    <row r="3918" spans="1:10" thickBot="1">
      <c r="A3918" s="117"/>
      <c r="B3918" s="70">
        <f t="shared" si="249"/>
        <v>47710</v>
      </c>
      <c r="C3918" s="82" t="str">
        <f t="shared" si="246"/>
        <v>jeudi</v>
      </c>
      <c r="D3918" s="87"/>
      <c r="E3918" s="115" t="str">
        <f t="shared" si="247"/>
        <v/>
      </c>
      <c r="F3918" s="115" t="str">
        <f t="shared" si="248"/>
        <v/>
      </c>
      <c r="G3918" s="116" t="str">
        <f>IF(ISNONTEXT(D3918),"",E3918-MAX($F$2:F3917))</f>
        <v/>
      </c>
      <c r="H3918" s="97"/>
      <c r="I3918" s="74" t="str">
        <f ca="1">IF(D3918="N",COUNTIF(INDIRECT(ADDRESS(MATCH(Plages!$D$19,'Planning annuel mixing coater'!$B:$B),4)):D3918,"N"),IF(D3918="N1",COUNTIF($D$9:D3918,"N1"),""))</f>
        <v/>
      </c>
      <c r="J3918" s="96" t="str">
        <f>IF(D3918="","",COUNTA(D3908:D3918)-(COUNTA(D3918:D3918)-1))</f>
        <v/>
      </c>
    </row>
    <row r="3919" spans="1:10" thickBot="1">
      <c r="A3919" s="117"/>
      <c r="B3919" s="70">
        <f t="shared" si="249"/>
        <v>47711</v>
      </c>
      <c r="C3919" s="82" t="str">
        <f t="shared" si="246"/>
        <v>vendredi</v>
      </c>
      <c r="D3919" s="87"/>
      <c r="E3919" s="115" t="str">
        <f t="shared" si="247"/>
        <v/>
      </c>
      <c r="F3919" s="115" t="str">
        <f t="shared" si="248"/>
        <v/>
      </c>
      <c r="G3919" s="116" t="str">
        <f>IF(ISNONTEXT(D3919),"",E3919-MAX($F$2:F3918))</f>
        <v/>
      </c>
      <c r="H3919" s="97"/>
      <c r="I3919" s="74" t="str">
        <f ca="1">IF(D3919="N",COUNTIF(INDIRECT(ADDRESS(MATCH(Plages!$D$19,'Planning annuel mixing coater'!$B:$B),4)):D3919,"N"),IF(D3919="N1",COUNTIF($D$9:D3919,"N1"),""))</f>
        <v/>
      </c>
      <c r="J3919" s="96" t="str">
        <f>IF(D3919="","",COUNTA(D3908:D3919)-(COUNTA(D3919:D3919)-1))</f>
        <v/>
      </c>
    </row>
    <row r="3920" spans="1:10" thickBot="1">
      <c r="A3920" s="117"/>
      <c r="B3920" s="70">
        <f t="shared" si="249"/>
        <v>47712</v>
      </c>
      <c r="C3920" s="82" t="str">
        <f t="shared" si="246"/>
        <v>samedi</v>
      </c>
      <c r="D3920" s="87"/>
      <c r="E3920" s="115" t="str">
        <f t="shared" si="247"/>
        <v/>
      </c>
      <c r="F3920" s="115" t="str">
        <f t="shared" si="248"/>
        <v/>
      </c>
      <c r="G3920" s="116" t="str">
        <f>IF(ISNONTEXT(D3920),"",E3920-MAX($F$2:F3919))</f>
        <v/>
      </c>
      <c r="H3920" s="97"/>
      <c r="I3920" s="74" t="str">
        <f ca="1">IF(D3920="N",COUNTIF(INDIRECT(ADDRESS(MATCH(Plages!$D$19,'Planning annuel mixing coater'!$B:$B),4)):D3920,"N"),IF(D3920="N1",COUNTIF($D$9:D3920,"N1"),""))</f>
        <v/>
      </c>
      <c r="J3920" s="96" t="str">
        <f>IF(D3920="","",COUNTA(D3908:D3920)-(COUNTA(D3920:D3920)-1))</f>
        <v/>
      </c>
    </row>
    <row r="3921" spans="1:10" s="77" customFormat="1" thickBot="1">
      <c r="A3921" s="117"/>
      <c r="B3921" s="75">
        <f t="shared" si="249"/>
        <v>47713</v>
      </c>
      <c r="C3921" s="83" t="str">
        <f t="shared" si="246"/>
        <v>dimanche</v>
      </c>
      <c r="D3921" s="88"/>
      <c r="E3921" s="115" t="str">
        <f t="shared" si="247"/>
        <v/>
      </c>
      <c r="F3921" s="115" t="str">
        <f t="shared" si="248"/>
        <v/>
      </c>
      <c r="G3921" s="116" t="str">
        <f>IF(ISNONTEXT(D3921),"",E3921-MAX($F$2:F3920))</f>
        <v/>
      </c>
      <c r="H3921" s="98"/>
      <c r="I3921" s="76" t="str">
        <f ca="1">IF(D3921="N",COUNTIF(INDIRECT(ADDRESS(MATCH(Plages!$D$19,'Planning annuel mixing coater'!$B:$B),4)):D3921,"N"),IF(D3921="N1",COUNTIF($D$9:D3921,"N1"),""))</f>
        <v/>
      </c>
      <c r="J3921" s="99" t="str">
        <f>IF(D3921="","",COUNTA(D3908:D3921)-(COUNTA(D3921:D3921)-1))</f>
        <v/>
      </c>
    </row>
    <row r="3922" spans="1:10" ht="16.5" thickTop="1" thickBot="1">
      <c r="A3922" s="117"/>
      <c r="B3922" s="78">
        <f t="shared" si="249"/>
        <v>47714</v>
      </c>
      <c r="C3922" s="81" t="str">
        <f t="shared" si="246"/>
        <v>lundi</v>
      </c>
      <c r="D3922" s="89"/>
      <c r="E3922" s="115" t="str">
        <f t="shared" si="247"/>
        <v/>
      </c>
      <c r="F3922" s="115" t="str">
        <f t="shared" si="248"/>
        <v/>
      </c>
      <c r="G3922" s="116" t="str">
        <f>IF(ISNONTEXT(D3922),"",E3922-MAX($F$2:F3921))</f>
        <v/>
      </c>
      <c r="H3922" s="100"/>
      <c r="I3922" s="79" t="str">
        <f ca="1">IF(D3922="N",COUNTIF(INDIRECT(ADDRESS(MATCH(Plages!$D$19,'Planning annuel mixing coater'!$B:$B),4)):D3922,"N"),IF(D3922="N1",COUNTIF($D$9:D3922,"N1"),""))</f>
        <v/>
      </c>
      <c r="J3922" s="101" t="str">
        <f>IF(D3922="","",COUNTA(D3922:D3922)-(COUNTA(D3922:D3922)-1))</f>
        <v/>
      </c>
    </row>
    <row r="3923" spans="1:10" thickBot="1">
      <c r="A3923" s="117"/>
      <c r="B3923" s="70">
        <f t="shared" si="249"/>
        <v>47715</v>
      </c>
      <c r="C3923" s="82" t="str">
        <f t="shared" si="246"/>
        <v>mardi</v>
      </c>
      <c r="D3923" s="87"/>
      <c r="E3923" s="115" t="str">
        <f t="shared" si="247"/>
        <v/>
      </c>
      <c r="F3923" s="115" t="str">
        <f t="shared" si="248"/>
        <v/>
      </c>
      <c r="G3923" s="116" t="str">
        <f>IF(ISNONTEXT(D3923),"",E3923-MAX($F$2:F3922))</f>
        <v/>
      </c>
      <c r="H3923" s="97"/>
      <c r="I3923" s="74" t="str">
        <f ca="1">IF(D3923="N",COUNTIF(INDIRECT(ADDRESS(MATCH(Plages!$D$19,'Planning annuel mixing coater'!$B:$B),4)):D3923,"N"),IF(D3923="N1",COUNTIF($D$9:D3923,"N1"),""))</f>
        <v/>
      </c>
      <c r="J3923" s="96" t="str">
        <f>IF(D3923="","",COUNTA(D3922:D3923)-(COUNTA(D3923:D3923)-1))</f>
        <v/>
      </c>
    </row>
    <row r="3924" spans="1:10" thickBot="1">
      <c r="A3924" s="117"/>
      <c r="B3924" s="70">
        <f t="shared" si="249"/>
        <v>47716</v>
      </c>
      <c r="C3924" s="82" t="str">
        <f t="shared" si="246"/>
        <v>mercredi</v>
      </c>
      <c r="D3924" s="87"/>
      <c r="E3924" s="115" t="str">
        <f t="shared" si="247"/>
        <v/>
      </c>
      <c r="F3924" s="115" t="str">
        <f t="shared" si="248"/>
        <v/>
      </c>
      <c r="G3924" s="116" t="str">
        <f>IF(ISNONTEXT(D3924),"",E3924-MAX($F$2:F3923))</f>
        <v/>
      </c>
      <c r="H3924" s="97"/>
      <c r="I3924" s="74" t="str">
        <f ca="1">IF(D3924="N",COUNTIF(INDIRECT(ADDRESS(MATCH(Plages!$D$19,'Planning annuel mixing coater'!$B:$B),4)):D3924,"N"),IF(D3924="N1",COUNTIF($D$9:D3924,"N1"),""))</f>
        <v/>
      </c>
      <c r="J3924" s="96" t="str">
        <f>IF(D3924="","",COUNTA(D3922:D3924)-(COUNTA(D3924:D3924)-1))</f>
        <v/>
      </c>
    </row>
    <row r="3925" spans="1:10" thickBot="1">
      <c r="A3925" s="117"/>
      <c r="B3925" s="70">
        <f t="shared" si="249"/>
        <v>47717</v>
      </c>
      <c r="C3925" s="82" t="str">
        <f t="shared" si="246"/>
        <v>jeudi</v>
      </c>
      <c r="D3925" s="87"/>
      <c r="E3925" s="115" t="str">
        <f t="shared" si="247"/>
        <v/>
      </c>
      <c r="F3925" s="115" t="str">
        <f t="shared" si="248"/>
        <v/>
      </c>
      <c r="G3925" s="116" t="str">
        <f>IF(ISNONTEXT(D3925),"",E3925-MAX($F$2:F3924))</f>
        <v/>
      </c>
      <c r="H3925" s="97"/>
      <c r="I3925" s="74" t="str">
        <f ca="1">IF(D3925="N",COUNTIF(INDIRECT(ADDRESS(MATCH(Plages!$D$19,'Planning annuel mixing coater'!$B:$B),4)):D3925,"N"),IF(D3925="N1",COUNTIF($D$9:D3925,"N1"),""))</f>
        <v/>
      </c>
      <c r="J3925" s="96" t="str">
        <f>IF(D3925="","",COUNTA(D3922:D3925)-(COUNTA(D3925:D3925)-1))</f>
        <v/>
      </c>
    </row>
    <row r="3926" spans="1:10" thickBot="1">
      <c r="A3926" s="117"/>
      <c r="B3926" s="70">
        <f t="shared" si="249"/>
        <v>47718</v>
      </c>
      <c r="C3926" s="82" t="str">
        <f t="shared" si="246"/>
        <v>vendredi</v>
      </c>
      <c r="D3926" s="87"/>
      <c r="E3926" s="115" t="str">
        <f t="shared" si="247"/>
        <v/>
      </c>
      <c r="F3926" s="115" t="str">
        <f t="shared" si="248"/>
        <v/>
      </c>
      <c r="G3926" s="116" t="str">
        <f>IF(ISNONTEXT(D3926),"",E3926-MAX($F$2:F3925))</f>
        <v/>
      </c>
      <c r="H3926" s="97"/>
      <c r="I3926" s="74" t="str">
        <f ca="1">IF(D3926="N",COUNTIF(INDIRECT(ADDRESS(MATCH(Plages!$D$19,'Planning annuel mixing coater'!$B:$B),4)):D3926,"N"),IF(D3926="N1",COUNTIF($D$9:D3926,"N1"),""))</f>
        <v/>
      </c>
      <c r="J3926" s="96" t="str">
        <f>IF(D3926="","",COUNTA(D3922:D3926)-(COUNTA(D3926:D3926)-1))</f>
        <v/>
      </c>
    </row>
    <row r="3927" spans="1:10" thickBot="1">
      <c r="A3927" s="117"/>
      <c r="B3927" s="70">
        <f t="shared" si="249"/>
        <v>47719</v>
      </c>
      <c r="C3927" s="82" t="str">
        <f t="shared" si="246"/>
        <v>samedi</v>
      </c>
      <c r="D3927" s="87"/>
      <c r="E3927" s="115" t="str">
        <f t="shared" si="247"/>
        <v/>
      </c>
      <c r="F3927" s="115" t="str">
        <f t="shared" si="248"/>
        <v/>
      </c>
      <c r="G3927" s="116" t="str">
        <f>IF(ISNONTEXT(D3927),"",E3927-MAX($F$2:F3926))</f>
        <v/>
      </c>
      <c r="H3927" s="97"/>
      <c r="I3927" s="74" t="str">
        <f ca="1">IF(D3927="N",COUNTIF(INDIRECT(ADDRESS(MATCH(Plages!$D$19,'Planning annuel mixing coater'!$B:$B),4)):D3927,"N"),IF(D3927="N1",COUNTIF($D$9:D3927,"N1"),""))</f>
        <v/>
      </c>
      <c r="J3927" s="96" t="str">
        <f>IF(D3927="","",COUNTA(D3922:D3927)-(COUNTA(D3927:D3927)-1))</f>
        <v/>
      </c>
    </row>
    <row r="3928" spans="1:10" thickBot="1">
      <c r="A3928" s="117"/>
      <c r="B3928" s="70">
        <f t="shared" si="249"/>
        <v>47720</v>
      </c>
      <c r="C3928" s="82" t="str">
        <f t="shared" si="246"/>
        <v>dimanche</v>
      </c>
      <c r="D3928" s="87"/>
      <c r="E3928" s="115" t="str">
        <f t="shared" si="247"/>
        <v/>
      </c>
      <c r="F3928" s="115" t="str">
        <f t="shared" si="248"/>
        <v/>
      </c>
      <c r="G3928" s="116" t="str">
        <f>IF(ISNONTEXT(D3928),"",E3928-MAX($F$2:F3927))</f>
        <v/>
      </c>
      <c r="H3928" s="98"/>
      <c r="I3928" s="74" t="str">
        <f ca="1">IF(D3928="N",COUNTIF(INDIRECT(ADDRESS(MATCH(Plages!$D$19,'Planning annuel mixing coater'!$B:$B),4)):D3928,"N"),IF(D3928="N1",COUNTIF($D$9:D3928,"N1"),""))</f>
        <v/>
      </c>
      <c r="J3928" s="96" t="str">
        <f>IF(D3928="","",COUNTA(D3922:D3928)-(COUNTA(D3928:D3928)-1))</f>
        <v/>
      </c>
    </row>
    <row r="3929" spans="1:10" thickBot="1">
      <c r="A3929" s="117"/>
      <c r="B3929" s="70">
        <f t="shared" si="249"/>
        <v>47721</v>
      </c>
      <c r="C3929" s="82" t="str">
        <f t="shared" si="246"/>
        <v>lundi</v>
      </c>
      <c r="D3929" s="87"/>
      <c r="E3929" s="115" t="str">
        <f t="shared" si="247"/>
        <v/>
      </c>
      <c r="F3929" s="115" t="str">
        <f t="shared" si="248"/>
        <v/>
      </c>
      <c r="G3929" s="116" t="str">
        <f>IF(ISNONTEXT(D3929),"",E3929-MAX($F$2:F3928))</f>
        <v/>
      </c>
      <c r="H3929" s="97"/>
      <c r="I3929" s="74" t="str">
        <f ca="1">IF(D3929="N",COUNTIF(INDIRECT(ADDRESS(MATCH(Plages!$D$19,'Planning annuel mixing coater'!$B:$B),4)):D3929,"N"),IF(D3929="N1",COUNTIF($D$9:D3929,"N1"),""))</f>
        <v/>
      </c>
      <c r="J3929" s="96" t="str">
        <f>IF(D3929="","",COUNTA(D3922:D3929)-(COUNTA(D3929:D3929)-1))</f>
        <v/>
      </c>
    </row>
    <row r="3930" spans="1:10" thickBot="1">
      <c r="A3930" s="117"/>
      <c r="B3930" s="70">
        <f t="shared" si="249"/>
        <v>47722</v>
      </c>
      <c r="C3930" s="82" t="str">
        <f t="shared" si="246"/>
        <v>mardi</v>
      </c>
      <c r="D3930" s="87"/>
      <c r="E3930" s="115" t="str">
        <f t="shared" si="247"/>
        <v/>
      </c>
      <c r="F3930" s="115" t="str">
        <f t="shared" si="248"/>
        <v/>
      </c>
      <c r="G3930" s="116" t="str">
        <f>IF(ISNONTEXT(D3930),"",E3930-MAX($F$2:F3929))</f>
        <v/>
      </c>
      <c r="H3930" s="97"/>
      <c r="I3930" s="74" t="str">
        <f ca="1">IF(D3930="N",COUNTIF(INDIRECT(ADDRESS(MATCH(Plages!$D$19,'Planning annuel mixing coater'!$B:$B),4)):D3930,"N"),IF(D3930="N1",COUNTIF($D$9:D3930,"N1"),""))</f>
        <v/>
      </c>
      <c r="J3930" s="96" t="str">
        <f>IF(D3930="","",COUNTA(D3922:D3930)-(COUNTA(D3930:D3930)-1))</f>
        <v/>
      </c>
    </row>
    <row r="3931" spans="1:10" thickBot="1">
      <c r="A3931" s="117"/>
      <c r="B3931" s="70">
        <f t="shared" si="249"/>
        <v>47723</v>
      </c>
      <c r="C3931" s="82" t="str">
        <f t="shared" si="246"/>
        <v>mercredi</v>
      </c>
      <c r="D3931" s="87"/>
      <c r="E3931" s="115" t="str">
        <f t="shared" si="247"/>
        <v/>
      </c>
      <c r="F3931" s="115" t="str">
        <f t="shared" si="248"/>
        <v/>
      </c>
      <c r="G3931" s="116" t="str">
        <f>IF(ISNONTEXT(D3931),"",E3931-MAX($F$2:F3930))</f>
        <v/>
      </c>
      <c r="H3931" s="97"/>
      <c r="I3931" s="74" t="str">
        <f ca="1">IF(D3931="N",COUNTIF(INDIRECT(ADDRESS(MATCH(Plages!$D$19,'Planning annuel mixing coater'!$B:$B),4)):D3931,"N"),IF(D3931="N1",COUNTIF($D$9:D3931,"N1"),""))</f>
        <v/>
      </c>
      <c r="J3931" s="96" t="str">
        <f>IF(D3931="","",COUNTA(D3922:D3931)-(COUNTA(D3931:D3931)-1))</f>
        <v/>
      </c>
    </row>
    <row r="3932" spans="1:10" thickBot="1">
      <c r="A3932" s="117"/>
      <c r="B3932" s="70">
        <f t="shared" si="249"/>
        <v>47724</v>
      </c>
      <c r="C3932" s="82" t="str">
        <f t="shared" si="246"/>
        <v>jeudi</v>
      </c>
      <c r="D3932" s="87"/>
      <c r="E3932" s="115" t="str">
        <f t="shared" si="247"/>
        <v/>
      </c>
      <c r="F3932" s="115" t="str">
        <f t="shared" si="248"/>
        <v/>
      </c>
      <c r="G3932" s="116" t="str">
        <f>IF(ISNONTEXT(D3932),"",E3932-MAX($F$2:F3931))</f>
        <v/>
      </c>
      <c r="H3932" s="97"/>
      <c r="I3932" s="74" t="str">
        <f ca="1">IF(D3932="N",COUNTIF(INDIRECT(ADDRESS(MATCH(Plages!$D$19,'Planning annuel mixing coater'!$B:$B),4)):D3932,"N"),IF(D3932="N1",COUNTIF($D$9:D3932,"N1"),""))</f>
        <v/>
      </c>
      <c r="J3932" s="96" t="str">
        <f>IF(D3932="","",COUNTA(D3922:D3932)-(COUNTA(D3932:D3932)-1))</f>
        <v/>
      </c>
    </row>
    <row r="3933" spans="1:10" thickBot="1">
      <c r="A3933" s="117"/>
      <c r="B3933" s="70">
        <f t="shared" si="249"/>
        <v>47725</v>
      </c>
      <c r="C3933" s="82" t="str">
        <f t="shared" si="246"/>
        <v>vendredi</v>
      </c>
      <c r="D3933" s="87"/>
      <c r="E3933" s="115" t="str">
        <f t="shared" si="247"/>
        <v/>
      </c>
      <c r="F3933" s="115" t="str">
        <f t="shared" si="248"/>
        <v/>
      </c>
      <c r="G3933" s="116" t="str">
        <f>IF(ISNONTEXT(D3933),"",E3933-MAX($F$2:F3932))</f>
        <v/>
      </c>
      <c r="H3933" s="97"/>
      <c r="I3933" s="74" t="str">
        <f ca="1">IF(D3933="N",COUNTIF(INDIRECT(ADDRESS(MATCH(Plages!$D$19,'Planning annuel mixing coater'!$B:$B),4)):D3933,"N"),IF(D3933="N1",COUNTIF($D$9:D3933,"N1"),""))</f>
        <v/>
      </c>
      <c r="J3933" s="96" t="str">
        <f>IF(D3933="","",COUNTA(D3922:D3933)-(COUNTA(D3933:D3933)-1))</f>
        <v/>
      </c>
    </row>
    <row r="3934" spans="1:10" thickBot="1">
      <c r="A3934" s="117"/>
      <c r="B3934" s="70">
        <f t="shared" si="249"/>
        <v>47726</v>
      </c>
      <c r="C3934" s="82" t="str">
        <f t="shared" ref="C3934:C3997" si="250">IF(B3934="","",TEXT(B3934,"jjjj"))</f>
        <v>samedi</v>
      </c>
      <c r="D3934" s="87"/>
      <c r="E3934" s="115" t="str">
        <f t="shared" ref="E3934:E3997" si="251">IF(D3934="","",B3934+VLOOKUP(D3934,Plageh,2,0))</f>
        <v/>
      </c>
      <c r="F3934" s="115" t="str">
        <f t="shared" ref="F3934:F3997" si="252">IF(D3934="","",B3934+VLOOKUP(D3934,Plageh,3,0))</f>
        <v/>
      </c>
      <c r="G3934" s="116" t="str">
        <f>IF(ISNONTEXT(D3934),"",E3934-MAX($F$2:F3933))</f>
        <v/>
      </c>
      <c r="H3934" s="97"/>
      <c r="I3934" s="74" t="str">
        <f ca="1">IF(D3934="N",COUNTIF(INDIRECT(ADDRESS(MATCH(Plages!$D$19,'Planning annuel mixing coater'!$B:$B),4)):D3934,"N"),IF(D3934="N1",COUNTIF($D$9:D3934,"N1"),""))</f>
        <v/>
      </c>
      <c r="J3934" s="96" t="str">
        <f>IF(D3934="","",COUNTA(D3922:D3934)-(COUNTA(D3934:D3934)-1))</f>
        <v/>
      </c>
    </row>
    <row r="3935" spans="1:10" s="77" customFormat="1" thickBot="1">
      <c r="A3935" s="117"/>
      <c r="B3935" s="75">
        <f t="shared" si="249"/>
        <v>47727</v>
      </c>
      <c r="C3935" s="83" t="str">
        <f t="shared" si="250"/>
        <v>dimanche</v>
      </c>
      <c r="D3935" s="88"/>
      <c r="E3935" s="115" t="str">
        <f t="shared" si="251"/>
        <v/>
      </c>
      <c r="F3935" s="115" t="str">
        <f t="shared" si="252"/>
        <v/>
      </c>
      <c r="G3935" s="116" t="str">
        <f>IF(ISNONTEXT(D3935),"",E3935-MAX($F$2:F3934))</f>
        <v/>
      </c>
      <c r="H3935" s="98"/>
      <c r="I3935" s="76" t="str">
        <f ca="1">IF(D3935="N",COUNTIF(INDIRECT(ADDRESS(MATCH(Plages!$D$19,'Planning annuel mixing coater'!$B:$B),4)):D3935,"N"),IF(D3935="N1",COUNTIF($D$9:D3935,"N1"),""))</f>
        <v/>
      </c>
      <c r="J3935" s="99" t="str">
        <f>IF(D3935="","",COUNTA(D3922:D3935)-(COUNTA(D3935:D3935)-1))</f>
        <v/>
      </c>
    </row>
    <row r="3936" spans="1:10" ht="16.5" thickTop="1" thickBot="1">
      <c r="A3936" s="117"/>
      <c r="B3936" s="78">
        <f t="shared" si="249"/>
        <v>47728</v>
      </c>
      <c r="C3936" s="81" t="str">
        <f t="shared" si="250"/>
        <v>lundi</v>
      </c>
      <c r="D3936" s="89"/>
      <c r="E3936" s="115" t="str">
        <f t="shared" si="251"/>
        <v/>
      </c>
      <c r="F3936" s="115" t="str">
        <f t="shared" si="252"/>
        <v/>
      </c>
      <c r="G3936" s="116" t="str">
        <f>IF(ISNONTEXT(D3936),"",E3936-MAX($F$2:F3935))</f>
        <v/>
      </c>
      <c r="H3936" s="100"/>
      <c r="I3936" s="79" t="str">
        <f ca="1">IF(D3936="N",COUNTIF(INDIRECT(ADDRESS(MATCH(Plages!$D$19,'Planning annuel mixing coater'!$B:$B),4)):D3936,"N"),IF(D3936="N1",COUNTIF($D$9:D3936,"N1"),""))</f>
        <v/>
      </c>
      <c r="J3936" s="101" t="str">
        <f>IF(D3936="","",COUNTA(D3936:D3936)-(COUNTA(D3936:D3936)-1))</f>
        <v/>
      </c>
    </row>
    <row r="3937" spans="1:10" thickBot="1">
      <c r="A3937" s="117"/>
      <c r="B3937" s="70">
        <f t="shared" si="249"/>
        <v>47729</v>
      </c>
      <c r="C3937" s="82" t="str">
        <f t="shared" si="250"/>
        <v>mardi</v>
      </c>
      <c r="D3937" s="87"/>
      <c r="E3937" s="115" t="str">
        <f t="shared" si="251"/>
        <v/>
      </c>
      <c r="F3937" s="115" t="str">
        <f t="shared" si="252"/>
        <v/>
      </c>
      <c r="G3937" s="116" t="str">
        <f>IF(ISNONTEXT(D3937),"",E3937-MAX($F$2:F3936))</f>
        <v/>
      </c>
      <c r="H3937" s="97"/>
      <c r="I3937" s="74" t="str">
        <f ca="1">IF(D3937="N",COUNTIF(INDIRECT(ADDRESS(MATCH(Plages!$D$19,'Planning annuel mixing coater'!$B:$B),4)):D3937,"N"),IF(D3937="N1",COUNTIF($D$9:D3937,"N1"),""))</f>
        <v/>
      </c>
      <c r="J3937" s="96" t="str">
        <f>IF(D3937="","",COUNTA(D3936:D3937)-(COUNTA(D3937:D3937)-1))</f>
        <v/>
      </c>
    </row>
    <row r="3938" spans="1:10" thickBot="1">
      <c r="A3938" s="117"/>
      <c r="B3938" s="70">
        <f t="shared" si="249"/>
        <v>47730</v>
      </c>
      <c r="C3938" s="82" t="str">
        <f t="shared" si="250"/>
        <v>mercredi</v>
      </c>
      <c r="D3938" s="87"/>
      <c r="E3938" s="115" t="str">
        <f t="shared" si="251"/>
        <v/>
      </c>
      <c r="F3938" s="115" t="str">
        <f t="shared" si="252"/>
        <v/>
      </c>
      <c r="G3938" s="116" t="str">
        <f>IF(ISNONTEXT(D3938),"",E3938-MAX($F$2:F3937))</f>
        <v/>
      </c>
      <c r="H3938" s="97"/>
      <c r="I3938" s="74" t="str">
        <f ca="1">IF(D3938="N",COUNTIF(INDIRECT(ADDRESS(MATCH(Plages!$D$19,'Planning annuel mixing coater'!$B:$B),4)):D3938,"N"),IF(D3938="N1",COUNTIF($D$9:D3938,"N1"),""))</f>
        <v/>
      </c>
      <c r="J3938" s="96" t="str">
        <f>IF(D3938="","",COUNTA(D3936:D3938)-(COUNTA(D3938:D3938)-1))</f>
        <v/>
      </c>
    </row>
    <row r="3939" spans="1:10" thickBot="1">
      <c r="A3939" s="117"/>
      <c r="B3939" s="70">
        <f t="shared" si="249"/>
        <v>47731</v>
      </c>
      <c r="C3939" s="82" t="str">
        <f t="shared" si="250"/>
        <v>jeudi</v>
      </c>
      <c r="D3939" s="87"/>
      <c r="E3939" s="115" t="str">
        <f t="shared" si="251"/>
        <v/>
      </c>
      <c r="F3939" s="115" t="str">
        <f t="shared" si="252"/>
        <v/>
      </c>
      <c r="G3939" s="116" t="str">
        <f>IF(ISNONTEXT(D3939),"",E3939-MAX($F$2:F3938))</f>
        <v/>
      </c>
      <c r="H3939" s="97"/>
      <c r="I3939" s="74" t="str">
        <f ca="1">IF(D3939="N",COUNTIF(INDIRECT(ADDRESS(MATCH(Plages!$D$19,'Planning annuel mixing coater'!$B:$B),4)):D3939,"N"),IF(D3939="N1",COUNTIF($D$9:D3939,"N1"),""))</f>
        <v/>
      </c>
      <c r="J3939" s="96" t="str">
        <f>IF(D3939="","",COUNTA(D3936:D3939)-(COUNTA(D3939:D3939)-1))</f>
        <v/>
      </c>
    </row>
    <row r="3940" spans="1:10" thickBot="1">
      <c r="A3940" s="117"/>
      <c r="B3940" s="70">
        <f t="shared" si="249"/>
        <v>47732</v>
      </c>
      <c r="C3940" s="82" t="str">
        <f t="shared" si="250"/>
        <v>vendredi</v>
      </c>
      <c r="D3940" s="87"/>
      <c r="E3940" s="115" t="str">
        <f t="shared" si="251"/>
        <v/>
      </c>
      <c r="F3940" s="115" t="str">
        <f t="shared" si="252"/>
        <v/>
      </c>
      <c r="G3940" s="116" t="str">
        <f>IF(ISNONTEXT(D3940),"",E3940-MAX($F$2:F3939))</f>
        <v/>
      </c>
      <c r="H3940" s="97"/>
      <c r="I3940" s="74" t="str">
        <f ca="1">IF(D3940="N",COUNTIF(INDIRECT(ADDRESS(MATCH(Plages!$D$19,'Planning annuel mixing coater'!$B:$B),4)):D3940,"N"),IF(D3940="N1",COUNTIF($D$9:D3940,"N1"),""))</f>
        <v/>
      </c>
      <c r="J3940" s="96" t="str">
        <f>IF(D3940="","",COUNTA(D3936:D3940)-(COUNTA(D3940:D3940)-1))</f>
        <v/>
      </c>
    </row>
    <row r="3941" spans="1:10" thickBot="1">
      <c r="A3941" s="117"/>
      <c r="B3941" s="70">
        <f t="shared" si="249"/>
        <v>47733</v>
      </c>
      <c r="C3941" s="82" t="str">
        <f t="shared" si="250"/>
        <v>samedi</v>
      </c>
      <c r="D3941" s="87"/>
      <c r="E3941" s="115" t="str">
        <f t="shared" si="251"/>
        <v/>
      </c>
      <c r="F3941" s="115" t="str">
        <f t="shared" si="252"/>
        <v/>
      </c>
      <c r="G3941" s="116" t="str">
        <f>IF(ISNONTEXT(D3941),"",E3941-MAX($F$2:F3940))</f>
        <v/>
      </c>
      <c r="H3941" s="97"/>
      <c r="I3941" s="74" t="str">
        <f ca="1">IF(D3941="N",COUNTIF(INDIRECT(ADDRESS(MATCH(Plages!$D$19,'Planning annuel mixing coater'!$B:$B),4)):D3941,"N"),IF(D3941="N1",COUNTIF($D$9:D3941,"N1"),""))</f>
        <v/>
      </c>
      <c r="J3941" s="96" t="str">
        <f>IF(D3941="","",COUNTA(D3936:D3941)-(COUNTA(D3941:D3941)-1))</f>
        <v/>
      </c>
    </row>
    <row r="3942" spans="1:10" thickBot="1">
      <c r="A3942" s="117"/>
      <c r="B3942" s="70">
        <f t="shared" si="249"/>
        <v>47734</v>
      </c>
      <c r="C3942" s="82" t="str">
        <f t="shared" si="250"/>
        <v>dimanche</v>
      </c>
      <c r="D3942" s="87"/>
      <c r="E3942" s="115" t="str">
        <f t="shared" si="251"/>
        <v/>
      </c>
      <c r="F3942" s="115" t="str">
        <f t="shared" si="252"/>
        <v/>
      </c>
      <c r="G3942" s="116" t="str">
        <f>IF(ISNONTEXT(D3942),"",E3942-MAX($F$2:F3941))</f>
        <v/>
      </c>
      <c r="H3942" s="98"/>
      <c r="I3942" s="74" t="str">
        <f ca="1">IF(D3942="N",COUNTIF(INDIRECT(ADDRESS(MATCH(Plages!$D$19,'Planning annuel mixing coater'!$B:$B),4)):D3942,"N"),IF(D3942="N1",COUNTIF($D$9:D3942,"N1"),""))</f>
        <v/>
      </c>
      <c r="J3942" s="96" t="str">
        <f>IF(D3942="","",COUNTA(D3936:D3942)-(COUNTA(D3942:D3942)-1))</f>
        <v/>
      </c>
    </row>
    <row r="3943" spans="1:10" thickBot="1">
      <c r="A3943" s="117"/>
      <c r="B3943" s="70">
        <f t="shared" si="249"/>
        <v>47735</v>
      </c>
      <c r="C3943" s="82" t="str">
        <f t="shared" si="250"/>
        <v>lundi</v>
      </c>
      <c r="D3943" s="87"/>
      <c r="E3943" s="115" t="str">
        <f t="shared" si="251"/>
        <v/>
      </c>
      <c r="F3943" s="115" t="str">
        <f t="shared" si="252"/>
        <v/>
      </c>
      <c r="G3943" s="116" t="str">
        <f>IF(ISNONTEXT(D3943),"",E3943-MAX($F$2:F3942))</f>
        <v/>
      </c>
      <c r="H3943" s="97"/>
      <c r="I3943" s="74" t="str">
        <f ca="1">IF(D3943="N",COUNTIF(INDIRECT(ADDRESS(MATCH(Plages!$D$19,'Planning annuel mixing coater'!$B:$B),4)):D3943,"N"),IF(D3943="N1",COUNTIF($D$9:D3943,"N1"),""))</f>
        <v/>
      </c>
      <c r="J3943" s="96" t="str">
        <f>IF(D3943="","",COUNTA(D3936:D3943)-(COUNTA(D3943:D3943)-1))</f>
        <v/>
      </c>
    </row>
    <row r="3944" spans="1:10" thickBot="1">
      <c r="A3944" s="117"/>
      <c r="B3944" s="70">
        <f t="shared" si="249"/>
        <v>47736</v>
      </c>
      <c r="C3944" s="82" t="str">
        <f t="shared" si="250"/>
        <v>mardi</v>
      </c>
      <c r="D3944" s="87"/>
      <c r="E3944" s="115" t="str">
        <f t="shared" si="251"/>
        <v/>
      </c>
      <c r="F3944" s="115" t="str">
        <f t="shared" si="252"/>
        <v/>
      </c>
      <c r="G3944" s="116" t="str">
        <f>IF(ISNONTEXT(D3944),"",E3944-MAX($F$2:F3943))</f>
        <v/>
      </c>
      <c r="H3944" s="97"/>
      <c r="I3944" s="74" t="str">
        <f ca="1">IF(D3944="N",COUNTIF(INDIRECT(ADDRESS(MATCH(Plages!$D$19,'Planning annuel mixing coater'!$B:$B),4)):D3944,"N"),IF(D3944="N1",COUNTIF($D$9:D3944,"N1"),""))</f>
        <v/>
      </c>
      <c r="J3944" s="96" t="str">
        <f>IF(D3944="","",COUNTA(D3936:D3944)-(COUNTA(D3944:D3944)-1))</f>
        <v/>
      </c>
    </row>
    <row r="3945" spans="1:10" thickBot="1">
      <c r="A3945" s="117"/>
      <c r="B3945" s="70">
        <f t="shared" si="249"/>
        <v>47737</v>
      </c>
      <c r="C3945" s="82" t="str">
        <f t="shared" si="250"/>
        <v>mercredi</v>
      </c>
      <c r="D3945" s="87"/>
      <c r="E3945" s="115" t="str">
        <f t="shared" si="251"/>
        <v/>
      </c>
      <c r="F3945" s="115" t="str">
        <f t="shared" si="252"/>
        <v/>
      </c>
      <c r="G3945" s="116" t="str">
        <f>IF(ISNONTEXT(D3945),"",E3945-MAX($F$2:F3944))</f>
        <v/>
      </c>
      <c r="H3945" s="97"/>
      <c r="I3945" s="74" t="str">
        <f ca="1">IF(D3945="N",COUNTIF(INDIRECT(ADDRESS(MATCH(Plages!$D$19,'Planning annuel mixing coater'!$B:$B),4)):D3945,"N"),IF(D3945="N1",COUNTIF($D$9:D3945,"N1"),""))</f>
        <v/>
      </c>
      <c r="J3945" s="96" t="str">
        <f>IF(D3945="","",COUNTA(D3936:D3945)-(COUNTA(D3945:D3945)-1))</f>
        <v/>
      </c>
    </row>
    <row r="3946" spans="1:10" thickBot="1">
      <c r="A3946" s="117"/>
      <c r="B3946" s="70">
        <f t="shared" si="249"/>
        <v>47738</v>
      </c>
      <c r="C3946" s="82" t="str">
        <f t="shared" si="250"/>
        <v>jeudi</v>
      </c>
      <c r="D3946" s="87"/>
      <c r="E3946" s="115" t="str">
        <f t="shared" si="251"/>
        <v/>
      </c>
      <c r="F3946" s="115" t="str">
        <f t="shared" si="252"/>
        <v/>
      </c>
      <c r="G3946" s="116" t="str">
        <f>IF(ISNONTEXT(D3946),"",E3946-MAX($F$2:F3945))</f>
        <v/>
      </c>
      <c r="H3946" s="97"/>
      <c r="I3946" s="74" t="str">
        <f ca="1">IF(D3946="N",COUNTIF(INDIRECT(ADDRESS(MATCH(Plages!$D$19,'Planning annuel mixing coater'!$B:$B),4)):D3946,"N"),IF(D3946="N1",COUNTIF($D$9:D3946,"N1"),""))</f>
        <v/>
      </c>
      <c r="J3946" s="96" t="str">
        <f>IF(D3946="","",COUNTA(D3936:D3946)-(COUNTA(D3946:D3946)-1))</f>
        <v/>
      </c>
    </row>
    <row r="3947" spans="1:10" thickBot="1">
      <c r="A3947" s="117"/>
      <c r="B3947" s="70">
        <f t="shared" si="249"/>
        <v>47739</v>
      </c>
      <c r="C3947" s="82" t="str">
        <f t="shared" si="250"/>
        <v>vendredi</v>
      </c>
      <c r="D3947" s="87"/>
      <c r="E3947" s="115" t="str">
        <f t="shared" si="251"/>
        <v/>
      </c>
      <c r="F3947" s="115" t="str">
        <f t="shared" si="252"/>
        <v/>
      </c>
      <c r="G3947" s="116" t="str">
        <f>IF(ISNONTEXT(D3947),"",E3947-MAX($F$2:F3946))</f>
        <v/>
      </c>
      <c r="H3947" s="97"/>
      <c r="I3947" s="74" t="str">
        <f ca="1">IF(D3947="N",COUNTIF(INDIRECT(ADDRESS(MATCH(Plages!$D$19,'Planning annuel mixing coater'!$B:$B),4)):D3947,"N"),IF(D3947="N1",COUNTIF($D$9:D3947,"N1"),""))</f>
        <v/>
      </c>
      <c r="J3947" s="96" t="str">
        <f>IF(D3947="","",COUNTA(D3936:D3947)-(COUNTA(D3947:D3947)-1))</f>
        <v/>
      </c>
    </row>
    <row r="3948" spans="1:10" thickBot="1">
      <c r="A3948" s="117"/>
      <c r="B3948" s="70">
        <f t="shared" si="249"/>
        <v>47740</v>
      </c>
      <c r="C3948" s="82" t="str">
        <f t="shared" si="250"/>
        <v>samedi</v>
      </c>
      <c r="D3948" s="87"/>
      <c r="E3948" s="115" t="str">
        <f t="shared" si="251"/>
        <v/>
      </c>
      <c r="F3948" s="115" t="str">
        <f t="shared" si="252"/>
        <v/>
      </c>
      <c r="G3948" s="116" t="str">
        <f>IF(ISNONTEXT(D3948),"",E3948-MAX($F$2:F3947))</f>
        <v/>
      </c>
      <c r="H3948" s="97"/>
      <c r="I3948" s="74" t="str">
        <f ca="1">IF(D3948="N",COUNTIF(INDIRECT(ADDRESS(MATCH(Plages!$D$19,'Planning annuel mixing coater'!$B:$B),4)):D3948,"N"),IF(D3948="N1",COUNTIF($D$9:D3948,"N1"),""))</f>
        <v/>
      </c>
      <c r="J3948" s="96" t="str">
        <f>IF(D3948="","",COUNTA(D3936:D3948)-(COUNTA(D3948:D3948)-1))</f>
        <v/>
      </c>
    </row>
    <row r="3949" spans="1:10" s="77" customFormat="1" thickBot="1">
      <c r="A3949" s="117"/>
      <c r="B3949" s="75">
        <f t="shared" si="249"/>
        <v>47741</v>
      </c>
      <c r="C3949" s="83" t="str">
        <f t="shared" si="250"/>
        <v>dimanche</v>
      </c>
      <c r="D3949" s="88"/>
      <c r="E3949" s="115" t="str">
        <f t="shared" si="251"/>
        <v/>
      </c>
      <c r="F3949" s="115" t="str">
        <f t="shared" si="252"/>
        <v/>
      </c>
      <c r="G3949" s="116" t="str">
        <f>IF(ISNONTEXT(D3949),"",E3949-MAX($F$2:F3948))</f>
        <v/>
      </c>
      <c r="H3949" s="98"/>
      <c r="I3949" s="76" t="str">
        <f ca="1">IF(D3949="N",COUNTIF(INDIRECT(ADDRESS(MATCH(Plages!$D$19,'Planning annuel mixing coater'!$B:$B),4)):D3949,"N"),IF(D3949="N1",COUNTIF($D$9:D3949,"N1"),""))</f>
        <v/>
      </c>
      <c r="J3949" s="99" t="str">
        <f>IF(D3949="","",COUNTA(D3936:D3949)-(COUNTA(D3949:D3949)-1))</f>
        <v/>
      </c>
    </row>
    <row r="3950" spans="1:10" ht="16.5" thickTop="1" thickBot="1">
      <c r="A3950" s="117"/>
      <c r="B3950" s="78">
        <f t="shared" si="249"/>
        <v>47742</v>
      </c>
      <c r="C3950" s="81" t="str">
        <f t="shared" si="250"/>
        <v>lundi</v>
      </c>
      <c r="D3950" s="89"/>
      <c r="E3950" s="115" t="str">
        <f t="shared" si="251"/>
        <v/>
      </c>
      <c r="F3950" s="115" t="str">
        <f t="shared" si="252"/>
        <v/>
      </c>
      <c r="G3950" s="116" t="str">
        <f>IF(ISNONTEXT(D3950),"",E3950-MAX($F$2:F3949))</f>
        <v/>
      </c>
      <c r="H3950" s="100"/>
      <c r="I3950" s="79" t="str">
        <f ca="1">IF(D3950="N",COUNTIF(INDIRECT(ADDRESS(MATCH(Plages!$D$19,'Planning annuel mixing coater'!$B:$B),4)):D3950,"N"),IF(D3950="N1",COUNTIF($D$9:D3950,"N1"),""))</f>
        <v/>
      </c>
      <c r="J3950" s="101" t="str">
        <f>IF(D3950="","",COUNTA(D3950:D3950)-(COUNTA(D3950:D3950)-1))</f>
        <v/>
      </c>
    </row>
    <row r="3951" spans="1:10" thickBot="1">
      <c r="A3951" s="117"/>
      <c r="B3951" s="70">
        <f t="shared" si="249"/>
        <v>47743</v>
      </c>
      <c r="C3951" s="82" t="str">
        <f t="shared" si="250"/>
        <v>mardi</v>
      </c>
      <c r="D3951" s="87"/>
      <c r="E3951" s="115" t="str">
        <f t="shared" si="251"/>
        <v/>
      </c>
      <c r="F3951" s="115" t="str">
        <f t="shared" si="252"/>
        <v/>
      </c>
      <c r="G3951" s="116" t="str">
        <f>IF(ISNONTEXT(D3951),"",E3951-MAX($F$2:F3950))</f>
        <v/>
      </c>
      <c r="H3951" s="97"/>
      <c r="I3951" s="74" t="str">
        <f ca="1">IF(D3951="N",COUNTIF(INDIRECT(ADDRESS(MATCH(Plages!$D$19,'Planning annuel mixing coater'!$B:$B),4)):D3951,"N"),IF(D3951="N1",COUNTIF($D$9:D3951,"N1"),""))</f>
        <v/>
      </c>
      <c r="J3951" s="96" t="str">
        <f>IF(D3951="","",COUNTA(D3950:D3951)-(COUNTA(D3951:D3951)-1))</f>
        <v/>
      </c>
    </row>
    <row r="3952" spans="1:10" thickBot="1">
      <c r="A3952" s="117"/>
      <c r="B3952" s="70">
        <f t="shared" si="249"/>
        <v>47744</v>
      </c>
      <c r="C3952" s="82" t="str">
        <f t="shared" si="250"/>
        <v>mercredi</v>
      </c>
      <c r="D3952" s="87"/>
      <c r="E3952" s="115" t="str">
        <f t="shared" si="251"/>
        <v/>
      </c>
      <c r="F3952" s="115" t="str">
        <f t="shared" si="252"/>
        <v/>
      </c>
      <c r="G3952" s="116" t="str">
        <f>IF(ISNONTEXT(D3952),"",E3952-MAX($F$2:F3951))</f>
        <v/>
      </c>
      <c r="H3952" s="97"/>
      <c r="I3952" s="74" t="str">
        <f ca="1">IF(D3952="N",COUNTIF(INDIRECT(ADDRESS(MATCH(Plages!$D$19,'Planning annuel mixing coater'!$B:$B),4)):D3952,"N"),IF(D3952="N1",COUNTIF($D$9:D3952,"N1"),""))</f>
        <v/>
      </c>
      <c r="J3952" s="96" t="str">
        <f>IF(D3952="","",COUNTA(D3950:D3952)-(COUNTA(D3952:D3952)-1))</f>
        <v/>
      </c>
    </row>
    <row r="3953" spans="1:10" thickBot="1">
      <c r="A3953" s="117"/>
      <c r="B3953" s="70">
        <f t="shared" si="249"/>
        <v>47745</v>
      </c>
      <c r="C3953" s="82" t="str">
        <f t="shared" si="250"/>
        <v>jeudi</v>
      </c>
      <c r="D3953" s="87"/>
      <c r="E3953" s="115" t="str">
        <f t="shared" si="251"/>
        <v/>
      </c>
      <c r="F3953" s="115" t="str">
        <f t="shared" si="252"/>
        <v/>
      </c>
      <c r="G3953" s="116" t="str">
        <f>IF(ISNONTEXT(D3953),"",E3953-MAX($F$2:F3952))</f>
        <v/>
      </c>
      <c r="H3953" s="97"/>
      <c r="I3953" s="74" t="str">
        <f ca="1">IF(D3953="N",COUNTIF(INDIRECT(ADDRESS(MATCH(Plages!$D$19,'Planning annuel mixing coater'!$B:$B),4)):D3953,"N"),IF(D3953="N1",COUNTIF($D$9:D3953,"N1"),""))</f>
        <v/>
      </c>
      <c r="J3953" s="96" t="str">
        <f>IF(D3953="","",COUNTA(D3950:D3953)-(COUNTA(D3953:D3953)-1))</f>
        <v/>
      </c>
    </row>
    <row r="3954" spans="1:10" thickBot="1">
      <c r="A3954" s="117"/>
      <c r="B3954" s="70">
        <f t="shared" si="249"/>
        <v>47746</v>
      </c>
      <c r="C3954" s="82" t="str">
        <f t="shared" si="250"/>
        <v>vendredi</v>
      </c>
      <c r="D3954" s="87"/>
      <c r="E3954" s="115" t="str">
        <f t="shared" si="251"/>
        <v/>
      </c>
      <c r="F3954" s="115" t="str">
        <f t="shared" si="252"/>
        <v/>
      </c>
      <c r="G3954" s="116" t="str">
        <f>IF(ISNONTEXT(D3954),"",E3954-MAX($F$2:F3953))</f>
        <v/>
      </c>
      <c r="H3954" s="97"/>
      <c r="I3954" s="74" t="str">
        <f ca="1">IF(D3954="N",COUNTIF(INDIRECT(ADDRESS(MATCH(Plages!$D$19,'Planning annuel mixing coater'!$B:$B),4)):D3954,"N"),IF(D3954="N1",COUNTIF($D$9:D3954,"N1"),""))</f>
        <v/>
      </c>
      <c r="J3954" s="96" t="str">
        <f>IF(D3954="","",COUNTA(D3950:D3954)-(COUNTA(D3954:D3954)-1))</f>
        <v/>
      </c>
    </row>
    <row r="3955" spans="1:10" thickBot="1">
      <c r="A3955" s="117"/>
      <c r="B3955" s="70">
        <f t="shared" si="249"/>
        <v>47747</v>
      </c>
      <c r="C3955" s="82" t="str">
        <f t="shared" si="250"/>
        <v>samedi</v>
      </c>
      <c r="D3955" s="87"/>
      <c r="E3955" s="115" t="str">
        <f t="shared" si="251"/>
        <v/>
      </c>
      <c r="F3955" s="115" t="str">
        <f t="shared" si="252"/>
        <v/>
      </c>
      <c r="G3955" s="116" t="str">
        <f>IF(ISNONTEXT(D3955),"",E3955-MAX($F$2:F3954))</f>
        <v/>
      </c>
      <c r="H3955" s="97"/>
      <c r="I3955" s="74" t="str">
        <f ca="1">IF(D3955="N",COUNTIF(INDIRECT(ADDRESS(MATCH(Plages!$D$19,'Planning annuel mixing coater'!$B:$B),4)):D3955,"N"),IF(D3955="N1",COUNTIF($D$9:D3955,"N1"),""))</f>
        <v/>
      </c>
      <c r="J3955" s="96" t="str">
        <f>IF(D3955="","",COUNTA(D3950:D3955)-(COUNTA(D3955:D3955)-1))</f>
        <v/>
      </c>
    </row>
    <row r="3956" spans="1:10" thickBot="1">
      <c r="A3956" s="117"/>
      <c r="B3956" s="70">
        <f t="shared" si="249"/>
        <v>47748</v>
      </c>
      <c r="C3956" s="82" t="str">
        <f t="shared" si="250"/>
        <v>dimanche</v>
      </c>
      <c r="D3956" s="87"/>
      <c r="E3956" s="115" t="str">
        <f t="shared" si="251"/>
        <v/>
      </c>
      <c r="F3956" s="115" t="str">
        <f t="shared" si="252"/>
        <v/>
      </c>
      <c r="G3956" s="116" t="str">
        <f>IF(ISNONTEXT(D3956),"",E3956-MAX($F$2:F3955))</f>
        <v/>
      </c>
      <c r="H3956" s="98"/>
      <c r="I3956" s="74" t="str">
        <f ca="1">IF(D3956="N",COUNTIF(INDIRECT(ADDRESS(MATCH(Plages!$D$19,'Planning annuel mixing coater'!$B:$B),4)):D3956,"N"),IF(D3956="N1",COUNTIF($D$9:D3956,"N1"),""))</f>
        <v/>
      </c>
      <c r="J3956" s="96" t="str">
        <f>IF(D3956="","",COUNTA(D3950:D3956)-(COUNTA(D3956:D3956)-1))</f>
        <v/>
      </c>
    </row>
    <row r="3957" spans="1:10" thickBot="1">
      <c r="A3957" s="117"/>
      <c r="B3957" s="70">
        <f t="shared" si="249"/>
        <v>47749</v>
      </c>
      <c r="C3957" s="82" t="str">
        <f t="shared" si="250"/>
        <v>lundi</v>
      </c>
      <c r="D3957" s="87"/>
      <c r="E3957" s="115" t="str">
        <f t="shared" si="251"/>
        <v/>
      </c>
      <c r="F3957" s="115" t="str">
        <f t="shared" si="252"/>
        <v/>
      </c>
      <c r="G3957" s="116" t="str">
        <f>IF(ISNONTEXT(D3957),"",E3957-MAX($F$2:F3956))</f>
        <v/>
      </c>
      <c r="H3957" s="97"/>
      <c r="I3957" s="74" t="str">
        <f ca="1">IF(D3957="N",COUNTIF(INDIRECT(ADDRESS(MATCH(Plages!$D$19,'Planning annuel mixing coater'!$B:$B),4)):D3957,"N"),IF(D3957="N1",COUNTIF($D$9:D3957,"N1"),""))</f>
        <v/>
      </c>
      <c r="J3957" s="96" t="str">
        <f>IF(D3957="","",COUNTA(D3950:D3957)-(COUNTA(D3957:D3957)-1))</f>
        <v/>
      </c>
    </row>
    <row r="3958" spans="1:10" thickBot="1">
      <c r="A3958" s="117"/>
      <c r="B3958" s="70">
        <f t="shared" si="249"/>
        <v>47750</v>
      </c>
      <c r="C3958" s="82" t="str">
        <f t="shared" si="250"/>
        <v>mardi</v>
      </c>
      <c r="D3958" s="87"/>
      <c r="E3958" s="115" t="str">
        <f t="shared" si="251"/>
        <v/>
      </c>
      <c r="F3958" s="115" t="str">
        <f t="shared" si="252"/>
        <v/>
      </c>
      <c r="G3958" s="116" t="str">
        <f>IF(ISNONTEXT(D3958),"",E3958-MAX($F$2:F3957))</f>
        <v/>
      </c>
      <c r="H3958" s="97"/>
      <c r="I3958" s="74" t="str">
        <f ca="1">IF(D3958="N",COUNTIF(INDIRECT(ADDRESS(MATCH(Plages!$D$19,'Planning annuel mixing coater'!$B:$B),4)):D3958,"N"),IF(D3958="N1",COUNTIF($D$9:D3958,"N1"),""))</f>
        <v/>
      </c>
      <c r="J3958" s="96" t="str">
        <f>IF(D3958="","",COUNTA(D3950:D3958)-(COUNTA(D3958:D3958)-1))</f>
        <v/>
      </c>
    </row>
    <row r="3959" spans="1:10" thickBot="1">
      <c r="A3959" s="117"/>
      <c r="B3959" s="70">
        <f t="shared" si="249"/>
        <v>47751</v>
      </c>
      <c r="C3959" s="82" t="str">
        <f t="shared" si="250"/>
        <v>mercredi</v>
      </c>
      <c r="D3959" s="87"/>
      <c r="E3959" s="115" t="str">
        <f t="shared" si="251"/>
        <v/>
      </c>
      <c r="F3959" s="115" t="str">
        <f t="shared" si="252"/>
        <v/>
      </c>
      <c r="G3959" s="116" t="str">
        <f>IF(ISNONTEXT(D3959),"",E3959-MAX($F$2:F3958))</f>
        <v/>
      </c>
      <c r="H3959" s="97"/>
      <c r="I3959" s="74" t="str">
        <f ca="1">IF(D3959="N",COUNTIF(INDIRECT(ADDRESS(MATCH(Plages!$D$19,'Planning annuel mixing coater'!$B:$B),4)):D3959,"N"),IF(D3959="N1",COUNTIF($D$9:D3959,"N1"),""))</f>
        <v/>
      </c>
      <c r="J3959" s="96" t="str">
        <f>IF(D3959="","",COUNTA(D3950:D3959)-(COUNTA(D3959:D3959)-1))</f>
        <v/>
      </c>
    </row>
    <row r="3960" spans="1:10" thickBot="1">
      <c r="A3960" s="117"/>
      <c r="B3960" s="70">
        <f t="shared" si="249"/>
        <v>47752</v>
      </c>
      <c r="C3960" s="82" t="str">
        <f t="shared" si="250"/>
        <v>jeudi</v>
      </c>
      <c r="D3960" s="87"/>
      <c r="E3960" s="115" t="str">
        <f t="shared" si="251"/>
        <v/>
      </c>
      <c r="F3960" s="115" t="str">
        <f t="shared" si="252"/>
        <v/>
      </c>
      <c r="G3960" s="116" t="str">
        <f>IF(ISNONTEXT(D3960),"",E3960-MAX($F$2:F3959))</f>
        <v/>
      </c>
      <c r="H3960" s="97"/>
      <c r="I3960" s="74" t="str">
        <f ca="1">IF(D3960="N",COUNTIF(INDIRECT(ADDRESS(MATCH(Plages!$D$19,'Planning annuel mixing coater'!$B:$B),4)):D3960,"N"),IF(D3960="N1",COUNTIF($D$9:D3960,"N1"),""))</f>
        <v/>
      </c>
      <c r="J3960" s="96" t="str">
        <f>IF(D3960="","",COUNTA(D3950:D3960)-(COUNTA(D3960:D3960)-1))</f>
        <v/>
      </c>
    </row>
    <row r="3961" spans="1:10" thickBot="1">
      <c r="A3961" s="117"/>
      <c r="B3961" s="70">
        <f t="shared" si="249"/>
        <v>47753</v>
      </c>
      <c r="C3961" s="82" t="str">
        <f t="shared" si="250"/>
        <v>vendredi</v>
      </c>
      <c r="D3961" s="87"/>
      <c r="E3961" s="115" t="str">
        <f t="shared" si="251"/>
        <v/>
      </c>
      <c r="F3961" s="115" t="str">
        <f t="shared" si="252"/>
        <v/>
      </c>
      <c r="G3961" s="116" t="str">
        <f>IF(ISNONTEXT(D3961),"",E3961-MAX($F$2:F3960))</f>
        <v/>
      </c>
      <c r="H3961" s="97"/>
      <c r="I3961" s="74" t="str">
        <f ca="1">IF(D3961="N",COUNTIF(INDIRECT(ADDRESS(MATCH(Plages!$D$19,'Planning annuel mixing coater'!$B:$B),4)):D3961,"N"),IF(D3961="N1",COUNTIF($D$9:D3961,"N1"),""))</f>
        <v/>
      </c>
      <c r="J3961" s="96" t="str">
        <f>IF(D3961="","",COUNTA(D3950:D3961)-(COUNTA(D3961:D3961)-1))</f>
        <v/>
      </c>
    </row>
    <row r="3962" spans="1:10" thickBot="1">
      <c r="A3962" s="117"/>
      <c r="B3962" s="70">
        <f t="shared" si="249"/>
        <v>47754</v>
      </c>
      <c r="C3962" s="82" t="str">
        <f t="shared" si="250"/>
        <v>samedi</v>
      </c>
      <c r="D3962" s="87"/>
      <c r="E3962" s="115" t="str">
        <f t="shared" si="251"/>
        <v/>
      </c>
      <c r="F3962" s="115" t="str">
        <f t="shared" si="252"/>
        <v/>
      </c>
      <c r="G3962" s="116" t="str">
        <f>IF(ISNONTEXT(D3962),"",E3962-MAX($F$2:F3961))</f>
        <v/>
      </c>
      <c r="H3962" s="97"/>
      <c r="I3962" s="74" t="str">
        <f ca="1">IF(D3962="N",COUNTIF(INDIRECT(ADDRESS(MATCH(Plages!$D$19,'Planning annuel mixing coater'!$B:$B),4)):D3962,"N"),IF(D3962="N1",COUNTIF($D$9:D3962,"N1"),""))</f>
        <v/>
      </c>
      <c r="J3962" s="96" t="str">
        <f>IF(D3962="","",COUNTA(D3950:D3962)-(COUNTA(D3962:D3962)-1))</f>
        <v/>
      </c>
    </row>
    <row r="3963" spans="1:10" s="77" customFormat="1" thickBot="1">
      <c r="A3963" s="117"/>
      <c r="B3963" s="75">
        <f t="shared" si="249"/>
        <v>47755</v>
      </c>
      <c r="C3963" s="83" t="str">
        <f t="shared" si="250"/>
        <v>dimanche</v>
      </c>
      <c r="D3963" s="88"/>
      <c r="E3963" s="115" t="str">
        <f t="shared" si="251"/>
        <v/>
      </c>
      <c r="F3963" s="115" t="str">
        <f t="shared" si="252"/>
        <v/>
      </c>
      <c r="G3963" s="116" t="str">
        <f>IF(ISNONTEXT(D3963),"",E3963-MAX($F$2:F3962))</f>
        <v/>
      </c>
      <c r="H3963" s="98"/>
      <c r="I3963" s="76" t="str">
        <f ca="1">IF(D3963="N",COUNTIF(INDIRECT(ADDRESS(MATCH(Plages!$D$19,'Planning annuel mixing coater'!$B:$B),4)):D3963,"N"),IF(D3963="N1",COUNTIF($D$9:D3963,"N1"),""))</f>
        <v/>
      </c>
      <c r="J3963" s="99" t="str">
        <f>IF(D3963="","",COUNTA(D3950:D3963)-(COUNTA(D3963:D3963)-1))</f>
        <v/>
      </c>
    </row>
    <row r="3964" spans="1:10" ht="16.5" thickTop="1" thickBot="1">
      <c r="A3964" s="117"/>
      <c r="B3964" s="78">
        <f t="shared" si="249"/>
        <v>47756</v>
      </c>
      <c r="C3964" s="81" t="str">
        <f t="shared" si="250"/>
        <v>lundi</v>
      </c>
      <c r="D3964" s="89"/>
      <c r="E3964" s="115" t="str">
        <f t="shared" si="251"/>
        <v/>
      </c>
      <c r="F3964" s="115" t="str">
        <f t="shared" si="252"/>
        <v/>
      </c>
      <c r="G3964" s="116" t="str">
        <f>IF(ISNONTEXT(D3964),"",E3964-MAX($F$2:F3963))</f>
        <v/>
      </c>
      <c r="H3964" s="100"/>
      <c r="I3964" s="79" t="str">
        <f ca="1">IF(D3964="N",COUNTIF(INDIRECT(ADDRESS(MATCH(Plages!$D$19,'Planning annuel mixing coater'!$B:$B),4)):D3964,"N"),IF(D3964="N1",COUNTIF($D$9:D3964,"N1"),""))</f>
        <v/>
      </c>
      <c r="J3964" s="101" t="str">
        <f>IF(D3964="","",COUNTA(D3964:D3964)-(COUNTA(D3964:D3964)-1))</f>
        <v/>
      </c>
    </row>
    <row r="3965" spans="1:10" thickBot="1">
      <c r="A3965" s="117"/>
      <c r="B3965" s="70">
        <f t="shared" si="249"/>
        <v>47757</v>
      </c>
      <c r="C3965" s="82" t="str">
        <f t="shared" si="250"/>
        <v>mardi</v>
      </c>
      <c r="D3965" s="87"/>
      <c r="E3965" s="115" t="str">
        <f t="shared" si="251"/>
        <v/>
      </c>
      <c r="F3965" s="115" t="str">
        <f t="shared" si="252"/>
        <v/>
      </c>
      <c r="G3965" s="116" t="str">
        <f>IF(ISNONTEXT(D3965),"",E3965-MAX($F$2:F3964))</f>
        <v/>
      </c>
      <c r="H3965" s="97"/>
      <c r="I3965" s="74" t="str">
        <f ca="1">IF(D3965="N",COUNTIF(INDIRECT(ADDRESS(MATCH(Plages!$D$19,'Planning annuel mixing coater'!$B:$B),4)):D3965,"N"),IF(D3965="N1",COUNTIF($D$9:D3965,"N1"),""))</f>
        <v/>
      </c>
      <c r="J3965" s="96" t="str">
        <f>IF(D3965="","",COUNTA(D3964:D3965)-(COUNTA(D3965:D3965)-1))</f>
        <v/>
      </c>
    </row>
    <row r="3966" spans="1:10" thickBot="1">
      <c r="A3966" s="117"/>
      <c r="B3966" s="70">
        <f t="shared" si="249"/>
        <v>47758</v>
      </c>
      <c r="C3966" s="82" t="str">
        <f t="shared" si="250"/>
        <v>mercredi</v>
      </c>
      <c r="D3966" s="87"/>
      <c r="E3966" s="115" t="str">
        <f t="shared" si="251"/>
        <v/>
      </c>
      <c r="F3966" s="115" t="str">
        <f t="shared" si="252"/>
        <v/>
      </c>
      <c r="G3966" s="116" t="str">
        <f>IF(ISNONTEXT(D3966),"",E3966-MAX($F$2:F3965))</f>
        <v/>
      </c>
      <c r="H3966" s="97"/>
      <c r="I3966" s="74" t="str">
        <f ca="1">IF(D3966="N",COUNTIF(INDIRECT(ADDRESS(MATCH(Plages!$D$19,'Planning annuel mixing coater'!$B:$B),4)):D3966,"N"),IF(D3966="N1",COUNTIF($D$9:D3966,"N1"),""))</f>
        <v/>
      </c>
      <c r="J3966" s="96" t="str">
        <f>IF(D3966="","",COUNTA(D3964:D3966)-(COUNTA(D3966:D3966)-1))</f>
        <v/>
      </c>
    </row>
    <row r="3967" spans="1:10" thickBot="1">
      <c r="A3967" s="117"/>
      <c r="B3967" s="70">
        <f t="shared" si="249"/>
        <v>47759</v>
      </c>
      <c r="C3967" s="82" t="str">
        <f t="shared" si="250"/>
        <v>jeudi</v>
      </c>
      <c r="D3967" s="87"/>
      <c r="E3967" s="115" t="str">
        <f t="shared" si="251"/>
        <v/>
      </c>
      <c r="F3967" s="115" t="str">
        <f t="shared" si="252"/>
        <v/>
      </c>
      <c r="G3967" s="116" t="str">
        <f>IF(ISNONTEXT(D3967),"",E3967-MAX($F$2:F3966))</f>
        <v/>
      </c>
      <c r="H3967" s="97"/>
      <c r="I3967" s="74" t="str">
        <f ca="1">IF(D3967="N",COUNTIF(INDIRECT(ADDRESS(MATCH(Plages!$D$19,'Planning annuel mixing coater'!$B:$B),4)):D3967,"N"),IF(D3967="N1",COUNTIF($D$9:D3967,"N1"),""))</f>
        <v/>
      </c>
      <c r="J3967" s="96" t="str">
        <f>IF(D3967="","",COUNTA(D3964:D3967)-(COUNTA(D3967:D3967)-1))</f>
        <v/>
      </c>
    </row>
    <row r="3968" spans="1:10" thickBot="1">
      <c r="A3968" s="117"/>
      <c r="B3968" s="70">
        <f t="shared" si="249"/>
        <v>47760</v>
      </c>
      <c r="C3968" s="82" t="str">
        <f t="shared" si="250"/>
        <v>vendredi</v>
      </c>
      <c r="D3968" s="87"/>
      <c r="E3968" s="115" t="str">
        <f t="shared" si="251"/>
        <v/>
      </c>
      <c r="F3968" s="115" t="str">
        <f t="shared" si="252"/>
        <v/>
      </c>
      <c r="G3968" s="116" t="str">
        <f>IF(ISNONTEXT(D3968),"",E3968-MAX($F$2:F3967))</f>
        <v/>
      </c>
      <c r="H3968" s="97"/>
      <c r="I3968" s="74" t="str">
        <f ca="1">IF(D3968="N",COUNTIF(INDIRECT(ADDRESS(MATCH(Plages!$D$19,'Planning annuel mixing coater'!$B:$B),4)):D3968,"N"),IF(D3968="N1",COUNTIF($D$9:D3968,"N1"),""))</f>
        <v/>
      </c>
      <c r="J3968" s="96" t="str">
        <f>IF(D3968="","",COUNTA(D3964:D3968)-(COUNTA(D3968:D3968)-1))</f>
        <v/>
      </c>
    </row>
    <row r="3969" spans="1:10" thickBot="1">
      <c r="A3969" s="117"/>
      <c r="B3969" s="70">
        <f t="shared" si="249"/>
        <v>47761</v>
      </c>
      <c r="C3969" s="82" t="str">
        <f t="shared" si="250"/>
        <v>samedi</v>
      </c>
      <c r="D3969" s="87"/>
      <c r="E3969" s="115" t="str">
        <f t="shared" si="251"/>
        <v/>
      </c>
      <c r="F3969" s="115" t="str">
        <f t="shared" si="252"/>
        <v/>
      </c>
      <c r="G3969" s="116" t="str">
        <f>IF(ISNONTEXT(D3969),"",E3969-MAX($F$2:F3968))</f>
        <v/>
      </c>
      <c r="H3969" s="97"/>
      <c r="I3969" s="74" t="str">
        <f ca="1">IF(D3969="N",COUNTIF(INDIRECT(ADDRESS(MATCH(Plages!$D$19,'Planning annuel mixing coater'!$B:$B),4)):D3969,"N"),IF(D3969="N1",COUNTIF($D$9:D3969,"N1"),""))</f>
        <v/>
      </c>
      <c r="J3969" s="96" t="str">
        <f>IF(D3969="","",COUNTA(D3964:D3969)-(COUNTA(D3969:D3969)-1))</f>
        <v/>
      </c>
    </row>
    <row r="3970" spans="1:10" thickBot="1">
      <c r="A3970" s="117"/>
      <c r="B3970" s="70">
        <f t="shared" si="249"/>
        <v>47762</v>
      </c>
      <c r="C3970" s="82" t="str">
        <f t="shared" si="250"/>
        <v>dimanche</v>
      </c>
      <c r="D3970" s="87"/>
      <c r="E3970" s="115" t="str">
        <f t="shared" si="251"/>
        <v/>
      </c>
      <c r="F3970" s="115" t="str">
        <f t="shared" si="252"/>
        <v/>
      </c>
      <c r="G3970" s="116" t="str">
        <f>IF(ISNONTEXT(D3970),"",E3970-MAX($F$2:F3969))</f>
        <v/>
      </c>
      <c r="H3970" s="98"/>
      <c r="I3970" s="74" t="str">
        <f ca="1">IF(D3970="N",COUNTIF(INDIRECT(ADDRESS(MATCH(Plages!$D$19,'Planning annuel mixing coater'!$B:$B),4)):D3970,"N"),IF(D3970="N1",COUNTIF($D$9:D3970,"N1"),""))</f>
        <v/>
      </c>
      <c r="J3970" s="96" t="str">
        <f>IF(D3970="","",COUNTA(D3964:D3970)-(COUNTA(D3970:D3970)-1))</f>
        <v/>
      </c>
    </row>
    <row r="3971" spans="1:10" thickBot="1">
      <c r="A3971" s="117"/>
      <c r="B3971" s="70">
        <f t="shared" si="249"/>
        <v>47763</v>
      </c>
      <c r="C3971" s="82" t="str">
        <f t="shared" si="250"/>
        <v>lundi</v>
      </c>
      <c r="D3971" s="87"/>
      <c r="E3971" s="115" t="str">
        <f t="shared" si="251"/>
        <v/>
      </c>
      <c r="F3971" s="115" t="str">
        <f t="shared" si="252"/>
        <v/>
      </c>
      <c r="G3971" s="116" t="str">
        <f>IF(ISNONTEXT(D3971),"",E3971-MAX($F$2:F3970))</f>
        <v/>
      </c>
      <c r="H3971" s="97"/>
      <c r="I3971" s="74" t="str">
        <f ca="1">IF(D3971="N",COUNTIF(INDIRECT(ADDRESS(MATCH(Plages!$D$19,'Planning annuel mixing coater'!$B:$B),4)):D3971,"N"),IF(D3971="N1",COUNTIF($D$9:D3971,"N1"),""))</f>
        <v/>
      </c>
      <c r="J3971" s="96" t="str">
        <f>IF(D3971="","",COUNTA(D3964:D3971)-(COUNTA(D3971:D3971)-1))</f>
        <v/>
      </c>
    </row>
    <row r="3972" spans="1:10" thickBot="1">
      <c r="A3972" s="117"/>
      <c r="B3972" s="70">
        <f t="shared" ref="B3972:B4035" si="253">IF(B3971="","",B3971+1)</f>
        <v>47764</v>
      </c>
      <c r="C3972" s="82" t="str">
        <f t="shared" si="250"/>
        <v>mardi</v>
      </c>
      <c r="D3972" s="87"/>
      <c r="E3972" s="115" t="str">
        <f t="shared" si="251"/>
        <v/>
      </c>
      <c r="F3972" s="115" t="str">
        <f t="shared" si="252"/>
        <v/>
      </c>
      <c r="G3972" s="116" t="str">
        <f>IF(ISNONTEXT(D3972),"",E3972-MAX($F$2:F3971))</f>
        <v/>
      </c>
      <c r="H3972" s="97"/>
      <c r="I3972" s="74" t="str">
        <f ca="1">IF(D3972="N",COUNTIF(INDIRECT(ADDRESS(MATCH(Plages!$D$19,'Planning annuel mixing coater'!$B:$B),4)):D3972,"N"),IF(D3972="N1",COUNTIF($D$9:D3972,"N1"),""))</f>
        <v/>
      </c>
      <c r="J3972" s="96" t="str">
        <f>IF(D3972="","",COUNTA(D3964:D3972)-(COUNTA(D3972:D3972)-1))</f>
        <v/>
      </c>
    </row>
    <row r="3973" spans="1:10" thickBot="1">
      <c r="A3973" s="117"/>
      <c r="B3973" s="70">
        <f t="shared" si="253"/>
        <v>47765</v>
      </c>
      <c r="C3973" s="82" t="str">
        <f t="shared" si="250"/>
        <v>mercredi</v>
      </c>
      <c r="D3973" s="87"/>
      <c r="E3973" s="115" t="str">
        <f t="shared" si="251"/>
        <v/>
      </c>
      <c r="F3973" s="115" t="str">
        <f t="shared" si="252"/>
        <v/>
      </c>
      <c r="G3973" s="116" t="str">
        <f>IF(ISNONTEXT(D3973),"",E3973-MAX($F$2:F3972))</f>
        <v/>
      </c>
      <c r="H3973" s="97"/>
      <c r="I3973" s="74" t="str">
        <f ca="1">IF(D3973="N",COUNTIF(INDIRECT(ADDRESS(MATCH(Plages!$D$19,'Planning annuel mixing coater'!$B:$B),4)):D3973,"N"),IF(D3973="N1",COUNTIF($D$9:D3973,"N1"),""))</f>
        <v/>
      </c>
      <c r="J3973" s="96" t="str">
        <f>IF(D3973="","",COUNTA(D3964:D3973)-(COUNTA(D3973:D3973)-1))</f>
        <v/>
      </c>
    </row>
    <row r="3974" spans="1:10" thickBot="1">
      <c r="A3974" s="117"/>
      <c r="B3974" s="70">
        <f t="shared" si="253"/>
        <v>47766</v>
      </c>
      <c r="C3974" s="82" t="str">
        <f t="shared" si="250"/>
        <v>jeudi</v>
      </c>
      <c r="D3974" s="87"/>
      <c r="E3974" s="115" t="str">
        <f t="shared" si="251"/>
        <v/>
      </c>
      <c r="F3974" s="115" t="str">
        <f t="shared" si="252"/>
        <v/>
      </c>
      <c r="G3974" s="116" t="str">
        <f>IF(ISNONTEXT(D3974),"",E3974-MAX($F$2:F3973))</f>
        <v/>
      </c>
      <c r="H3974" s="97"/>
      <c r="I3974" s="74" t="str">
        <f ca="1">IF(D3974="N",COUNTIF(INDIRECT(ADDRESS(MATCH(Plages!$D$19,'Planning annuel mixing coater'!$B:$B),4)):D3974,"N"),IF(D3974="N1",COUNTIF($D$9:D3974,"N1"),""))</f>
        <v/>
      </c>
      <c r="J3974" s="96" t="str">
        <f>IF(D3974="","",COUNTA(D3964:D3974)-(COUNTA(D3974:D3974)-1))</f>
        <v/>
      </c>
    </row>
    <row r="3975" spans="1:10" thickBot="1">
      <c r="A3975" s="117"/>
      <c r="B3975" s="70">
        <f t="shared" si="253"/>
        <v>47767</v>
      </c>
      <c r="C3975" s="82" t="str">
        <f t="shared" si="250"/>
        <v>vendredi</v>
      </c>
      <c r="D3975" s="87"/>
      <c r="E3975" s="115" t="str">
        <f t="shared" si="251"/>
        <v/>
      </c>
      <c r="F3975" s="115" t="str">
        <f t="shared" si="252"/>
        <v/>
      </c>
      <c r="G3975" s="116" t="str">
        <f>IF(ISNONTEXT(D3975),"",E3975-MAX($F$2:F3974))</f>
        <v/>
      </c>
      <c r="H3975" s="97"/>
      <c r="I3975" s="74" t="str">
        <f ca="1">IF(D3975="N",COUNTIF(INDIRECT(ADDRESS(MATCH(Plages!$D$19,'Planning annuel mixing coater'!$B:$B),4)):D3975,"N"),IF(D3975="N1",COUNTIF($D$9:D3975,"N1"),""))</f>
        <v/>
      </c>
      <c r="J3975" s="96" t="str">
        <f>IF(D3975="","",COUNTA(D3964:D3975)-(COUNTA(D3975:D3975)-1))</f>
        <v/>
      </c>
    </row>
    <row r="3976" spans="1:10" thickBot="1">
      <c r="A3976" s="117"/>
      <c r="B3976" s="70">
        <f t="shared" si="253"/>
        <v>47768</v>
      </c>
      <c r="C3976" s="82" t="str">
        <f t="shared" si="250"/>
        <v>samedi</v>
      </c>
      <c r="D3976" s="87"/>
      <c r="E3976" s="115" t="str">
        <f t="shared" si="251"/>
        <v/>
      </c>
      <c r="F3976" s="115" t="str">
        <f t="shared" si="252"/>
        <v/>
      </c>
      <c r="G3976" s="116" t="str">
        <f>IF(ISNONTEXT(D3976),"",E3976-MAX($F$2:F3975))</f>
        <v/>
      </c>
      <c r="H3976" s="97"/>
      <c r="I3976" s="74" t="str">
        <f ca="1">IF(D3976="N",COUNTIF(INDIRECT(ADDRESS(MATCH(Plages!$D$19,'Planning annuel mixing coater'!$B:$B),4)):D3976,"N"),IF(D3976="N1",COUNTIF($D$9:D3976,"N1"),""))</f>
        <v/>
      </c>
      <c r="J3976" s="96" t="str">
        <f>IF(D3976="","",COUNTA(D3964:D3976)-(COUNTA(D3976:D3976)-1))</f>
        <v/>
      </c>
    </row>
    <row r="3977" spans="1:10" s="77" customFormat="1" thickBot="1">
      <c r="A3977" s="117"/>
      <c r="B3977" s="75">
        <f t="shared" si="253"/>
        <v>47769</v>
      </c>
      <c r="C3977" s="83" t="str">
        <f t="shared" si="250"/>
        <v>dimanche</v>
      </c>
      <c r="D3977" s="88"/>
      <c r="E3977" s="115" t="str">
        <f t="shared" si="251"/>
        <v/>
      </c>
      <c r="F3977" s="115" t="str">
        <f t="shared" si="252"/>
        <v/>
      </c>
      <c r="G3977" s="116" t="str">
        <f>IF(ISNONTEXT(D3977),"",E3977-MAX($F$2:F3976))</f>
        <v/>
      </c>
      <c r="H3977" s="98"/>
      <c r="I3977" s="76" t="str">
        <f ca="1">IF(D3977="N",COUNTIF(INDIRECT(ADDRESS(MATCH(Plages!$D$19,'Planning annuel mixing coater'!$B:$B),4)):D3977,"N"),IF(D3977="N1",COUNTIF($D$9:D3977,"N1"),""))</f>
        <v/>
      </c>
      <c r="J3977" s="99" t="str">
        <f>IF(D3977="","",COUNTA(D3964:D3977)-(COUNTA(D3977:D3977)-1))</f>
        <v/>
      </c>
    </row>
    <row r="3978" spans="1:10" ht="16.5" thickTop="1" thickBot="1">
      <c r="A3978" s="117"/>
      <c r="B3978" s="78">
        <f t="shared" si="253"/>
        <v>47770</v>
      </c>
      <c r="C3978" s="81" t="str">
        <f t="shared" si="250"/>
        <v>lundi</v>
      </c>
      <c r="D3978" s="89"/>
      <c r="E3978" s="115" t="str">
        <f t="shared" si="251"/>
        <v/>
      </c>
      <c r="F3978" s="115" t="str">
        <f t="shared" si="252"/>
        <v/>
      </c>
      <c r="G3978" s="116" t="str">
        <f>IF(ISNONTEXT(D3978),"",E3978-MAX($F$2:F3977))</f>
        <v/>
      </c>
      <c r="H3978" s="100"/>
      <c r="I3978" s="79" t="str">
        <f ca="1">IF(D3978="N",COUNTIF(INDIRECT(ADDRESS(MATCH(Plages!$D$19,'Planning annuel mixing coater'!$B:$B),4)):D3978,"N"),IF(D3978="N1",COUNTIF($D$9:D3978,"N1"),""))</f>
        <v/>
      </c>
      <c r="J3978" s="101" t="str">
        <f>IF(D3978="","",COUNTA(D3978:D3978)-(COUNTA(D3978:D3978)-1))</f>
        <v/>
      </c>
    </row>
    <row r="3979" spans="1:10" thickBot="1">
      <c r="A3979" s="117"/>
      <c r="B3979" s="70">
        <f t="shared" si="253"/>
        <v>47771</v>
      </c>
      <c r="C3979" s="82" t="str">
        <f t="shared" si="250"/>
        <v>mardi</v>
      </c>
      <c r="D3979" s="87"/>
      <c r="E3979" s="115" t="str">
        <f t="shared" si="251"/>
        <v/>
      </c>
      <c r="F3979" s="115" t="str">
        <f t="shared" si="252"/>
        <v/>
      </c>
      <c r="G3979" s="116" t="str">
        <f>IF(ISNONTEXT(D3979),"",E3979-MAX($F$2:F3978))</f>
        <v/>
      </c>
      <c r="H3979" s="97"/>
      <c r="I3979" s="74" t="str">
        <f ca="1">IF(D3979="N",COUNTIF(INDIRECT(ADDRESS(MATCH(Plages!$D$19,'Planning annuel mixing coater'!$B:$B),4)):D3979,"N"),IF(D3979="N1",COUNTIF($D$9:D3979,"N1"),""))</f>
        <v/>
      </c>
      <c r="J3979" s="96" t="str">
        <f>IF(D3979="","",COUNTA(D3978:D3979)-(COUNTA(D3979:D3979)-1))</f>
        <v/>
      </c>
    </row>
    <row r="3980" spans="1:10" thickBot="1">
      <c r="A3980" s="117"/>
      <c r="B3980" s="70">
        <f t="shared" si="253"/>
        <v>47772</v>
      </c>
      <c r="C3980" s="82" t="str">
        <f t="shared" si="250"/>
        <v>mercredi</v>
      </c>
      <c r="D3980" s="87"/>
      <c r="E3980" s="115" t="str">
        <f t="shared" si="251"/>
        <v/>
      </c>
      <c r="F3980" s="115" t="str">
        <f t="shared" si="252"/>
        <v/>
      </c>
      <c r="G3980" s="116" t="str">
        <f>IF(ISNONTEXT(D3980),"",E3980-MAX($F$2:F3979))</f>
        <v/>
      </c>
      <c r="H3980" s="97"/>
      <c r="I3980" s="74" t="str">
        <f ca="1">IF(D3980="N",COUNTIF(INDIRECT(ADDRESS(MATCH(Plages!$D$19,'Planning annuel mixing coater'!$B:$B),4)):D3980,"N"),IF(D3980="N1",COUNTIF($D$9:D3980,"N1"),""))</f>
        <v/>
      </c>
      <c r="J3980" s="96" t="str">
        <f>IF(D3980="","",COUNTA(D3978:D3980)-(COUNTA(D3980:D3980)-1))</f>
        <v/>
      </c>
    </row>
    <row r="3981" spans="1:10" thickBot="1">
      <c r="A3981" s="117"/>
      <c r="B3981" s="70">
        <f t="shared" si="253"/>
        <v>47773</v>
      </c>
      <c r="C3981" s="82" t="str">
        <f t="shared" si="250"/>
        <v>jeudi</v>
      </c>
      <c r="D3981" s="87"/>
      <c r="E3981" s="115" t="str">
        <f t="shared" si="251"/>
        <v/>
      </c>
      <c r="F3981" s="115" t="str">
        <f t="shared" si="252"/>
        <v/>
      </c>
      <c r="G3981" s="116" t="str">
        <f>IF(ISNONTEXT(D3981),"",E3981-MAX($F$2:F3980))</f>
        <v/>
      </c>
      <c r="H3981" s="97"/>
      <c r="I3981" s="74" t="str">
        <f ca="1">IF(D3981="N",COUNTIF(INDIRECT(ADDRESS(MATCH(Plages!$D$19,'Planning annuel mixing coater'!$B:$B),4)):D3981,"N"),IF(D3981="N1",COUNTIF($D$9:D3981,"N1"),""))</f>
        <v/>
      </c>
      <c r="J3981" s="96" t="str">
        <f>IF(D3981="","",COUNTA(D3978:D3981)-(COUNTA(D3981:D3981)-1))</f>
        <v/>
      </c>
    </row>
    <row r="3982" spans="1:10" thickBot="1">
      <c r="A3982" s="117"/>
      <c r="B3982" s="70">
        <f t="shared" si="253"/>
        <v>47774</v>
      </c>
      <c r="C3982" s="82" t="str">
        <f t="shared" si="250"/>
        <v>vendredi</v>
      </c>
      <c r="D3982" s="87"/>
      <c r="E3982" s="115" t="str">
        <f t="shared" si="251"/>
        <v/>
      </c>
      <c r="F3982" s="115" t="str">
        <f t="shared" si="252"/>
        <v/>
      </c>
      <c r="G3982" s="116" t="str">
        <f>IF(ISNONTEXT(D3982),"",E3982-MAX($F$2:F3981))</f>
        <v/>
      </c>
      <c r="H3982" s="97"/>
      <c r="I3982" s="74" t="str">
        <f ca="1">IF(D3982="N",COUNTIF(INDIRECT(ADDRESS(MATCH(Plages!$D$19,'Planning annuel mixing coater'!$B:$B),4)):D3982,"N"),IF(D3982="N1",COUNTIF($D$9:D3982,"N1"),""))</f>
        <v/>
      </c>
      <c r="J3982" s="96" t="str">
        <f>IF(D3982="","",COUNTA(D3978:D3982)-(COUNTA(D3982:D3982)-1))</f>
        <v/>
      </c>
    </row>
    <row r="3983" spans="1:10" thickBot="1">
      <c r="A3983" s="117"/>
      <c r="B3983" s="70">
        <f t="shared" si="253"/>
        <v>47775</v>
      </c>
      <c r="C3983" s="82" t="str">
        <f t="shared" si="250"/>
        <v>samedi</v>
      </c>
      <c r="D3983" s="87"/>
      <c r="E3983" s="115" t="str">
        <f t="shared" si="251"/>
        <v/>
      </c>
      <c r="F3983" s="115" t="str">
        <f t="shared" si="252"/>
        <v/>
      </c>
      <c r="G3983" s="116" t="str">
        <f>IF(ISNONTEXT(D3983),"",E3983-MAX($F$2:F3982))</f>
        <v/>
      </c>
      <c r="H3983" s="97"/>
      <c r="I3983" s="74" t="str">
        <f ca="1">IF(D3983="N",COUNTIF(INDIRECT(ADDRESS(MATCH(Plages!$D$19,'Planning annuel mixing coater'!$B:$B),4)):D3983,"N"),IF(D3983="N1",COUNTIF($D$9:D3983,"N1"),""))</f>
        <v/>
      </c>
      <c r="J3983" s="96" t="str">
        <f>IF(D3983="","",COUNTA(D3978:D3983)-(COUNTA(D3983:D3983)-1))</f>
        <v/>
      </c>
    </row>
    <row r="3984" spans="1:10" thickBot="1">
      <c r="A3984" s="117"/>
      <c r="B3984" s="70">
        <f t="shared" si="253"/>
        <v>47776</v>
      </c>
      <c r="C3984" s="82" t="str">
        <f t="shared" si="250"/>
        <v>dimanche</v>
      </c>
      <c r="D3984" s="87"/>
      <c r="E3984" s="115" t="str">
        <f t="shared" si="251"/>
        <v/>
      </c>
      <c r="F3984" s="115" t="str">
        <f t="shared" si="252"/>
        <v/>
      </c>
      <c r="G3984" s="116" t="str">
        <f>IF(ISNONTEXT(D3984),"",E3984-MAX($F$2:F3983))</f>
        <v/>
      </c>
      <c r="H3984" s="98"/>
      <c r="I3984" s="74" t="str">
        <f ca="1">IF(D3984="N",COUNTIF(INDIRECT(ADDRESS(MATCH(Plages!$D$19,'Planning annuel mixing coater'!$B:$B),4)):D3984,"N"),IF(D3984="N1",COUNTIF($D$9:D3984,"N1"),""))</f>
        <v/>
      </c>
      <c r="J3984" s="96" t="str">
        <f>IF(D3984="","",COUNTA(D3978:D3984)-(COUNTA(D3984:D3984)-1))</f>
        <v/>
      </c>
    </row>
    <row r="3985" spans="1:10" thickBot="1">
      <c r="A3985" s="117"/>
      <c r="B3985" s="70">
        <f t="shared" si="253"/>
        <v>47777</v>
      </c>
      <c r="C3985" s="82" t="str">
        <f t="shared" si="250"/>
        <v>lundi</v>
      </c>
      <c r="D3985" s="87"/>
      <c r="E3985" s="115" t="str">
        <f t="shared" si="251"/>
        <v/>
      </c>
      <c r="F3985" s="115" t="str">
        <f t="shared" si="252"/>
        <v/>
      </c>
      <c r="G3985" s="116" t="str">
        <f>IF(ISNONTEXT(D3985),"",E3985-MAX($F$2:F3984))</f>
        <v/>
      </c>
      <c r="H3985" s="97"/>
      <c r="I3985" s="74" t="str">
        <f ca="1">IF(D3985="N",COUNTIF(INDIRECT(ADDRESS(MATCH(Plages!$D$19,'Planning annuel mixing coater'!$B:$B),4)):D3985,"N"),IF(D3985="N1",COUNTIF($D$9:D3985,"N1"),""))</f>
        <v/>
      </c>
      <c r="J3985" s="96" t="str">
        <f>IF(D3985="","",COUNTA(D3978:D3985)-(COUNTA(D3985:D3985)-1))</f>
        <v/>
      </c>
    </row>
    <row r="3986" spans="1:10" thickBot="1">
      <c r="A3986" s="117"/>
      <c r="B3986" s="70">
        <f t="shared" si="253"/>
        <v>47778</v>
      </c>
      <c r="C3986" s="82" t="str">
        <f t="shared" si="250"/>
        <v>mardi</v>
      </c>
      <c r="D3986" s="87"/>
      <c r="E3986" s="115" t="str">
        <f t="shared" si="251"/>
        <v/>
      </c>
      <c r="F3986" s="115" t="str">
        <f t="shared" si="252"/>
        <v/>
      </c>
      <c r="G3986" s="116" t="str">
        <f>IF(ISNONTEXT(D3986),"",E3986-MAX($F$2:F3985))</f>
        <v/>
      </c>
      <c r="H3986" s="97"/>
      <c r="I3986" s="74" t="str">
        <f ca="1">IF(D3986="N",COUNTIF(INDIRECT(ADDRESS(MATCH(Plages!$D$19,'Planning annuel mixing coater'!$B:$B),4)):D3986,"N"),IF(D3986="N1",COUNTIF($D$9:D3986,"N1"),""))</f>
        <v/>
      </c>
      <c r="J3986" s="96" t="str">
        <f>IF(D3986="","",COUNTA(D3978:D3986)-(COUNTA(D3986:D3986)-1))</f>
        <v/>
      </c>
    </row>
    <row r="3987" spans="1:10" thickBot="1">
      <c r="A3987" s="117"/>
      <c r="B3987" s="70">
        <f t="shared" si="253"/>
        <v>47779</v>
      </c>
      <c r="C3987" s="82" t="str">
        <f t="shared" si="250"/>
        <v>mercredi</v>
      </c>
      <c r="D3987" s="87"/>
      <c r="E3987" s="115" t="str">
        <f t="shared" si="251"/>
        <v/>
      </c>
      <c r="F3987" s="115" t="str">
        <f t="shared" si="252"/>
        <v/>
      </c>
      <c r="G3987" s="116" t="str">
        <f>IF(ISNONTEXT(D3987),"",E3987-MAX($F$2:F3986))</f>
        <v/>
      </c>
      <c r="H3987" s="97"/>
      <c r="I3987" s="74" t="str">
        <f ca="1">IF(D3987="N",COUNTIF(INDIRECT(ADDRESS(MATCH(Plages!$D$19,'Planning annuel mixing coater'!$B:$B),4)):D3987,"N"),IF(D3987="N1",COUNTIF($D$9:D3987,"N1"),""))</f>
        <v/>
      </c>
      <c r="J3987" s="96" t="str">
        <f>IF(D3987="","",COUNTA(D3978:D3987)-(COUNTA(D3987:D3987)-1))</f>
        <v/>
      </c>
    </row>
    <row r="3988" spans="1:10" thickBot="1">
      <c r="A3988" s="117"/>
      <c r="B3988" s="70">
        <f t="shared" si="253"/>
        <v>47780</v>
      </c>
      <c r="C3988" s="82" t="str">
        <f t="shared" si="250"/>
        <v>jeudi</v>
      </c>
      <c r="D3988" s="87"/>
      <c r="E3988" s="115" t="str">
        <f t="shared" si="251"/>
        <v/>
      </c>
      <c r="F3988" s="115" t="str">
        <f t="shared" si="252"/>
        <v/>
      </c>
      <c r="G3988" s="116" t="str">
        <f>IF(ISNONTEXT(D3988),"",E3988-MAX($F$2:F3987))</f>
        <v/>
      </c>
      <c r="H3988" s="97"/>
      <c r="I3988" s="74" t="str">
        <f ca="1">IF(D3988="N",COUNTIF(INDIRECT(ADDRESS(MATCH(Plages!$D$19,'Planning annuel mixing coater'!$B:$B),4)):D3988,"N"),IF(D3988="N1",COUNTIF($D$9:D3988,"N1"),""))</f>
        <v/>
      </c>
      <c r="J3988" s="96" t="str">
        <f>IF(D3988="","",COUNTA(D3978:D3988)-(COUNTA(D3988:D3988)-1))</f>
        <v/>
      </c>
    </row>
    <row r="3989" spans="1:10" thickBot="1">
      <c r="A3989" s="117"/>
      <c r="B3989" s="70">
        <f t="shared" si="253"/>
        <v>47781</v>
      </c>
      <c r="C3989" s="82" t="str">
        <f t="shared" si="250"/>
        <v>vendredi</v>
      </c>
      <c r="D3989" s="87"/>
      <c r="E3989" s="115" t="str">
        <f t="shared" si="251"/>
        <v/>
      </c>
      <c r="F3989" s="115" t="str">
        <f t="shared" si="252"/>
        <v/>
      </c>
      <c r="G3989" s="116" t="str">
        <f>IF(ISNONTEXT(D3989),"",E3989-MAX($F$2:F3988))</f>
        <v/>
      </c>
      <c r="H3989" s="97"/>
      <c r="I3989" s="74" t="str">
        <f ca="1">IF(D3989="N",COUNTIF(INDIRECT(ADDRESS(MATCH(Plages!$D$19,'Planning annuel mixing coater'!$B:$B),4)):D3989,"N"),IF(D3989="N1",COUNTIF($D$9:D3989,"N1"),""))</f>
        <v/>
      </c>
      <c r="J3989" s="96" t="str">
        <f>IF(D3989="","",COUNTA(D3978:D3989)-(COUNTA(D3989:D3989)-1))</f>
        <v/>
      </c>
    </row>
    <row r="3990" spans="1:10" thickBot="1">
      <c r="A3990" s="117"/>
      <c r="B3990" s="70">
        <f t="shared" si="253"/>
        <v>47782</v>
      </c>
      <c r="C3990" s="82" t="str">
        <f t="shared" si="250"/>
        <v>samedi</v>
      </c>
      <c r="D3990" s="87"/>
      <c r="E3990" s="115" t="str">
        <f t="shared" si="251"/>
        <v/>
      </c>
      <c r="F3990" s="115" t="str">
        <f t="shared" si="252"/>
        <v/>
      </c>
      <c r="G3990" s="116" t="str">
        <f>IF(ISNONTEXT(D3990),"",E3990-MAX($F$2:F3989))</f>
        <v/>
      </c>
      <c r="H3990" s="97"/>
      <c r="I3990" s="74" t="str">
        <f ca="1">IF(D3990="N",COUNTIF(INDIRECT(ADDRESS(MATCH(Plages!$D$19,'Planning annuel mixing coater'!$B:$B),4)):D3990,"N"),IF(D3990="N1",COUNTIF($D$9:D3990,"N1"),""))</f>
        <v/>
      </c>
      <c r="J3990" s="96" t="str">
        <f>IF(D3990="","",COUNTA(D3978:D3990)-(COUNTA(D3990:D3990)-1))</f>
        <v/>
      </c>
    </row>
    <row r="3991" spans="1:10" s="77" customFormat="1" thickBot="1">
      <c r="A3991" s="117"/>
      <c r="B3991" s="75">
        <f t="shared" si="253"/>
        <v>47783</v>
      </c>
      <c r="C3991" s="83" t="str">
        <f t="shared" si="250"/>
        <v>dimanche</v>
      </c>
      <c r="D3991" s="88"/>
      <c r="E3991" s="115" t="str">
        <f t="shared" si="251"/>
        <v/>
      </c>
      <c r="F3991" s="115" t="str">
        <f t="shared" si="252"/>
        <v/>
      </c>
      <c r="G3991" s="116" t="str">
        <f>IF(ISNONTEXT(D3991),"",E3991-MAX($F$2:F3990))</f>
        <v/>
      </c>
      <c r="H3991" s="98"/>
      <c r="I3991" s="76" t="str">
        <f ca="1">IF(D3991="N",COUNTIF(INDIRECT(ADDRESS(MATCH(Plages!$D$19,'Planning annuel mixing coater'!$B:$B),4)):D3991,"N"),IF(D3991="N1",COUNTIF($D$9:D3991,"N1"),""))</f>
        <v/>
      </c>
      <c r="J3991" s="99" t="str">
        <f>IF(D3991="","",COUNTA(D3978:D3991)-(COUNTA(D3991:D3991)-1))</f>
        <v/>
      </c>
    </row>
    <row r="3992" spans="1:10" ht="16.5" thickTop="1" thickBot="1">
      <c r="A3992" s="117"/>
      <c r="B3992" s="78">
        <f t="shared" si="253"/>
        <v>47784</v>
      </c>
      <c r="C3992" s="81" t="str">
        <f t="shared" si="250"/>
        <v>lundi</v>
      </c>
      <c r="D3992" s="89"/>
      <c r="E3992" s="115" t="str">
        <f t="shared" si="251"/>
        <v/>
      </c>
      <c r="F3992" s="115" t="str">
        <f t="shared" si="252"/>
        <v/>
      </c>
      <c r="G3992" s="116" t="str">
        <f>IF(ISNONTEXT(D3992),"",E3992-MAX($F$2:F3991))</f>
        <v/>
      </c>
      <c r="H3992" s="100"/>
      <c r="I3992" s="79" t="str">
        <f ca="1">IF(D3992="N",COUNTIF(INDIRECT(ADDRESS(MATCH(Plages!$D$19,'Planning annuel mixing coater'!$B:$B),4)):D3992,"N"),IF(D3992="N1",COUNTIF($D$9:D3992,"N1"),""))</f>
        <v/>
      </c>
      <c r="J3992" s="101" t="str">
        <f>IF(D3992="","",COUNTA(D3992:D3992)-(COUNTA(D3992:D3992)-1))</f>
        <v/>
      </c>
    </row>
    <row r="3993" spans="1:10" thickBot="1">
      <c r="A3993" s="117"/>
      <c r="B3993" s="70">
        <f t="shared" si="253"/>
        <v>47785</v>
      </c>
      <c r="C3993" s="82" t="str">
        <f t="shared" si="250"/>
        <v>mardi</v>
      </c>
      <c r="D3993" s="87"/>
      <c r="E3993" s="115" t="str">
        <f t="shared" si="251"/>
        <v/>
      </c>
      <c r="F3993" s="115" t="str">
        <f t="shared" si="252"/>
        <v/>
      </c>
      <c r="G3993" s="116" t="str">
        <f>IF(ISNONTEXT(D3993),"",E3993-MAX($F$2:F3992))</f>
        <v/>
      </c>
      <c r="H3993" s="97"/>
      <c r="I3993" s="74" t="str">
        <f ca="1">IF(D3993="N",COUNTIF(INDIRECT(ADDRESS(MATCH(Plages!$D$19,'Planning annuel mixing coater'!$B:$B),4)):D3993,"N"),IF(D3993="N1",COUNTIF($D$9:D3993,"N1"),""))</f>
        <v/>
      </c>
      <c r="J3993" s="96" t="str">
        <f>IF(D3993="","",COUNTA(D3992:D3993)-(COUNTA(D3993:D3993)-1))</f>
        <v/>
      </c>
    </row>
    <row r="3994" spans="1:10" thickBot="1">
      <c r="A3994" s="117"/>
      <c r="B3994" s="70">
        <f t="shared" si="253"/>
        <v>47786</v>
      </c>
      <c r="C3994" s="82" t="str">
        <f t="shared" si="250"/>
        <v>mercredi</v>
      </c>
      <c r="D3994" s="87"/>
      <c r="E3994" s="115" t="str">
        <f t="shared" si="251"/>
        <v/>
      </c>
      <c r="F3994" s="115" t="str">
        <f t="shared" si="252"/>
        <v/>
      </c>
      <c r="G3994" s="116" t="str">
        <f>IF(ISNONTEXT(D3994),"",E3994-MAX($F$2:F3993))</f>
        <v/>
      </c>
      <c r="H3994" s="97"/>
      <c r="I3994" s="74" t="str">
        <f ca="1">IF(D3994="N",COUNTIF(INDIRECT(ADDRESS(MATCH(Plages!$D$19,'Planning annuel mixing coater'!$B:$B),4)):D3994,"N"),IF(D3994="N1",COUNTIF($D$9:D3994,"N1"),""))</f>
        <v/>
      </c>
      <c r="J3994" s="96" t="str">
        <f>IF(D3994="","",COUNTA(D3992:D3994)-(COUNTA(D3994:D3994)-1))</f>
        <v/>
      </c>
    </row>
    <row r="3995" spans="1:10" thickBot="1">
      <c r="A3995" s="117"/>
      <c r="B3995" s="70">
        <f t="shared" si="253"/>
        <v>47787</v>
      </c>
      <c r="C3995" s="82" t="str">
        <f t="shared" si="250"/>
        <v>jeudi</v>
      </c>
      <c r="D3995" s="87"/>
      <c r="E3995" s="115" t="str">
        <f t="shared" si="251"/>
        <v/>
      </c>
      <c r="F3995" s="115" t="str">
        <f t="shared" si="252"/>
        <v/>
      </c>
      <c r="G3995" s="116" t="str">
        <f>IF(ISNONTEXT(D3995),"",E3995-MAX($F$2:F3994))</f>
        <v/>
      </c>
      <c r="H3995" s="97"/>
      <c r="I3995" s="74" t="str">
        <f ca="1">IF(D3995="N",COUNTIF(INDIRECT(ADDRESS(MATCH(Plages!$D$19,'Planning annuel mixing coater'!$B:$B),4)):D3995,"N"),IF(D3995="N1",COUNTIF($D$9:D3995,"N1"),""))</f>
        <v/>
      </c>
      <c r="J3995" s="96" t="str">
        <f>IF(D3995="","",COUNTA(D3992:D3995)-(COUNTA(D3995:D3995)-1))</f>
        <v/>
      </c>
    </row>
    <row r="3996" spans="1:10" thickBot="1">
      <c r="A3996" s="117"/>
      <c r="B3996" s="70">
        <f t="shared" si="253"/>
        <v>47788</v>
      </c>
      <c r="C3996" s="82" t="str">
        <f t="shared" si="250"/>
        <v>vendredi</v>
      </c>
      <c r="D3996" s="87"/>
      <c r="E3996" s="115" t="str">
        <f t="shared" si="251"/>
        <v/>
      </c>
      <c r="F3996" s="115" t="str">
        <f t="shared" si="252"/>
        <v/>
      </c>
      <c r="G3996" s="116" t="str">
        <f>IF(ISNONTEXT(D3996),"",E3996-MAX($F$2:F3995))</f>
        <v/>
      </c>
      <c r="H3996" s="97"/>
      <c r="I3996" s="74" t="str">
        <f ca="1">IF(D3996="N",COUNTIF(INDIRECT(ADDRESS(MATCH(Plages!$D$19,'Planning annuel mixing coater'!$B:$B),4)):D3996,"N"),IF(D3996="N1",COUNTIF($D$9:D3996,"N1"),""))</f>
        <v/>
      </c>
      <c r="J3996" s="96" t="str">
        <f>IF(D3996="","",COUNTA(D3992:D3996)-(COUNTA(D3996:D3996)-1))</f>
        <v/>
      </c>
    </row>
    <row r="3997" spans="1:10" thickBot="1">
      <c r="A3997" s="117"/>
      <c r="B3997" s="70">
        <f t="shared" si="253"/>
        <v>47789</v>
      </c>
      <c r="C3997" s="82" t="str">
        <f t="shared" si="250"/>
        <v>samedi</v>
      </c>
      <c r="D3997" s="87"/>
      <c r="E3997" s="115" t="str">
        <f t="shared" si="251"/>
        <v/>
      </c>
      <c r="F3997" s="115" t="str">
        <f t="shared" si="252"/>
        <v/>
      </c>
      <c r="G3997" s="116" t="str">
        <f>IF(ISNONTEXT(D3997),"",E3997-MAX($F$2:F3996))</f>
        <v/>
      </c>
      <c r="H3997" s="97"/>
      <c r="I3997" s="74" t="str">
        <f ca="1">IF(D3997="N",COUNTIF(INDIRECT(ADDRESS(MATCH(Plages!$D$19,'Planning annuel mixing coater'!$B:$B),4)):D3997,"N"),IF(D3997="N1",COUNTIF($D$9:D3997,"N1"),""))</f>
        <v/>
      </c>
      <c r="J3997" s="96" t="str">
        <f>IF(D3997="","",COUNTA(D3992:D3997)-(COUNTA(D3997:D3997)-1))</f>
        <v/>
      </c>
    </row>
    <row r="3998" spans="1:10" thickBot="1">
      <c r="A3998" s="117"/>
      <c r="B3998" s="70">
        <f t="shared" si="253"/>
        <v>47790</v>
      </c>
      <c r="C3998" s="82" t="str">
        <f t="shared" ref="C3998:C4061" si="254">IF(B3998="","",TEXT(B3998,"jjjj"))</f>
        <v>dimanche</v>
      </c>
      <c r="D3998" s="87"/>
      <c r="E3998" s="115" t="str">
        <f t="shared" ref="E3998:E4061" si="255">IF(D3998="","",B3998+VLOOKUP(D3998,Plageh,2,0))</f>
        <v/>
      </c>
      <c r="F3998" s="115" t="str">
        <f t="shared" ref="F3998:F4061" si="256">IF(D3998="","",B3998+VLOOKUP(D3998,Plageh,3,0))</f>
        <v/>
      </c>
      <c r="G3998" s="116" t="str">
        <f>IF(ISNONTEXT(D3998),"",E3998-MAX($F$2:F3997))</f>
        <v/>
      </c>
      <c r="H3998" s="98"/>
      <c r="I3998" s="74" t="str">
        <f ca="1">IF(D3998="N",COUNTIF(INDIRECT(ADDRESS(MATCH(Plages!$D$19,'Planning annuel mixing coater'!$B:$B),4)):D3998,"N"),IF(D3998="N1",COUNTIF($D$9:D3998,"N1"),""))</f>
        <v/>
      </c>
      <c r="J3998" s="96" t="str">
        <f>IF(D3998="","",COUNTA(D3992:D3998)-(COUNTA(D3998:D3998)-1))</f>
        <v/>
      </c>
    </row>
    <row r="3999" spans="1:10" thickBot="1">
      <c r="A3999" s="117"/>
      <c r="B3999" s="70">
        <f t="shared" si="253"/>
        <v>47791</v>
      </c>
      <c r="C3999" s="82" t="str">
        <f t="shared" si="254"/>
        <v>lundi</v>
      </c>
      <c r="D3999" s="87"/>
      <c r="E3999" s="115" t="str">
        <f t="shared" si="255"/>
        <v/>
      </c>
      <c r="F3999" s="115" t="str">
        <f t="shared" si="256"/>
        <v/>
      </c>
      <c r="G3999" s="116" t="str">
        <f>IF(ISNONTEXT(D3999),"",E3999-MAX($F$2:F3998))</f>
        <v/>
      </c>
      <c r="H3999" s="97"/>
      <c r="I3999" s="74" t="str">
        <f ca="1">IF(D3999="N",COUNTIF(INDIRECT(ADDRESS(MATCH(Plages!$D$19,'Planning annuel mixing coater'!$B:$B),4)):D3999,"N"),IF(D3999="N1",COUNTIF($D$9:D3999,"N1"),""))</f>
        <v/>
      </c>
      <c r="J3999" s="96" t="str">
        <f>IF(D3999="","",COUNTA(D3992:D3999)-(COUNTA(D3999:D3999)-1))</f>
        <v/>
      </c>
    </row>
    <row r="4000" spans="1:10" thickBot="1">
      <c r="A4000" s="117"/>
      <c r="B4000" s="70">
        <f t="shared" si="253"/>
        <v>47792</v>
      </c>
      <c r="C4000" s="82" t="str">
        <f t="shared" si="254"/>
        <v>mardi</v>
      </c>
      <c r="D4000" s="87"/>
      <c r="E4000" s="115" t="str">
        <f t="shared" si="255"/>
        <v/>
      </c>
      <c r="F4000" s="115" t="str">
        <f t="shared" si="256"/>
        <v/>
      </c>
      <c r="G4000" s="116" t="str">
        <f>IF(ISNONTEXT(D4000),"",E4000-MAX($F$2:F3999))</f>
        <v/>
      </c>
      <c r="H4000" s="97"/>
      <c r="I4000" s="74" t="str">
        <f ca="1">IF(D4000="N",COUNTIF(INDIRECT(ADDRESS(MATCH(Plages!$D$19,'Planning annuel mixing coater'!$B:$B),4)):D4000,"N"),IF(D4000="N1",COUNTIF($D$9:D4000,"N1"),""))</f>
        <v/>
      </c>
      <c r="J4000" s="96" t="str">
        <f>IF(D4000="","",COUNTA(D3992:D4000)-(COUNTA(D4000:D4000)-1))</f>
        <v/>
      </c>
    </row>
    <row r="4001" spans="1:10" thickBot="1">
      <c r="A4001" s="117"/>
      <c r="B4001" s="70">
        <f t="shared" si="253"/>
        <v>47793</v>
      </c>
      <c r="C4001" s="82" t="str">
        <f t="shared" si="254"/>
        <v>mercredi</v>
      </c>
      <c r="D4001" s="87"/>
      <c r="E4001" s="115" t="str">
        <f t="shared" si="255"/>
        <v/>
      </c>
      <c r="F4001" s="115" t="str">
        <f t="shared" si="256"/>
        <v/>
      </c>
      <c r="G4001" s="116" t="str">
        <f>IF(ISNONTEXT(D4001),"",E4001-MAX($F$2:F4000))</f>
        <v/>
      </c>
      <c r="H4001" s="97"/>
      <c r="I4001" s="74" t="str">
        <f ca="1">IF(D4001="N",COUNTIF(INDIRECT(ADDRESS(MATCH(Plages!$D$19,'Planning annuel mixing coater'!$B:$B),4)):D4001,"N"),IF(D4001="N1",COUNTIF($D$9:D4001,"N1"),""))</f>
        <v/>
      </c>
      <c r="J4001" s="96" t="str">
        <f>IF(D4001="","",COUNTA(D3992:D4001)-(COUNTA(D4001:D4001)-1))</f>
        <v/>
      </c>
    </row>
    <row r="4002" spans="1:10" thickBot="1">
      <c r="A4002" s="117"/>
      <c r="B4002" s="70">
        <f t="shared" si="253"/>
        <v>47794</v>
      </c>
      <c r="C4002" s="82" t="str">
        <f t="shared" si="254"/>
        <v>jeudi</v>
      </c>
      <c r="D4002" s="87"/>
      <c r="E4002" s="115" t="str">
        <f t="shared" si="255"/>
        <v/>
      </c>
      <c r="F4002" s="115" t="str">
        <f t="shared" si="256"/>
        <v/>
      </c>
      <c r="G4002" s="116" t="str">
        <f>IF(ISNONTEXT(D4002),"",E4002-MAX($F$2:F4001))</f>
        <v/>
      </c>
      <c r="H4002" s="97"/>
      <c r="I4002" s="74" t="str">
        <f ca="1">IF(D4002="N",COUNTIF(INDIRECT(ADDRESS(MATCH(Plages!$D$19,'Planning annuel mixing coater'!$B:$B),4)):D4002,"N"),IF(D4002="N1",COUNTIF($D$9:D4002,"N1"),""))</f>
        <v/>
      </c>
      <c r="J4002" s="96" t="str">
        <f>IF(D4002="","",COUNTA(D3992:D4002)-(COUNTA(D4002:D4002)-1))</f>
        <v/>
      </c>
    </row>
    <row r="4003" spans="1:10" thickBot="1">
      <c r="A4003" s="117"/>
      <c r="B4003" s="70">
        <f t="shared" si="253"/>
        <v>47795</v>
      </c>
      <c r="C4003" s="82" t="str">
        <f t="shared" si="254"/>
        <v>vendredi</v>
      </c>
      <c r="D4003" s="87"/>
      <c r="E4003" s="115" t="str">
        <f t="shared" si="255"/>
        <v/>
      </c>
      <c r="F4003" s="115" t="str">
        <f t="shared" si="256"/>
        <v/>
      </c>
      <c r="G4003" s="116" t="str">
        <f>IF(ISNONTEXT(D4003),"",E4003-MAX($F$2:F4002))</f>
        <v/>
      </c>
      <c r="H4003" s="97"/>
      <c r="I4003" s="74" t="str">
        <f ca="1">IF(D4003="N",COUNTIF(INDIRECT(ADDRESS(MATCH(Plages!$D$19,'Planning annuel mixing coater'!$B:$B),4)):D4003,"N"),IF(D4003="N1",COUNTIF($D$9:D4003,"N1"),""))</f>
        <v/>
      </c>
      <c r="J4003" s="96" t="str">
        <f>IF(D4003="","",COUNTA(D3992:D4003)-(COUNTA(D4003:D4003)-1))</f>
        <v/>
      </c>
    </row>
    <row r="4004" spans="1:10" thickBot="1">
      <c r="A4004" s="117"/>
      <c r="B4004" s="70">
        <f t="shared" si="253"/>
        <v>47796</v>
      </c>
      <c r="C4004" s="82" t="str">
        <f t="shared" si="254"/>
        <v>samedi</v>
      </c>
      <c r="D4004" s="87"/>
      <c r="E4004" s="115" t="str">
        <f t="shared" si="255"/>
        <v/>
      </c>
      <c r="F4004" s="115" t="str">
        <f t="shared" si="256"/>
        <v/>
      </c>
      <c r="G4004" s="116" t="str">
        <f>IF(ISNONTEXT(D4004),"",E4004-MAX($F$2:F4003))</f>
        <v/>
      </c>
      <c r="H4004" s="97"/>
      <c r="I4004" s="74" t="str">
        <f ca="1">IF(D4004="N",COUNTIF(INDIRECT(ADDRESS(MATCH(Plages!$D$19,'Planning annuel mixing coater'!$B:$B),4)):D4004,"N"),IF(D4004="N1",COUNTIF($D$9:D4004,"N1"),""))</f>
        <v/>
      </c>
      <c r="J4004" s="96" t="str">
        <f>IF(D4004="","",COUNTA(D3992:D4004)-(COUNTA(D4004:D4004)-1))</f>
        <v/>
      </c>
    </row>
    <row r="4005" spans="1:10" s="77" customFormat="1" thickBot="1">
      <c r="A4005" s="117"/>
      <c r="B4005" s="75">
        <f t="shared" si="253"/>
        <v>47797</v>
      </c>
      <c r="C4005" s="83" t="str">
        <f t="shared" si="254"/>
        <v>dimanche</v>
      </c>
      <c r="D4005" s="88"/>
      <c r="E4005" s="115" t="str">
        <f t="shared" si="255"/>
        <v/>
      </c>
      <c r="F4005" s="115" t="str">
        <f t="shared" si="256"/>
        <v/>
      </c>
      <c r="G4005" s="116" t="str">
        <f>IF(ISNONTEXT(D4005),"",E4005-MAX($F$2:F4004))</f>
        <v/>
      </c>
      <c r="H4005" s="98"/>
      <c r="I4005" s="76" t="str">
        <f ca="1">IF(D4005="N",COUNTIF(INDIRECT(ADDRESS(MATCH(Plages!$D$19,'Planning annuel mixing coater'!$B:$B),4)):D4005,"N"),IF(D4005="N1",COUNTIF($D$9:D4005,"N1"),""))</f>
        <v/>
      </c>
      <c r="J4005" s="99" t="str">
        <f>IF(D4005="","",COUNTA(D3992:D4005)-(COUNTA(D4005:D4005)-1))</f>
        <v/>
      </c>
    </row>
    <row r="4006" spans="1:10" ht="16.5" thickTop="1" thickBot="1">
      <c r="A4006" s="117"/>
      <c r="B4006" s="78">
        <f t="shared" si="253"/>
        <v>47798</v>
      </c>
      <c r="C4006" s="81" t="str">
        <f t="shared" si="254"/>
        <v>lundi</v>
      </c>
      <c r="D4006" s="89"/>
      <c r="E4006" s="115" t="str">
        <f t="shared" si="255"/>
        <v/>
      </c>
      <c r="F4006" s="115" t="str">
        <f t="shared" si="256"/>
        <v/>
      </c>
      <c r="G4006" s="116" t="str">
        <f>IF(ISNONTEXT(D4006),"",E4006-MAX($F$2:F4005))</f>
        <v/>
      </c>
      <c r="H4006" s="100"/>
      <c r="I4006" s="79" t="str">
        <f ca="1">IF(D4006="N",COUNTIF(INDIRECT(ADDRESS(MATCH(Plages!$D$19,'Planning annuel mixing coater'!$B:$B),4)):D4006,"N"),IF(D4006="N1",COUNTIF($D$9:D4006,"N1"),""))</f>
        <v/>
      </c>
      <c r="J4006" s="101" t="str">
        <f>IF(D4006="","",COUNTA(D4006:D4006)-(COUNTA(D4006:D4006)-1))</f>
        <v/>
      </c>
    </row>
    <row r="4007" spans="1:10" thickBot="1">
      <c r="A4007" s="117"/>
      <c r="B4007" s="70">
        <f t="shared" si="253"/>
        <v>47799</v>
      </c>
      <c r="C4007" s="82" t="str">
        <f t="shared" si="254"/>
        <v>mardi</v>
      </c>
      <c r="D4007" s="87"/>
      <c r="E4007" s="115" t="str">
        <f t="shared" si="255"/>
        <v/>
      </c>
      <c r="F4007" s="115" t="str">
        <f t="shared" si="256"/>
        <v/>
      </c>
      <c r="G4007" s="116" t="str">
        <f>IF(ISNONTEXT(D4007),"",E4007-MAX($F$2:F4006))</f>
        <v/>
      </c>
      <c r="H4007" s="97"/>
      <c r="I4007" s="74" t="str">
        <f ca="1">IF(D4007="N",COUNTIF(INDIRECT(ADDRESS(MATCH(Plages!$D$19,'Planning annuel mixing coater'!$B:$B),4)):D4007,"N"),IF(D4007="N1",COUNTIF($D$9:D4007,"N1"),""))</f>
        <v/>
      </c>
      <c r="J4007" s="96" t="str">
        <f>IF(D4007="","",COUNTA(D4006:D4007)-(COUNTA(D4007:D4007)-1))</f>
        <v/>
      </c>
    </row>
    <row r="4008" spans="1:10" thickBot="1">
      <c r="A4008" s="117"/>
      <c r="B4008" s="70">
        <f t="shared" si="253"/>
        <v>47800</v>
      </c>
      <c r="C4008" s="82" t="str">
        <f t="shared" si="254"/>
        <v>mercredi</v>
      </c>
      <c r="D4008" s="87"/>
      <c r="E4008" s="115" t="str">
        <f t="shared" si="255"/>
        <v/>
      </c>
      <c r="F4008" s="115" t="str">
        <f t="shared" si="256"/>
        <v/>
      </c>
      <c r="G4008" s="116" t="str">
        <f>IF(ISNONTEXT(D4008),"",E4008-MAX($F$2:F4007))</f>
        <v/>
      </c>
      <c r="H4008" s="97"/>
      <c r="I4008" s="74" t="str">
        <f ca="1">IF(D4008="N",COUNTIF(INDIRECT(ADDRESS(MATCH(Plages!$D$19,'Planning annuel mixing coater'!$B:$B),4)):D4008,"N"),IF(D4008="N1",COUNTIF($D$9:D4008,"N1"),""))</f>
        <v/>
      </c>
      <c r="J4008" s="96" t="str">
        <f>IF(D4008="","",COUNTA(D4006:D4008)-(COUNTA(D4008:D4008)-1))</f>
        <v/>
      </c>
    </row>
    <row r="4009" spans="1:10" thickBot="1">
      <c r="A4009" s="117"/>
      <c r="B4009" s="70">
        <f t="shared" si="253"/>
        <v>47801</v>
      </c>
      <c r="C4009" s="82" t="str">
        <f t="shared" si="254"/>
        <v>jeudi</v>
      </c>
      <c r="D4009" s="87"/>
      <c r="E4009" s="115" t="str">
        <f t="shared" si="255"/>
        <v/>
      </c>
      <c r="F4009" s="115" t="str">
        <f t="shared" si="256"/>
        <v/>
      </c>
      <c r="G4009" s="116" t="str">
        <f>IF(ISNONTEXT(D4009),"",E4009-MAX($F$2:F4008))</f>
        <v/>
      </c>
      <c r="H4009" s="97"/>
      <c r="I4009" s="74" t="str">
        <f ca="1">IF(D4009="N",COUNTIF(INDIRECT(ADDRESS(MATCH(Plages!$D$19,'Planning annuel mixing coater'!$B:$B),4)):D4009,"N"),IF(D4009="N1",COUNTIF($D$9:D4009,"N1"),""))</f>
        <v/>
      </c>
      <c r="J4009" s="96" t="str">
        <f>IF(D4009="","",COUNTA(D4006:D4009)-(COUNTA(D4009:D4009)-1))</f>
        <v/>
      </c>
    </row>
    <row r="4010" spans="1:10" thickBot="1">
      <c r="A4010" s="117"/>
      <c r="B4010" s="70">
        <f t="shared" si="253"/>
        <v>47802</v>
      </c>
      <c r="C4010" s="82" t="str">
        <f t="shared" si="254"/>
        <v>vendredi</v>
      </c>
      <c r="D4010" s="87"/>
      <c r="E4010" s="115" t="str">
        <f t="shared" si="255"/>
        <v/>
      </c>
      <c r="F4010" s="115" t="str">
        <f t="shared" si="256"/>
        <v/>
      </c>
      <c r="G4010" s="116" t="str">
        <f>IF(ISNONTEXT(D4010),"",E4010-MAX($F$2:F4009))</f>
        <v/>
      </c>
      <c r="H4010" s="97"/>
      <c r="I4010" s="74" t="str">
        <f ca="1">IF(D4010="N",COUNTIF(INDIRECT(ADDRESS(MATCH(Plages!$D$19,'Planning annuel mixing coater'!$B:$B),4)):D4010,"N"),IF(D4010="N1",COUNTIF($D$9:D4010,"N1"),""))</f>
        <v/>
      </c>
      <c r="J4010" s="96" t="str">
        <f>IF(D4010="","",COUNTA(D4006:D4010)-(COUNTA(D4010:D4010)-1))</f>
        <v/>
      </c>
    </row>
    <row r="4011" spans="1:10" thickBot="1">
      <c r="A4011" s="117"/>
      <c r="B4011" s="70">
        <f t="shared" si="253"/>
        <v>47803</v>
      </c>
      <c r="C4011" s="82" t="str">
        <f t="shared" si="254"/>
        <v>samedi</v>
      </c>
      <c r="D4011" s="87"/>
      <c r="E4011" s="115" t="str">
        <f t="shared" si="255"/>
        <v/>
      </c>
      <c r="F4011" s="115" t="str">
        <f t="shared" si="256"/>
        <v/>
      </c>
      <c r="G4011" s="116" t="str">
        <f>IF(ISNONTEXT(D4011),"",E4011-MAX($F$2:F4010))</f>
        <v/>
      </c>
      <c r="H4011" s="97"/>
      <c r="I4011" s="74" t="str">
        <f ca="1">IF(D4011="N",COUNTIF(INDIRECT(ADDRESS(MATCH(Plages!$D$19,'Planning annuel mixing coater'!$B:$B),4)):D4011,"N"),IF(D4011="N1",COUNTIF($D$9:D4011,"N1"),""))</f>
        <v/>
      </c>
      <c r="J4011" s="96" t="str">
        <f>IF(D4011="","",COUNTA(D4006:D4011)-(COUNTA(D4011:D4011)-1))</f>
        <v/>
      </c>
    </row>
    <row r="4012" spans="1:10" thickBot="1">
      <c r="A4012" s="117"/>
      <c r="B4012" s="70">
        <f t="shared" si="253"/>
        <v>47804</v>
      </c>
      <c r="C4012" s="82" t="str">
        <f t="shared" si="254"/>
        <v>dimanche</v>
      </c>
      <c r="D4012" s="87"/>
      <c r="E4012" s="115" t="str">
        <f t="shared" si="255"/>
        <v/>
      </c>
      <c r="F4012" s="115" t="str">
        <f t="shared" si="256"/>
        <v/>
      </c>
      <c r="G4012" s="116" t="str">
        <f>IF(ISNONTEXT(D4012),"",E4012-MAX($F$2:F4011))</f>
        <v/>
      </c>
      <c r="H4012" s="98"/>
      <c r="I4012" s="74" t="str">
        <f ca="1">IF(D4012="N",COUNTIF(INDIRECT(ADDRESS(MATCH(Plages!$D$19,'Planning annuel mixing coater'!$B:$B),4)):D4012,"N"),IF(D4012="N1",COUNTIF($D$9:D4012,"N1"),""))</f>
        <v/>
      </c>
      <c r="J4012" s="96" t="str">
        <f>IF(D4012="","",COUNTA(D4006:D4012)-(COUNTA(D4012:D4012)-1))</f>
        <v/>
      </c>
    </row>
    <row r="4013" spans="1:10" thickBot="1">
      <c r="A4013" s="117"/>
      <c r="B4013" s="70">
        <f t="shared" si="253"/>
        <v>47805</v>
      </c>
      <c r="C4013" s="82" t="str">
        <f t="shared" si="254"/>
        <v>lundi</v>
      </c>
      <c r="D4013" s="87"/>
      <c r="E4013" s="115" t="str">
        <f t="shared" si="255"/>
        <v/>
      </c>
      <c r="F4013" s="115" t="str">
        <f t="shared" si="256"/>
        <v/>
      </c>
      <c r="G4013" s="116" t="str">
        <f>IF(ISNONTEXT(D4013),"",E4013-MAX($F$2:F4012))</f>
        <v/>
      </c>
      <c r="H4013" s="97"/>
      <c r="I4013" s="74" t="str">
        <f ca="1">IF(D4013="N",COUNTIF(INDIRECT(ADDRESS(MATCH(Plages!$D$19,'Planning annuel mixing coater'!$B:$B),4)):D4013,"N"),IF(D4013="N1",COUNTIF($D$9:D4013,"N1"),""))</f>
        <v/>
      </c>
      <c r="J4013" s="96" t="str">
        <f>IF(D4013="","",COUNTA(D4006:D4013)-(COUNTA(D4013:D4013)-1))</f>
        <v/>
      </c>
    </row>
    <row r="4014" spans="1:10" thickBot="1">
      <c r="A4014" s="117"/>
      <c r="B4014" s="70">
        <f t="shared" si="253"/>
        <v>47806</v>
      </c>
      <c r="C4014" s="82" t="str">
        <f t="shared" si="254"/>
        <v>mardi</v>
      </c>
      <c r="D4014" s="87"/>
      <c r="E4014" s="115" t="str">
        <f t="shared" si="255"/>
        <v/>
      </c>
      <c r="F4014" s="115" t="str">
        <f t="shared" si="256"/>
        <v/>
      </c>
      <c r="G4014" s="116" t="str">
        <f>IF(ISNONTEXT(D4014),"",E4014-MAX($F$2:F4013))</f>
        <v/>
      </c>
      <c r="H4014" s="97"/>
      <c r="I4014" s="74" t="str">
        <f ca="1">IF(D4014="N",COUNTIF(INDIRECT(ADDRESS(MATCH(Plages!$D$19,'Planning annuel mixing coater'!$B:$B),4)):D4014,"N"),IF(D4014="N1",COUNTIF($D$9:D4014,"N1"),""))</f>
        <v/>
      </c>
      <c r="J4014" s="96" t="str">
        <f>IF(D4014="","",COUNTA(D4006:D4014)-(COUNTA(D4014:D4014)-1))</f>
        <v/>
      </c>
    </row>
    <row r="4015" spans="1:10" thickBot="1">
      <c r="A4015" s="117"/>
      <c r="B4015" s="70">
        <f t="shared" si="253"/>
        <v>47807</v>
      </c>
      <c r="C4015" s="82" t="str">
        <f t="shared" si="254"/>
        <v>mercredi</v>
      </c>
      <c r="D4015" s="87"/>
      <c r="E4015" s="115" t="str">
        <f t="shared" si="255"/>
        <v/>
      </c>
      <c r="F4015" s="115" t="str">
        <f t="shared" si="256"/>
        <v/>
      </c>
      <c r="G4015" s="116" t="str">
        <f>IF(ISNONTEXT(D4015),"",E4015-MAX($F$2:F4014))</f>
        <v/>
      </c>
      <c r="H4015" s="97"/>
      <c r="I4015" s="74" t="str">
        <f ca="1">IF(D4015="N",COUNTIF(INDIRECT(ADDRESS(MATCH(Plages!$D$19,'Planning annuel mixing coater'!$B:$B),4)):D4015,"N"),IF(D4015="N1",COUNTIF($D$9:D4015,"N1"),""))</f>
        <v/>
      </c>
      <c r="J4015" s="96" t="str">
        <f>IF(D4015="","",COUNTA(D4006:D4015)-(COUNTA(D4015:D4015)-1))</f>
        <v/>
      </c>
    </row>
    <row r="4016" spans="1:10" thickBot="1">
      <c r="A4016" s="117"/>
      <c r="B4016" s="70">
        <f t="shared" si="253"/>
        <v>47808</v>
      </c>
      <c r="C4016" s="82" t="str">
        <f t="shared" si="254"/>
        <v>jeudi</v>
      </c>
      <c r="D4016" s="87"/>
      <c r="E4016" s="115" t="str">
        <f t="shared" si="255"/>
        <v/>
      </c>
      <c r="F4016" s="115" t="str">
        <f t="shared" si="256"/>
        <v/>
      </c>
      <c r="G4016" s="116" t="str">
        <f>IF(ISNONTEXT(D4016),"",E4016-MAX($F$2:F4015))</f>
        <v/>
      </c>
      <c r="H4016" s="97"/>
      <c r="I4016" s="74" t="str">
        <f ca="1">IF(D4016="N",COUNTIF(INDIRECT(ADDRESS(MATCH(Plages!$D$19,'Planning annuel mixing coater'!$B:$B),4)):D4016,"N"),IF(D4016="N1",COUNTIF($D$9:D4016,"N1"),""))</f>
        <v/>
      </c>
      <c r="J4016" s="96" t="str">
        <f>IF(D4016="","",COUNTA(D4006:D4016)-(COUNTA(D4016:D4016)-1))</f>
        <v/>
      </c>
    </row>
    <row r="4017" spans="1:10" thickBot="1">
      <c r="A4017" s="117"/>
      <c r="B4017" s="70">
        <f t="shared" si="253"/>
        <v>47809</v>
      </c>
      <c r="C4017" s="82" t="str">
        <f t="shared" si="254"/>
        <v>vendredi</v>
      </c>
      <c r="D4017" s="87"/>
      <c r="E4017" s="115" t="str">
        <f t="shared" si="255"/>
        <v/>
      </c>
      <c r="F4017" s="115" t="str">
        <f t="shared" si="256"/>
        <v/>
      </c>
      <c r="G4017" s="116" t="str">
        <f>IF(ISNONTEXT(D4017),"",E4017-MAX($F$2:F4016))</f>
        <v/>
      </c>
      <c r="H4017" s="97"/>
      <c r="I4017" s="74" t="str">
        <f ca="1">IF(D4017="N",COUNTIF(INDIRECT(ADDRESS(MATCH(Plages!$D$19,'Planning annuel mixing coater'!$B:$B),4)):D4017,"N"),IF(D4017="N1",COUNTIF($D$9:D4017,"N1"),""))</f>
        <v/>
      </c>
      <c r="J4017" s="96" t="str">
        <f>IF(D4017="","",COUNTA(D4006:D4017)-(COUNTA(D4017:D4017)-1))</f>
        <v/>
      </c>
    </row>
    <row r="4018" spans="1:10" thickBot="1">
      <c r="A4018" s="117"/>
      <c r="B4018" s="70">
        <f t="shared" si="253"/>
        <v>47810</v>
      </c>
      <c r="C4018" s="82" t="str">
        <f t="shared" si="254"/>
        <v>samedi</v>
      </c>
      <c r="D4018" s="87"/>
      <c r="E4018" s="115" t="str">
        <f t="shared" si="255"/>
        <v/>
      </c>
      <c r="F4018" s="115" t="str">
        <f t="shared" si="256"/>
        <v/>
      </c>
      <c r="G4018" s="116" t="str">
        <f>IF(ISNONTEXT(D4018),"",E4018-MAX($F$2:F4017))</f>
        <v/>
      </c>
      <c r="H4018" s="97"/>
      <c r="I4018" s="74" t="str">
        <f ca="1">IF(D4018="N",COUNTIF(INDIRECT(ADDRESS(MATCH(Plages!$D$19,'Planning annuel mixing coater'!$B:$B),4)):D4018,"N"),IF(D4018="N1",COUNTIF($D$9:D4018,"N1"),""))</f>
        <v/>
      </c>
      <c r="J4018" s="96" t="str">
        <f>IF(D4018="","",COUNTA(D4006:D4018)-(COUNTA(D4018:D4018)-1))</f>
        <v/>
      </c>
    </row>
    <row r="4019" spans="1:10" s="77" customFormat="1" thickBot="1">
      <c r="A4019" s="117"/>
      <c r="B4019" s="75">
        <f t="shared" si="253"/>
        <v>47811</v>
      </c>
      <c r="C4019" s="83" t="str">
        <f t="shared" si="254"/>
        <v>dimanche</v>
      </c>
      <c r="D4019" s="88"/>
      <c r="E4019" s="115" t="str">
        <f t="shared" si="255"/>
        <v/>
      </c>
      <c r="F4019" s="115" t="str">
        <f t="shared" si="256"/>
        <v/>
      </c>
      <c r="G4019" s="116" t="str">
        <f>IF(ISNONTEXT(D4019),"",E4019-MAX($F$2:F4018))</f>
        <v/>
      </c>
      <c r="H4019" s="98"/>
      <c r="I4019" s="76" t="str">
        <f ca="1">IF(D4019="N",COUNTIF(INDIRECT(ADDRESS(MATCH(Plages!$D$19,'Planning annuel mixing coater'!$B:$B),4)):D4019,"N"),IF(D4019="N1",COUNTIF($D$9:D4019,"N1"),""))</f>
        <v/>
      </c>
      <c r="J4019" s="99" t="str">
        <f>IF(D4019="","",COUNTA(D4006:D4019)-(COUNTA(D4019:D4019)-1))</f>
        <v/>
      </c>
    </row>
    <row r="4020" spans="1:10" ht="16.5" thickTop="1" thickBot="1">
      <c r="A4020" s="117"/>
      <c r="B4020" s="78">
        <f t="shared" si="253"/>
        <v>47812</v>
      </c>
      <c r="C4020" s="81" t="str">
        <f t="shared" si="254"/>
        <v>lundi</v>
      </c>
      <c r="D4020" s="89"/>
      <c r="E4020" s="115" t="str">
        <f t="shared" si="255"/>
        <v/>
      </c>
      <c r="F4020" s="115" t="str">
        <f t="shared" si="256"/>
        <v/>
      </c>
      <c r="G4020" s="116" t="str">
        <f>IF(ISNONTEXT(D4020),"",E4020-MAX($F$2:F4019))</f>
        <v/>
      </c>
      <c r="H4020" s="100"/>
      <c r="I4020" s="79" t="str">
        <f ca="1">IF(D4020="N",COUNTIF(INDIRECT(ADDRESS(MATCH(Plages!$D$19,'Planning annuel mixing coater'!$B:$B),4)):D4020,"N"),IF(D4020="N1",COUNTIF($D$9:D4020,"N1"),""))</f>
        <v/>
      </c>
      <c r="J4020" s="101" t="str">
        <f>IF(D4020="","",COUNTA(D4020:D4020)-(COUNTA(D4020:D4020)-1))</f>
        <v/>
      </c>
    </row>
    <row r="4021" spans="1:10" thickBot="1">
      <c r="A4021" s="117"/>
      <c r="B4021" s="70">
        <f t="shared" si="253"/>
        <v>47813</v>
      </c>
      <c r="C4021" s="82" t="str">
        <f t="shared" si="254"/>
        <v>mardi</v>
      </c>
      <c r="D4021" s="87"/>
      <c r="E4021" s="115" t="str">
        <f t="shared" si="255"/>
        <v/>
      </c>
      <c r="F4021" s="115" t="str">
        <f t="shared" si="256"/>
        <v/>
      </c>
      <c r="G4021" s="116" t="str">
        <f>IF(ISNONTEXT(D4021),"",E4021-MAX($F$2:F4020))</f>
        <v/>
      </c>
      <c r="H4021" s="97"/>
      <c r="I4021" s="74" t="str">
        <f ca="1">IF(D4021="N",COUNTIF(INDIRECT(ADDRESS(MATCH(Plages!$D$19,'Planning annuel mixing coater'!$B:$B),4)):D4021,"N"),IF(D4021="N1",COUNTIF($D$9:D4021,"N1"),""))</f>
        <v/>
      </c>
      <c r="J4021" s="96" t="str">
        <f>IF(D4021="","",COUNTA(D4020:D4021)-(COUNTA(D4021:D4021)-1))</f>
        <v/>
      </c>
    </row>
    <row r="4022" spans="1:10" thickBot="1">
      <c r="A4022" s="117"/>
      <c r="B4022" s="70">
        <f t="shared" si="253"/>
        <v>47814</v>
      </c>
      <c r="C4022" s="82" t="str">
        <f t="shared" si="254"/>
        <v>mercredi</v>
      </c>
      <c r="D4022" s="87"/>
      <c r="E4022" s="115" t="str">
        <f t="shared" si="255"/>
        <v/>
      </c>
      <c r="F4022" s="115" t="str">
        <f t="shared" si="256"/>
        <v/>
      </c>
      <c r="G4022" s="116" t="str">
        <f>IF(ISNONTEXT(D4022),"",E4022-MAX($F$2:F4021))</f>
        <v/>
      </c>
      <c r="H4022" s="97"/>
      <c r="I4022" s="74" t="str">
        <f ca="1">IF(D4022="N",COUNTIF(INDIRECT(ADDRESS(MATCH(Plages!$D$19,'Planning annuel mixing coater'!$B:$B),4)):D4022,"N"),IF(D4022="N1",COUNTIF($D$9:D4022,"N1"),""))</f>
        <v/>
      </c>
      <c r="J4022" s="96" t="str">
        <f>IF(D4022="","",COUNTA(D4020:D4022)-(COUNTA(D4022:D4022)-1))</f>
        <v/>
      </c>
    </row>
    <row r="4023" spans="1:10" thickBot="1">
      <c r="A4023" s="117"/>
      <c r="B4023" s="70">
        <f t="shared" si="253"/>
        <v>47815</v>
      </c>
      <c r="C4023" s="82" t="str">
        <f t="shared" si="254"/>
        <v>jeudi</v>
      </c>
      <c r="D4023" s="87"/>
      <c r="E4023" s="115" t="str">
        <f t="shared" si="255"/>
        <v/>
      </c>
      <c r="F4023" s="115" t="str">
        <f t="shared" si="256"/>
        <v/>
      </c>
      <c r="G4023" s="116" t="str">
        <f>IF(ISNONTEXT(D4023),"",E4023-MAX($F$2:F4022))</f>
        <v/>
      </c>
      <c r="H4023" s="97"/>
      <c r="I4023" s="74" t="str">
        <f ca="1">IF(D4023="N",COUNTIF(INDIRECT(ADDRESS(MATCH(Plages!$D$19,'Planning annuel mixing coater'!$B:$B),4)):D4023,"N"),IF(D4023="N1",COUNTIF($D$9:D4023,"N1"),""))</f>
        <v/>
      </c>
      <c r="J4023" s="96" t="str">
        <f>IF(D4023="","",COUNTA(D4020:D4023)-(COUNTA(D4023:D4023)-1))</f>
        <v/>
      </c>
    </row>
    <row r="4024" spans="1:10" thickBot="1">
      <c r="A4024" s="117"/>
      <c r="B4024" s="70">
        <f t="shared" si="253"/>
        <v>47816</v>
      </c>
      <c r="C4024" s="82" t="str">
        <f t="shared" si="254"/>
        <v>vendredi</v>
      </c>
      <c r="D4024" s="87"/>
      <c r="E4024" s="115" t="str">
        <f t="shared" si="255"/>
        <v/>
      </c>
      <c r="F4024" s="115" t="str">
        <f t="shared" si="256"/>
        <v/>
      </c>
      <c r="G4024" s="116" t="str">
        <f>IF(ISNONTEXT(D4024),"",E4024-MAX($F$2:F4023))</f>
        <v/>
      </c>
      <c r="H4024" s="97"/>
      <c r="I4024" s="74" t="str">
        <f ca="1">IF(D4024="N",COUNTIF(INDIRECT(ADDRESS(MATCH(Plages!$D$19,'Planning annuel mixing coater'!$B:$B),4)):D4024,"N"),IF(D4024="N1",COUNTIF($D$9:D4024,"N1"),""))</f>
        <v/>
      </c>
      <c r="J4024" s="96" t="str">
        <f>IF(D4024="","",COUNTA(D4020:D4024)-(COUNTA(D4024:D4024)-1))</f>
        <v/>
      </c>
    </row>
    <row r="4025" spans="1:10" thickBot="1">
      <c r="A4025" s="117"/>
      <c r="B4025" s="70">
        <f t="shared" si="253"/>
        <v>47817</v>
      </c>
      <c r="C4025" s="82" t="str">
        <f t="shared" si="254"/>
        <v>samedi</v>
      </c>
      <c r="D4025" s="87"/>
      <c r="E4025" s="115" t="str">
        <f t="shared" si="255"/>
        <v/>
      </c>
      <c r="F4025" s="115" t="str">
        <f t="shared" si="256"/>
        <v/>
      </c>
      <c r="G4025" s="116" t="str">
        <f>IF(ISNONTEXT(D4025),"",E4025-MAX($F$2:F4024))</f>
        <v/>
      </c>
      <c r="H4025" s="97"/>
      <c r="I4025" s="74" t="str">
        <f ca="1">IF(D4025="N",COUNTIF(INDIRECT(ADDRESS(MATCH(Plages!$D$19,'Planning annuel mixing coater'!$B:$B),4)):D4025,"N"),IF(D4025="N1",COUNTIF($D$9:D4025,"N1"),""))</f>
        <v/>
      </c>
      <c r="J4025" s="96" t="str">
        <f>IF(D4025="","",COUNTA(D4020:D4025)-(COUNTA(D4025:D4025)-1))</f>
        <v/>
      </c>
    </row>
    <row r="4026" spans="1:10" thickBot="1">
      <c r="A4026" s="117"/>
      <c r="B4026" s="70">
        <f t="shared" si="253"/>
        <v>47818</v>
      </c>
      <c r="C4026" s="82" t="str">
        <f t="shared" si="254"/>
        <v>dimanche</v>
      </c>
      <c r="D4026" s="87"/>
      <c r="E4026" s="115" t="str">
        <f t="shared" si="255"/>
        <v/>
      </c>
      <c r="F4026" s="115" t="str">
        <f t="shared" si="256"/>
        <v/>
      </c>
      <c r="G4026" s="116" t="str">
        <f>IF(ISNONTEXT(D4026),"",E4026-MAX($F$2:F4025))</f>
        <v/>
      </c>
      <c r="H4026" s="98"/>
      <c r="I4026" s="74" t="str">
        <f ca="1">IF(D4026="N",COUNTIF(INDIRECT(ADDRESS(MATCH(Plages!$D$19,'Planning annuel mixing coater'!$B:$B),4)):D4026,"N"),IF(D4026="N1",COUNTIF($D$9:D4026,"N1"),""))</f>
        <v/>
      </c>
      <c r="J4026" s="96" t="str">
        <f>IF(D4026="","",COUNTA(D4020:D4026)-(COUNTA(D4026:D4026)-1))</f>
        <v/>
      </c>
    </row>
    <row r="4027" spans="1:10" thickBot="1">
      <c r="A4027" s="117"/>
      <c r="B4027" s="70">
        <f t="shared" si="253"/>
        <v>47819</v>
      </c>
      <c r="C4027" s="82" t="str">
        <f t="shared" si="254"/>
        <v>lundi</v>
      </c>
      <c r="D4027" s="87"/>
      <c r="E4027" s="115" t="str">
        <f t="shared" si="255"/>
        <v/>
      </c>
      <c r="F4027" s="115" t="str">
        <f t="shared" si="256"/>
        <v/>
      </c>
      <c r="G4027" s="116" t="str">
        <f>IF(ISNONTEXT(D4027),"",E4027-MAX($F$2:F4026))</f>
        <v/>
      </c>
      <c r="H4027" s="97"/>
      <c r="I4027" s="74" t="str">
        <f ca="1">IF(D4027="N",COUNTIF(INDIRECT(ADDRESS(MATCH(Plages!$D$19,'Planning annuel mixing coater'!$B:$B),4)):D4027,"N"),IF(D4027="N1",COUNTIF($D$9:D4027,"N1"),""))</f>
        <v/>
      </c>
      <c r="J4027" s="96" t="str">
        <f>IF(D4027="","",COUNTA(D4020:D4027)-(COUNTA(D4027:D4027)-1))</f>
        <v/>
      </c>
    </row>
    <row r="4028" spans="1:10" thickBot="1">
      <c r="A4028" s="117"/>
      <c r="B4028" s="70">
        <f t="shared" si="253"/>
        <v>47820</v>
      </c>
      <c r="C4028" s="82" t="str">
        <f t="shared" si="254"/>
        <v>mardi</v>
      </c>
      <c r="D4028" s="87"/>
      <c r="E4028" s="115" t="str">
        <f t="shared" si="255"/>
        <v/>
      </c>
      <c r="F4028" s="115" t="str">
        <f t="shared" si="256"/>
        <v/>
      </c>
      <c r="G4028" s="116" t="str">
        <f>IF(ISNONTEXT(D4028),"",E4028-MAX($F$2:F4027))</f>
        <v/>
      </c>
      <c r="H4028" s="97"/>
      <c r="I4028" s="74" t="str">
        <f ca="1">IF(D4028="N",COUNTIF(INDIRECT(ADDRESS(MATCH(Plages!$D$19,'Planning annuel mixing coater'!$B:$B),4)):D4028,"N"),IF(D4028="N1",COUNTIF($D$9:D4028,"N1"),""))</f>
        <v/>
      </c>
      <c r="J4028" s="96" t="str">
        <f>IF(D4028="","",COUNTA(D4020:D4028)-(COUNTA(D4028:D4028)-1))</f>
        <v/>
      </c>
    </row>
    <row r="4029" spans="1:10" thickBot="1">
      <c r="A4029" s="117"/>
      <c r="B4029" s="70">
        <f t="shared" si="253"/>
        <v>47821</v>
      </c>
      <c r="C4029" s="82" t="str">
        <f t="shared" si="254"/>
        <v>mercredi</v>
      </c>
      <c r="D4029" s="87"/>
      <c r="E4029" s="115" t="str">
        <f t="shared" si="255"/>
        <v/>
      </c>
      <c r="F4029" s="115" t="str">
        <f t="shared" si="256"/>
        <v/>
      </c>
      <c r="G4029" s="116" t="str">
        <f>IF(ISNONTEXT(D4029),"",E4029-MAX($F$2:F4028))</f>
        <v/>
      </c>
      <c r="H4029" s="97"/>
      <c r="I4029" s="74" t="str">
        <f ca="1">IF(D4029="N",COUNTIF(INDIRECT(ADDRESS(MATCH(Plages!$D$19,'Planning annuel mixing coater'!$B:$B),4)):D4029,"N"),IF(D4029="N1",COUNTIF($D$9:D4029,"N1"),""))</f>
        <v/>
      </c>
      <c r="J4029" s="96" t="str">
        <f>IF(D4029="","",COUNTA(D4020:D4029)-(COUNTA(D4029:D4029)-1))</f>
        <v/>
      </c>
    </row>
    <row r="4030" spans="1:10" thickBot="1">
      <c r="A4030" s="117"/>
      <c r="B4030" s="70">
        <f t="shared" si="253"/>
        <v>47822</v>
      </c>
      <c r="C4030" s="82" t="str">
        <f t="shared" si="254"/>
        <v>jeudi</v>
      </c>
      <c r="D4030" s="87"/>
      <c r="E4030" s="115" t="str">
        <f t="shared" si="255"/>
        <v/>
      </c>
      <c r="F4030" s="115" t="str">
        <f t="shared" si="256"/>
        <v/>
      </c>
      <c r="G4030" s="116" t="str">
        <f>IF(ISNONTEXT(D4030),"",E4030-MAX($F$2:F4029))</f>
        <v/>
      </c>
      <c r="H4030" s="97"/>
      <c r="I4030" s="74" t="str">
        <f ca="1">IF(D4030="N",COUNTIF(INDIRECT(ADDRESS(MATCH(Plages!$D$19,'Planning annuel mixing coater'!$B:$B),4)):D4030,"N"),IF(D4030="N1",COUNTIF($D$9:D4030,"N1"),""))</f>
        <v/>
      </c>
      <c r="J4030" s="96" t="str">
        <f>IF(D4030="","",COUNTA(D4020:D4030)-(COUNTA(D4030:D4030)-1))</f>
        <v/>
      </c>
    </row>
    <row r="4031" spans="1:10" thickBot="1">
      <c r="A4031" s="117"/>
      <c r="B4031" s="70">
        <f t="shared" si="253"/>
        <v>47823</v>
      </c>
      <c r="C4031" s="82" t="str">
        <f t="shared" si="254"/>
        <v>vendredi</v>
      </c>
      <c r="D4031" s="87"/>
      <c r="E4031" s="115" t="str">
        <f t="shared" si="255"/>
        <v/>
      </c>
      <c r="F4031" s="115" t="str">
        <f t="shared" si="256"/>
        <v/>
      </c>
      <c r="G4031" s="116" t="str">
        <f>IF(ISNONTEXT(D4031),"",E4031-MAX($F$2:F4030))</f>
        <v/>
      </c>
      <c r="H4031" s="97"/>
      <c r="I4031" s="74" t="str">
        <f ca="1">IF(D4031="N",COUNTIF(INDIRECT(ADDRESS(MATCH(Plages!$D$19,'Planning annuel mixing coater'!$B:$B),4)):D4031,"N"),IF(D4031="N1",COUNTIF($D$9:D4031,"N1"),""))</f>
        <v/>
      </c>
      <c r="J4031" s="96" t="str">
        <f>IF(D4031="","",COUNTA(D4020:D4031)-(COUNTA(D4031:D4031)-1))</f>
        <v/>
      </c>
    </row>
    <row r="4032" spans="1:10" thickBot="1">
      <c r="A4032" s="117"/>
      <c r="B4032" s="70">
        <f t="shared" si="253"/>
        <v>47824</v>
      </c>
      <c r="C4032" s="82" t="str">
        <f t="shared" si="254"/>
        <v>samedi</v>
      </c>
      <c r="D4032" s="87"/>
      <c r="E4032" s="115" t="str">
        <f t="shared" si="255"/>
        <v/>
      </c>
      <c r="F4032" s="115" t="str">
        <f t="shared" si="256"/>
        <v/>
      </c>
      <c r="G4032" s="116" t="str">
        <f>IF(ISNONTEXT(D4032),"",E4032-MAX($F$2:F4031))</f>
        <v/>
      </c>
      <c r="H4032" s="97"/>
      <c r="I4032" s="74" t="str">
        <f ca="1">IF(D4032="N",COUNTIF(INDIRECT(ADDRESS(MATCH(Plages!$D$19,'Planning annuel mixing coater'!$B:$B),4)):D4032,"N"),IF(D4032="N1",COUNTIF($D$9:D4032,"N1"),""))</f>
        <v/>
      </c>
      <c r="J4032" s="96" t="str">
        <f>IF(D4032="","",COUNTA(D4020:D4032)-(COUNTA(D4032:D4032)-1))</f>
        <v/>
      </c>
    </row>
    <row r="4033" spans="1:10" s="77" customFormat="1" thickBot="1">
      <c r="A4033" s="117"/>
      <c r="B4033" s="75">
        <f t="shared" si="253"/>
        <v>47825</v>
      </c>
      <c r="C4033" s="83" t="str">
        <f t="shared" si="254"/>
        <v>dimanche</v>
      </c>
      <c r="D4033" s="88"/>
      <c r="E4033" s="115" t="str">
        <f t="shared" si="255"/>
        <v/>
      </c>
      <c r="F4033" s="115" t="str">
        <f t="shared" si="256"/>
        <v/>
      </c>
      <c r="G4033" s="116" t="str">
        <f>IF(ISNONTEXT(D4033),"",E4033-MAX($F$2:F4032))</f>
        <v/>
      </c>
      <c r="H4033" s="98"/>
      <c r="I4033" s="76" t="str">
        <f ca="1">IF(D4033="N",COUNTIF(INDIRECT(ADDRESS(MATCH(Plages!$D$19,'Planning annuel mixing coater'!$B:$B),4)):D4033,"N"),IF(D4033="N1",COUNTIF($D$9:D4033,"N1"),""))</f>
        <v/>
      </c>
      <c r="J4033" s="99" t="str">
        <f>IF(D4033="","",COUNTA(D4020:D4033)-(COUNTA(D4033:D4033)-1))</f>
        <v/>
      </c>
    </row>
    <row r="4034" spans="1:10" ht="16.5" thickTop="1" thickBot="1">
      <c r="A4034" s="117"/>
      <c r="B4034" s="78">
        <f t="shared" si="253"/>
        <v>47826</v>
      </c>
      <c r="C4034" s="81" t="str">
        <f t="shared" si="254"/>
        <v>lundi</v>
      </c>
      <c r="D4034" s="89"/>
      <c r="E4034" s="115" t="str">
        <f t="shared" si="255"/>
        <v/>
      </c>
      <c r="F4034" s="115" t="str">
        <f t="shared" si="256"/>
        <v/>
      </c>
      <c r="G4034" s="116" t="str">
        <f>IF(ISNONTEXT(D4034),"",E4034-MAX($F$2:F4033))</f>
        <v/>
      </c>
      <c r="H4034" s="100"/>
      <c r="I4034" s="79" t="str">
        <f ca="1">IF(D4034="N",COUNTIF(INDIRECT(ADDRESS(MATCH(Plages!$D$19,'Planning annuel mixing coater'!$B:$B),4)):D4034,"N"),IF(D4034="N1",COUNTIF($D$9:D4034,"N1"),""))</f>
        <v/>
      </c>
      <c r="J4034" s="101" t="str">
        <f>IF(D4034="","",COUNTA(D4034:D4034)-(COUNTA(D4034:D4034)-1))</f>
        <v/>
      </c>
    </row>
    <row r="4035" spans="1:10" thickBot="1">
      <c r="A4035" s="117"/>
      <c r="B4035" s="70">
        <f t="shared" si="253"/>
        <v>47827</v>
      </c>
      <c r="C4035" s="82" t="str">
        <f t="shared" si="254"/>
        <v>mardi</v>
      </c>
      <c r="D4035" s="87"/>
      <c r="E4035" s="115" t="str">
        <f t="shared" si="255"/>
        <v/>
      </c>
      <c r="F4035" s="115" t="str">
        <f t="shared" si="256"/>
        <v/>
      </c>
      <c r="G4035" s="116" t="str">
        <f>IF(ISNONTEXT(D4035),"",E4035-MAX($F$2:F4034))</f>
        <v/>
      </c>
      <c r="H4035" s="97"/>
      <c r="I4035" s="74" t="str">
        <f ca="1">IF(D4035="N",COUNTIF(INDIRECT(ADDRESS(MATCH(Plages!$D$19,'Planning annuel mixing coater'!$B:$B),4)):D4035,"N"),IF(D4035="N1",COUNTIF($D$9:D4035,"N1"),""))</f>
        <v/>
      </c>
      <c r="J4035" s="96" t="str">
        <f>IF(D4035="","",COUNTA(D4034:D4035)-(COUNTA(D4035:D4035)-1))</f>
        <v/>
      </c>
    </row>
    <row r="4036" spans="1:10" thickBot="1">
      <c r="A4036" s="117"/>
      <c r="B4036" s="70">
        <f t="shared" ref="B4036:B4061" si="257">IF(B4035="","",B4035+1)</f>
        <v>47828</v>
      </c>
      <c r="C4036" s="82" t="str">
        <f t="shared" si="254"/>
        <v>mercredi</v>
      </c>
      <c r="D4036" s="87"/>
      <c r="E4036" s="115" t="str">
        <f t="shared" si="255"/>
        <v/>
      </c>
      <c r="F4036" s="115" t="str">
        <f t="shared" si="256"/>
        <v/>
      </c>
      <c r="G4036" s="116" t="str">
        <f>IF(ISNONTEXT(D4036),"",E4036-MAX($F$2:F4035))</f>
        <v/>
      </c>
      <c r="H4036" s="97"/>
      <c r="I4036" s="74" t="str">
        <f ca="1">IF(D4036="N",COUNTIF(INDIRECT(ADDRESS(MATCH(Plages!$D$19,'Planning annuel mixing coater'!$B:$B),4)):D4036,"N"),IF(D4036="N1",COUNTIF($D$9:D4036,"N1"),""))</f>
        <v/>
      </c>
      <c r="J4036" s="96" t="str">
        <f>IF(D4036="","",COUNTA(D4034:D4036)-(COUNTA(D4036:D4036)-1))</f>
        <v/>
      </c>
    </row>
    <row r="4037" spans="1:10" thickBot="1">
      <c r="A4037" s="117"/>
      <c r="B4037" s="70">
        <f t="shared" si="257"/>
        <v>47829</v>
      </c>
      <c r="C4037" s="82" t="str">
        <f t="shared" si="254"/>
        <v>jeudi</v>
      </c>
      <c r="D4037" s="87"/>
      <c r="E4037" s="115" t="str">
        <f t="shared" si="255"/>
        <v/>
      </c>
      <c r="F4037" s="115" t="str">
        <f t="shared" si="256"/>
        <v/>
      </c>
      <c r="G4037" s="116" t="str">
        <f>IF(ISNONTEXT(D4037),"",E4037-MAX($F$2:F4036))</f>
        <v/>
      </c>
      <c r="H4037" s="97"/>
      <c r="I4037" s="74" t="str">
        <f ca="1">IF(D4037="N",COUNTIF(INDIRECT(ADDRESS(MATCH(Plages!$D$19,'Planning annuel mixing coater'!$B:$B),4)):D4037,"N"),IF(D4037="N1",COUNTIF($D$9:D4037,"N1"),""))</f>
        <v/>
      </c>
      <c r="J4037" s="96" t="str">
        <f>IF(D4037="","",COUNTA(D4034:D4037)-(COUNTA(D4037:D4037)-1))</f>
        <v/>
      </c>
    </row>
    <row r="4038" spans="1:10" thickBot="1">
      <c r="A4038" s="117"/>
      <c r="B4038" s="70">
        <f t="shared" si="257"/>
        <v>47830</v>
      </c>
      <c r="C4038" s="82" t="str">
        <f t="shared" si="254"/>
        <v>vendredi</v>
      </c>
      <c r="D4038" s="87"/>
      <c r="E4038" s="115" t="str">
        <f t="shared" si="255"/>
        <v/>
      </c>
      <c r="F4038" s="115" t="str">
        <f t="shared" si="256"/>
        <v/>
      </c>
      <c r="G4038" s="116" t="str">
        <f>IF(ISNONTEXT(D4038),"",E4038-MAX($F$2:F4037))</f>
        <v/>
      </c>
      <c r="H4038" s="97"/>
      <c r="I4038" s="74" t="str">
        <f ca="1">IF(D4038="N",COUNTIF(INDIRECT(ADDRESS(MATCH(Plages!$D$19,'Planning annuel mixing coater'!$B:$B),4)):D4038,"N"),IF(D4038="N1",COUNTIF($D$9:D4038,"N1"),""))</f>
        <v/>
      </c>
      <c r="J4038" s="96" t="str">
        <f>IF(D4038="","",COUNTA(D4034:D4038)-(COUNTA(D4038:D4038)-1))</f>
        <v/>
      </c>
    </row>
    <row r="4039" spans="1:10" thickBot="1">
      <c r="A4039" s="117"/>
      <c r="B4039" s="70">
        <f t="shared" si="257"/>
        <v>47831</v>
      </c>
      <c r="C4039" s="82" t="str">
        <f t="shared" si="254"/>
        <v>samedi</v>
      </c>
      <c r="D4039" s="87"/>
      <c r="E4039" s="115" t="str">
        <f t="shared" si="255"/>
        <v/>
      </c>
      <c r="F4039" s="115" t="str">
        <f t="shared" si="256"/>
        <v/>
      </c>
      <c r="G4039" s="116" t="str">
        <f>IF(ISNONTEXT(D4039),"",E4039-MAX($F$2:F4038))</f>
        <v/>
      </c>
      <c r="H4039" s="97"/>
      <c r="I4039" s="74" t="str">
        <f ca="1">IF(D4039="N",COUNTIF(INDIRECT(ADDRESS(MATCH(Plages!$D$19,'Planning annuel mixing coater'!$B:$B),4)):D4039,"N"),IF(D4039="N1",COUNTIF($D$9:D4039,"N1"),""))</f>
        <v/>
      </c>
      <c r="J4039" s="96" t="str">
        <f>IF(D4039="","",COUNTA(D4034:D4039)-(COUNTA(D4039:D4039)-1))</f>
        <v/>
      </c>
    </row>
    <row r="4040" spans="1:10" thickBot="1">
      <c r="A4040" s="117"/>
      <c r="B4040" s="70">
        <f t="shared" si="257"/>
        <v>47832</v>
      </c>
      <c r="C4040" s="82" t="str">
        <f t="shared" si="254"/>
        <v>dimanche</v>
      </c>
      <c r="D4040" s="87"/>
      <c r="E4040" s="115" t="str">
        <f t="shared" si="255"/>
        <v/>
      </c>
      <c r="F4040" s="115" t="str">
        <f t="shared" si="256"/>
        <v/>
      </c>
      <c r="G4040" s="116" t="str">
        <f>IF(ISNONTEXT(D4040),"",E4040-MAX($F$2:F4039))</f>
        <v/>
      </c>
      <c r="H4040" s="98"/>
      <c r="I4040" s="74" t="str">
        <f ca="1">IF(D4040="N",COUNTIF(INDIRECT(ADDRESS(MATCH(Plages!$D$19,'Planning annuel mixing coater'!$B:$B),4)):D4040,"N"),IF(D4040="N1",COUNTIF($D$9:D4040,"N1"),""))</f>
        <v/>
      </c>
      <c r="J4040" s="96" t="str">
        <f>IF(D4040="","",COUNTA(D4034:D4040)-(COUNTA(D4040:D4040)-1))</f>
        <v/>
      </c>
    </row>
    <row r="4041" spans="1:10" thickBot="1">
      <c r="A4041" s="117"/>
      <c r="B4041" s="70">
        <f t="shared" si="257"/>
        <v>47833</v>
      </c>
      <c r="C4041" s="82" t="str">
        <f t="shared" si="254"/>
        <v>lundi</v>
      </c>
      <c r="D4041" s="87"/>
      <c r="E4041" s="115" t="str">
        <f t="shared" si="255"/>
        <v/>
      </c>
      <c r="F4041" s="115" t="str">
        <f t="shared" si="256"/>
        <v/>
      </c>
      <c r="G4041" s="116" t="str">
        <f>IF(ISNONTEXT(D4041),"",E4041-MAX($F$2:F4040))</f>
        <v/>
      </c>
      <c r="H4041" s="97"/>
      <c r="I4041" s="74" t="str">
        <f ca="1">IF(D4041="N",COUNTIF(INDIRECT(ADDRESS(MATCH(Plages!$D$19,'Planning annuel mixing coater'!$B:$B),4)):D4041,"N"),IF(D4041="N1",COUNTIF($D$9:D4041,"N1"),""))</f>
        <v/>
      </c>
      <c r="J4041" s="96" t="str">
        <f>IF(D4041="","",COUNTA(D4034:D4041)-(COUNTA(D4041:D4041)-1))</f>
        <v/>
      </c>
    </row>
    <row r="4042" spans="1:10" thickBot="1">
      <c r="A4042" s="117"/>
      <c r="B4042" s="70">
        <f t="shared" si="257"/>
        <v>47834</v>
      </c>
      <c r="C4042" s="82" t="str">
        <f t="shared" si="254"/>
        <v>mardi</v>
      </c>
      <c r="D4042" s="87"/>
      <c r="E4042" s="115" t="str">
        <f t="shared" si="255"/>
        <v/>
      </c>
      <c r="F4042" s="115" t="str">
        <f t="shared" si="256"/>
        <v/>
      </c>
      <c r="G4042" s="116" t="str">
        <f>IF(ISNONTEXT(D4042),"",E4042-MAX($F$2:F4041))</f>
        <v/>
      </c>
      <c r="H4042" s="97"/>
      <c r="I4042" s="74" t="str">
        <f ca="1">IF(D4042="N",COUNTIF(INDIRECT(ADDRESS(MATCH(Plages!$D$19,'Planning annuel mixing coater'!$B:$B),4)):D4042,"N"),IF(D4042="N1",COUNTIF($D$9:D4042,"N1"),""))</f>
        <v/>
      </c>
      <c r="J4042" s="96" t="str">
        <f>IF(D4042="","",COUNTA(D4034:D4042)-(COUNTA(D4042:D4042)-1))</f>
        <v/>
      </c>
    </row>
    <row r="4043" spans="1:10" thickBot="1">
      <c r="A4043" s="117"/>
      <c r="B4043" s="70">
        <f t="shared" si="257"/>
        <v>47835</v>
      </c>
      <c r="C4043" s="82" t="str">
        <f t="shared" si="254"/>
        <v>mercredi</v>
      </c>
      <c r="D4043" s="87"/>
      <c r="E4043" s="115" t="str">
        <f t="shared" si="255"/>
        <v/>
      </c>
      <c r="F4043" s="115" t="str">
        <f t="shared" si="256"/>
        <v/>
      </c>
      <c r="G4043" s="116" t="str">
        <f>IF(ISNONTEXT(D4043),"",E4043-MAX($F$2:F4042))</f>
        <v/>
      </c>
      <c r="H4043" s="97"/>
      <c r="I4043" s="74" t="str">
        <f ca="1">IF(D4043="N",COUNTIF(INDIRECT(ADDRESS(MATCH(Plages!$D$19,'Planning annuel mixing coater'!$B:$B),4)):D4043,"N"),IF(D4043="N1",COUNTIF($D$9:D4043,"N1"),""))</f>
        <v/>
      </c>
      <c r="J4043" s="96" t="str">
        <f>IF(D4043="","",COUNTA(D4034:D4043)-(COUNTA(D4043:D4043)-1))</f>
        <v/>
      </c>
    </row>
    <row r="4044" spans="1:10" thickBot="1">
      <c r="A4044" s="117"/>
      <c r="B4044" s="70">
        <f t="shared" si="257"/>
        <v>47836</v>
      </c>
      <c r="C4044" s="82" t="str">
        <f t="shared" si="254"/>
        <v>jeudi</v>
      </c>
      <c r="D4044" s="87"/>
      <c r="E4044" s="115" t="str">
        <f t="shared" si="255"/>
        <v/>
      </c>
      <c r="F4044" s="115" t="str">
        <f t="shared" si="256"/>
        <v/>
      </c>
      <c r="G4044" s="116" t="str">
        <f>IF(ISNONTEXT(D4044),"",E4044-MAX($F$2:F4043))</f>
        <v/>
      </c>
      <c r="H4044" s="97"/>
      <c r="I4044" s="74" t="str">
        <f ca="1">IF(D4044="N",COUNTIF(INDIRECT(ADDRESS(MATCH(Plages!$D$19,'Planning annuel mixing coater'!$B:$B),4)):D4044,"N"),IF(D4044="N1",COUNTIF($D$9:D4044,"N1"),""))</f>
        <v/>
      </c>
      <c r="J4044" s="96" t="str">
        <f>IF(D4044="","",COUNTA(D4034:D4044)-(COUNTA(D4044:D4044)-1))</f>
        <v/>
      </c>
    </row>
    <row r="4045" spans="1:10" thickBot="1">
      <c r="A4045" s="117"/>
      <c r="B4045" s="70">
        <f t="shared" si="257"/>
        <v>47837</v>
      </c>
      <c r="C4045" s="82" t="str">
        <f t="shared" si="254"/>
        <v>vendredi</v>
      </c>
      <c r="D4045" s="87"/>
      <c r="E4045" s="115" t="str">
        <f t="shared" si="255"/>
        <v/>
      </c>
      <c r="F4045" s="115" t="str">
        <f t="shared" si="256"/>
        <v/>
      </c>
      <c r="G4045" s="116" t="str">
        <f>IF(ISNONTEXT(D4045),"",E4045-MAX($F$2:F4044))</f>
        <v/>
      </c>
      <c r="H4045" s="97"/>
      <c r="I4045" s="74" t="str">
        <f ca="1">IF(D4045="N",COUNTIF(INDIRECT(ADDRESS(MATCH(Plages!$D$19,'Planning annuel mixing coater'!$B:$B),4)):D4045,"N"),IF(D4045="N1",COUNTIF($D$9:D4045,"N1"),""))</f>
        <v/>
      </c>
      <c r="J4045" s="96" t="str">
        <f>IF(D4045="","",COUNTA(D4034:D4045)-(COUNTA(D4045:D4045)-1))</f>
        <v/>
      </c>
    </row>
    <row r="4046" spans="1:10" thickBot="1">
      <c r="A4046" s="117"/>
      <c r="B4046" s="70">
        <f t="shared" si="257"/>
        <v>47838</v>
      </c>
      <c r="C4046" s="82" t="str">
        <f t="shared" si="254"/>
        <v>samedi</v>
      </c>
      <c r="D4046" s="87"/>
      <c r="E4046" s="115" t="str">
        <f t="shared" si="255"/>
        <v/>
      </c>
      <c r="F4046" s="115" t="str">
        <f t="shared" si="256"/>
        <v/>
      </c>
      <c r="G4046" s="116" t="str">
        <f>IF(ISNONTEXT(D4046),"",E4046-MAX($F$2:F4045))</f>
        <v/>
      </c>
      <c r="H4046" s="97"/>
      <c r="I4046" s="74" t="str">
        <f ca="1">IF(D4046="N",COUNTIF(INDIRECT(ADDRESS(MATCH(Plages!$D$19,'Planning annuel mixing coater'!$B:$B),4)):D4046,"N"),IF(D4046="N1",COUNTIF($D$9:D4046,"N1"),""))</f>
        <v/>
      </c>
      <c r="J4046" s="96" t="str">
        <f>IF(D4046="","",COUNTA(D4034:D4046)-(COUNTA(D4046:D4046)-1))</f>
        <v/>
      </c>
    </row>
    <row r="4047" spans="1:10" s="77" customFormat="1" thickBot="1">
      <c r="A4047" s="117"/>
      <c r="B4047" s="75">
        <f t="shared" si="257"/>
        <v>47839</v>
      </c>
      <c r="C4047" s="83" t="str">
        <f t="shared" si="254"/>
        <v>dimanche</v>
      </c>
      <c r="D4047" s="88"/>
      <c r="E4047" s="115" t="str">
        <f t="shared" si="255"/>
        <v/>
      </c>
      <c r="F4047" s="115" t="str">
        <f t="shared" si="256"/>
        <v/>
      </c>
      <c r="G4047" s="116" t="str">
        <f>IF(ISNONTEXT(D4047),"",E4047-MAX($F$2:F4046))</f>
        <v/>
      </c>
      <c r="H4047" s="98"/>
      <c r="I4047" s="76" t="str">
        <f ca="1">IF(D4047="N",COUNTIF(INDIRECT(ADDRESS(MATCH(Plages!$D$19,'Planning annuel mixing coater'!$B:$B),4)):D4047,"N"),IF(D4047="N1",COUNTIF($D$9:D4047,"N1"),""))</f>
        <v/>
      </c>
      <c r="J4047" s="99" t="str">
        <f>IF(D4047="","",COUNTA(D4034:D4047)-(COUNTA(D4047:D4047)-1))</f>
        <v/>
      </c>
    </row>
    <row r="4048" spans="1:10" ht="16.5" thickTop="1" thickBot="1">
      <c r="A4048" s="117"/>
      <c r="B4048" s="78">
        <f t="shared" si="257"/>
        <v>47840</v>
      </c>
      <c r="C4048" s="81" t="str">
        <f t="shared" si="254"/>
        <v>lundi</v>
      </c>
      <c r="D4048" s="89"/>
      <c r="E4048" s="115" t="str">
        <f t="shared" si="255"/>
        <v/>
      </c>
      <c r="F4048" s="115" t="str">
        <f t="shared" si="256"/>
        <v/>
      </c>
      <c r="G4048" s="116" t="str">
        <f>IF(ISNONTEXT(D4048),"",E4048-MAX($F$2:F4047))</f>
        <v/>
      </c>
      <c r="H4048" s="100"/>
      <c r="I4048" s="79" t="str">
        <f ca="1">IF(D4048="N",COUNTIF(INDIRECT(ADDRESS(MATCH(Plages!$D$19,'Planning annuel mixing coater'!$B:$B),4)):D4048,"N"),IF(D4048="N1",COUNTIF($D$9:D4048,"N1"),""))</f>
        <v/>
      </c>
      <c r="J4048" s="101" t="str">
        <f>IF(D4048="","",COUNTA(D4048:D4048)-(COUNTA(D4048:D4048)-1))</f>
        <v/>
      </c>
    </row>
    <row r="4049" spans="1:10" thickBot="1">
      <c r="A4049" s="117"/>
      <c r="B4049" s="70">
        <f t="shared" si="257"/>
        <v>47841</v>
      </c>
      <c r="C4049" s="82" t="str">
        <f t="shared" si="254"/>
        <v>mardi</v>
      </c>
      <c r="D4049" s="87"/>
      <c r="E4049" s="115" t="str">
        <f t="shared" si="255"/>
        <v/>
      </c>
      <c r="F4049" s="115" t="str">
        <f t="shared" si="256"/>
        <v/>
      </c>
      <c r="G4049" s="116" t="str">
        <f>IF(ISNONTEXT(D4049),"",E4049-MAX($F$2:F4048))</f>
        <v/>
      </c>
      <c r="H4049" s="97"/>
      <c r="I4049" s="74" t="str">
        <f ca="1">IF(D4049="N",COUNTIF(INDIRECT(ADDRESS(MATCH(Plages!$D$19,'Planning annuel mixing coater'!$B:$B),4)):D4049,"N"),IF(D4049="N1",COUNTIF($D$9:D4049,"N1"),""))</f>
        <v/>
      </c>
      <c r="J4049" s="96" t="str">
        <f>IF(D4049="","",COUNTA(D4048:D4049)-(COUNTA(D4049:D4049)-1))</f>
        <v/>
      </c>
    </row>
    <row r="4050" spans="1:10" thickBot="1">
      <c r="A4050" s="117"/>
      <c r="B4050" s="70">
        <f t="shared" si="257"/>
        <v>47842</v>
      </c>
      <c r="C4050" s="82" t="str">
        <f t="shared" si="254"/>
        <v>mercredi</v>
      </c>
      <c r="D4050" s="87"/>
      <c r="E4050" s="115" t="str">
        <f t="shared" si="255"/>
        <v/>
      </c>
      <c r="F4050" s="115" t="str">
        <f t="shared" si="256"/>
        <v/>
      </c>
      <c r="G4050" s="116" t="str">
        <f>IF(ISNONTEXT(D4050),"",E4050-MAX($F$2:F4049))</f>
        <v/>
      </c>
      <c r="H4050" s="97"/>
      <c r="I4050" s="74" t="str">
        <f ca="1">IF(D4050="N",COUNTIF(INDIRECT(ADDRESS(MATCH(Plages!$D$19,'Planning annuel mixing coater'!$B:$B),4)):D4050,"N"),IF(D4050="N1",COUNTIF($D$9:D4050,"N1"),""))</f>
        <v/>
      </c>
      <c r="J4050" s="96" t="str">
        <f>IF(D4050="","",COUNTA(D4048:D4050)-(COUNTA(D4050:D4050)-1))</f>
        <v/>
      </c>
    </row>
    <row r="4051" spans="1:10" thickBot="1">
      <c r="A4051" s="117"/>
      <c r="B4051" s="70">
        <f t="shared" si="257"/>
        <v>47843</v>
      </c>
      <c r="C4051" s="82" t="str">
        <f t="shared" si="254"/>
        <v>jeudi</v>
      </c>
      <c r="D4051" s="87"/>
      <c r="E4051" s="115" t="str">
        <f t="shared" si="255"/>
        <v/>
      </c>
      <c r="F4051" s="115" t="str">
        <f t="shared" si="256"/>
        <v/>
      </c>
      <c r="G4051" s="116" t="str">
        <f>IF(ISNONTEXT(D4051),"",E4051-MAX($F$2:F4050))</f>
        <v/>
      </c>
      <c r="H4051" s="97"/>
      <c r="I4051" s="74" t="str">
        <f ca="1">IF(D4051="N",COUNTIF(INDIRECT(ADDRESS(MATCH(Plages!$D$19,'Planning annuel mixing coater'!$B:$B),4)):D4051,"N"),IF(D4051="N1",COUNTIF($D$9:D4051,"N1"),""))</f>
        <v/>
      </c>
      <c r="J4051" s="96" t="str">
        <f>IF(D4051="","",COUNTA(D4048:D4051)-(COUNTA(D4051:D4051)-1))</f>
        <v/>
      </c>
    </row>
    <row r="4052" spans="1:10" thickBot="1">
      <c r="A4052" s="117"/>
      <c r="B4052" s="70">
        <f t="shared" si="257"/>
        <v>47844</v>
      </c>
      <c r="C4052" s="82" t="str">
        <f t="shared" si="254"/>
        <v>vendredi</v>
      </c>
      <c r="D4052" s="87"/>
      <c r="E4052" s="115" t="str">
        <f t="shared" si="255"/>
        <v/>
      </c>
      <c r="F4052" s="115" t="str">
        <f t="shared" si="256"/>
        <v/>
      </c>
      <c r="G4052" s="116" t="str">
        <f>IF(ISNONTEXT(D4052),"",E4052-MAX($F$2:F4051))</f>
        <v/>
      </c>
      <c r="H4052" s="97"/>
      <c r="I4052" s="74" t="str">
        <f ca="1">IF(D4052="N",COUNTIF(INDIRECT(ADDRESS(MATCH(Plages!$D$19,'Planning annuel mixing coater'!$B:$B),4)):D4052,"N"),IF(D4052="N1",COUNTIF($D$9:D4052,"N1"),""))</f>
        <v/>
      </c>
      <c r="J4052" s="96" t="str">
        <f>IF(D4052="","",COUNTA(D4048:D4052)-(COUNTA(D4052:D4052)-1))</f>
        <v/>
      </c>
    </row>
    <row r="4053" spans="1:10" thickBot="1">
      <c r="A4053" s="117"/>
      <c r="B4053" s="70">
        <f t="shared" si="257"/>
        <v>47845</v>
      </c>
      <c r="C4053" s="82" t="str">
        <f t="shared" si="254"/>
        <v>samedi</v>
      </c>
      <c r="D4053" s="87"/>
      <c r="E4053" s="115" t="str">
        <f t="shared" si="255"/>
        <v/>
      </c>
      <c r="F4053" s="115" t="str">
        <f t="shared" si="256"/>
        <v/>
      </c>
      <c r="G4053" s="116" t="str">
        <f>IF(ISNONTEXT(D4053),"",E4053-MAX($F$2:F4052))</f>
        <v/>
      </c>
      <c r="H4053" s="97"/>
      <c r="I4053" s="74" t="str">
        <f ca="1">IF(D4053="N",COUNTIF(INDIRECT(ADDRESS(MATCH(Plages!$D$19,'Planning annuel mixing coater'!$B:$B),4)):D4053,"N"),IF(D4053="N1",COUNTIF($D$9:D4053,"N1"),""))</f>
        <v/>
      </c>
      <c r="J4053" s="96" t="str">
        <f>IF(D4053="","",COUNTA(D4048:D4053)-(COUNTA(D4053:D4053)-1))</f>
        <v/>
      </c>
    </row>
    <row r="4054" spans="1:10" thickBot="1">
      <c r="A4054" s="117"/>
      <c r="B4054" s="70">
        <f t="shared" si="257"/>
        <v>47846</v>
      </c>
      <c r="C4054" s="82" t="str">
        <f t="shared" si="254"/>
        <v>dimanche</v>
      </c>
      <c r="D4054" s="87"/>
      <c r="E4054" s="115" t="str">
        <f t="shared" si="255"/>
        <v/>
      </c>
      <c r="F4054" s="115" t="str">
        <f t="shared" si="256"/>
        <v/>
      </c>
      <c r="G4054" s="116" t="str">
        <f>IF(ISNONTEXT(D4054),"",E4054-MAX($F$2:F4053))</f>
        <v/>
      </c>
      <c r="H4054" s="98"/>
      <c r="I4054" s="74" t="str">
        <f ca="1">IF(D4054="N",COUNTIF(INDIRECT(ADDRESS(MATCH(Plages!$D$19,'Planning annuel mixing coater'!$B:$B),4)):D4054,"N"),IF(D4054="N1",COUNTIF($D$9:D4054,"N1"),""))</f>
        <v/>
      </c>
      <c r="J4054" s="96" t="str">
        <f>IF(D4054="","",COUNTA(D4048:D4054)-(COUNTA(D4054:D4054)-1))</f>
        <v/>
      </c>
    </row>
    <row r="4055" spans="1:10" thickBot="1">
      <c r="A4055" s="117"/>
      <c r="B4055" s="70">
        <f t="shared" si="257"/>
        <v>47847</v>
      </c>
      <c r="C4055" s="82" t="str">
        <f t="shared" si="254"/>
        <v>lundi</v>
      </c>
      <c r="D4055" s="87"/>
      <c r="E4055" s="115" t="str">
        <f t="shared" si="255"/>
        <v/>
      </c>
      <c r="F4055" s="115" t="str">
        <f t="shared" si="256"/>
        <v/>
      </c>
      <c r="G4055" s="116" t="str">
        <f>IF(ISNONTEXT(D4055),"",E4055-MAX($F$2:F4054))</f>
        <v/>
      </c>
      <c r="H4055" s="97"/>
      <c r="I4055" s="74" t="str">
        <f ca="1">IF(D4055="N",COUNTIF(INDIRECT(ADDRESS(MATCH(Plages!$D$19,'Planning annuel mixing coater'!$B:$B),4)):D4055,"N"),IF(D4055="N1",COUNTIF($D$9:D4055,"N1"),""))</f>
        <v/>
      </c>
      <c r="J4055" s="96" t="str">
        <f>IF(D4055="","",COUNTA(D4048:D4055)-(COUNTA(D4055:D4055)-1))</f>
        <v/>
      </c>
    </row>
    <row r="4056" spans="1:10" thickBot="1">
      <c r="A4056" s="117"/>
      <c r="B4056" s="70">
        <f t="shared" si="257"/>
        <v>47848</v>
      </c>
      <c r="C4056" s="82" t="str">
        <f t="shared" si="254"/>
        <v>mardi</v>
      </c>
      <c r="D4056" s="87"/>
      <c r="E4056" s="115" t="str">
        <f t="shared" si="255"/>
        <v/>
      </c>
      <c r="F4056" s="115" t="str">
        <f t="shared" si="256"/>
        <v/>
      </c>
      <c r="G4056" s="116" t="str">
        <f>IF(ISNONTEXT(D4056),"",E4056-MAX($F$2:F4055))</f>
        <v/>
      </c>
      <c r="H4056" s="97"/>
      <c r="I4056" s="74" t="str">
        <f ca="1">IF(D4056="N",COUNTIF(INDIRECT(ADDRESS(MATCH(Plages!$D$19,'Planning annuel mixing coater'!$B:$B),4)):D4056,"N"),IF(D4056="N1",COUNTIF($D$9:D4056,"N1"),""))</f>
        <v/>
      </c>
      <c r="J4056" s="96" t="str">
        <f>IF(D4056="","",COUNTA(D4048:D4056)-(COUNTA(D4056:D4056)-1))</f>
        <v/>
      </c>
    </row>
    <row r="4057" spans="1:10" thickBot="1">
      <c r="A4057" s="117"/>
      <c r="B4057" s="70">
        <f t="shared" si="257"/>
        <v>47849</v>
      </c>
      <c r="C4057" s="82" t="str">
        <f t="shared" si="254"/>
        <v>mercredi</v>
      </c>
      <c r="D4057" s="87"/>
      <c r="E4057" s="115" t="str">
        <f t="shared" si="255"/>
        <v/>
      </c>
      <c r="F4057" s="115" t="str">
        <f t="shared" si="256"/>
        <v/>
      </c>
      <c r="G4057" s="116" t="str">
        <f>IF(ISNONTEXT(D4057),"",E4057-MAX($F$2:F4056))</f>
        <v/>
      </c>
      <c r="H4057" s="97"/>
      <c r="I4057" s="74" t="str">
        <f ca="1">IF(D4057="N",COUNTIF(INDIRECT(ADDRESS(MATCH(Plages!$D$19,'Planning annuel mixing coater'!$B:$B),4)):D4057,"N"),IF(D4057="N1",COUNTIF($D$9:D4057,"N1"),""))</f>
        <v/>
      </c>
      <c r="J4057" s="96" t="str">
        <f>IF(D4057="","",COUNTA(D4048:D4057)-(COUNTA(D4057:D4057)-1))</f>
        <v/>
      </c>
    </row>
    <row r="4058" spans="1:10" thickBot="1">
      <c r="A4058" s="117"/>
      <c r="B4058" s="70">
        <f t="shared" si="257"/>
        <v>47850</v>
      </c>
      <c r="C4058" s="82" t="str">
        <f t="shared" si="254"/>
        <v>jeudi</v>
      </c>
      <c r="D4058" s="87"/>
      <c r="E4058" s="115" t="str">
        <f t="shared" si="255"/>
        <v/>
      </c>
      <c r="F4058" s="115" t="str">
        <f t="shared" si="256"/>
        <v/>
      </c>
      <c r="G4058" s="116" t="str">
        <f>IF(ISNONTEXT(D4058),"",E4058-MAX($F$2:F4057))</f>
        <v/>
      </c>
      <c r="H4058" s="97"/>
      <c r="I4058" s="74" t="str">
        <f ca="1">IF(D4058="N",COUNTIF(INDIRECT(ADDRESS(MATCH(Plages!$D$19,'Planning annuel mixing coater'!$B:$B),4)):D4058,"N"),IF(D4058="N1",COUNTIF($D$9:D4058,"N1"),""))</f>
        <v/>
      </c>
      <c r="J4058" s="96" t="str">
        <f>IF(D4058="","",COUNTA(D4048:D4058)-(COUNTA(D4058:D4058)-1))</f>
        <v/>
      </c>
    </row>
    <row r="4059" spans="1:10" thickBot="1">
      <c r="A4059" s="117"/>
      <c r="B4059" s="70">
        <f t="shared" si="257"/>
        <v>47851</v>
      </c>
      <c r="C4059" s="82" t="str">
        <f t="shared" si="254"/>
        <v>vendredi</v>
      </c>
      <c r="D4059" s="87"/>
      <c r="E4059" s="115" t="str">
        <f t="shared" si="255"/>
        <v/>
      </c>
      <c r="F4059" s="115" t="str">
        <f t="shared" si="256"/>
        <v/>
      </c>
      <c r="G4059" s="116" t="str">
        <f>IF(ISNONTEXT(D4059),"",E4059-MAX($F$2:F4058))</f>
        <v/>
      </c>
      <c r="H4059" s="97"/>
      <c r="I4059" s="74" t="str">
        <f ca="1">IF(D4059="N",COUNTIF(INDIRECT(ADDRESS(MATCH(Plages!$D$19,'Planning annuel mixing coater'!$B:$B),4)):D4059,"N"),IF(D4059="N1",COUNTIF($D$9:D4059,"N1"),""))</f>
        <v/>
      </c>
      <c r="J4059" s="96" t="str">
        <f>IF(D4059="","",COUNTA(D4048:D4059)-(COUNTA(D4059:D4059)-1))</f>
        <v/>
      </c>
    </row>
    <row r="4060" spans="1:10" thickBot="1">
      <c r="A4060" s="117"/>
      <c r="B4060" s="70">
        <f t="shared" si="257"/>
        <v>47852</v>
      </c>
      <c r="C4060" s="82" t="str">
        <f t="shared" si="254"/>
        <v>samedi</v>
      </c>
      <c r="D4060" s="87"/>
      <c r="E4060" s="115" t="str">
        <f t="shared" si="255"/>
        <v/>
      </c>
      <c r="F4060" s="115" t="str">
        <f t="shared" si="256"/>
        <v/>
      </c>
      <c r="G4060" s="116" t="str">
        <f>IF(ISNONTEXT(D4060),"",E4060-MAX($F$2:F4059))</f>
        <v/>
      </c>
      <c r="H4060" s="97"/>
      <c r="I4060" s="74" t="str">
        <f ca="1">IF(D4060="N",COUNTIF(INDIRECT(ADDRESS(MATCH(Plages!$D$19,'Planning annuel mixing coater'!$B:$B),4)):D4060,"N"),IF(D4060="N1",COUNTIF($D$9:D4060,"N1"),""))</f>
        <v/>
      </c>
      <c r="J4060" s="96" t="str">
        <f>IF(D4060="","",COUNTA(D4048:D4060)-(COUNTA(D4060:D4060)-1))</f>
        <v/>
      </c>
    </row>
    <row r="4061" spans="1:10" s="77" customFormat="1" thickBot="1">
      <c r="A4061" s="117"/>
      <c r="B4061" s="75">
        <f t="shared" si="257"/>
        <v>47853</v>
      </c>
      <c r="C4061" s="83" t="str">
        <f t="shared" si="254"/>
        <v>dimanche</v>
      </c>
      <c r="D4061" s="88"/>
      <c r="E4061" s="115" t="str">
        <f t="shared" si="255"/>
        <v/>
      </c>
      <c r="F4061" s="115" t="str">
        <f t="shared" si="256"/>
        <v/>
      </c>
      <c r="G4061" s="116" t="str">
        <f>IF(ISNONTEXT(D4061),"",E4061-MAX($F$2:F4060))</f>
        <v/>
      </c>
      <c r="H4061" s="118"/>
      <c r="I4061" s="76" t="str">
        <f ca="1">IF(D4061="N",COUNTIF(INDIRECT(ADDRESS(MATCH(Plages!$D$19,'Planning annuel mixing coater'!$B:$B),4)):D4061,"N"),IF(D4061="N1",COUNTIF($D$9:D4061,"N1"),""))</f>
        <v/>
      </c>
      <c r="J4061" s="99" t="str">
        <f>IF(D4061="","",COUNTA(D4048:D4061)-(COUNTA(D4061:D4061)-1))</f>
        <v/>
      </c>
    </row>
    <row r="4062" spans="1:10" ht="16.5" thickTop="1" thickBot="1">
      <c r="H4062" s="91"/>
    </row>
    <row r="4063" spans="1:10" ht="15"/>
    <row r="4064" spans="1:10" ht="15"/>
    <row r="4065" ht="15"/>
    <row r="4066" ht="15"/>
    <row r="4067" ht="15"/>
    <row r="4068" ht="15"/>
    <row r="4069" ht="15"/>
    <row r="4070" ht="15"/>
    <row r="4071" ht="15"/>
    <row r="4072" ht="15"/>
    <row r="4073" ht="15"/>
    <row r="4074" ht="15"/>
    <row r="4075" ht="15"/>
    <row r="4076" ht="15"/>
  </sheetData>
  <mergeCells count="7">
    <mergeCell ref="A9:A43"/>
    <mergeCell ref="L4:P4"/>
    <mergeCell ref="L15:Q15"/>
    <mergeCell ref="L16:Q16"/>
    <mergeCell ref="L11:P11"/>
    <mergeCell ref="L28:P28"/>
    <mergeCell ref="L33:R33"/>
  </mergeCells>
  <conditionalFormatting sqref="D3:D4061">
    <cfRule type="expression" dxfId="5" priority="26">
      <formula>AND(D3&gt;0,E3-MAX(F$2:F2)&lt;3/24)</formula>
    </cfRule>
    <cfRule type="expression" dxfId="4" priority="27">
      <formula>AND(D3&gt;0,(E3-MAX(F$2:F2)&lt;9/24))</formula>
    </cfRule>
  </conditionalFormatting>
  <conditionalFormatting sqref="D9:D3000">
    <cfRule type="expression" dxfId="3" priority="4">
      <formula>AND(COUNTA(D2:D7)=6,G9&lt;33/24)</formula>
    </cfRule>
    <cfRule type="expression" dxfId="2" priority="3">
      <formula>AND(COUNTA(D2:D7)=6,G9&lt;27/24)</formula>
    </cfRule>
  </conditionalFormatting>
  <conditionalFormatting sqref="D4:D3000">
    <cfRule type="expression" dxfId="1" priority="1">
      <formula>AND(COUNTA(D4:D9)=6,G4&lt;27/24)</formula>
    </cfRule>
    <cfRule type="expression" dxfId="0" priority="2">
      <formula>AND(COUNTA(D4:D9)=6,G4&lt;33/24)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Périodes</vt:lpstr>
      <vt:lpstr>Plages</vt:lpstr>
      <vt:lpstr>Remplacements</vt:lpstr>
      <vt:lpstr>Planning annuel mixing coater</vt:lpstr>
      <vt:lpstr>datedeb</vt:lpstr>
      <vt:lpstr>Férié</vt:lpstr>
      <vt:lpstr>FermDéb</vt:lpstr>
      <vt:lpstr>FermFin</vt:lpstr>
      <vt:lpstr>Plage2</vt:lpstr>
      <vt:lpstr>Plageh</vt:lpstr>
      <vt:lpstr>PMDAY</vt:lpstr>
      <vt:lpstr>VacDéb</vt:lpstr>
      <vt:lpstr>VacFin</vt:lpstr>
    </vt:vector>
  </TitlesOfParts>
  <Company>RICOH INDUSTRIE FRANCE S.A.S.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ANNEDOUCHE</dc:creator>
  <cp:lastModifiedBy>Utilisateur Windows</cp:lastModifiedBy>
  <cp:lastPrinted>2018-12-30T01:22:18Z</cp:lastPrinted>
  <dcterms:created xsi:type="dcterms:W3CDTF">2018-02-14T02:16:53Z</dcterms:created>
  <dcterms:modified xsi:type="dcterms:W3CDTF">2019-06-17T18:11:08Z</dcterms:modified>
</cp:coreProperties>
</file>