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ny\Documents\ETUDE\FICHES\COMPTA\FICHE 2\"/>
    </mc:Choice>
  </mc:AlternateContent>
  <xr:revisionPtr revIDLastSave="0" documentId="8_{AA63B716-80BE-45DD-9012-14C2E86C0329}" xr6:coauthVersionLast="41" xr6:coauthVersionMax="41" xr10:uidLastSave="{00000000-0000-0000-0000-000000000000}"/>
  <bookViews>
    <workbookView xWindow="-120" yWindow="-120" windowWidth="20730" windowHeight="11160" tabRatio="883" firstSheet="1" activeTab="3" xr2:uid="{C3086A57-6523-48A6-9313-F5CCBDC5B06C}"/>
  </bookViews>
  <sheets>
    <sheet name="RECAP DES FRAIS" sheetId="1" r:id="rId1"/>
    <sheet name="INFOS COMMERCIAUX" sheetId="2" r:id="rId2"/>
    <sheet name="INFOS MOIS" sheetId="3" r:id="rId3"/>
    <sheet name="Feuil3" sheetId="5" r:id="rId4"/>
    <sheet name="Feuil2" sheetId="4" r:id="rId5"/>
    <sheet name="Feuil1" sheetId="7" r:id="rId6"/>
  </sheets>
  <definedNames>
    <definedName name="ABSENCES">'INFOS MOIS'!$D$10:$D$14</definedName>
    <definedName name="CP">'INFOS MOIS'!$E$10:$E$14</definedName>
    <definedName name="formules">Feuil1!$D$6:$D$18</definedName>
    <definedName name="HSD">'INFOS MOIS'!$H$10:$H$14</definedName>
    <definedName name="HSP">'INFOS MOIS'!$G$10:$G$14</definedName>
    <definedName name="Jour_Fériés">Feuil1!$C$6:$D$18</definedName>
    <definedName name="NBH">'INFOS MOIS'!$C$10:$C$14</definedName>
    <definedName name="NBHS">'INFOS MOIS'!$F$10:$F$14</definedName>
    <definedName name="OBJ_AT_DUBOIS">'INFOS COMMERCIAUX'!$C$13</definedName>
    <definedName name="OBJ_AT_DURANT">'INFOS COMMERCIAUX'!$C$13</definedName>
    <definedName name="OBJA">'INFOS COMMERCIAUX'!$C$13</definedName>
    <definedName name="OBJDUBOIS">'INFOS COMMERCIAUX'!$D$12</definedName>
    <definedName name="OBJDURANT">'INFOS COMMERCIAUX'!$C$12</definedName>
    <definedName name="OBJM">'INFOS COMMERCIAUX'!$C$12</definedName>
    <definedName name="OBJMA">'INFOS COMMERCIAUX'!$C$13</definedName>
    <definedName name="OBJMSUP">'INFOS COMMERCIAUX'!$D$14</definedName>
    <definedName name="OBJSUP">'INFOS COMMERCIAUX'!$C$14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5" l="1"/>
  <c r="E6" i="5"/>
  <c r="D18" i="7"/>
  <c r="D17" i="7"/>
  <c r="D16" i="7"/>
  <c r="D15" i="7"/>
  <c r="D14" i="7"/>
  <c r="D10" i="7"/>
  <c r="D9" i="7"/>
  <c r="D7" i="7"/>
  <c r="D8" i="7" s="1"/>
  <c r="D6" i="7"/>
  <c r="C52" i="5"/>
  <c r="C51" i="5"/>
  <c r="C50" i="5"/>
  <c r="C49" i="5"/>
  <c r="C48" i="5"/>
  <c r="C45" i="5"/>
  <c r="C44" i="5"/>
  <c r="C43" i="5"/>
  <c r="C42" i="5"/>
  <c r="C41" i="5"/>
  <c r="C38" i="5"/>
  <c r="C37" i="5"/>
  <c r="C36" i="5"/>
  <c r="C35" i="5"/>
  <c r="C34" i="5"/>
  <c r="C31" i="5"/>
  <c r="C30" i="5"/>
  <c r="C29" i="5"/>
  <c r="C28" i="5"/>
  <c r="C27" i="5"/>
  <c r="C24" i="5"/>
  <c r="C23" i="5"/>
  <c r="C22" i="5"/>
  <c r="C21" i="5"/>
  <c r="C20" i="5"/>
  <c r="C17" i="5"/>
  <c r="C16" i="5"/>
  <c r="C15" i="5"/>
  <c r="C14" i="5"/>
  <c r="C13" i="5"/>
  <c r="C6" i="5"/>
  <c r="C10" i="5"/>
  <c r="D10" i="5" s="1"/>
  <c r="C9" i="5"/>
  <c r="D9" i="5" s="1"/>
  <c r="C8" i="5"/>
  <c r="D8" i="5" s="1"/>
  <c r="C7" i="5"/>
  <c r="U53" i="5"/>
  <c r="Q53" i="5"/>
  <c r="M53" i="5"/>
  <c r="I53" i="5"/>
  <c r="F53" i="5"/>
  <c r="U46" i="5"/>
  <c r="Q46" i="5"/>
  <c r="M46" i="5"/>
  <c r="I46" i="5"/>
  <c r="F46" i="5"/>
  <c r="U39" i="5"/>
  <c r="Q39" i="5"/>
  <c r="M39" i="5"/>
  <c r="I39" i="5"/>
  <c r="F39" i="5"/>
  <c r="U32" i="5"/>
  <c r="Q32" i="5"/>
  <c r="M32" i="5"/>
  <c r="I32" i="5"/>
  <c r="F32" i="5"/>
  <c r="U25" i="5"/>
  <c r="Q25" i="5"/>
  <c r="M25" i="5"/>
  <c r="I25" i="5"/>
  <c r="F25" i="5"/>
  <c r="U18" i="5"/>
  <c r="Q18" i="5"/>
  <c r="M18" i="5"/>
  <c r="I18" i="5"/>
  <c r="F18" i="5"/>
  <c r="AA52" i="5"/>
  <c r="AA51" i="5"/>
  <c r="AA50" i="5"/>
  <c r="AA49" i="5"/>
  <c r="AA48" i="5"/>
  <c r="AA53" i="5" s="1"/>
  <c r="AA45" i="5"/>
  <c r="AA44" i="5"/>
  <c r="AA43" i="5"/>
  <c r="AA42" i="5"/>
  <c r="AA46" i="5" s="1"/>
  <c r="AA41" i="5"/>
  <c r="AA38" i="5"/>
  <c r="AA37" i="5"/>
  <c r="AA36" i="5"/>
  <c r="AA35" i="5"/>
  <c r="AA34" i="5"/>
  <c r="AA39" i="5" s="1"/>
  <c r="AA31" i="5"/>
  <c r="AA30" i="5"/>
  <c r="AA29" i="5"/>
  <c r="AA28" i="5"/>
  <c r="AA27" i="5"/>
  <c r="AA32" i="5" s="1"/>
  <c r="AA24" i="5"/>
  <c r="AA23" i="5"/>
  <c r="AA22" i="5"/>
  <c r="AA21" i="5"/>
  <c r="AA20" i="5"/>
  <c r="AA25" i="5" s="1"/>
  <c r="AA17" i="5"/>
  <c r="AA16" i="5"/>
  <c r="AA15" i="5"/>
  <c r="AA14" i="5"/>
  <c r="AA18" i="5" s="1"/>
  <c r="AA13" i="5"/>
  <c r="E52" i="5"/>
  <c r="E45" i="5"/>
  <c r="E38" i="5"/>
  <c r="E31" i="5"/>
  <c r="E24" i="5"/>
  <c r="X24" i="5" s="1"/>
  <c r="E17" i="5"/>
  <c r="E10" i="5"/>
  <c r="X20" i="5"/>
  <c r="Z20" i="5" s="1"/>
  <c r="X21" i="5"/>
  <c r="Z21" i="5" s="1"/>
  <c r="Y21" i="5"/>
  <c r="X22" i="5"/>
  <c r="Y22" i="5"/>
  <c r="Z22" i="5"/>
  <c r="X23" i="5"/>
  <c r="Y23" i="5" s="1"/>
  <c r="AA7" i="5"/>
  <c r="AA8" i="5"/>
  <c r="AA9" i="5"/>
  <c r="AA10" i="5"/>
  <c r="AA6" i="5"/>
  <c r="AA11" i="5" s="1"/>
  <c r="U11" i="5"/>
  <c r="Q11" i="5"/>
  <c r="M11" i="5"/>
  <c r="I11" i="5"/>
  <c r="F11" i="5"/>
  <c r="C11" i="4"/>
  <c r="X25" i="5" l="1"/>
  <c r="D12" i="7"/>
  <c r="D13" i="7"/>
  <c r="D11" i="7"/>
  <c r="Z24" i="5"/>
  <c r="Y24" i="5"/>
  <c r="Y20" i="5"/>
  <c r="Z23" i="5"/>
  <c r="X49" i="5"/>
  <c r="X50" i="5"/>
  <c r="X51" i="5"/>
  <c r="X52" i="5"/>
  <c r="X53" i="5" s="1"/>
  <c r="X48" i="5"/>
  <c r="X42" i="5"/>
  <c r="X43" i="5"/>
  <c r="X44" i="5"/>
  <c r="X45" i="5"/>
  <c r="X41" i="5"/>
  <c r="X35" i="5"/>
  <c r="X36" i="5"/>
  <c r="X37" i="5"/>
  <c r="X38" i="5"/>
  <c r="X34" i="5"/>
  <c r="X28" i="5"/>
  <c r="X29" i="5"/>
  <c r="X30" i="5"/>
  <c r="X31" i="5"/>
  <c r="X27" i="5"/>
  <c r="X14" i="5"/>
  <c r="X15" i="5"/>
  <c r="X16" i="5"/>
  <c r="X17" i="5"/>
  <c r="X18" i="5" s="1"/>
  <c r="X13" i="5"/>
  <c r="X39" i="5" l="1"/>
  <c r="Y25" i="5"/>
  <c r="X32" i="5"/>
  <c r="X46" i="5"/>
  <c r="Z25" i="5"/>
  <c r="X7" i="5"/>
  <c r="X8" i="5"/>
  <c r="X9" i="5"/>
  <c r="X10" i="5"/>
  <c r="X6" i="5"/>
  <c r="X11" i="5" l="1"/>
  <c r="Z50" i="5"/>
  <c r="Z49" i="5"/>
  <c r="Z43" i="5"/>
  <c r="Z38" i="5"/>
  <c r="Z37" i="5"/>
  <c r="Z31" i="5"/>
  <c r="Z15" i="5"/>
  <c r="Y51" i="5"/>
  <c r="Y48" i="5"/>
  <c r="Y45" i="5"/>
  <c r="Y42" i="5"/>
  <c r="Y41" i="5"/>
  <c r="Y35" i="5"/>
  <c r="Y30" i="5"/>
  <c r="Y29" i="5"/>
  <c r="Y17" i="5"/>
  <c r="Y14" i="5"/>
  <c r="Y13" i="5"/>
  <c r="Y6" i="5"/>
  <c r="Z9" i="5"/>
  <c r="Y10" i="5"/>
  <c r="G10" i="3"/>
  <c r="Y49" i="5"/>
  <c r="Y50" i="5"/>
  <c r="Z51" i="5"/>
  <c r="Z52" i="5"/>
  <c r="Z48" i="5"/>
  <c r="Z42" i="5"/>
  <c r="Y43" i="5"/>
  <c r="Y44" i="5"/>
  <c r="Z45" i="5"/>
  <c r="Z41" i="5"/>
  <c r="Z35" i="5"/>
  <c r="Z36" i="5"/>
  <c r="Y37" i="5"/>
  <c r="Y38" i="5"/>
  <c r="Y34" i="5"/>
  <c r="Y28" i="5"/>
  <c r="Z29" i="5"/>
  <c r="Z30" i="5"/>
  <c r="Y31" i="5"/>
  <c r="Y27" i="5"/>
  <c r="Z14" i="5"/>
  <c r="Y15" i="5"/>
  <c r="Y16" i="5"/>
  <c r="Z17" i="5"/>
  <c r="Z13" i="5"/>
  <c r="Z7" i="5"/>
  <c r="Z8" i="5"/>
  <c r="F10" i="3"/>
  <c r="C4" i="4"/>
  <c r="K11" i="4"/>
  <c r="K12" i="4"/>
  <c r="K13" i="4"/>
  <c r="K14" i="4"/>
  <c r="K15" i="4"/>
  <c r="K16" i="4"/>
  <c r="K10" i="4"/>
  <c r="D15" i="4"/>
  <c r="C13" i="4"/>
  <c r="C10" i="4"/>
  <c r="I20" i="3"/>
  <c r="C20" i="3"/>
  <c r="L17" i="3"/>
  <c r="L20" i="3" s="1"/>
  <c r="F17" i="3"/>
  <c r="F20" i="3" s="1"/>
  <c r="AP14" i="3"/>
  <c r="AQ14" i="3" s="1"/>
  <c r="AP13" i="3"/>
  <c r="AR13" i="3" s="1"/>
  <c r="AP12" i="3"/>
  <c r="AR12" i="3" s="1"/>
  <c r="AP11" i="3"/>
  <c r="AR11" i="3" s="1"/>
  <c r="AP10" i="3"/>
  <c r="AR10" i="3" s="1"/>
  <c r="AJ14" i="3"/>
  <c r="AL14" i="3" s="1"/>
  <c r="AJ13" i="3"/>
  <c r="AJ12" i="3"/>
  <c r="AL12" i="3" s="1"/>
  <c r="AJ11" i="3"/>
  <c r="AL11" i="3" s="1"/>
  <c r="AJ10" i="3"/>
  <c r="AK10" i="3" s="1"/>
  <c r="AD14" i="3"/>
  <c r="AF14" i="3" s="1"/>
  <c r="AD13" i="3"/>
  <c r="AE13" i="3" s="1"/>
  <c r="AD12" i="3"/>
  <c r="AD11" i="3"/>
  <c r="AF11" i="3" s="1"/>
  <c r="AD10" i="3"/>
  <c r="X14" i="3"/>
  <c r="Z14" i="3" s="1"/>
  <c r="X13" i="3"/>
  <c r="Z13" i="3" s="1"/>
  <c r="X12" i="3"/>
  <c r="Y12" i="3" s="1"/>
  <c r="X11" i="3"/>
  <c r="Z11" i="3" s="1"/>
  <c r="X10" i="3"/>
  <c r="Z10" i="3" s="1"/>
  <c r="R14" i="3"/>
  <c r="R13" i="3"/>
  <c r="T13" i="3" s="1"/>
  <c r="R12" i="3"/>
  <c r="S12" i="3" s="1"/>
  <c r="R11" i="3"/>
  <c r="S11" i="3" s="1"/>
  <c r="R10" i="3"/>
  <c r="S10" i="3" s="1"/>
  <c r="L14" i="3"/>
  <c r="M14" i="3" s="1"/>
  <c r="L13" i="3"/>
  <c r="L12" i="3"/>
  <c r="N12" i="3" s="1"/>
  <c r="L11" i="3"/>
  <c r="N11" i="3" s="1"/>
  <c r="L10" i="3"/>
  <c r="F13" i="3"/>
  <c r="H13" i="3" s="1"/>
  <c r="F14" i="3"/>
  <c r="G14" i="3" s="1"/>
  <c r="F11" i="3"/>
  <c r="G11" i="3" s="1"/>
  <c r="F12" i="3"/>
  <c r="H12" i="3" s="1"/>
  <c r="C15" i="3"/>
  <c r="AO15" i="3"/>
  <c r="AN15" i="3"/>
  <c r="D16" i="4" s="1"/>
  <c r="AM15" i="3"/>
  <c r="AR14" i="3"/>
  <c r="AI15" i="3"/>
  <c r="AH15" i="3"/>
  <c r="C15" i="4" s="1"/>
  <c r="AG15" i="3"/>
  <c r="AC15" i="3"/>
  <c r="AB15" i="3"/>
  <c r="D14" i="4" s="1"/>
  <c r="AA15" i="3"/>
  <c r="W15" i="3"/>
  <c r="V15" i="3"/>
  <c r="D13" i="4" s="1"/>
  <c r="U15" i="3"/>
  <c r="AK14" i="3"/>
  <c r="AL13" i="3"/>
  <c r="AK13" i="3"/>
  <c r="AF12" i="3"/>
  <c r="AE12" i="3"/>
  <c r="Y11" i="3"/>
  <c r="I15" i="3"/>
  <c r="J15" i="3"/>
  <c r="D11" i="4" s="1"/>
  <c r="K15" i="3"/>
  <c r="Q15" i="3"/>
  <c r="P15" i="3"/>
  <c r="C12" i="4" s="1"/>
  <c r="O15" i="3"/>
  <c r="T12" i="3"/>
  <c r="D15" i="3"/>
  <c r="D10" i="4" s="1"/>
  <c r="E15" i="3"/>
  <c r="Z53" i="5" l="1"/>
  <c r="Y46" i="5"/>
  <c r="Y32" i="5"/>
  <c r="Y39" i="5"/>
  <c r="Y18" i="5"/>
  <c r="C14" i="4"/>
  <c r="C16" i="4"/>
  <c r="T11" i="3"/>
  <c r="Z27" i="5"/>
  <c r="Z32" i="5" s="1"/>
  <c r="Y52" i="5"/>
  <c r="Y53" i="5" s="1"/>
  <c r="Z34" i="5"/>
  <c r="Z39" i="5" s="1"/>
  <c r="Y36" i="5"/>
  <c r="Z16" i="5"/>
  <c r="Z18" i="5" s="1"/>
  <c r="Z28" i="5"/>
  <c r="Z44" i="5"/>
  <c r="Z46" i="5" s="1"/>
  <c r="Y9" i="5"/>
  <c r="Z10" i="5"/>
  <c r="Z6" i="5"/>
  <c r="Z11" i="5" s="1"/>
  <c r="Y7" i="5"/>
  <c r="Y11" i="5" s="1"/>
  <c r="Y8" i="5"/>
  <c r="F14" i="4"/>
  <c r="F16" i="4"/>
  <c r="F10" i="4"/>
  <c r="D12" i="4"/>
  <c r="F12" i="4" s="1"/>
  <c r="F13" i="4"/>
  <c r="F11" i="4"/>
  <c r="F15" i="4"/>
  <c r="AQ10" i="3"/>
  <c r="AK12" i="3"/>
  <c r="AE11" i="3"/>
  <c r="Z12" i="3"/>
  <c r="Z15" i="3" s="1"/>
  <c r="Y10" i="3"/>
  <c r="R15" i="3"/>
  <c r="AJ15" i="3"/>
  <c r="AD15" i="3"/>
  <c r="Y14" i="3"/>
  <c r="T14" i="3"/>
  <c r="S14" i="3"/>
  <c r="N14" i="3"/>
  <c r="AR15" i="3"/>
  <c r="AQ11" i="3"/>
  <c r="AP15" i="3"/>
  <c r="AF13" i="3"/>
  <c r="M11" i="3"/>
  <c r="H10" i="3"/>
  <c r="H14" i="3"/>
  <c r="G13" i="3"/>
  <c r="H11" i="3"/>
  <c r="AQ13" i="3"/>
  <c r="AQ12" i="3"/>
  <c r="AE10" i="3"/>
  <c r="AL10" i="3"/>
  <c r="AL15" i="3" s="1"/>
  <c r="AK11" i="3"/>
  <c r="AK15" i="3" s="1"/>
  <c r="Y13" i="3"/>
  <c r="AE14" i="3"/>
  <c r="X15" i="3"/>
  <c r="AF10" i="3"/>
  <c r="AF15" i="3" s="1"/>
  <c r="G12" i="3"/>
  <c r="F15" i="3"/>
  <c r="L15" i="3"/>
  <c r="N13" i="3"/>
  <c r="T10" i="3"/>
  <c r="T15" i="3" s="1"/>
  <c r="S13" i="3"/>
  <c r="M13" i="3"/>
  <c r="M12" i="3"/>
  <c r="H15" i="3" l="1"/>
  <c r="Y15" i="3"/>
  <c r="AQ15" i="3"/>
  <c r="S15" i="3"/>
  <c r="G15" i="3"/>
  <c r="AE15" i="3"/>
  <c r="N10" i="3"/>
  <c r="N15" i="3" s="1"/>
  <c r="M10" i="3"/>
  <c r="M15" i="3" s="1"/>
  <c r="C22" i="1" l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D22" i="1" s="1"/>
  <c r="E7" i="1" l="1"/>
  <c r="E22" i="1"/>
</calcChain>
</file>

<file path=xl/sharedStrings.xml><?xml version="1.0" encoding="utf-8"?>
<sst xmlns="http://schemas.openxmlformats.org/spreadsheetml/2006/main" count="253" uniqueCount="108">
  <si>
    <t>RECAPITULATIF FRAIS par semaine</t>
  </si>
  <si>
    <t>M.DURANT</t>
  </si>
  <si>
    <t>OBJET</t>
  </si>
  <si>
    <t>TTC</t>
  </si>
  <si>
    <t>HT</t>
  </si>
  <si>
    <t>TVA</t>
  </si>
  <si>
    <t>Semaine 1</t>
  </si>
  <si>
    <t>Gasoil</t>
  </si>
  <si>
    <t>Hotel</t>
  </si>
  <si>
    <t>Restaurant</t>
  </si>
  <si>
    <t>Semaine 2</t>
  </si>
  <si>
    <t>Semaine 3</t>
  </si>
  <si>
    <t>Semaine 4</t>
  </si>
  <si>
    <t>Semaine 5</t>
  </si>
  <si>
    <t>TOTAL</t>
  </si>
  <si>
    <t>M.DUBOIS</t>
  </si>
  <si>
    <t>AVANTAGE VEHICULE</t>
  </si>
  <si>
    <t>PRIX DU VEHICULE
(en €)</t>
  </si>
  <si>
    <t>ANCIENNETE
(en années)</t>
  </si>
  <si>
    <t>FORFAIT ANNUEL PRISE
 EN CHARGE CARBURANT</t>
  </si>
  <si>
    <t>Ancienneté &lt;5</t>
  </si>
  <si>
    <t>Ancienneté &gt;5</t>
  </si>
  <si>
    <t>M. DURANT</t>
  </si>
  <si>
    <t>M. DUBOIS</t>
  </si>
  <si>
    <t>OBJECTIF + PRIME</t>
  </si>
  <si>
    <t>Si Obj atteind</t>
  </si>
  <si>
    <t>Si &gt; obj / m^3</t>
  </si>
  <si>
    <t>OBJ TRIMESTRIEL</t>
  </si>
  <si>
    <t>OBJ MENSUEL</t>
  </si>
  <si>
    <t>Si obj atteind</t>
  </si>
  <si>
    <t>OBJ ANNUEL</t>
  </si>
  <si>
    <t>Semaine</t>
  </si>
  <si>
    <t>Absences</t>
  </si>
  <si>
    <t>CP</t>
  </si>
  <si>
    <t>Monsieur DURANT</t>
  </si>
  <si>
    <t>Monsieur DUBOIS</t>
  </si>
  <si>
    <t>RECAP MOIS</t>
  </si>
  <si>
    <t>Nb H</t>
  </si>
  <si>
    <t>Nb H sup</t>
  </si>
  <si>
    <t>DECOMPTE H SUP</t>
  </si>
  <si>
    <t>Madame GRENIER</t>
  </si>
  <si>
    <t>Madame LEVAL</t>
  </si>
  <si>
    <t>Madame PORRO</t>
  </si>
  <si>
    <t>Monsieur DUBREUIL</t>
  </si>
  <si>
    <t>Monsieur RICCO</t>
  </si>
  <si>
    <t>INFORMATIONS HEURES / CP / ABSENCES DES SALARIES / OBJECTIFS</t>
  </si>
  <si>
    <t>OBJECTIF</t>
  </si>
  <si>
    <t>MENSUEL</t>
  </si>
  <si>
    <t>TRIMEST</t>
  </si>
  <si>
    <t>PRIME</t>
  </si>
  <si>
    <t>ANNUEL</t>
  </si>
  <si>
    <t>CALCUL IJSS</t>
  </si>
  <si>
    <t>SALARIE</t>
  </si>
  <si>
    <t>ABSENT</t>
  </si>
  <si>
    <t>OUI</t>
  </si>
  <si>
    <t>NON</t>
  </si>
  <si>
    <t>Mme. GRENIER</t>
  </si>
  <si>
    <t>Mme. LEVAL</t>
  </si>
  <si>
    <t>Mme. PORRO</t>
  </si>
  <si>
    <t>M. DUBREUIL</t>
  </si>
  <si>
    <t>M. RICCO</t>
  </si>
  <si>
    <t>Plafond horaire</t>
  </si>
  <si>
    <t>Smic horaire</t>
  </si>
  <si>
    <t>heure</t>
  </si>
  <si>
    <t>Nb heure</t>
  </si>
  <si>
    <t>Base horaire
mensuelle</t>
  </si>
  <si>
    <t>Salaire 
de base</t>
  </si>
  <si>
    <t>Retenue</t>
  </si>
  <si>
    <t>Jours ouvrés</t>
  </si>
  <si>
    <t>PERIODE</t>
  </si>
  <si>
    <t>AU</t>
  </si>
  <si>
    <t>GRENIER</t>
  </si>
  <si>
    <t>NOM</t>
  </si>
  <si>
    <t>SEMAINE</t>
  </si>
  <si>
    <t>HEURE</t>
  </si>
  <si>
    <t>EVT FAM</t>
  </si>
  <si>
    <t>ARRET</t>
  </si>
  <si>
    <t>RECUP</t>
  </si>
  <si>
    <t>MOTIF ABSENCE</t>
  </si>
  <si>
    <t>DURANT</t>
  </si>
  <si>
    <t>DUBOIS</t>
  </si>
  <si>
    <t>LEVAL</t>
  </si>
  <si>
    <t>PORRO</t>
  </si>
  <si>
    <t>DUBREUIL</t>
  </si>
  <si>
    <t>RICCO</t>
  </si>
  <si>
    <t>du</t>
  </si>
  <si>
    <t>au</t>
  </si>
  <si>
    <t>DATE</t>
  </si>
  <si>
    <t>nb jours ouvrés absence</t>
  </si>
  <si>
    <t>NB H 
SUP</t>
  </si>
  <si>
    <t>NB JOUR
 AB</t>
  </si>
  <si>
    <t>Base 
heure/S</t>
  </si>
  <si>
    <t>DU</t>
  </si>
  <si>
    <t>rajouter si jours feries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</si>
  <si>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</si>
  <si>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</si>
  <si>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</si>
  <si>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</si>
  <si>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</si>
  <si>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</si>
  <si>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</si>
  <si>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</si>
  <si>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</si>
  <si>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</si>
  <si>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</si>
  <si>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</si>
  <si>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Noêl</t>
  </si>
  <si>
    <t>JOUR
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</si>
</sst>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6" formatCode="dd/mm/yy;@"/>
    <numFmt numFmtId="167" formatCode="mm/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DFAF2C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 val="double"/>
      <sz val="22"/>
      <color rgb="FFDFAF2C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9" fontId="0" fillId="0" borderId="24" xfId="1" applyFont="1" applyBorder="1" applyAlignment="1">
      <alignment horizontal="center" vertical="center"/>
    </xf>
    <xf numFmtId="9" fontId="0" fillId="0" borderId="25" xfId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6" fillId="0" borderId="1" xfId="0" applyFont="1" applyBorder="1"/>
    <xf numFmtId="1" fontId="0" fillId="0" borderId="31" xfId="0" applyNumberFormat="1" applyBorder="1" applyAlignment="1">
      <alignment horizontal="center"/>
    </xf>
    <xf numFmtId="44" fontId="0" fillId="0" borderId="33" xfId="3" applyFont="1" applyBorder="1"/>
    <xf numFmtId="44" fontId="0" fillId="0" borderId="34" xfId="3" applyFont="1" applyBorder="1"/>
    <xf numFmtId="1" fontId="0" fillId="0" borderId="33" xfId="2" applyNumberFormat="1" applyFont="1" applyBorder="1" applyAlignment="1">
      <alignment horizontal="center" vertical="center"/>
    </xf>
    <xf numFmtId="1" fontId="0" fillId="0" borderId="31" xfId="2" applyNumberFormat="1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6" fillId="0" borderId="31" xfId="0" applyFont="1" applyBorder="1"/>
    <xf numFmtId="0" fontId="0" fillId="0" borderId="33" xfId="0" applyBorder="1"/>
    <xf numFmtId="0" fontId="0" fillId="0" borderId="34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4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9" fontId="0" fillId="2" borderId="47" xfId="0" applyNumberFormat="1" applyFill="1" applyBorder="1" applyAlignment="1">
      <alignment horizontal="center" vertical="center"/>
    </xf>
    <xf numFmtId="9" fontId="0" fillId="2" borderId="48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9" fontId="0" fillId="3" borderId="47" xfId="0" applyNumberFormat="1" applyFill="1" applyBorder="1" applyAlignment="1">
      <alignment horizontal="center" vertical="center"/>
    </xf>
    <xf numFmtId="9" fontId="0" fillId="3" borderId="48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9" fontId="0" fillId="4" borderId="47" xfId="0" applyNumberFormat="1" applyFill="1" applyBorder="1" applyAlignment="1">
      <alignment horizontal="center" vertical="center"/>
    </xf>
    <xf numFmtId="9" fontId="0" fillId="4" borderId="48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45" xfId="0" applyFont="1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9" fontId="0" fillId="5" borderId="47" xfId="0" applyNumberFormat="1" applyFill="1" applyBorder="1" applyAlignment="1">
      <alignment horizontal="center" vertical="center"/>
    </xf>
    <xf numFmtId="9" fontId="0" fillId="5" borderId="48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9" fontId="0" fillId="6" borderId="47" xfId="0" applyNumberFormat="1" applyFill="1" applyBorder="1" applyAlignment="1">
      <alignment horizontal="center" vertical="center"/>
    </xf>
    <xf numFmtId="9" fontId="0" fillId="6" borderId="48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45" xfId="0" applyFont="1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9" fontId="0" fillId="7" borderId="47" xfId="0" applyNumberFormat="1" applyFill="1" applyBorder="1" applyAlignment="1">
      <alignment horizontal="center" vertical="center"/>
    </xf>
    <xf numFmtId="9" fontId="0" fillId="7" borderId="48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32" xfId="0" applyFont="1" applyFill="1" applyBorder="1" applyAlignment="1">
      <alignment horizontal="center" vertical="center"/>
    </xf>
    <xf numFmtId="0" fontId="7" fillId="7" borderId="45" xfId="0" applyFont="1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9" fontId="0" fillId="8" borderId="47" xfId="0" applyNumberFormat="1" applyFill="1" applyBorder="1" applyAlignment="1">
      <alignment horizontal="center" vertical="center"/>
    </xf>
    <xf numFmtId="9" fontId="0" fillId="8" borderId="48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0" fontId="7" fillId="8" borderId="3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44" fontId="0" fillId="2" borderId="2" xfId="3" applyFont="1" applyFill="1" applyBorder="1" applyAlignment="1">
      <alignment horizontal="center" vertical="center"/>
    </xf>
    <xf numFmtId="44" fontId="0" fillId="2" borderId="0" xfId="3" applyFont="1" applyFill="1" applyAlignment="1">
      <alignment horizontal="center" vertical="center"/>
    </xf>
    <xf numFmtId="44" fontId="0" fillId="2" borderId="4" xfId="3" applyFont="1" applyFill="1" applyBorder="1" applyAlignment="1">
      <alignment horizontal="center" vertical="center"/>
    </xf>
    <xf numFmtId="44" fontId="0" fillId="2" borderId="3" xfId="3" applyFont="1" applyFill="1" applyBorder="1" applyAlignment="1">
      <alignment horizontal="center" vertical="center"/>
    </xf>
    <xf numFmtId="44" fontId="0" fillId="2" borderId="32" xfId="3" applyFont="1" applyFill="1" applyBorder="1" applyAlignment="1">
      <alignment horizontal="center" vertical="center"/>
    </xf>
    <xf numFmtId="44" fontId="0" fillId="2" borderId="11" xfId="3" applyFont="1" applyFill="1" applyBorder="1" applyAlignment="1">
      <alignment horizontal="center" vertical="center"/>
    </xf>
    <xf numFmtId="44" fontId="0" fillId="3" borderId="2" xfId="3" applyFont="1" applyFill="1" applyBorder="1" applyAlignment="1">
      <alignment horizontal="center" vertical="center"/>
    </xf>
    <xf numFmtId="44" fontId="0" fillId="3" borderId="0" xfId="3" applyFont="1" applyFill="1" applyAlignment="1">
      <alignment horizontal="center" vertical="center"/>
    </xf>
    <xf numFmtId="44" fontId="0" fillId="3" borderId="4" xfId="3" applyFont="1" applyFill="1" applyBorder="1" applyAlignment="1">
      <alignment horizontal="center" vertical="center"/>
    </xf>
    <xf numFmtId="44" fontId="0" fillId="3" borderId="3" xfId="3" applyFont="1" applyFill="1" applyBorder="1" applyAlignment="1">
      <alignment horizontal="center" vertical="center"/>
    </xf>
    <xf numFmtId="44" fontId="0" fillId="3" borderId="32" xfId="3" applyFont="1" applyFill="1" applyBorder="1" applyAlignment="1">
      <alignment horizontal="center" vertical="center"/>
    </xf>
    <xf numFmtId="44" fontId="0" fillId="3" borderId="11" xfId="3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17" fontId="0" fillId="0" borderId="0" xfId="0" applyNumberFormat="1"/>
    <xf numFmtId="14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4" fillId="5" borderId="35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4" fillId="7" borderId="35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4" fillId="7" borderId="37" xfId="0" applyFont="1" applyFill="1" applyBorder="1" applyAlignment="1">
      <alignment horizontal="center" vertical="center"/>
    </xf>
    <xf numFmtId="0" fontId="4" fillId="8" borderId="35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4" fillId="8" borderId="37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4" fontId="0" fillId="3" borderId="1" xfId="3" applyFont="1" applyFill="1" applyBorder="1" applyAlignment="1">
      <alignment horizontal="center" vertical="center"/>
    </xf>
    <xf numFmtId="44" fontId="0" fillId="3" borderId="5" xfId="3" applyFont="1" applyFill="1" applyBorder="1" applyAlignment="1">
      <alignment horizontal="center" vertical="center"/>
    </xf>
    <xf numFmtId="44" fontId="0" fillId="3" borderId="6" xfId="3" applyFon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44" fontId="0" fillId="2" borderId="35" xfId="3" applyFont="1" applyFill="1" applyBorder="1" applyAlignment="1">
      <alignment horizontal="center" vertical="center"/>
    </xf>
    <xf numFmtId="44" fontId="0" fillId="2" borderId="36" xfId="3" applyFont="1" applyFill="1" applyBorder="1" applyAlignment="1">
      <alignment horizontal="center" vertical="center"/>
    </xf>
    <xf numFmtId="44" fontId="0" fillId="2" borderId="37" xfId="3" applyFont="1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44" fontId="0" fillId="3" borderId="35" xfId="3" applyFont="1" applyFill="1" applyBorder="1" applyAlignment="1">
      <alignment horizontal="center" vertical="center"/>
    </xf>
    <xf numFmtId="44" fontId="0" fillId="3" borderId="36" xfId="3" applyFont="1" applyFill="1" applyBorder="1" applyAlignment="1">
      <alignment horizontal="center" vertical="center"/>
    </xf>
    <xf numFmtId="44" fontId="0" fillId="3" borderId="37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44" fontId="0" fillId="2" borderId="1" xfId="3" applyFont="1" applyFill="1" applyBorder="1" applyAlignment="1">
      <alignment horizontal="center" vertical="center"/>
    </xf>
    <xf numFmtId="44" fontId="0" fillId="2" borderId="5" xfId="3" applyFont="1" applyFill="1" applyBorder="1" applyAlignment="1">
      <alignment horizontal="center" vertical="center"/>
    </xf>
    <xf numFmtId="44" fontId="0" fillId="2" borderId="6" xfId="3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9" fontId="0" fillId="0" borderId="31" xfId="1" applyFont="1" applyBorder="1" applyAlignment="1">
      <alignment horizontal="center" vertical="center" wrapText="1"/>
    </xf>
    <xf numFmtId="9" fontId="0" fillId="0" borderId="34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66" fontId="0" fillId="0" borderId="41" xfId="0" applyNumberFormat="1" applyBorder="1" applyAlignment="1">
      <alignment horizontal="center" vertical="center"/>
    </xf>
    <xf numFmtId="166" fontId="0" fillId="0" borderId="59" xfId="0" applyNumberFormat="1" applyBorder="1" applyAlignment="1">
      <alignment horizontal="center" vertical="center"/>
    </xf>
    <xf numFmtId="166" fontId="0" fillId="0" borderId="44" xfId="0" applyNumberFormat="1" applyBorder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1" fontId="0" fillId="0" borderId="60" xfId="2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DFAF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CF05D-E830-4B07-9CDA-1CF861158BA6}">
  <dimension ref="A3:I22"/>
  <sheetViews>
    <sheetView showGridLines="0" topLeftCell="A6" workbookViewId="0">
      <selection activeCell="L9" sqref="L9"/>
    </sheetView>
  </sheetViews>
  <sheetFormatPr baseColWidth="10" defaultRowHeight="15" x14ac:dyDescent="0.25"/>
  <sheetData>
    <row r="3" spans="1:9" ht="28.5" x14ac:dyDescent="0.45">
      <c r="B3" s="209" t="s">
        <v>0</v>
      </c>
      <c r="C3" s="209"/>
      <c r="D3" s="209"/>
      <c r="E3" s="209"/>
      <c r="F3" s="209"/>
      <c r="G3" s="209"/>
      <c r="H3" s="209"/>
      <c r="I3" s="209"/>
    </row>
    <row r="4" spans="1:9" ht="17.25" customHeight="1" thickBot="1" x14ac:dyDescent="0.5">
      <c r="B4" s="26"/>
      <c r="C4" s="26"/>
      <c r="D4" s="26"/>
      <c r="E4" s="26"/>
      <c r="F4" s="26"/>
      <c r="G4" s="26"/>
      <c r="H4" s="26"/>
      <c r="I4" s="26"/>
    </row>
    <row r="5" spans="1:9" ht="19.5" thickBot="1" x14ac:dyDescent="0.35">
      <c r="B5" s="206" t="s">
        <v>1</v>
      </c>
      <c r="C5" s="207"/>
      <c r="D5" s="207"/>
      <c r="E5" s="208"/>
      <c r="F5" s="206" t="s">
        <v>15</v>
      </c>
      <c r="G5" s="207"/>
      <c r="H5" s="207"/>
      <c r="I5" s="208"/>
    </row>
    <row r="6" spans="1:9" ht="15.75" thickBot="1" x14ac:dyDescent="0.3">
      <c r="B6" s="4" t="s">
        <v>2</v>
      </c>
      <c r="C6" s="5" t="s">
        <v>3</v>
      </c>
      <c r="D6" s="5" t="s">
        <v>4</v>
      </c>
      <c r="E6" s="6" t="s">
        <v>5</v>
      </c>
      <c r="F6" s="4" t="s">
        <v>2</v>
      </c>
      <c r="G6" s="5" t="s">
        <v>3</v>
      </c>
      <c r="H6" s="5" t="s">
        <v>4</v>
      </c>
      <c r="I6" s="6" t="s">
        <v>5</v>
      </c>
    </row>
    <row r="7" spans="1:9" x14ac:dyDescent="0.25">
      <c r="A7" s="1" t="s">
        <v>6</v>
      </c>
      <c r="B7" s="10" t="s">
        <v>7</v>
      </c>
      <c r="C7" s="13">
        <v>95.62</v>
      </c>
      <c r="D7" s="13">
        <f>C7/1.2</f>
        <v>79.683333333333337</v>
      </c>
      <c r="E7" s="7">
        <f>C7-D7</f>
        <v>15.936666666666667</v>
      </c>
      <c r="F7" s="10"/>
      <c r="G7" s="13"/>
      <c r="H7" s="13"/>
      <c r="I7" s="7"/>
    </row>
    <row r="8" spans="1:9" x14ac:dyDescent="0.25">
      <c r="A8" s="2"/>
      <c r="B8" s="11" t="s">
        <v>8</v>
      </c>
      <c r="C8" s="14">
        <v>36</v>
      </c>
      <c r="D8" s="14">
        <f t="shared" ref="D8:D21" si="0">C8/1.2</f>
        <v>30</v>
      </c>
      <c r="E8" s="8">
        <f t="shared" ref="E8:E21" si="1">C8-D8</f>
        <v>6</v>
      </c>
      <c r="F8" s="11"/>
      <c r="G8" s="14"/>
      <c r="H8" s="14"/>
      <c r="I8" s="8"/>
    </row>
    <row r="9" spans="1:9" ht="15.75" thickBot="1" x14ac:dyDescent="0.3">
      <c r="A9" s="3"/>
      <c r="B9" s="12" t="s">
        <v>9</v>
      </c>
      <c r="C9" s="15">
        <v>18.3</v>
      </c>
      <c r="D9" s="15">
        <f t="shared" si="0"/>
        <v>15.250000000000002</v>
      </c>
      <c r="E9" s="9">
        <f t="shared" si="1"/>
        <v>3.0499999999999989</v>
      </c>
      <c r="F9" s="12"/>
      <c r="G9" s="15"/>
      <c r="H9" s="15"/>
      <c r="I9" s="9"/>
    </row>
    <row r="10" spans="1:9" x14ac:dyDescent="0.25">
      <c r="A10" s="1" t="s">
        <v>10</v>
      </c>
      <c r="B10" s="10" t="s">
        <v>7</v>
      </c>
      <c r="C10" s="13">
        <v>92.37</v>
      </c>
      <c r="D10" s="13">
        <f t="shared" si="0"/>
        <v>76.975000000000009</v>
      </c>
      <c r="E10" s="7">
        <f t="shared" si="1"/>
        <v>15.394999999999996</v>
      </c>
      <c r="F10" s="10"/>
      <c r="G10" s="13"/>
      <c r="H10" s="13"/>
      <c r="I10" s="7"/>
    </row>
    <row r="11" spans="1:9" x14ac:dyDescent="0.25">
      <c r="A11" s="2"/>
      <c r="B11" s="11" t="s">
        <v>8</v>
      </c>
      <c r="C11" s="14">
        <v>34</v>
      </c>
      <c r="D11" s="14">
        <f t="shared" si="0"/>
        <v>28.333333333333336</v>
      </c>
      <c r="E11" s="8">
        <f t="shared" si="1"/>
        <v>5.6666666666666643</v>
      </c>
      <c r="F11" s="11"/>
      <c r="G11" s="14"/>
      <c r="H11" s="14"/>
      <c r="I11" s="8"/>
    </row>
    <row r="12" spans="1:9" ht="15.75" thickBot="1" x14ac:dyDescent="0.3">
      <c r="A12" s="3"/>
      <c r="B12" s="12" t="s">
        <v>9</v>
      </c>
      <c r="C12" s="15">
        <v>17.100000000000001</v>
      </c>
      <c r="D12" s="15">
        <f t="shared" si="0"/>
        <v>14.250000000000002</v>
      </c>
      <c r="E12" s="9">
        <f t="shared" si="1"/>
        <v>2.8499999999999996</v>
      </c>
      <c r="F12" s="12"/>
      <c r="G12" s="15"/>
      <c r="H12" s="15"/>
      <c r="I12" s="9"/>
    </row>
    <row r="13" spans="1:9" x14ac:dyDescent="0.25">
      <c r="A13" s="1" t="s">
        <v>11</v>
      </c>
      <c r="B13" s="10" t="s">
        <v>7</v>
      </c>
      <c r="C13" s="13">
        <v>0</v>
      </c>
      <c r="D13" s="13">
        <f t="shared" si="0"/>
        <v>0</v>
      </c>
      <c r="E13" s="7">
        <f t="shared" si="1"/>
        <v>0</v>
      </c>
      <c r="F13" s="10"/>
      <c r="G13" s="13"/>
      <c r="H13" s="13"/>
      <c r="I13" s="7"/>
    </row>
    <row r="14" spans="1:9" x14ac:dyDescent="0.25">
      <c r="A14" s="2"/>
      <c r="B14" s="11" t="s">
        <v>8</v>
      </c>
      <c r="C14" s="14">
        <v>0</v>
      </c>
      <c r="D14" s="14">
        <f t="shared" si="0"/>
        <v>0</v>
      </c>
      <c r="E14" s="8">
        <f t="shared" si="1"/>
        <v>0</v>
      </c>
      <c r="F14" s="11"/>
      <c r="G14" s="14"/>
      <c r="H14" s="14"/>
      <c r="I14" s="8"/>
    </row>
    <row r="15" spans="1:9" ht="15.75" thickBot="1" x14ac:dyDescent="0.3">
      <c r="A15" s="3"/>
      <c r="B15" s="12" t="s">
        <v>9</v>
      </c>
      <c r="C15" s="15">
        <v>0</v>
      </c>
      <c r="D15" s="15">
        <f t="shared" si="0"/>
        <v>0</v>
      </c>
      <c r="E15" s="9">
        <f t="shared" si="1"/>
        <v>0</v>
      </c>
      <c r="F15" s="12"/>
      <c r="G15" s="15"/>
      <c r="H15" s="15"/>
      <c r="I15" s="9"/>
    </row>
    <row r="16" spans="1:9" x14ac:dyDescent="0.25">
      <c r="A16" s="1" t="s">
        <v>12</v>
      </c>
      <c r="B16" s="10" t="s">
        <v>7</v>
      </c>
      <c r="C16" s="13">
        <v>88.39</v>
      </c>
      <c r="D16" s="13">
        <f t="shared" si="0"/>
        <v>73.658333333333331</v>
      </c>
      <c r="E16" s="7">
        <f t="shared" si="1"/>
        <v>14.731666666666669</v>
      </c>
      <c r="F16" s="10"/>
      <c r="G16" s="13"/>
      <c r="H16" s="13"/>
      <c r="I16" s="7"/>
    </row>
    <row r="17" spans="1:9" x14ac:dyDescent="0.25">
      <c r="A17" s="2"/>
      <c r="B17" s="11" t="s">
        <v>8</v>
      </c>
      <c r="C17" s="14">
        <v>32</v>
      </c>
      <c r="D17" s="14">
        <f t="shared" si="0"/>
        <v>26.666666666666668</v>
      </c>
      <c r="E17" s="8">
        <f t="shared" si="1"/>
        <v>5.3333333333333321</v>
      </c>
      <c r="F17" s="11"/>
      <c r="G17" s="14"/>
      <c r="H17" s="14"/>
      <c r="I17" s="8"/>
    </row>
    <row r="18" spans="1:9" ht="15.75" thickBot="1" x14ac:dyDescent="0.3">
      <c r="A18" s="3"/>
      <c r="B18" s="12" t="s">
        <v>9</v>
      </c>
      <c r="C18" s="15">
        <v>18.100000000000001</v>
      </c>
      <c r="D18" s="15">
        <f t="shared" si="0"/>
        <v>15.083333333333336</v>
      </c>
      <c r="E18" s="9">
        <f t="shared" si="1"/>
        <v>3.0166666666666657</v>
      </c>
      <c r="F18" s="12"/>
      <c r="G18" s="15"/>
      <c r="H18" s="15"/>
      <c r="I18" s="9"/>
    </row>
    <row r="19" spans="1:9" x14ac:dyDescent="0.25">
      <c r="A19" s="1" t="s">
        <v>13</v>
      </c>
      <c r="B19" s="10" t="s">
        <v>7</v>
      </c>
      <c r="C19" s="13">
        <v>89.45</v>
      </c>
      <c r="D19" s="13">
        <f t="shared" si="0"/>
        <v>74.541666666666671</v>
      </c>
      <c r="E19" s="7">
        <f t="shared" si="1"/>
        <v>14.908333333333331</v>
      </c>
      <c r="F19" s="10"/>
      <c r="G19" s="13"/>
      <c r="H19" s="13"/>
      <c r="I19" s="7"/>
    </row>
    <row r="20" spans="1:9" x14ac:dyDescent="0.25">
      <c r="A20" s="2"/>
      <c r="B20" s="11" t="s">
        <v>8</v>
      </c>
      <c r="C20" s="14">
        <v>0</v>
      </c>
      <c r="D20" s="14">
        <f t="shared" si="0"/>
        <v>0</v>
      </c>
      <c r="E20" s="8">
        <f t="shared" si="1"/>
        <v>0</v>
      </c>
      <c r="F20" s="11"/>
      <c r="G20" s="14"/>
      <c r="H20" s="14"/>
      <c r="I20" s="8"/>
    </row>
    <row r="21" spans="1:9" ht="15.75" thickBot="1" x14ac:dyDescent="0.3">
      <c r="A21" s="3"/>
      <c r="B21" s="11" t="s">
        <v>9</v>
      </c>
      <c r="C21" s="14">
        <v>0</v>
      </c>
      <c r="D21" s="14">
        <f t="shared" si="0"/>
        <v>0</v>
      </c>
      <c r="E21" s="8">
        <f t="shared" si="1"/>
        <v>0</v>
      </c>
      <c r="F21" s="12"/>
      <c r="G21" s="15"/>
      <c r="H21" s="15"/>
      <c r="I21" s="9"/>
    </row>
    <row r="22" spans="1:9" ht="15.75" thickBot="1" x14ac:dyDescent="0.3">
      <c r="B22" s="4" t="s">
        <v>14</v>
      </c>
      <c r="C22" s="5">
        <f>SUM(C7:C21)</f>
        <v>521.33000000000004</v>
      </c>
      <c r="D22" s="16">
        <f>SUM(D7:D9)</f>
        <v>124.93333333333334</v>
      </c>
      <c r="E22" s="17">
        <f>SUM(E7:E21)</f>
        <v>86.888333333333321</v>
      </c>
      <c r="F22" s="4"/>
      <c r="G22" s="5"/>
      <c r="H22" s="16"/>
      <c r="I22" s="17"/>
    </row>
  </sheetData>
  <mergeCells count="3">
    <mergeCell ref="B5:E5"/>
    <mergeCell ref="F5:I5"/>
    <mergeCell ref="B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356C-3C9E-4ED3-9737-1564B199989F}">
  <dimension ref="B2:I20"/>
  <sheetViews>
    <sheetView zoomScale="80" zoomScaleNormal="80" workbookViewId="0">
      <selection activeCell="C13" sqref="C13"/>
    </sheetView>
  </sheetViews>
  <sheetFormatPr baseColWidth="10" defaultRowHeight="15" x14ac:dyDescent="0.25"/>
  <cols>
    <col min="2" max="2" width="20" customWidth="1"/>
    <col min="3" max="3" width="16.7109375" customWidth="1"/>
    <col min="4" max="4" width="14.7109375" customWidth="1"/>
    <col min="5" max="5" width="14" customWidth="1"/>
    <col min="7" max="7" width="13.28515625" customWidth="1"/>
    <col min="8" max="8" width="15.42578125" customWidth="1"/>
    <col min="9" max="9" width="15.140625" customWidth="1"/>
  </cols>
  <sheetData>
    <row r="2" spans="2:9" ht="28.5" x14ac:dyDescent="0.45">
      <c r="B2" s="209" t="s">
        <v>16</v>
      </c>
      <c r="C2" s="209"/>
      <c r="D2" s="209"/>
      <c r="E2" s="209"/>
      <c r="F2" s="209"/>
      <c r="G2" s="209"/>
      <c r="H2" s="209"/>
      <c r="I2" s="209"/>
    </row>
    <row r="3" spans="2:9" ht="15.75" thickBot="1" x14ac:dyDescent="0.3"/>
    <row r="4" spans="2:9" ht="19.5" thickBot="1" x14ac:dyDescent="0.35">
      <c r="B4" s="210" t="s">
        <v>22</v>
      </c>
      <c r="C4" s="211"/>
      <c r="D4" s="211"/>
      <c r="E4" s="211"/>
      <c r="F4" s="217" t="s">
        <v>23</v>
      </c>
      <c r="G4" s="218"/>
      <c r="H4" s="218"/>
      <c r="I4" s="219"/>
    </row>
    <row r="5" spans="2:9" x14ac:dyDescent="0.25">
      <c r="B5" s="212" t="s">
        <v>17</v>
      </c>
      <c r="C5" s="214" t="s">
        <v>18</v>
      </c>
      <c r="D5" s="214" t="s">
        <v>19</v>
      </c>
      <c r="E5" s="216"/>
      <c r="F5" s="212" t="s">
        <v>17</v>
      </c>
      <c r="G5" s="214" t="s">
        <v>18</v>
      </c>
      <c r="H5" s="214" t="s">
        <v>19</v>
      </c>
      <c r="I5" s="220"/>
    </row>
    <row r="6" spans="2:9" x14ac:dyDescent="0.25">
      <c r="B6" s="213"/>
      <c r="C6" s="215"/>
      <c r="D6" s="18" t="s">
        <v>20</v>
      </c>
      <c r="E6" s="24" t="s">
        <v>21</v>
      </c>
      <c r="F6" s="213"/>
      <c r="G6" s="215"/>
      <c r="H6" s="18" t="s">
        <v>20</v>
      </c>
      <c r="I6" s="19" t="s">
        <v>21</v>
      </c>
    </row>
    <row r="7" spans="2:9" ht="15.75" thickBot="1" x14ac:dyDescent="0.3">
      <c r="B7" s="20">
        <v>21000</v>
      </c>
      <c r="C7" s="21">
        <v>6</v>
      </c>
      <c r="D7" s="22">
        <v>0.12</v>
      </c>
      <c r="E7" s="25">
        <v>0.09</v>
      </c>
      <c r="F7" s="20">
        <v>28000</v>
      </c>
      <c r="G7" s="21">
        <v>4</v>
      </c>
      <c r="H7" s="22">
        <v>0.12</v>
      </c>
      <c r="I7" s="23">
        <v>0.09</v>
      </c>
    </row>
    <row r="9" spans="2:9" ht="28.5" x14ac:dyDescent="0.45">
      <c r="B9" s="209" t="s">
        <v>24</v>
      </c>
      <c r="C9" s="209"/>
      <c r="D9" s="209"/>
    </row>
    <row r="10" spans="2:9" ht="15.75" thickBot="1" x14ac:dyDescent="0.3"/>
    <row r="11" spans="2:9" ht="19.5" thickBot="1" x14ac:dyDescent="0.3">
      <c r="C11" s="28" t="s">
        <v>22</v>
      </c>
      <c r="D11" s="28" t="s">
        <v>23</v>
      </c>
    </row>
    <row r="12" spans="2:9" ht="17.25" x14ac:dyDescent="0.3">
      <c r="B12" s="29" t="s">
        <v>28</v>
      </c>
      <c r="C12" s="30">
        <v>7500</v>
      </c>
      <c r="D12" s="34">
        <v>6250</v>
      </c>
    </row>
    <row r="13" spans="2:9" x14ac:dyDescent="0.25">
      <c r="B13" s="2" t="s">
        <v>25</v>
      </c>
      <c r="C13" s="31">
        <v>200</v>
      </c>
      <c r="D13" s="31">
        <v>200</v>
      </c>
    </row>
    <row r="14" spans="2:9" ht="15.75" thickBot="1" x14ac:dyDescent="0.3">
      <c r="B14" s="3" t="s">
        <v>26</v>
      </c>
      <c r="C14" s="32">
        <v>2</v>
      </c>
      <c r="D14" s="32">
        <v>2</v>
      </c>
    </row>
    <row r="15" spans="2:9" ht="17.25" x14ac:dyDescent="0.3">
      <c r="B15" s="29" t="s">
        <v>27</v>
      </c>
      <c r="C15" s="35">
        <v>22500</v>
      </c>
      <c r="D15" s="35">
        <v>18750</v>
      </c>
    </row>
    <row r="16" spans="2:9" x14ac:dyDescent="0.25">
      <c r="B16" s="2" t="s">
        <v>29</v>
      </c>
      <c r="C16" s="31">
        <v>800</v>
      </c>
      <c r="D16" s="31">
        <v>800</v>
      </c>
    </row>
    <row r="17" spans="2:4" ht="15.75" thickBot="1" x14ac:dyDescent="0.3">
      <c r="B17" s="3" t="s">
        <v>26</v>
      </c>
      <c r="C17" s="32">
        <v>2</v>
      </c>
      <c r="D17" s="32">
        <v>2</v>
      </c>
    </row>
    <row r="18" spans="2:4" ht="17.25" x14ac:dyDescent="0.3">
      <c r="B18" s="36" t="s">
        <v>30</v>
      </c>
      <c r="C18" s="33">
        <v>90000</v>
      </c>
      <c r="D18" s="33">
        <v>75000</v>
      </c>
    </row>
    <row r="19" spans="2:4" x14ac:dyDescent="0.25">
      <c r="B19" s="37" t="s">
        <v>25</v>
      </c>
      <c r="C19" s="31">
        <v>3200</v>
      </c>
      <c r="D19" s="31">
        <v>3200</v>
      </c>
    </row>
    <row r="20" spans="2:4" ht="15.75" thickBot="1" x14ac:dyDescent="0.3">
      <c r="B20" s="38" t="s">
        <v>26</v>
      </c>
      <c r="C20" s="32">
        <v>2</v>
      </c>
      <c r="D20" s="32">
        <v>2</v>
      </c>
    </row>
  </sheetData>
  <mergeCells count="10">
    <mergeCell ref="B9:D9"/>
    <mergeCell ref="B2:I2"/>
    <mergeCell ref="B4:E4"/>
    <mergeCell ref="B5:B6"/>
    <mergeCell ref="C5:C6"/>
    <mergeCell ref="D5:E5"/>
    <mergeCell ref="F4:I4"/>
    <mergeCell ref="F5:F6"/>
    <mergeCell ref="G5:G6"/>
    <mergeCell ref="H5:I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665B0-999C-4AC9-A622-084AF22F030B}">
  <dimension ref="B3:AR25"/>
  <sheetViews>
    <sheetView showGridLines="0" showZeros="0" topLeftCell="A5" zoomScale="90" zoomScaleNormal="90" workbookViewId="0">
      <selection activeCell="H10" sqref="H10"/>
    </sheetView>
  </sheetViews>
  <sheetFormatPr baseColWidth="10" defaultRowHeight="15" x14ac:dyDescent="0.25"/>
  <cols>
    <col min="1" max="1" width="6" style="39" customWidth="1"/>
    <col min="2" max="2" width="8.7109375" style="39" bestFit="1" customWidth="1"/>
    <col min="3" max="3" width="5.28515625" style="39" bestFit="1" customWidth="1"/>
    <col min="4" max="4" width="9.42578125" style="39" bestFit="1" customWidth="1"/>
    <col min="5" max="5" width="3.28515625" style="39" bestFit="1" customWidth="1"/>
    <col min="6" max="6" width="9.5703125" style="39" bestFit="1" customWidth="1"/>
    <col min="7" max="8" width="4.5703125" style="39" bestFit="1" customWidth="1"/>
    <col min="9" max="9" width="5.28515625" style="39" bestFit="1" customWidth="1"/>
    <col min="10" max="10" width="9.42578125" style="39" bestFit="1" customWidth="1"/>
    <col min="11" max="11" width="3.28515625" style="39" bestFit="1" customWidth="1"/>
    <col min="12" max="12" width="8.85546875" style="39" bestFit="1" customWidth="1"/>
    <col min="13" max="14" width="4.5703125" style="39" bestFit="1" customWidth="1"/>
    <col min="15" max="15" width="5.28515625" style="39" bestFit="1" customWidth="1"/>
    <col min="16" max="16" width="9.42578125" style="39" bestFit="1" customWidth="1"/>
    <col min="17" max="17" width="3.28515625" style="39" bestFit="1" customWidth="1"/>
    <col min="18" max="18" width="8.85546875" style="39" bestFit="1" customWidth="1"/>
    <col min="19" max="20" width="4.5703125" style="39" bestFit="1" customWidth="1"/>
    <col min="21" max="21" width="5.28515625" style="39" bestFit="1" customWidth="1"/>
    <col min="22" max="22" width="9.42578125" style="39" bestFit="1" customWidth="1"/>
    <col min="23" max="23" width="3.28515625" style="39" bestFit="1" customWidth="1"/>
    <col min="24" max="24" width="8.85546875" style="39" bestFit="1" customWidth="1"/>
    <col min="25" max="26" width="4.5703125" style="39" bestFit="1" customWidth="1"/>
    <col min="27" max="27" width="5.28515625" style="39" bestFit="1" customWidth="1"/>
    <col min="28" max="28" width="9.42578125" style="39" bestFit="1" customWidth="1"/>
    <col min="29" max="29" width="3.28515625" style="39" bestFit="1" customWidth="1"/>
    <col min="30" max="30" width="8.85546875" style="39" bestFit="1" customWidth="1"/>
    <col min="31" max="32" width="4.5703125" style="39" bestFit="1" customWidth="1"/>
    <col min="33" max="33" width="5.28515625" style="39" bestFit="1" customWidth="1"/>
    <col min="34" max="34" width="9.42578125" style="39" bestFit="1" customWidth="1"/>
    <col min="35" max="35" width="3.28515625" style="39" bestFit="1" customWidth="1"/>
    <col min="36" max="36" width="8.85546875" style="39" bestFit="1" customWidth="1"/>
    <col min="37" max="38" width="4.5703125" style="39" bestFit="1" customWidth="1"/>
    <col min="39" max="39" width="5.28515625" style="39" bestFit="1" customWidth="1"/>
    <col min="40" max="40" width="9.42578125" style="39" bestFit="1" customWidth="1"/>
    <col min="41" max="41" width="3.28515625" style="39" bestFit="1" customWidth="1"/>
    <col min="42" max="42" width="8.85546875" style="39" bestFit="1" customWidth="1"/>
    <col min="43" max="44" width="4.5703125" style="39" bestFit="1" customWidth="1"/>
    <col min="45" max="16384" width="11.42578125" style="39"/>
  </cols>
  <sheetData>
    <row r="3" spans="2:44" x14ac:dyDescent="0.25">
      <c r="C3" s="221" t="s">
        <v>45</v>
      </c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</row>
    <row r="4" spans="2:44" x14ac:dyDescent="0.25"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1"/>
      <c r="AG4" s="221"/>
      <c r="AH4" s="221"/>
      <c r="AI4" s="221"/>
      <c r="AJ4" s="221"/>
      <c r="AK4" s="221"/>
      <c r="AL4" s="221"/>
      <c r="AM4" s="221"/>
      <c r="AN4" s="221"/>
      <c r="AO4" s="221"/>
      <c r="AP4" s="221"/>
      <c r="AQ4" s="221"/>
      <c r="AR4" s="221"/>
    </row>
    <row r="6" spans="2:44" ht="15.75" thickBot="1" x14ac:dyDescent="0.3"/>
    <row r="7" spans="2:44" s="40" customFormat="1" ht="19.5" thickBot="1" x14ac:dyDescent="0.3">
      <c r="C7" s="261" t="s">
        <v>34</v>
      </c>
      <c r="D7" s="262"/>
      <c r="E7" s="262"/>
      <c r="F7" s="262"/>
      <c r="G7" s="262"/>
      <c r="H7" s="263"/>
      <c r="I7" s="246" t="s">
        <v>35</v>
      </c>
      <c r="J7" s="247"/>
      <c r="K7" s="247"/>
      <c r="L7" s="247"/>
      <c r="M7" s="247"/>
      <c r="N7" s="248"/>
      <c r="O7" s="234" t="s">
        <v>40</v>
      </c>
      <c r="P7" s="235"/>
      <c r="Q7" s="235"/>
      <c r="R7" s="235"/>
      <c r="S7" s="235"/>
      <c r="T7" s="236"/>
      <c r="U7" s="240" t="s">
        <v>41</v>
      </c>
      <c r="V7" s="241"/>
      <c r="W7" s="241"/>
      <c r="X7" s="241"/>
      <c r="Y7" s="241"/>
      <c r="Z7" s="242"/>
      <c r="AA7" s="222" t="s">
        <v>42</v>
      </c>
      <c r="AB7" s="223"/>
      <c r="AC7" s="223"/>
      <c r="AD7" s="223"/>
      <c r="AE7" s="223"/>
      <c r="AF7" s="224"/>
      <c r="AG7" s="255" t="s">
        <v>43</v>
      </c>
      <c r="AH7" s="256"/>
      <c r="AI7" s="256"/>
      <c r="AJ7" s="256"/>
      <c r="AK7" s="256"/>
      <c r="AL7" s="257"/>
      <c r="AM7" s="258" t="s">
        <v>44</v>
      </c>
      <c r="AN7" s="259"/>
      <c r="AO7" s="259"/>
      <c r="AP7" s="259"/>
      <c r="AQ7" s="259"/>
      <c r="AR7" s="260"/>
    </row>
    <row r="8" spans="2:44" ht="15.75" thickBot="1" x14ac:dyDescent="0.3">
      <c r="C8" s="228" t="s">
        <v>36</v>
      </c>
      <c r="D8" s="229"/>
      <c r="E8" s="230"/>
      <c r="F8" s="228" t="s">
        <v>39</v>
      </c>
      <c r="G8" s="229"/>
      <c r="H8" s="230"/>
      <c r="I8" s="249" t="s">
        <v>36</v>
      </c>
      <c r="J8" s="250"/>
      <c r="K8" s="251"/>
      <c r="L8" s="249" t="s">
        <v>39</v>
      </c>
      <c r="M8" s="250"/>
      <c r="N8" s="251"/>
      <c r="O8" s="237" t="s">
        <v>36</v>
      </c>
      <c r="P8" s="238"/>
      <c r="Q8" s="238"/>
      <c r="R8" s="237" t="s">
        <v>39</v>
      </c>
      <c r="S8" s="238"/>
      <c r="T8" s="239"/>
      <c r="U8" s="243" t="s">
        <v>36</v>
      </c>
      <c r="V8" s="244"/>
      <c r="W8" s="244"/>
      <c r="X8" s="243" t="s">
        <v>39</v>
      </c>
      <c r="Y8" s="244"/>
      <c r="Z8" s="245"/>
      <c r="AA8" s="225" t="s">
        <v>36</v>
      </c>
      <c r="AB8" s="226"/>
      <c r="AC8" s="227"/>
      <c r="AD8" s="225" t="s">
        <v>39</v>
      </c>
      <c r="AE8" s="226"/>
      <c r="AF8" s="227"/>
      <c r="AG8" s="231" t="s">
        <v>36</v>
      </c>
      <c r="AH8" s="232"/>
      <c r="AI8" s="232"/>
      <c r="AJ8" s="231" t="s">
        <v>39</v>
      </c>
      <c r="AK8" s="232"/>
      <c r="AL8" s="233"/>
      <c r="AM8" s="252" t="s">
        <v>36</v>
      </c>
      <c r="AN8" s="253"/>
      <c r="AO8" s="253"/>
      <c r="AP8" s="252" t="s">
        <v>39</v>
      </c>
      <c r="AQ8" s="253"/>
      <c r="AR8" s="254"/>
    </row>
    <row r="9" spans="2:44" x14ac:dyDescent="0.25">
      <c r="B9" s="181" t="s">
        <v>31</v>
      </c>
      <c r="C9" s="50" t="s">
        <v>37</v>
      </c>
      <c r="D9" s="51" t="s">
        <v>32</v>
      </c>
      <c r="E9" s="182" t="s">
        <v>33</v>
      </c>
      <c r="F9" s="52" t="s">
        <v>38</v>
      </c>
      <c r="G9" s="53">
        <v>0.25</v>
      </c>
      <c r="H9" s="54">
        <v>0.5</v>
      </c>
      <c r="I9" s="70" t="s">
        <v>37</v>
      </c>
      <c r="J9" s="71" t="s">
        <v>32</v>
      </c>
      <c r="K9" s="71" t="s">
        <v>33</v>
      </c>
      <c r="L9" s="72" t="s">
        <v>38</v>
      </c>
      <c r="M9" s="73">
        <v>0.25</v>
      </c>
      <c r="N9" s="74">
        <v>0.5</v>
      </c>
      <c r="O9" s="90" t="s">
        <v>37</v>
      </c>
      <c r="P9" s="91" t="s">
        <v>32</v>
      </c>
      <c r="Q9" s="91" t="s">
        <v>33</v>
      </c>
      <c r="R9" s="92" t="s">
        <v>38</v>
      </c>
      <c r="S9" s="93">
        <v>0.25</v>
      </c>
      <c r="T9" s="94">
        <v>0.5</v>
      </c>
      <c r="U9" s="108" t="s">
        <v>37</v>
      </c>
      <c r="V9" s="109" t="s">
        <v>32</v>
      </c>
      <c r="W9" s="109" t="s">
        <v>33</v>
      </c>
      <c r="X9" s="110" t="s">
        <v>38</v>
      </c>
      <c r="Y9" s="111">
        <v>0.25</v>
      </c>
      <c r="Z9" s="112">
        <v>0.5</v>
      </c>
      <c r="AA9" s="126" t="s">
        <v>37</v>
      </c>
      <c r="AB9" s="127" t="s">
        <v>32</v>
      </c>
      <c r="AC9" s="127" t="s">
        <v>33</v>
      </c>
      <c r="AD9" s="128" t="s">
        <v>38</v>
      </c>
      <c r="AE9" s="129">
        <v>0.25</v>
      </c>
      <c r="AF9" s="130">
        <v>0.5</v>
      </c>
      <c r="AG9" s="144" t="s">
        <v>37</v>
      </c>
      <c r="AH9" s="145" t="s">
        <v>32</v>
      </c>
      <c r="AI9" s="145" t="s">
        <v>33</v>
      </c>
      <c r="AJ9" s="146" t="s">
        <v>38</v>
      </c>
      <c r="AK9" s="147">
        <v>0.25</v>
      </c>
      <c r="AL9" s="148">
        <v>0.5</v>
      </c>
      <c r="AM9" s="162" t="s">
        <v>37</v>
      </c>
      <c r="AN9" s="163" t="s">
        <v>32</v>
      </c>
      <c r="AO9" s="163" t="s">
        <v>33</v>
      </c>
      <c r="AP9" s="164" t="s">
        <v>38</v>
      </c>
      <c r="AQ9" s="165">
        <v>0.25</v>
      </c>
      <c r="AR9" s="166">
        <v>0.5</v>
      </c>
    </row>
    <row r="10" spans="2:44" x14ac:dyDescent="0.25">
      <c r="B10" s="41">
        <v>1</v>
      </c>
      <c r="C10" s="55">
        <v>45</v>
      </c>
      <c r="D10" s="56">
        <v>0</v>
      </c>
      <c r="E10" s="183">
        <v>0</v>
      </c>
      <c r="F10" s="57">
        <f>_xlfn.IFS(C10&gt;35,C10-35,E10&gt;0,(E10*7)+C10-35,C10&lt;=35,0)</f>
        <v>10</v>
      </c>
      <c r="G10" s="58">
        <f>IF(F10&lt;8,F10,8)</f>
        <v>8</v>
      </c>
      <c r="H10" s="59">
        <f>IF(F10&gt;8,F10-8,0)</f>
        <v>2</v>
      </c>
      <c r="I10" s="75">
        <v>35</v>
      </c>
      <c r="J10" s="76">
        <v>0</v>
      </c>
      <c r="K10" s="76">
        <v>0</v>
      </c>
      <c r="L10" s="77">
        <f>_xlfn.IFS(I10&gt;35,I10-35,K10&gt;0,(K10*7)+I10-35,I10&lt;=35,0)</f>
        <v>0</v>
      </c>
      <c r="M10" s="78">
        <f>IF(L10&lt;8,L10,8)</f>
        <v>0</v>
      </c>
      <c r="N10" s="79">
        <f>IF(L10&gt;8,L10-8,0)</f>
        <v>0</v>
      </c>
      <c r="O10" s="95">
        <v>44</v>
      </c>
      <c r="P10" s="96">
        <v>0</v>
      </c>
      <c r="Q10" s="96">
        <v>0</v>
      </c>
      <c r="R10" s="97">
        <f>_xlfn.IFS(O10&gt;35,O10-35,Q10&gt;0,(Q10*7)+O10-35,O10&lt;=35,0)</f>
        <v>9</v>
      </c>
      <c r="S10" s="98">
        <f>IF(R10&lt;8,R10,8)</f>
        <v>8</v>
      </c>
      <c r="T10" s="99">
        <f>IF(R10&gt;8,R10-8,0)</f>
        <v>1</v>
      </c>
      <c r="U10" s="113">
        <v>35</v>
      </c>
      <c r="V10" s="114">
        <v>0</v>
      </c>
      <c r="W10" s="114">
        <v>0</v>
      </c>
      <c r="X10" s="115">
        <f>_xlfn.IFS(U10&gt;35,U10-35,W10&gt;0,(W10*7)+U10-35,U10&lt;=35,0)</f>
        <v>0</v>
      </c>
      <c r="Y10" s="116">
        <f>IF(X10&lt;8,X10,8)</f>
        <v>0</v>
      </c>
      <c r="Z10" s="117">
        <f>IF(X10&gt;8,X10-8,0)</f>
        <v>0</v>
      </c>
      <c r="AA10" s="131">
        <v>44</v>
      </c>
      <c r="AB10" s="132">
        <v>0</v>
      </c>
      <c r="AC10" s="132">
        <v>0</v>
      </c>
      <c r="AD10" s="133">
        <f>_xlfn.IFS(AA10&gt;35,AA10-35,AC10&gt;0,(AC10*7)+AA10-35,AA10&lt;=35,0)</f>
        <v>9</v>
      </c>
      <c r="AE10" s="134">
        <f>IF(AD10&lt;8,AD10,8)</f>
        <v>8</v>
      </c>
      <c r="AF10" s="135">
        <f>IF(AD10&gt;8,AD10-8,0)</f>
        <v>1</v>
      </c>
      <c r="AG10" s="149">
        <v>35</v>
      </c>
      <c r="AH10" s="150">
        <v>0</v>
      </c>
      <c r="AI10" s="150">
        <v>0</v>
      </c>
      <c r="AJ10" s="151">
        <f>_xlfn.IFS(AG10&gt;35,AG10-35,AI10&gt;0,(AI10*7)+AG10-35,AG10&lt;=35,0)</f>
        <v>0</v>
      </c>
      <c r="AK10" s="152">
        <f>IF(AJ10&lt;8,AJ10,8)</f>
        <v>0</v>
      </c>
      <c r="AL10" s="153">
        <f>IF(AJ10&gt;8,AJ10-8,0)</f>
        <v>0</v>
      </c>
      <c r="AM10" s="167">
        <v>35</v>
      </c>
      <c r="AN10" s="168">
        <v>0</v>
      </c>
      <c r="AO10" s="168">
        <v>0</v>
      </c>
      <c r="AP10" s="169">
        <f>_xlfn.IFS(AM10&gt;35,AM10-35,AO10&gt;0,(AO10*7)+AM10-35,AM10&lt;=35,0)</f>
        <v>0</v>
      </c>
      <c r="AQ10" s="170">
        <f>IF(AP10&lt;8,AP10,8)</f>
        <v>0</v>
      </c>
      <c r="AR10" s="171">
        <f>IF(AP10&gt;8,AP10-8,0)</f>
        <v>0</v>
      </c>
    </row>
    <row r="11" spans="2:44" x14ac:dyDescent="0.25">
      <c r="B11" s="41">
        <v>2</v>
      </c>
      <c r="C11" s="55">
        <v>18</v>
      </c>
      <c r="D11" s="56">
        <v>0</v>
      </c>
      <c r="E11" s="183">
        <v>3</v>
      </c>
      <c r="F11" s="57">
        <f>_xlfn.IFS(C11&gt;35,C11-35,E11&gt;0,(E11*7)+C11-35,C11&lt;=35,0)</f>
        <v>4</v>
      </c>
      <c r="G11" s="58">
        <f>IF(F11&lt;8,F11,8)</f>
        <v>4</v>
      </c>
      <c r="H11" s="59">
        <f>IF(F11&gt;8,F11-8,0)</f>
        <v>0</v>
      </c>
      <c r="I11" s="75">
        <v>38</v>
      </c>
      <c r="J11" s="76">
        <v>0</v>
      </c>
      <c r="K11" s="76">
        <v>0</v>
      </c>
      <c r="L11" s="77">
        <f>_xlfn.IFS(I11&gt;35,I11-35,K11&gt;0,(K11*7)+I11-35,I11&lt;=35,0)</f>
        <v>3</v>
      </c>
      <c r="M11" s="78">
        <f>IF(L11&lt;8,L11,8)</f>
        <v>3</v>
      </c>
      <c r="N11" s="79">
        <f>IF(L11&gt;8,L11-8,0)</f>
        <v>0</v>
      </c>
      <c r="O11" s="95">
        <v>35</v>
      </c>
      <c r="P11" s="96">
        <v>0</v>
      </c>
      <c r="Q11" s="96">
        <v>0</v>
      </c>
      <c r="R11" s="97">
        <f>_xlfn.IFS(O11&gt;35,O11-35,Q11&gt;0,(Q11*7)+O11-35,O11&lt;=35,0)</f>
        <v>0</v>
      </c>
      <c r="S11" s="98">
        <f>IF(R11&lt;8,R11,8)</f>
        <v>0</v>
      </c>
      <c r="T11" s="99">
        <f>IF(R11&gt;8,R11-8,0)</f>
        <v>0</v>
      </c>
      <c r="U11" s="113">
        <v>35</v>
      </c>
      <c r="V11" s="114">
        <v>0</v>
      </c>
      <c r="W11" s="114">
        <v>0</v>
      </c>
      <c r="X11" s="115">
        <f>_xlfn.IFS(U11&gt;35,U11-35,W11&gt;0,(W11*7)+U11-35,U11&lt;=35,0)</f>
        <v>0</v>
      </c>
      <c r="Y11" s="116">
        <f>IF(X11&lt;8,X11,8)</f>
        <v>0</v>
      </c>
      <c r="Z11" s="117">
        <f>IF(X11&gt;8,X11-8,0)</f>
        <v>0</v>
      </c>
      <c r="AA11" s="131">
        <v>21</v>
      </c>
      <c r="AB11" s="132">
        <v>0</v>
      </c>
      <c r="AC11" s="132">
        <v>3</v>
      </c>
      <c r="AD11" s="133">
        <f>_xlfn.IFS(AA11&gt;35,AA11-35,AC11&gt;0,(AC11*7)+AA11-35,AA11&lt;=35,0)</f>
        <v>7</v>
      </c>
      <c r="AE11" s="134">
        <f>IF(AD11&lt;8,AD11,8)</f>
        <v>7</v>
      </c>
      <c r="AF11" s="135">
        <f>IF(AD11&gt;8,AD11-8,0)</f>
        <v>0</v>
      </c>
      <c r="AG11" s="149">
        <v>35</v>
      </c>
      <c r="AH11" s="150">
        <v>0</v>
      </c>
      <c r="AI11" s="150">
        <v>0</v>
      </c>
      <c r="AJ11" s="151">
        <f>_xlfn.IFS(AG11&gt;35,AG11-35,AI11&gt;0,(AI11*7)+AG11-35,AG11&lt;=35,0)</f>
        <v>0</v>
      </c>
      <c r="AK11" s="152">
        <f>IF(AJ11&lt;8,AJ11,8)</f>
        <v>0</v>
      </c>
      <c r="AL11" s="153">
        <f>IF(AJ11&gt;8,AJ11-8,0)</f>
        <v>0</v>
      </c>
      <c r="AM11" s="167">
        <v>35</v>
      </c>
      <c r="AN11" s="168">
        <v>0</v>
      </c>
      <c r="AO11" s="168">
        <v>0</v>
      </c>
      <c r="AP11" s="169">
        <f>_xlfn.IFS(AM11&gt;35,AM11-35,AO11&gt;0,(AO11*7)+AM11-35,AM11&lt;=35,0)</f>
        <v>0</v>
      </c>
      <c r="AQ11" s="170">
        <f>IF(AP11&lt;8,AP11,8)</f>
        <v>0</v>
      </c>
      <c r="AR11" s="171">
        <f>IF(AP11&gt;8,AP11-8,0)</f>
        <v>0</v>
      </c>
    </row>
    <row r="12" spans="2:44" x14ac:dyDescent="0.25">
      <c r="B12" s="41">
        <v>3</v>
      </c>
      <c r="C12" s="55">
        <v>35</v>
      </c>
      <c r="D12" s="56">
        <v>0</v>
      </c>
      <c r="E12" s="183">
        <v>0</v>
      </c>
      <c r="F12" s="57">
        <f>_xlfn.IFS(C12&gt;35,C12-35,E12&gt;0,(E12*7)+C12-35,C12&lt;=35,0)</f>
        <v>0</v>
      </c>
      <c r="G12" s="58">
        <f>IF(F12&lt;8,F12,8)</f>
        <v>0</v>
      </c>
      <c r="H12" s="59">
        <f>IF(F12&gt;8,F12-8,0)</f>
        <v>0</v>
      </c>
      <c r="I12" s="75">
        <v>17</v>
      </c>
      <c r="J12" s="76">
        <v>0</v>
      </c>
      <c r="K12" s="76">
        <v>3</v>
      </c>
      <c r="L12" s="77">
        <f>_xlfn.IFS(I12&gt;35,I12-35,K12&gt;0,(K12*7)+I12-35,I12&lt;=35,0)</f>
        <v>3</v>
      </c>
      <c r="M12" s="78">
        <f>IF(L12&lt;8,L12,8)</f>
        <v>3</v>
      </c>
      <c r="N12" s="79">
        <f>IF(L12&gt;8,L12-8,0)</f>
        <v>0</v>
      </c>
      <c r="O12" s="95">
        <v>0</v>
      </c>
      <c r="P12" s="96">
        <v>5</v>
      </c>
      <c r="Q12" s="96">
        <v>0</v>
      </c>
      <c r="R12" s="97">
        <f>_xlfn.IFS(O12&gt;35,O12-35,Q12&gt;0,(Q12*7)+O12-35,O12&lt;=35,0)</f>
        <v>0</v>
      </c>
      <c r="S12" s="98">
        <f>IF(R12&lt;8,R12,8)</f>
        <v>0</v>
      </c>
      <c r="T12" s="99">
        <f>IF(R12&gt;8,R12-8,0)</f>
        <v>0</v>
      </c>
      <c r="U12" s="113">
        <v>35</v>
      </c>
      <c r="V12" s="114">
        <v>0</v>
      </c>
      <c r="W12" s="114">
        <v>0</v>
      </c>
      <c r="X12" s="115">
        <f>_xlfn.IFS(U12&gt;35,U12-35,W12&gt;0,(W12*7)+U12-35,U12&lt;=35,0)</f>
        <v>0</v>
      </c>
      <c r="Y12" s="116">
        <f>IF(X12&lt;8,X12,8)</f>
        <v>0</v>
      </c>
      <c r="Z12" s="117">
        <f>IF(X12&gt;8,X12-8,0)</f>
        <v>0</v>
      </c>
      <c r="AA12" s="131">
        <v>35</v>
      </c>
      <c r="AB12" s="132">
        <v>0</v>
      </c>
      <c r="AC12" s="132">
        <v>0</v>
      </c>
      <c r="AD12" s="133">
        <f>_xlfn.IFS(AA12&gt;35,AA12-35,AC12&gt;0,(AC12*7)+AA12-35,AA12&lt;=35,0)</f>
        <v>0</v>
      </c>
      <c r="AE12" s="134">
        <f>IF(AD12&lt;8,AD12,8)</f>
        <v>0</v>
      </c>
      <c r="AF12" s="135">
        <f>IF(AD12&gt;8,AD12-8,0)</f>
        <v>0</v>
      </c>
      <c r="AG12" s="149">
        <v>45</v>
      </c>
      <c r="AH12" s="150">
        <v>0</v>
      </c>
      <c r="AI12" s="150">
        <v>0</v>
      </c>
      <c r="AJ12" s="151">
        <f>_xlfn.IFS(AG12&gt;35,AG12-35,AI12&gt;0,(AI12*7)+AG12-35,AG12&lt;=35,0)</f>
        <v>10</v>
      </c>
      <c r="AK12" s="152">
        <f>IF(AJ12&lt;8,AJ12,8)</f>
        <v>8</v>
      </c>
      <c r="AL12" s="153">
        <f>IF(AJ12&gt;8,AJ12-8,0)</f>
        <v>2</v>
      </c>
      <c r="AM12" s="167">
        <v>35</v>
      </c>
      <c r="AN12" s="168">
        <v>0</v>
      </c>
      <c r="AO12" s="168">
        <v>0</v>
      </c>
      <c r="AP12" s="169">
        <f>_xlfn.IFS(AM12&gt;35,AM12-35,AO12&gt;0,(AO12*7)+AM12-35,AM12&lt;=35,0)</f>
        <v>0</v>
      </c>
      <c r="AQ12" s="170">
        <f>IF(AP12&lt;8,AP12,8)</f>
        <v>0</v>
      </c>
      <c r="AR12" s="171">
        <f>IF(AP12&gt;8,AP12-8,0)</f>
        <v>0</v>
      </c>
    </row>
    <row r="13" spans="2:44" x14ac:dyDescent="0.25">
      <c r="B13" s="41">
        <v>4</v>
      </c>
      <c r="C13" s="55">
        <v>19</v>
      </c>
      <c r="D13" s="56">
        <v>0</v>
      </c>
      <c r="E13" s="183">
        <v>3</v>
      </c>
      <c r="F13" s="57">
        <f>_xlfn.IFS(C13&gt;35,C13-35,E13&gt;0,(E13*7)+C13-35,C13&lt;=35,0)</f>
        <v>5</v>
      </c>
      <c r="G13" s="58">
        <f>IF(F13&lt;8,F13,8)</f>
        <v>5</v>
      </c>
      <c r="H13" s="59">
        <f>IF(F13&gt;8,F13-8,0)</f>
        <v>0</v>
      </c>
      <c r="I13" s="75">
        <v>35</v>
      </c>
      <c r="J13" s="76">
        <v>0</v>
      </c>
      <c r="K13" s="76">
        <v>0</v>
      </c>
      <c r="L13" s="77">
        <f>_xlfn.IFS(I13&gt;35,I13-35,K13&gt;0,(K13*7)+I13-35,I13&lt;=35,0)</f>
        <v>0</v>
      </c>
      <c r="M13" s="78">
        <f>IF(L13&lt;8,L13,8)</f>
        <v>0</v>
      </c>
      <c r="N13" s="79">
        <f>IF(L13&gt;8,L13-8,0)</f>
        <v>0</v>
      </c>
      <c r="O13" s="95">
        <v>0</v>
      </c>
      <c r="P13" s="96">
        <v>5</v>
      </c>
      <c r="Q13" s="96">
        <v>0</v>
      </c>
      <c r="R13" s="97">
        <f>_xlfn.IFS(O13&gt;35,O13-35,Q13&gt;0,(Q13*7)+O13-35,O13&lt;=35,0)</f>
        <v>0</v>
      </c>
      <c r="S13" s="98">
        <f>IF(R13&lt;8,R13,8)</f>
        <v>0</v>
      </c>
      <c r="T13" s="99">
        <f>IF(R13&gt;8,R13-8,0)</f>
        <v>0</v>
      </c>
      <c r="U13" s="113">
        <v>35</v>
      </c>
      <c r="V13" s="114"/>
      <c r="W13" s="114">
        <v>0</v>
      </c>
      <c r="X13" s="115">
        <f>_xlfn.IFS(U13&gt;35,U13-35,W13&gt;0,(W13*7)+U13-35,U13&lt;=35,0)</f>
        <v>0</v>
      </c>
      <c r="Y13" s="116">
        <f>IF(X13&lt;8,X13,8)</f>
        <v>0</v>
      </c>
      <c r="Z13" s="117">
        <f>IF(X13&gt;8,X13-8,0)</f>
        <v>0</v>
      </c>
      <c r="AA13" s="131">
        <v>35</v>
      </c>
      <c r="AB13" s="132">
        <v>0</v>
      </c>
      <c r="AC13" s="132">
        <v>0</v>
      </c>
      <c r="AD13" s="133">
        <f>_xlfn.IFS(AA13&gt;35,AA13-35,AC13&gt;0,(AC13*7)+AA13-35,AA13&lt;=35,0)</f>
        <v>0</v>
      </c>
      <c r="AE13" s="134">
        <f>IF(AD13&lt;8,AD13,8)</f>
        <v>0</v>
      </c>
      <c r="AF13" s="135">
        <f>IF(AD13&gt;8,AD13-8,0)</f>
        <v>0</v>
      </c>
      <c r="AG13" s="149">
        <v>35</v>
      </c>
      <c r="AH13" s="150">
        <v>0</v>
      </c>
      <c r="AI13" s="150">
        <v>0</v>
      </c>
      <c r="AJ13" s="151">
        <f>_xlfn.IFS(AG13&gt;35,AG13-35,AI13&gt;0,(AI13*7)+AG13-35,AG13&lt;=35,0)</f>
        <v>0</v>
      </c>
      <c r="AK13" s="152">
        <f>IF(AJ13&lt;8,AJ13,8)</f>
        <v>0</v>
      </c>
      <c r="AL13" s="153">
        <f>IF(AJ13&gt;8,AJ13-8,0)</f>
        <v>0</v>
      </c>
      <c r="AM13" s="167">
        <v>14</v>
      </c>
      <c r="AN13" s="168">
        <v>3</v>
      </c>
      <c r="AO13" s="168">
        <v>0</v>
      </c>
      <c r="AP13" s="169">
        <f>_xlfn.IFS(AM13&gt;35,AM13-35,AO13&gt;0,(AO13*7)+AM13-35,AM13&lt;=35,0)</f>
        <v>0</v>
      </c>
      <c r="AQ13" s="170">
        <f>IF(AP13&lt;8,AP13,8)</f>
        <v>0</v>
      </c>
      <c r="AR13" s="171">
        <f>IF(AP13&gt;8,AP13-8,0)</f>
        <v>0</v>
      </c>
    </row>
    <row r="14" spans="2:44" ht="15.75" thickBot="1" x14ac:dyDescent="0.3">
      <c r="B14" s="45">
        <v>5</v>
      </c>
      <c r="C14" s="60">
        <v>21</v>
      </c>
      <c r="D14" s="61">
        <v>0</v>
      </c>
      <c r="E14" s="184">
        <v>0</v>
      </c>
      <c r="F14" s="57">
        <f>_xlfn.IFS(C14&gt;35,C14-35,E14&gt;0,(E14*7)+C14-35,C14&lt;=35,0)</f>
        <v>0</v>
      </c>
      <c r="G14" s="62">
        <f>IF(F14&lt;8,F14,8)</f>
        <v>0</v>
      </c>
      <c r="H14" s="63">
        <f>IF(F14&gt;8,F14-8,0)</f>
        <v>0</v>
      </c>
      <c r="I14" s="80">
        <v>21</v>
      </c>
      <c r="J14" s="81">
        <v>0</v>
      </c>
      <c r="K14" s="81">
        <v>0</v>
      </c>
      <c r="L14" s="77">
        <f>_xlfn.IFS(I14&gt;35,I14-35,K14&gt;0,(K14*7)+I14-35,I14&lt;=35,0)</f>
        <v>0</v>
      </c>
      <c r="M14" s="82">
        <f>IF(L14&lt;8,L14,8)</f>
        <v>0</v>
      </c>
      <c r="N14" s="83">
        <f>IF(L14&gt;8,L14-8,0)</f>
        <v>0</v>
      </c>
      <c r="O14" s="100">
        <v>21</v>
      </c>
      <c r="P14" s="101">
        <v>0</v>
      </c>
      <c r="Q14" s="101">
        <v>0</v>
      </c>
      <c r="R14" s="97">
        <f>_xlfn.IFS(O14&gt;35,O14-35,Q14&gt;0,(Q14*7)+O14-35,O14&lt;=35,0)</f>
        <v>0</v>
      </c>
      <c r="S14" s="102">
        <f>IF(R14&lt;8,R14,8)</f>
        <v>0</v>
      </c>
      <c r="T14" s="103">
        <f>IF(R14&gt;8,R14-8,0)</f>
        <v>0</v>
      </c>
      <c r="U14" s="118">
        <v>21</v>
      </c>
      <c r="V14" s="119">
        <v>0</v>
      </c>
      <c r="W14" s="119">
        <v>0</v>
      </c>
      <c r="X14" s="115">
        <f>_xlfn.IFS(U14&gt;35,U14-35,W14&gt;0,(W14*7)+U14-35,U14&lt;=35,0)</f>
        <v>0</v>
      </c>
      <c r="Y14" s="120">
        <f>IF(X14&lt;8,X14,8)</f>
        <v>0</v>
      </c>
      <c r="Z14" s="121">
        <f>IF(X14&gt;8,X14-8,0)</f>
        <v>0</v>
      </c>
      <c r="AA14" s="136">
        <v>21</v>
      </c>
      <c r="AB14" s="137">
        <v>0</v>
      </c>
      <c r="AC14" s="137">
        <v>0</v>
      </c>
      <c r="AD14" s="133">
        <f>_xlfn.IFS(AA14&gt;35,AA14-35,AC14&gt;0,(AC14*7)+AA14-35,AA14&lt;=35,0)</f>
        <v>0</v>
      </c>
      <c r="AE14" s="138">
        <f>IF(AD14&lt;8,AD14,8)</f>
        <v>0</v>
      </c>
      <c r="AF14" s="139">
        <f>IF(AD14&gt;8,AD14-8,0)</f>
        <v>0</v>
      </c>
      <c r="AG14" s="154">
        <v>21</v>
      </c>
      <c r="AH14" s="155">
        <v>0</v>
      </c>
      <c r="AI14" s="155">
        <v>0</v>
      </c>
      <c r="AJ14" s="151">
        <f>_xlfn.IFS(AG14&gt;35,AG14-35,AI14&gt;0,(AI14*7)+AG14-35,AG14&lt;=35,0)</f>
        <v>0</v>
      </c>
      <c r="AK14" s="156">
        <f>IF(AJ14&lt;8,AJ14,8)</f>
        <v>0</v>
      </c>
      <c r="AL14" s="157">
        <f>IF(AJ14&gt;8,AJ14-8,0)</f>
        <v>0</v>
      </c>
      <c r="AM14" s="172">
        <v>21</v>
      </c>
      <c r="AN14" s="173">
        <v>0</v>
      </c>
      <c r="AO14" s="173">
        <v>0</v>
      </c>
      <c r="AP14" s="169">
        <f>_xlfn.IFS(AM14&gt;35,AM14-35,AO14&gt;0,(AO14*7)+AM14-35,AM14&lt;=35,0)</f>
        <v>0</v>
      </c>
      <c r="AQ14" s="174">
        <f>IF(AP14&lt;8,AP14,8)</f>
        <v>0</v>
      </c>
      <c r="AR14" s="175">
        <f>IF(AP14&gt;8,AP14-8,0)</f>
        <v>0</v>
      </c>
    </row>
    <row r="15" spans="2:44" s="48" customFormat="1" ht="16.5" thickBot="1" x14ac:dyDescent="0.3">
      <c r="B15" s="47" t="s">
        <v>14</v>
      </c>
      <c r="C15" s="64">
        <f t="shared" ref="C15:AR15" si="0">SUM(C10:C14)</f>
        <v>138</v>
      </c>
      <c r="D15" s="65">
        <f t="shared" si="0"/>
        <v>0</v>
      </c>
      <c r="E15" s="66">
        <f t="shared" si="0"/>
        <v>6</v>
      </c>
      <c r="F15" s="64">
        <f t="shared" si="0"/>
        <v>19</v>
      </c>
      <c r="G15" s="67">
        <f t="shared" si="0"/>
        <v>17</v>
      </c>
      <c r="H15" s="66">
        <f t="shared" si="0"/>
        <v>2</v>
      </c>
      <c r="I15" s="84">
        <f t="shared" si="0"/>
        <v>146</v>
      </c>
      <c r="J15" s="85">
        <f t="shared" si="0"/>
        <v>0</v>
      </c>
      <c r="K15" s="86">
        <f t="shared" si="0"/>
        <v>3</v>
      </c>
      <c r="L15" s="84">
        <f t="shared" si="0"/>
        <v>6</v>
      </c>
      <c r="M15" s="87">
        <f t="shared" si="0"/>
        <v>6</v>
      </c>
      <c r="N15" s="86">
        <f t="shared" si="0"/>
        <v>0</v>
      </c>
      <c r="O15" s="104">
        <f t="shared" si="0"/>
        <v>100</v>
      </c>
      <c r="P15" s="105">
        <f t="shared" si="0"/>
        <v>10</v>
      </c>
      <c r="Q15" s="106">
        <f t="shared" si="0"/>
        <v>0</v>
      </c>
      <c r="R15" s="104">
        <f t="shared" si="0"/>
        <v>9</v>
      </c>
      <c r="S15" s="107">
        <f t="shared" si="0"/>
        <v>8</v>
      </c>
      <c r="T15" s="106">
        <f t="shared" si="0"/>
        <v>1</v>
      </c>
      <c r="U15" s="122">
        <f t="shared" si="0"/>
        <v>161</v>
      </c>
      <c r="V15" s="123">
        <f t="shared" si="0"/>
        <v>0</v>
      </c>
      <c r="W15" s="124">
        <f t="shared" si="0"/>
        <v>0</v>
      </c>
      <c r="X15" s="122">
        <f t="shared" si="0"/>
        <v>0</v>
      </c>
      <c r="Y15" s="125">
        <f t="shared" si="0"/>
        <v>0</v>
      </c>
      <c r="Z15" s="124">
        <f t="shared" si="0"/>
        <v>0</v>
      </c>
      <c r="AA15" s="140">
        <f t="shared" si="0"/>
        <v>156</v>
      </c>
      <c r="AB15" s="141">
        <f t="shared" si="0"/>
        <v>0</v>
      </c>
      <c r="AC15" s="142">
        <f t="shared" si="0"/>
        <v>3</v>
      </c>
      <c r="AD15" s="140">
        <f t="shared" si="0"/>
        <v>16</v>
      </c>
      <c r="AE15" s="143">
        <f t="shared" si="0"/>
        <v>15</v>
      </c>
      <c r="AF15" s="142">
        <f t="shared" si="0"/>
        <v>1</v>
      </c>
      <c r="AG15" s="158">
        <f t="shared" si="0"/>
        <v>171</v>
      </c>
      <c r="AH15" s="159">
        <f t="shared" si="0"/>
        <v>0</v>
      </c>
      <c r="AI15" s="160">
        <f t="shared" si="0"/>
        <v>0</v>
      </c>
      <c r="AJ15" s="158">
        <f t="shared" si="0"/>
        <v>10</v>
      </c>
      <c r="AK15" s="161">
        <f t="shared" si="0"/>
        <v>8</v>
      </c>
      <c r="AL15" s="160">
        <f t="shared" si="0"/>
        <v>2</v>
      </c>
      <c r="AM15" s="176">
        <f t="shared" si="0"/>
        <v>140</v>
      </c>
      <c r="AN15" s="177">
        <f t="shared" si="0"/>
        <v>3</v>
      </c>
      <c r="AO15" s="178">
        <f t="shared" si="0"/>
        <v>0</v>
      </c>
      <c r="AP15" s="176">
        <f t="shared" si="0"/>
        <v>0</v>
      </c>
      <c r="AQ15" s="179">
        <f t="shared" si="0"/>
        <v>0</v>
      </c>
      <c r="AR15" s="180">
        <f t="shared" si="0"/>
        <v>0</v>
      </c>
    </row>
    <row r="16" spans="2:44" ht="16.5" thickBot="1" x14ac:dyDescent="0.3">
      <c r="B16" s="49"/>
      <c r="C16" s="288" t="s">
        <v>46</v>
      </c>
      <c r="D16" s="289"/>
      <c r="E16" s="290"/>
      <c r="F16" s="288" t="s">
        <v>49</v>
      </c>
      <c r="G16" s="289"/>
      <c r="H16" s="290"/>
      <c r="I16" s="264" t="s">
        <v>46</v>
      </c>
      <c r="J16" s="265"/>
      <c r="K16" s="266"/>
      <c r="L16" s="265" t="s">
        <v>49</v>
      </c>
      <c r="M16" s="265"/>
      <c r="N16" s="266"/>
    </row>
    <row r="17" spans="2:31" x14ac:dyDescent="0.25">
      <c r="B17" s="42" t="s">
        <v>47</v>
      </c>
      <c r="C17" s="285">
        <v>7830</v>
      </c>
      <c r="D17" s="286"/>
      <c r="E17" s="287"/>
      <c r="F17" s="291">
        <f>IFERROR(_xlfn.IFS(C17='INFOS COMMERCIAUX'!C12,'INFOS COMMERCIAUX'!C13,C17&gt;'INFOS COMMERCIAUX'!C12,(('INFOS MOIS'!C17-'INFOS COMMERCIAUX'!C12)*'INFOS COMMERCIAUX'!C14)+'INFOS COMMERCIAUX'!C13,C17&lt;'INFOS COMMERCIAUX'!C12,0),0)</f>
        <v>860</v>
      </c>
      <c r="G17" s="292"/>
      <c r="H17" s="293"/>
      <c r="I17" s="267">
        <v>6000</v>
      </c>
      <c r="J17" s="268"/>
      <c r="K17" s="269"/>
      <c r="L17" s="270">
        <f>IFERROR(_xlfn.IFS(I17&lt;'INFOS COMMERCIAUX'!D12,0,'INFOS MOIS'!I17='INFOS COMMERCIAUX'!D12,'INFOS COMMERCIAUX'!D13,'INFOS MOIS'!I17&gt;'INFOS COMMERCIAUX'!D12,((('INFOS MOIS'!I17-'INFOS COMMERCIAUX'!D12)*'INFOS COMMERCIAUX'!D14)+'INFOS COMMERCIAUX'!D13)),0)</f>
        <v>0</v>
      </c>
      <c r="M17" s="271"/>
      <c r="N17" s="272"/>
    </row>
    <row r="18" spans="2:31" x14ac:dyDescent="0.25">
      <c r="B18" s="43" t="s">
        <v>48</v>
      </c>
      <c r="C18" s="55"/>
      <c r="D18" s="68"/>
      <c r="E18" s="59"/>
      <c r="F18" s="185"/>
      <c r="G18" s="186"/>
      <c r="H18" s="187"/>
      <c r="I18" s="75"/>
      <c r="J18" s="88"/>
      <c r="K18" s="79"/>
      <c r="L18" s="191"/>
      <c r="M18" s="192"/>
      <c r="N18" s="193"/>
    </row>
    <row r="19" spans="2:31" ht="15.75" thickBot="1" x14ac:dyDescent="0.3">
      <c r="B19" s="44" t="s">
        <v>50</v>
      </c>
      <c r="C19" s="60"/>
      <c r="D19" s="69"/>
      <c r="E19" s="63"/>
      <c r="F19" s="188"/>
      <c r="G19" s="189"/>
      <c r="H19" s="190"/>
      <c r="I19" s="80"/>
      <c r="J19" s="89"/>
      <c r="K19" s="83"/>
      <c r="L19" s="194"/>
      <c r="M19" s="195"/>
      <c r="N19" s="196"/>
    </row>
    <row r="20" spans="2:31" ht="15.75" thickBot="1" x14ac:dyDescent="0.3">
      <c r="B20" s="46" t="s">
        <v>14</v>
      </c>
      <c r="C20" s="273">
        <f>SUM(C17:E19)</f>
        <v>7830</v>
      </c>
      <c r="D20" s="274"/>
      <c r="E20" s="275"/>
      <c r="F20" s="276">
        <f>SUM(F17:H19)</f>
        <v>860</v>
      </c>
      <c r="G20" s="277"/>
      <c r="H20" s="278"/>
      <c r="I20" s="279">
        <f>SUM(I17:K19)</f>
        <v>6000</v>
      </c>
      <c r="J20" s="280"/>
      <c r="K20" s="281"/>
      <c r="L20" s="282">
        <f>SUM(L17:N19)</f>
        <v>0</v>
      </c>
      <c r="M20" s="283"/>
      <c r="N20" s="284"/>
      <c r="AC20" s="39" t="s">
        <v>78</v>
      </c>
    </row>
    <row r="21" spans="2:31" x14ac:dyDescent="0.25">
      <c r="X21" s="39" t="s">
        <v>72</v>
      </c>
      <c r="Y21" s="39" t="s">
        <v>73</v>
      </c>
      <c r="AA21" s="39" t="s">
        <v>74</v>
      </c>
      <c r="AB21" s="39" t="s">
        <v>75</v>
      </c>
      <c r="AC21" s="39" t="s">
        <v>33</v>
      </c>
      <c r="AD21" s="39" t="s">
        <v>76</v>
      </c>
      <c r="AE21" s="39" t="s">
        <v>77</v>
      </c>
    </row>
    <row r="22" spans="2:31" x14ac:dyDescent="0.25">
      <c r="X22" s="39" t="s">
        <v>71</v>
      </c>
      <c r="Y22" s="39">
        <v>1</v>
      </c>
    </row>
    <row r="23" spans="2:31" x14ac:dyDescent="0.25">
      <c r="Y23" s="39">
        <v>2</v>
      </c>
    </row>
    <row r="24" spans="2:31" x14ac:dyDescent="0.25">
      <c r="Y24" s="39">
        <v>3</v>
      </c>
    </row>
    <row r="25" spans="2:31" x14ac:dyDescent="0.25">
      <c r="Y25" s="39">
        <v>4</v>
      </c>
    </row>
  </sheetData>
  <mergeCells count="34">
    <mergeCell ref="I16:K16"/>
    <mergeCell ref="L16:N16"/>
    <mergeCell ref="I17:K17"/>
    <mergeCell ref="L17:N17"/>
    <mergeCell ref="C20:E20"/>
    <mergeCell ref="F20:H20"/>
    <mergeCell ref="I20:K20"/>
    <mergeCell ref="L20:N20"/>
    <mergeCell ref="C17:E17"/>
    <mergeCell ref="C16:E16"/>
    <mergeCell ref="F16:H16"/>
    <mergeCell ref="F17:H17"/>
    <mergeCell ref="AM8:AO8"/>
    <mergeCell ref="AP8:AR8"/>
    <mergeCell ref="AG7:AL7"/>
    <mergeCell ref="AM7:AR7"/>
    <mergeCell ref="C7:H7"/>
    <mergeCell ref="L8:N8"/>
    <mergeCell ref="C3:AR4"/>
    <mergeCell ref="AA7:AF7"/>
    <mergeCell ref="AA8:AC8"/>
    <mergeCell ref="AD8:AF8"/>
    <mergeCell ref="C8:E8"/>
    <mergeCell ref="AG8:AI8"/>
    <mergeCell ref="AJ8:AL8"/>
    <mergeCell ref="O7:T7"/>
    <mergeCell ref="O8:Q8"/>
    <mergeCell ref="R8:T8"/>
    <mergeCell ref="U7:Z7"/>
    <mergeCell ref="U8:W8"/>
    <mergeCell ref="X8:Z8"/>
    <mergeCell ref="I7:N7"/>
    <mergeCell ref="F8:H8"/>
    <mergeCell ref="I8:K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0E790-1437-40F3-BAAB-DEC8D34B4448}">
  <dimension ref="B1:AA53"/>
  <sheetViews>
    <sheetView tabSelected="1" workbookViewId="0">
      <pane ySplit="4" topLeftCell="A5" activePane="bottomLeft" state="frozen"/>
      <selection pane="bottomLeft" activeCell="S12" sqref="S12"/>
    </sheetView>
  </sheetViews>
  <sheetFormatPr baseColWidth="10" defaultRowHeight="15" x14ac:dyDescent="0.25"/>
  <cols>
    <col min="1" max="1" width="11.42578125" style="39"/>
    <col min="2" max="2" width="11.7109375" style="39" bestFit="1" customWidth="1"/>
    <col min="3" max="3" width="10.7109375" style="39" bestFit="1" customWidth="1"/>
    <col min="4" max="4" width="10.7109375" style="39" customWidth="1"/>
    <col min="5" max="5" width="10.5703125" style="39" bestFit="1" customWidth="1"/>
    <col min="6" max="6" width="6.28515625" style="39" bestFit="1" customWidth="1"/>
    <col min="7" max="7" width="7.5703125" style="39" customWidth="1"/>
    <col min="8" max="8" width="3.28515625" style="39" bestFit="1" customWidth="1"/>
    <col min="9" max="9" width="8.7109375" style="39" bestFit="1" customWidth="1"/>
    <col min="10" max="10" width="3.140625" style="39" bestFit="1" customWidth="1"/>
    <col min="11" max="11" width="8.7109375" style="39" bestFit="1" customWidth="1"/>
    <col min="12" max="12" width="3.28515625" style="39" bestFit="1" customWidth="1"/>
    <col min="13" max="13" width="8.7109375" style="39" bestFit="1" customWidth="1"/>
    <col min="14" max="14" width="3.140625" style="39" bestFit="1" customWidth="1"/>
    <col min="15" max="15" width="8.7109375" style="39" bestFit="1" customWidth="1"/>
    <col min="16" max="16" width="3.28515625" style="39" bestFit="1" customWidth="1"/>
    <col min="17" max="17" width="8.7109375" style="39" bestFit="1" customWidth="1"/>
    <col min="18" max="18" width="3.140625" style="39" bestFit="1" customWidth="1"/>
    <col min="19" max="19" width="8.7109375" style="39" bestFit="1" customWidth="1"/>
    <col min="20" max="20" width="3.28515625" style="39" bestFit="1" customWidth="1"/>
    <col min="21" max="21" width="8.7109375" style="39" bestFit="1" customWidth="1"/>
    <col min="22" max="22" width="3.140625" style="39" bestFit="1" customWidth="1"/>
    <col min="23" max="23" width="8.7109375" style="39" bestFit="1" customWidth="1"/>
    <col min="24" max="24" width="5.28515625" style="39" bestFit="1" customWidth="1"/>
    <col min="25" max="26" width="4.5703125" style="39" bestFit="1" customWidth="1"/>
    <col min="27" max="27" width="5.5703125" style="39" bestFit="1" customWidth="1"/>
    <col min="28" max="16384" width="11.42578125" style="39"/>
  </cols>
  <sheetData>
    <row r="1" spans="2:27" ht="31.5" x14ac:dyDescent="0.25">
      <c r="B1" s="333"/>
      <c r="C1" s="333"/>
      <c r="D1" s="333"/>
      <c r="E1" s="332" t="s">
        <v>92</v>
      </c>
      <c r="F1" s="332"/>
      <c r="G1" s="334">
        <v>43405</v>
      </c>
      <c r="H1" s="334"/>
      <c r="I1" s="334"/>
      <c r="J1" s="334"/>
      <c r="K1" s="334"/>
      <c r="L1" s="333"/>
      <c r="M1" s="333" t="s">
        <v>70</v>
      </c>
      <c r="N1" s="333"/>
      <c r="O1" s="334">
        <v>43434</v>
      </c>
      <c r="P1" s="334"/>
      <c r="Q1" s="334"/>
      <c r="R1" s="334"/>
      <c r="S1" s="334"/>
      <c r="T1" s="333"/>
      <c r="U1" s="333"/>
      <c r="V1" s="333"/>
      <c r="W1" s="333"/>
      <c r="X1" s="333"/>
      <c r="Y1" s="333"/>
      <c r="Z1" s="333"/>
      <c r="AA1" s="333"/>
    </row>
    <row r="2" spans="2:27" ht="15.75" thickBot="1" x14ac:dyDescent="0.3">
      <c r="I2" s="336" t="s">
        <v>93</v>
      </c>
    </row>
    <row r="3" spans="2:27" ht="15" customHeight="1" x14ac:dyDescent="0.25">
      <c r="B3" s="296" t="s">
        <v>72</v>
      </c>
      <c r="C3" s="296" t="s">
        <v>73</v>
      </c>
      <c r="D3" s="339" t="s">
        <v>107</v>
      </c>
      <c r="E3" s="309" t="s">
        <v>91</v>
      </c>
      <c r="F3" s="296" t="s">
        <v>63</v>
      </c>
      <c r="G3" s="310" t="s">
        <v>78</v>
      </c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2"/>
      <c r="X3" s="302" t="s">
        <v>89</v>
      </c>
      <c r="Y3" s="304">
        <v>0.25</v>
      </c>
      <c r="Z3" s="304">
        <v>0.5</v>
      </c>
      <c r="AA3" s="302" t="s">
        <v>90</v>
      </c>
    </row>
    <row r="4" spans="2:27" ht="15.75" thickBot="1" x14ac:dyDescent="0.3">
      <c r="B4" s="297"/>
      <c r="C4" s="297"/>
      <c r="D4" s="297"/>
      <c r="E4" s="298"/>
      <c r="F4" s="297"/>
      <c r="G4" s="313"/>
      <c r="H4" s="314" t="s">
        <v>75</v>
      </c>
      <c r="I4" s="315"/>
      <c r="J4" s="315"/>
      <c r="K4" s="316"/>
      <c r="L4" s="314" t="s">
        <v>33</v>
      </c>
      <c r="M4" s="315"/>
      <c r="N4" s="315"/>
      <c r="O4" s="316"/>
      <c r="P4" s="314" t="s">
        <v>76</v>
      </c>
      <c r="Q4" s="315"/>
      <c r="R4" s="315"/>
      <c r="S4" s="316"/>
      <c r="T4" s="314" t="s">
        <v>77</v>
      </c>
      <c r="U4" s="315"/>
      <c r="V4" s="315"/>
      <c r="W4" s="317"/>
      <c r="X4" s="303"/>
      <c r="Y4" s="305"/>
      <c r="Z4" s="305"/>
      <c r="AA4" s="303"/>
    </row>
    <row r="5" spans="2:27" x14ac:dyDescent="0.25">
      <c r="B5" s="294" t="s">
        <v>79</v>
      </c>
      <c r="C5" s="42"/>
      <c r="D5" s="42"/>
      <c r="E5" s="42"/>
      <c r="F5" s="42"/>
      <c r="G5" s="318" t="s">
        <v>87</v>
      </c>
      <c r="H5" s="319" t="s">
        <v>85</v>
      </c>
      <c r="I5" s="329"/>
      <c r="J5" s="320" t="s">
        <v>86</v>
      </c>
      <c r="K5" s="329"/>
      <c r="L5" s="319" t="s">
        <v>85</v>
      </c>
      <c r="M5" s="329"/>
      <c r="N5" s="320" t="s">
        <v>86</v>
      </c>
      <c r="O5" s="329"/>
      <c r="P5" s="319" t="s">
        <v>85</v>
      </c>
      <c r="Q5" s="329"/>
      <c r="R5" s="320" t="s">
        <v>86</v>
      </c>
      <c r="S5" s="329"/>
      <c r="T5" s="320" t="s">
        <v>85</v>
      </c>
      <c r="U5" s="329"/>
      <c r="V5" s="320" t="s">
        <v>86</v>
      </c>
      <c r="W5" s="329"/>
      <c r="X5" s="42"/>
      <c r="Y5" s="42"/>
      <c r="Z5" s="42"/>
      <c r="AA5" s="42"/>
    </row>
    <row r="6" spans="2:27" x14ac:dyDescent="0.25">
      <c r="B6" s="295"/>
      <c r="C6" s="43">
        <f>WEEKNUM($G$1,21)</f>
        <v>44</v>
      </c>
      <c r="D6" s="33"/>
      <c r="E6" s="33">
        <f>_xlfn.IFS(WEEKDAY($G$1,2)=1,35,WEEKDAY($G$1,2)=2,28,WEEKDAY($G$1,2)=3,21,WEEKDAY($G$1,2)=4,14,WEEKDAY($G$1,2)=5,7,WEEKDAY($G$1,2)=6,0,WEEKDAY($G$1,2)=7,0)</f>
        <v>14</v>
      </c>
      <c r="F6" s="43">
        <v>18</v>
      </c>
      <c r="H6" s="321"/>
      <c r="K6" s="322"/>
      <c r="L6" s="321"/>
      <c r="O6" s="322"/>
      <c r="P6" s="321"/>
      <c r="S6" s="322"/>
      <c r="W6" s="203"/>
      <c r="X6" s="43">
        <f>IF(SUM(I6,M6,Q6,U6)*7+F6&gt;E6,SUM(I6,M6,Q6,U6)*7+F6-E6,0)</f>
        <v>4</v>
      </c>
      <c r="Y6" s="43">
        <f>IF(X6&lt;8,X6,8)</f>
        <v>4</v>
      </c>
      <c r="Z6" s="43">
        <f>IF(X6&gt;8,X6-8,0)</f>
        <v>0</v>
      </c>
      <c r="AA6" s="43">
        <f>SUM(I6,M6,Q6,U6)</f>
        <v>0</v>
      </c>
    </row>
    <row r="7" spans="2:27" x14ac:dyDescent="0.25">
      <c r="B7" s="295"/>
      <c r="C7" s="337">
        <f>SUM(WEEKNUM($G$1,21)+1)</f>
        <v>45</v>
      </c>
      <c r="D7" s="33">
        <f>IF(WEEKNUM(C7,21),COUNTIF(Jour_Fériés,Feuil1!$D$16&lt;&gt;"dimanche"&lt;&gt;"samedi"),0)</f>
        <v>0</v>
      </c>
      <c r="E7" s="43">
        <v>35</v>
      </c>
      <c r="F7" s="43">
        <v>18</v>
      </c>
      <c r="H7" s="321"/>
      <c r="K7" s="322"/>
      <c r="L7" s="321"/>
      <c r="O7" s="322"/>
      <c r="P7" s="321"/>
      <c r="S7" s="322"/>
      <c r="W7" s="203"/>
      <c r="X7" s="43">
        <f t="shared" ref="X7:X52" si="0">IF(SUM(I7,M7,Q7,U7)*7+F7&gt;E7,SUM(I7,M7,Q7,U7)*7+F7-E7,0)</f>
        <v>0</v>
      </c>
      <c r="Y7" s="43">
        <f>IF(X7&lt;8,X7,8)</f>
        <v>0</v>
      </c>
      <c r="Z7" s="43">
        <f>IF(X7&gt;8,X7-8,0)</f>
        <v>0</v>
      </c>
      <c r="AA7" s="43">
        <f t="shared" ref="AA7:AA53" si="1">SUM(I7,M7,Q7,U7)</f>
        <v>0</v>
      </c>
    </row>
    <row r="8" spans="2:27" x14ac:dyDescent="0.25">
      <c r="B8" s="295"/>
      <c r="C8" s="337">
        <f>WEEKNUM($G$1,21)+2</f>
        <v>46</v>
      </c>
      <c r="D8" s="33">
        <f>IF(WEEKNUM(C8,21),COUNTIF(Jour_Fériés,formules&lt;&gt;"samedi"&lt;&gt;"dimanche"),0)</f>
        <v>0</v>
      </c>
      <c r="E8" s="43">
        <v>35</v>
      </c>
      <c r="F8" s="43">
        <v>37</v>
      </c>
      <c r="H8" s="321"/>
      <c r="K8" s="322"/>
      <c r="L8" s="321"/>
      <c r="O8" s="322"/>
      <c r="P8" s="321"/>
      <c r="S8" s="322"/>
      <c r="W8" s="203"/>
      <c r="X8" s="43">
        <f t="shared" si="0"/>
        <v>2</v>
      </c>
      <c r="Y8" s="43">
        <f>IF(X8&lt;8,X8,8)</f>
        <v>2</v>
      </c>
      <c r="Z8" s="43">
        <f>IF(X8&gt;8,X8-8,0)</f>
        <v>0</v>
      </c>
      <c r="AA8" s="43">
        <f t="shared" si="1"/>
        <v>0</v>
      </c>
    </row>
    <row r="9" spans="2:27" x14ac:dyDescent="0.25">
      <c r="B9" s="295"/>
      <c r="C9" s="337">
        <f>WEEKNUM($G$1,21)+3</f>
        <v>47</v>
      </c>
      <c r="D9" s="33">
        <f>IF(WEEKNUM(C9,21),COUNTIF(Jour_Fériés,formules&lt;&gt;"samedi"&lt;&gt;"dimanche"),1)</f>
        <v>0</v>
      </c>
      <c r="E9" s="43">
        <v>35</v>
      </c>
      <c r="F9" s="43">
        <v>35</v>
      </c>
      <c r="H9" s="321"/>
      <c r="K9" s="322"/>
      <c r="L9" s="321"/>
      <c r="O9" s="322"/>
      <c r="P9" s="321"/>
      <c r="S9" s="322"/>
      <c r="W9" s="203"/>
      <c r="X9" s="43">
        <f t="shared" si="0"/>
        <v>0</v>
      </c>
      <c r="Y9" s="43">
        <f>IF(X9&lt;8,X9,8)</f>
        <v>0</v>
      </c>
      <c r="Z9" s="43">
        <f>IF(X9&gt;8,X9-8,0)</f>
        <v>0</v>
      </c>
      <c r="AA9" s="43">
        <f t="shared" si="1"/>
        <v>0</v>
      </c>
    </row>
    <row r="10" spans="2:27" ht="15.75" thickBot="1" x14ac:dyDescent="0.3">
      <c r="B10" s="307"/>
      <c r="C10" s="338">
        <f>WEEKNUM($G$1,21)+4</f>
        <v>48</v>
      </c>
      <c r="D10" s="33">
        <f>IF(WEEKNUM(C10,21),COUNTIF(Jour_Fériés,formules&lt;&gt;"samedi"&lt;&gt;"dimanche"),1)</f>
        <v>0</v>
      </c>
      <c r="E10" s="335">
        <f>_xlfn.IFS(WEEKDAY($O$1,2)=1,7,WEEKDAY($O$1,2)=2,14,WEEKDAY($O$1,2)=3,21,WEEKDAY($O$1,2)=4,28,WEEKDAY($O$1,2)=5,35,WEEKDAY($O$1,2)=6,0,WEEKDAY($O$1,2)=7,0)</f>
        <v>35</v>
      </c>
      <c r="F10" s="308">
        <v>21</v>
      </c>
      <c r="G10" s="323"/>
      <c r="H10" s="324"/>
      <c r="I10" s="323"/>
      <c r="J10" s="323"/>
      <c r="K10" s="325"/>
      <c r="L10" s="324"/>
      <c r="M10" s="323"/>
      <c r="N10" s="323"/>
      <c r="O10" s="325"/>
      <c r="P10" s="324"/>
      <c r="Q10" s="323"/>
      <c r="R10" s="323"/>
      <c r="S10" s="325"/>
      <c r="T10" s="323"/>
      <c r="U10" s="323"/>
      <c r="V10" s="323"/>
      <c r="W10" s="326"/>
      <c r="X10" s="308">
        <f t="shared" si="0"/>
        <v>0</v>
      </c>
      <c r="Y10" s="308">
        <f>IF(X10&lt;8,X10,8)</f>
        <v>0</v>
      </c>
      <c r="Z10" s="308">
        <f>IF(X10&gt;8,X10-8,0)</f>
        <v>0</v>
      </c>
      <c r="AA10" s="308">
        <f t="shared" si="1"/>
        <v>0</v>
      </c>
    </row>
    <row r="11" spans="2:27" ht="18" thickBot="1" x14ac:dyDescent="0.3">
      <c r="B11" s="306" t="s">
        <v>14</v>
      </c>
      <c r="C11" s="204"/>
      <c r="D11" s="204"/>
      <c r="E11" s="205"/>
      <c r="F11" s="44">
        <f>SUM(F6:F10)</f>
        <v>129</v>
      </c>
      <c r="G11" s="204"/>
      <c r="H11" s="327"/>
      <c r="I11" s="204">
        <f>SUM(I6:I10)</f>
        <v>0</v>
      </c>
      <c r="J11" s="204"/>
      <c r="K11" s="328"/>
      <c r="L11" s="327"/>
      <c r="M11" s="204">
        <f>SUM(M6:M10)</f>
        <v>0</v>
      </c>
      <c r="N11" s="204"/>
      <c r="O11" s="328"/>
      <c r="P11" s="327"/>
      <c r="Q11" s="204">
        <f>SUM(Q6:Q10)</f>
        <v>0</v>
      </c>
      <c r="R11" s="204"/>
      <c r="S11" s="328"/>
      <c r="T11" s="204"/>
      <c r="U11" s="204">
        <f>SUM(U6:U10)</f>
        <v>0</v>
      </c>
      <c r="V11" s="204"/>
      <c r="W11" s="205"/>
      <c r="X11" s="44">
        <f>SUM(X6:X10)</f>
        <v>6</v>
      </c>
      <c r="Y11" s="44">
        <f t="shared" ref="Y11:AA11" si="2">SUM(Y6:Y10)</f>
        <v>6</v>
      </c>
      <c r="Z11" s="44">
        <f t="shared" si="2"/>
        <v>0</v>
      </c>
      <c r="AA11" s="44">
        <f t="shared" si="2"/>
        <v>0</v>
      </c>
    </row>
    <row r="12" spans="2:27" ht="15" customHeight="1" x14ac:dyDescent="0.25">
      <c r="B12" s="294" t="s">
        <v>80</v>
      </c>
      <c r="C12" s="42"/>
      <c r="D12" s="42"/>
      <c r="E12" s="42"/>
      <c r="F12" s="42"/>
      <c r="G12" s="318" t="s">
        <v>87</v>
      </c>
      <c r="H12" s="319" t="s">
        <v>85</v>
      </c>
      <c r="I12" s="329"/>
      <c r="J12" s="320" t="s">
        <v>86</v>
      </c>
      <c r="K12" s="330"/>
      <c r="L12" s="319" t="s">
        <v>85</v>
      </c>
      <c r="M12" s="329"/>
      <c r="N12" s="320" t="s">
        <v>86</v>
      </c>
      <c r="O12" s="330"/>
      <c r="P12" s="319" t="s">
        <v>85</v>
      </c>
      <c r="Q12" s="329"/>
      <c r="R12" s="320" t="s">
        <v>86</v>
      </c>
      <c r="S12" s="330"/>
      <c r="T12" s="320" t="s">
        <v>85</v>
      </c>
      <c r="U12" s="329"/>
      <c r="V12" s="320" t="s">
        <v>86</v>
      </c>
      <c r="W12" s="331"/>
      <c r="X12" s="42"/>
      <c r="Y12" s="42"/>
      <c r="Z12" s="42"/>
      <c r="AA12" s="42"/>
    </row>
    <row r="13" spans="2:27" ht="15" customHeight="1" x14ac:dyDescent="0.25">
      <c r="B13" s="295"/>
      <c r="C13" s="43">
        <f>WEEKNUM($G$1,21)</f>
        <v>44</v>
      </c>
      <c r="D13" s="43"/>
      <c r="E13" s="43">
        <v>35</v>
      </c>
      <c r="F13" s="43">
        <v>35</v>
      </c>
      <c r="H13" s="321"/>
      <c r="K13" s="322"/>
      <c r="L13" s="321"/>
      <c r="O13" s="322"/>
      <c r="P13" s="321"/>
      <c r="S13" s="322"/>
      <c r="W13" s="203"/>
      <c r="X13" s="43">
        <f t="shared" si="0"/>
        <v>0</v>
      </c>
      <c r="Y13" s="43">
        <f>IF(X13&lt;8,X13,8)</f>
        <v>0</v>
      </c>
      <c r="Z13" s="43">
        <f>IF(X13&gt;8,X13-8,0)</f>
        <v>0</v>
      </c>
      <c r="AA13" s="43">
        <f>SUM(I13,M13,Q13,U13)</f>
        <v>0</v>
      </c>
    </row>
    <row r="14" spans="2:27" ht="15" customHeight="1" x14ac:dyDescent="0.25">
      <c r="B14" s="295"/>
      <c r="C14" s="337">
        <f>SUM(WEEKNUM($G$1,21)+1)</f>
        <v>45</v>
      </c>
      <c r="D14" s="337"/>
      <c r="E14" s="43">
        <v>35</v>
      </c>
      <c r="F14" s="43">
        <v>35</v>
      </c>
      <c r="H14" s="321"/>
      <c r="K14" s="322"/>
      <c r="L14" s="321"/>
      <c r="O14" s="322"/>
      <c r="P14" s="321"/>
      <c r="S14" s="322"/>
      <c r="W14" s="203"/>
      <c r="X14" s="43">
        <f t="shared" si="0"/>
        <v>0</v>
      </c>
      <c r="Y14" s="43">
        <f>IF(X14&lt;8,X14,8)</f>
        <v>0</v>
      </c>
      <c r="Z14" s="43">
        <f>IF(X14&gt;8,X14-8,0)</f>
        <v>0</v>
      </c>
      <c r="AA14" s="43">
        <f t="shared" si="1"/>
        <v>0</v>
      </c>
    </row>
    <row r="15" spans="2:27" ht="15" customHeight="1" x14ac:dyDescent="0.25">
      <c r="B15" s="295"/>
      <c r="C15" s="337">
        <f>WEEKNUM($G$1,21)+2</f>
        <v>46</v>
      </c>
      <c r="D15" s="337"/>
      <c r="E15" s="43">
        <v>35</v>
      </c>
      <c r="F15" s="43">
        <v>35</v>
      </c>
      <c r="H15" s="321"/>
      <c r="K15" s="322"/>
      <c r="L15" s="321"/>
      <c r="O15" s="322"/>
      <c r="P15" s="321"/>
      <c r="S15" s="322"/>
      <c r="W15" s="203"/>
      <c r="X15" s="43">
        <f t="shared" si="0"/>
        <v>0</v>
      </c>
      <c r="Y15" s="43">
        <f>IF(X15&lt;8,X15,8)</f>
        <v>0</v>
      </c>
      <c r="Z15" s="43">
        <f>IF(X15&gt;8,X15-8,0)</f>
        <v>0</v>
      </c>
      <c r="AA15" s="43">
        <f t="shared" si="1"/>
        <v>0</v>
      </c>
    </row>
    <row r="16" spans="2:27" ht="15" customHeight="1" x14ac:dyDescent="0.25">
      <c r="B16" s="295"/>
      <c r="C16" s="337">
        <f>WEEKNUM($G$1,21)+3</f>
        <v>47</v>
      </c>
      <c r="D16" s="337"/>
      <c r="E16" s="43">
        <v>35</v>
      </c>
      <c r="F16" s="43">
        <v>35</v>
      </c>
      <c r="H16" s="321"/>
      <c r="K16" s="322"/>
      <c r="L16" s="321"/>
      <c r="O16" s="322"/>
      <c r="P16" s="321"/>
      <c r="S16" s="322"/>
      <c r="W16" s="203"/>
      <c r="X16" s="43">
        <f t="shared" si="0"/>
        <v>0</v>
      </c>
      <c r="Y16" s="43">
        <f>IF(X16&lt;8,X16,8)</f>
        <v>0</v>
      </c>
      <c r="Z16" s="43">
        <f>IF(X16&gt;8,X16-8,0)</f>
        <v>0</v>
      </c>
      <c r="AA16" s="43">
        <f t="shared" si="1"/>
        <v>0</v>
      </c>
    </row>
    <row r="17" spans="2:27" ht="15" customHeight="1" thickBot="1" x14ac:dyDescent="0.3">
      <c r="B17" s="307"/>
      <c r="C17" s="338">
        <f>WEEKNUM($G$1,21)+4</f>
        <v>48</v>
      </c>
      <c r="D17" s="337"/>
      <c r="E17" s="335">
        <f>_xlfn.IFS(WEEKDAY($O$1,2)=1,7,WEEKDAY($O$1,2)=2,14,WEEKDAY($O$1,2)=3,21,WEEKDAY($O$1,2)=4,28,WEEKDAY($O$1,2)=5,35,WEEKDAY($O$1,2)=6,0,WEEKDAY($O$1,2)=7,0)</f>
        <v>35</v>
      </c>
      <c r="F17" s="308">
        <v>21</v>
      </c>
      <c r="G17" s="323"/>
      <c r="H17" s="324"/>
      <c r="I17" s="323"/>
      <c r="J17" s="323"/>
      <c r="K17" s="325"/>
      <c r="L17" s="324"/>
      <c r="M17" s="323"/>
      <c r="N17" s="323"/>
      <c r="O17" s="325"/>
      <c r="P17" s="324"/>
      <c r="Q17" s="323"/>
      <c r="R17" s="323"/>
      <c r="S17" s="325"/>
      <c r="T17" s="323"/>
      <c r="U17" s="323"/>
      <c r="V17" s="323"/>
      <c r="W17" s="326"/>
      <c r="X17" s="308">
        <f t="shared" si="0"/>
        <v>0</v>
      </c>
      <c r="Y17" s="308">
        <f>IF(X17&lt;8,X17,8)</f>
        <v>0</v>
      </c>
      <c r="Z17" s="308">
        <f>IF(X17&gt;8,X17-8,0)</f>
        <v>0</v>
      </c>
      <c r="AA17" s="308">
        <f t="shared" si="1"/>
        <v>0</v>
      </c>
    </row>
    <row r="18" spans="2:27" ht="15" customHeight="1" thickBot="1" x14ac:dyDescent="0.3">
      <c r="B18" s="306" t="s">
        <v>14</v>
      </c>
      <c r="C18" s="204"/>
      <c r="D18" s="204"/>
      <c r="E18" s="205"/>
      <c r="F18" s="44">
        <f>SUM(F13:F17)</f>
        <v>161</v>
      </c>
      <c r="G18" s="204"/>
      <c r="H18" s="327"/>
      <c r="I18" s="204">
        <f>SUM(I13:I17)</f>
        <v>0</v>
      </c>
      <c r="J18" s="204"/>
      <c r="K18" s="328"/>
      <c r="L18" s="327"/>
      <c r="M18" s="204">
        <f>SUM(M13:M17)</f>
        <v>0</v>
      </c>
      <c r="N18" s="204"/>
      <c r="O18" s="328"/>
      <c r="P18" s="327"/>
      <c r="Q18" s="204">
        <f>SUM(Q13:Q17)</f>
        <v>0</v>
      </c>
      <c r="R18" s="204"/>
      <c r="S18" s="328"/>
      <c r="T18" s="204"/>
      <c r="U18" s="204">
        <f>SUM(U13:U17)</f>
        <v>0</v>
      </c>
      <c r="V18" s="204"/>
      <c r="W18" s="205"/>
      <c r="X18" s="44">
        <f>SUM(X13:X17)</f>
        <v>0</v>
      </c>
      <c r="Y18" s="44">
        <f t="shared" ref="Y18" si="3">SUM(Y13:Y17)</f>
        <v>0</v>
      </c>
      <c r="Z18" s="44">
        <f t="shared" ref="Z18" si="4">SUM(Z13:Z17)</f>
        <v>0</v>
      </c>
      <c r="AA18" s="44">
        <f t="shared" ref="AA18" si="5">SUM(AA13:AA17)</f>
        <v>0</v>
      </c>
    </row>
    <row r="19" spans="2:27" ht="15.75" customHeight="1" x14ac:dyDescent="0.25">
      <c r="B19" s="294" t="s">
        <v>71</v>
      </c>
      <c r="C19" s="42"/>
      <c r="D19" s="42"/>
      <c r="E19" s="42"/>
      <c r="F19" s="42"/>
      <c r="G19" s="318" t="s">
        <v>87</v>
      </c>
      <c r="H19" s="319" t="s">
        <v>85</v>
      </c>
      <c r="I19" s="329"/>
      <c r="J19" s="320" t="s">
        <v>86</v>
      </c>
      <c r="K19" s="330"/>
      <c r="L19" s="319" t="s">
        <v>85</v>
      </c>
      <c r="M19" s="329"/>
      <c r="N19" s="320" t="s">
        <v>86</v>
      </c>
      <c r="O19" s="330"/>
      <c r="P19" s="319" t="s">
        <v>85</v>
      </c>
      <c r="Q19" s="329">
        <v>43374</v>
      </c>
      <c r="R19" s="320" t="s">
        <v>86</v>
      </c>
      <c r="S19" s="330">
        <v>43387</v>
      </c>
      <c r="T19" s="320" t="s">
        <v>85</v>
      </c>
      <c r="U19" s="329"/>
      <c r="V19" s="320" t="s">
        <v>86</v>
      </c>
      <c r="W19" s="331"/>
      <c r="X19" s="42"/>
      <c r="Y19" s="42"/>
      <c r="Z19" s="42"/>
      <c r="AA19" s="42"/>
    </row>
    <row r="20" spans="2:27" ht="15" customHeight="1" x14ac:dyDescent="0.25">
      <c r="B20" s="295"/>
      <c r="C20" s="43">
        <f>WEEKNUM($G$1,21)</f>
        <v>44</v>
      </c>
      <c r="D20" s="43"/>
      <c r="E20" s="43">
        <v>35</v>
      </c>
      <c r="F20" s="43">
        <v>0</v>
      </c>
      <c r="H20" s="321"/>
      <c r="K20" s="322"/>
      <c r="L20" s="321"/>
      <c r="O20" s="322"/>
      <c r="P20" s="321"/>
      <c r="Q20" s="39">
        <v>5</v>
      </c>
      <c r="S20" s="322"/>
      <c r="W20" s="203"/>
      <c r="X20" s="43">
        <f t="shared" si="0"/>
        <v>0</v>
      </c>
      <c r="Y20" s="43">
        <f>IF(X20&lt;8,X20,8)</f>
        <v>0</v>
      </c>
      <c r="Z20" s="43">
        <f>IF(X20&gt;8,X20-8,0)</f>
        <v>0</v>
      </c>
      <c r="AA20" s="43">
        <f>SUM(I20,M20,Q20,U20)</f>
        <v>5</v>
      </c>
    </row>
    <row r="21" spans="2:27" ht="15" customHeight="1" x14ac:dyDescent="0.25">
      <c r="B21" s="295"/>
      <c r="C21" s="337">
        <f>SUM(WEEKNUM($G$1,21)+1)</f>
        <v>45</v>
      </c>
      <c r="D21" s="337"/>
      <c r="E21" s="43">
        <v>35</v>
      </c>
      <c r="F21" s="43">
        <v>0</v>
      </c>
      <c r="H21" s="321"/>
      <c r="K21" s="322"/>
      <c r="L21" s="321"/>
      <c r="O21" s="322"/>
      <c r="P21" s="321"/>
      <c r="Q21" s="39">
        <v>5</v>
      </c>
      <c r="S21" s="322"/>
      <c r="W21" s="203"/>
      <c r="X21" s="43">
        <f t="shared" si="0"/>
        <v>0</v>
      </c>
      <c r="Y21" s="43">
        <f>IF(X21&lt;8,X21,8)</f>
        <v>0</v>
      </c>
      <c r="Z21" s="43">
        <f>IF(X21&gt;8,X21-8,0)</f>
        <v>0</v>
      </c>
      <c r="AA21" s="43">
        <f t="shared" si="1"/>
        <v>5</v>
      </c>
    </row>
    <row r="22" spans="2:27" ht="15" customHeight="1" x14ac:dyDescent="0.25">
      <c r="B22" s="295"/>
      <c r="C22" s="337">
        <f>WEEKNUM($G$1,21)+2</f>
        <v>46</v>
      </c>
      <c r="D22" s="337"/>
      <c r="E22" s="43">
        <v>35</v>
      </c>
      <c r="F22" s="43">
        <v>35</v>
      </c>
      <c r="H22" s="321"/>
      <c r="K22" s="322"/>
      <c r="L22" s="321"/>
      <c r="O22" s="322"/>
      <c r="P22" s="321"/>
      <c r="S22" s="322"/>
      <c r="W22" s="203"/>
      <c r="X22" s="43">
        <f t="shared" si="0"/>
        <v>0</v>
      </c>
      <c r="Y22" s="43">
        <f>IF(X22&lt;8,X22,8)</f>
        <v>0</v>
      </c>
      <c r="Z22" s="43">
        <f>IF(X22&gt;8,X22-8,0)</f>
        <v>0</v>
      </c>
      <c r="AA22" s="43">
        <f t="shared" si="1"/>
        <v>0</v>
      </c>
    </row>
    <row r="23" spans="2:27" ht="15" customHeight="1" x14ac:dyDescent="0.25">
      <c r="B23" s="295"/>
      <c r="C23" s="337">
        <f>WEEKNUM($G$1,21)+3</f>
        <v>47</v>
      </c>
      <c r="D23" s="337"/>
      <c r="E23" s="43">
        <v>35</v>
      </c>
      <c r="F23" s="43">
        <v>35</v>
      </c>
      <c r="H23" s="321"/>
      <c r="K23" s="322"/>
      <c r="L23" s="321"/>
      <c r="O23" s="322"/>
      <c r="P23" s="321"/>
      <c r="S23" s="322"/>
      <c r="W23" s="203"/>
      <c r="X23" s="43">
        <f t="shared" si="0"/>
        <v>0</v>
      </c>
      <c r="Y23" s="43">
        <f>IF(X23&lt;8,X23,8)</f>
        <v>0</v>
      </c>
      <c r="Z23" s="43">
        <f>IF(X23&gt;8,X23-8,0)</f>
        <v>0</v>
      </c>
      <c r="AA23" s="43">
        <f t="shared" si="1"/>
        <v>0</v>
      </c>
    </row>
    <row r="24" spans="2:27" ht="15" customHeight="1" thickBot="1" x14ac:dyDescent="0.3">
      <c r="B24" s="307"/>
      <c r="C24" s="338">
        <f>WEEKNUM($G$1,21)+4</f>
        <v>48</v>
      </c>
      <c r="D24" s="337"/>
      <c r="E24" s="335">
        <f>_xlfn.IFS(WEEKDAY($O$1,2)=1,7,WEEKDAY($O$1,2)=2,14,WEEKDAY($O$1,2)=3,21,WEEKDAY($O$1,2)=4,28,WEEKDAY($O$1,2)=5,35,WEEKDAY($O$1,2)=6,0,WEEKDAY($O$1,2)=7,0)</f>
        <v>35</v>
      </c>
      <c r="F24" s="308">
        <v>21</v>
      </c>
      <c r="G24" s="323"/>
      <c r="H24" s="324"/>
      <c r="I24" s="323"/>
      <c r="J24" s="323"/>
      <c r="K24" s="325"/>
      <c r="L24" s="324"/>
      <c r="M24" s="323"/>
      <c r="N24" s="323"/>
      <c r="O24" s="325"/>
      <c r="P24" s="324"/>
      <c r="Q24" s="323"/>
      <c r="R24" s="323"/>
      <c r="S24" s="325"/>
      <c r="T24" s="323"/>
      <c r="U24" s="323"/>
      <c r="V24" s="323"/>
      <c r="W24" s="326"/>
      <c r="X24" s="308">
        <f t="shared" si="0"/>
        <v>0</v>
      </c>
      <c r="Y24" s="308">
        <f>IF(X24&lt;8,X24,8)</f>
        <v>0</v>
      </c>
      <c r="Z24" s="308">
        <f>IF(X24&gt;8,X24-8,0)</f>
        <v>0</v>
      </c>
      <c r="AA24" s="308">
        <f t="shared" si="1"/>
        <v>0</v>
      </c>
    </row>
    <row r="25" spans="2:27" ht="15" customHeight="1" thickBot="1" x14ac:dyDescent="0.3">
      <c r="B25" s="306" t="s">
        <v>14</v>
      </c>
      <c r="C25" s="204"/>
      <c r="D25" s="204"/>
      <c r="E25" s="205"/>
      <c r="F25" s="44">
        <f>SUM(F20:F24)</f>
        <v>91</v>
      </c>
      <c r="G25" s="204"/>
      <c r="H25" s="327"/>
      <c r="I25" s="204">
        <f>SUM(I20:I24)</f>
        <v>0</v>
      </c>
      <c r="J25" s="204"/>
      <c r="K25" s="328"/>
      <c r="L25" s="327"/>
      <c r="M25" s="204">
        <f>SUM(M20:M24)</f>
        <v>0</v>
      </c>
      <c r="N25" s="204"/>
      <c r="O25" s="328"/>
      <c r="P25" s="327"/>
      <c r="Q25" s="204">
        <f>SUM(Q20:Q24)</f>
        <v>10</v>
      </c>
      <c r="R25" s="204"/>
      <c r="S25" s="328"/>
      <c r="T25" s="204"/>
      <c r="U25" s="204">
        <f>SUM(U20:U24)</f>
        <v>0</v>
      </c>
      <c r="V25" s="204"/>
      <c r="W25" s="205"/>
      <c r="X25" s="44">
        <f>SUM(X20:X24)</f>
        <v>0</v>
      </c>
      <c r="Y25" s="44">
        <f t="shared" ref="Y25" si="6">SUM(Y20:Y24)</f>
        <v>0</v>
      </c>
      <c r="Z25" s="44">
        <f t="shared" ref="Z25" si="7">SUM(Z20:Z24)</f>
        <v>0</v>
      </c>
      <c r="AA25" s="44">
        <f t="shared" ref="AA25" si="8">SUM(AA20:AA24)</f>
        <v>10</v>
      </c>
    </row>
    <row r="26" spans="2:27" ht="15" customHeight="1" x14ac:dyDescent="0.25">
      <c r="B26" s="294" t="s">
        <v>81</v>
      </c>
      <c r="C26" s="42"/>
      <c r="D26" s="42"/>
      <c r="E26" s="42"/>
      <c r="F26" s="42"/>
      <c r="G26" s="318" t="s">
        <v>87</v>
      </c>
      <c r="H26" s="319" t="s">
        <v>85</v>
      </c>
      <c r="I26" s="329"/>
      <c r="J26" s="320" t="s">
        <v>86</v>
      </c>
      <c r="K26" s="330"/>
      <c r="L26" s="319" t="s">
        <v>85</v>
      </c>
      <c r="M26" s="329"/>
      <c r="N26" s="320" t="s">
        <v>86</v>
      </c>
      <c r="O26" s="330"/>
      <c r="P26" s="319" t="s">
        <v>85</v>
      </c>
      <c r="Q26" s="329"/>
      <c r="R26" s="320" t="s">
        <v>86</v>
      </c>
      <c r="S26" s="330"/>
      <c r="T26" s="320" t="s">
        <v>85</v>
      </c>
      <c r="U26" s="329"/>
      <c r="V26" s="320" t="s">
        <v>86</v>
      </c>
      <c r="W26" s="331"/>
      <c r="X26" s="42"/>
      <c r="Y26" s="42"/>
      <c r="Z26" s="42"/>
      <c r="AA26" s="42"/>
    </row>
    <row r="27" spans="2:27" ht="15" customHeight="1" x14ac:dyDescent="0.25">
      <c r="B27" s="295"/>
      <c r="C27" s="43">
        <f>WEEKNUM($G$1,21)</f>
        <v>44</v>
      </c>
      <c r="D27" s="43"/>
      <c r="E27" s="43">
        <v>35</v>
      </c>
      <c r="F27" s="43">
        <v>35</v>
      </c>
      <c r="H27" s="321"/>
      <c r="K27" s="322"/>
      <c r="L27" s="321"/>
      <c r="O27" s="322"/>
      <c r="P27" s="321"/>
      <c r="S27" s="322"/>
      <c r="W27" s="203"/>
      <c r="X27" s="43">
        <f t="shared" si="0"/>
        <v>0</v>
      </c>
      <c r="Y27" s="43">
        <f>IF(X27&lt;8,X27,8)</f>
        <v>0</v>
      </c>
      <c r="Z27" s="43">
        <f>IF(X27&gt;8,X27-8,0)</f>
        <v>0</v>
      </c>
      <c r="AA27" s="43">
        <f>SUM(I27,M27,Q27,U27)</f>
        <v>0</v>
      </c>
    </row>
    <row r="28" spans="2:27" ht="15.75" customHeight="1" x14ac:dyDescent="0.25">
      <c r="B28" s="295"/>
      <c r="C28" s="337">
        <f>SUM(WEEKNUM($G$1,21)+1)</f>
        <v>45</v>
      </c>
      <c r="D28" s="337"/>
      <c r="E28" s="43">
        <v>35</v>
      </c>
      <c r="F28" s="43">
        <v>35</v>
      </c>
      <c r="H28" s="321"/>
      <c r="K28" s="322"/>
      <c r="L28" s="321"/>
      <c r="O28" s="322"/>
      <c r="P28" s="321"/>
      <c r="S28" s="322"/>
      <c r="W28" s="203"/>
      <c r="X28" s="43">
        <f t="shared" si="0"/>
        <v>0</v>
      </c>
      <c r="Y28" s="43">
        <f>IF(X28&lt;8,X28,8)</f>
        <v>0</v>
      </c>
      <c r="Z28" s="43">
        <f>IF(X28&gt;8,X28-8,0)</f>
        <v>0</v>
      </c>
      <c r="AA28" s="43">
        <f t="shared" si="1"/>
        <v>0</v>
      </c>
    </row>
    <row r="29" spans="2:27" x14ac:dyDescent="0.25">
      <c r="B29" s="295"/>
      <c r="C29" s="337">
        <f>WEEKNUM($G$1,21)+2</f>
        <v>46</v>
      </c>
      <c r="D29" s="337"/>
      <c r="E29" s="43">
        <v>35</v>
      </c>
      <c r="F29" s="43">
        <v>35</v>
      </c>
      <c r="H29" s="321"/>
      <c r="K29" s="322"/>
      <c r="L29" s="321"/>
      <c r="O29" s="322"/>
      <c r="P29" s="321"/>
      <c r="S29" s="322"/>
      <c r="W29" s="203"/>
      <c r="X29" s="43">
        <f t="shared" si="0"/>
        <v>0</v>
      </c>
      <c r="Y29" s="43">
        <f>IF(X29&lt;8,X29,8)</f>
        <v>0</v>
      </c>
      <c r="Z29" s="43">
        <f>IF(X29&gt;8,X29-8,0)</f>
        <v>0</v>
      </c>
      <c r="AA29" s="43">
        <f t="shared" si="1"/>
        <v>0</v>
      </c>
    </row>
    <row r="30" spans="2:27" x14ac:dyDescent="0.25">
      <c r="B30" s="295"/>
      <c r="C30" s="337">
        <f>WEEKNUM($G$1,21)+3</f>
        <v>47</v>
      </c>
      <c r="D30" s="337"/>
      <c r="E30" s="43">
        <v>35</v>
      </c>
      <c r="F30" s="43">
        <v>35</v>
      </c>
      <c r="H30" s="321"/>
      <c r="K30" s="322"/>
      <c r="L30" s="321"/>
      <c r="O30" s="322"/>
      <c r="P30" s="321"/>
      <c r="S30" s="322"/>
      <c r="W30" s="203"/>
      <c r="X30" s="43">
        <f t="shared" si="0"/>
        <v>0</v>
      </c>
      <c r="Y30" s="43">
        <f>IF(X30&lt;8,X30,8)</f>
        <v>0</v>
      </c>
      <c r="Z30" s="43">
        <f>IF(X30&gt;8,X30-8,0)</f>
        <v>0</v>
      </c>
      <c r="AA30" s="43">
        <f t="shared" si="1"/>
        <v>0</v>
      </c>
    </row>
    <row r="31" spans="2:27" ht="15.75" thickBot="1" x14ac:dyDescent="0.3">
      <c r="B31" s="307"/>
      <c r="C31" s="338">
        <f>WEEKNUM($G$1,21)+4</f>
        <v>48</v>
      </c>
      <c r="D31" s="337"/>
      <c r="E31" s="335">
        <f>_xlfn.IFS(WEEKDAY($O$1,2)=1,7,WEEKDAY($O$1,2)=2,14,WEEKDAY($O$1,2)=3,21,WEEKDAY($O$1,2)=4,28,WEEKDAY($O$1,2)=5,35,WEEKDAY($O$1,2)=6,0,WEEKDAY($O$1,2)=7,0)</f>
        <v>35</v>
      </c>
      <c r="F31" s="308">
        <v>35</v>
      </c>
      <c r="G31" s="323"/>
      <c r="H31" s="324"/>
      <c r="I31" s="323"/>
      <c r="J31" s="323"/>
      <c r="K31" s="325"/>
      <c r="L31" s="324"/>
      <c r="M31" s="323"/>
      <c r="N31" s="323"/>
      <c r="O31" s="325"/>
      <c r="P31" s="324"/>
      <c r="Q31" s="323"/>
      <c r="R31" s="323"/>
      <c r="S31" s="325"/>
      <c r="T31" s="323"/>
      <c r="U31" s="323"/>
      <c r="V31" s="323"/>
      <c r="W31" s="326"/>
      <c r="X31" s="308">
        <f t="shared" si="0"/>
        <v>0</v>
      </c>
      <c r="Y31" s="308">
        <f>IF(X31&lt;8,X31,8)</f>
        <v>0</v>
      </c>
      <c r="Z31" s="308">
        <f>IF(X31&gt;8,X31-8,0)</f>
        <v>0</v>
      </c>
      <c r="AA31" s="308">
        <f t="shared" si="1"/>
        <v>0</v>
      </c>
    </row>
    <row r="32" spans="2:27" ht="18" thickBot="1" x14ac:dyDescent="0.3">
      <c r="B32" s="306" t="s">
        <v>14</v>
      </c>
      <c r="C32" s="204"/>
      <c r="D32" s="204"/>
      <c r="E32" s="205"/>
      <c r="F32" s="44">
        <f>SUM(F27:F31)</f>
        <v>175</v>
      </c>
      <c r="G32" s="204"/>
      <c r="H32" s="327"/>
      <c r="I32" s="204">
        <f>SUM(I27:I31)</f>
        <v>0</v>
      </c>
      <c r="J32" s="204"/>
      <c r="K32" s="328"/>
      <c r="L32" s="327"/>
      <c r="M32" s="204">
        <f>SUM(M27:M31)</f>
        <v>0</v>
      </c>
      <c r="N32" s="204"/>
      <c r="O32" s="328"/>
      <c r="P32" s="327"/>
      <c r="Q32" s="204">
        <f>SUM(Q27:Q31)</f>
        <v>0</v>
      </c>
      <c r="R32" s="204"/>
      <c r="S32" s="328"/>
      <c r="T32" s="204"/>
      <c r="U32" s="204">
        <f>SUM(U27:U31)</f>
        <v>0</v>
      </c>
      <c r="V32" s="204"/>
      <c r="W32" s="205"/>
      <c r="X32" s="44">
        <f>SUM(X27:X31)</f>
        <v>0</v>
      </c>
      <c r="Y32" s="44">
        <f t="shared" ref="Y32" si="9">SUM(Y27:Y31)</f>
        <v>0</v>
      </c>
      <c r="Z32" s="44">
        <f t="shared" ref="Z32" si="10">SUM(Z27:Z31)</f>
        <v>0</v>
      </c>
      <c r="AA32" s="44">
        <f t="shared" ref="AA32" si="11">SUM(AA27:AA31)</f>
        <v>0</v>
      </c>
    </row>
    <row r="33" spans="2:27" x14ac:dyDescent="0.25">
      <c r="B33" s="294" t="s">
        <v>82</v>
      </c>
      <c r="C33" s="42"/>
      <c r="D33" s="42"/>
      <c r="E33" s="42"/>
      <c r="F33" s="42"/>
      <c r="G33" s="318" t="s">
        <v>87</v>
      </c>
      <c r="H33" s="319" t="s">
        <v>85</v>
      </c>
      <c r="I33" s="329"/>
      <c r="J33" s="320" t="s">
        <v>86</v>
      </c>
      <c r="K33" s="330"/>
      <c r="L33" s="319" t="s">
        <v>85</v>
      </c>
      <c r="M33" s="329"/>
      <c r="N33" s="320" t="s">
        <v>86</v>
      </c>
      <c r="O33" s="330"/>
      <c r="P33" s="319" t="s">
        <v>85</v>
      </c>
      <c r="Q33" s="329"/>
      <c r="R33" s="320" t="s">
        <v>86</v>
      </c>
      <c r="S33" s="330"/>
      <c r="T33" s="320" t="s">
        <v>85</v>
      </c>
      <c r="U33" s="329"/>
      <c r="V33" s="320" t="s">
        <v>86</v>
      </c>
      <c r="W33" s="331"/>
      <c r="X33" s="42"/>
      <c r="Y33" s="42"/>
      <c r="Z33" s="42"/>
      <c r="AA33" s="42"/>
    </row>
    <row r="34" spans="2:27" x14ac:dyDescent="0.25">
      <c r="B34" s="295"/>
      <c r="C34" s="43">
        <f>WEEKNUM($G$1,21)</f>
        <v>44</v>
      </c>
      <c r="D34" s="43"/>
      <c r="E34" s="43">
        <v>35</v>
      </c>
      <c r="F34" s="43">
        <v>35</v>
      </c>
      <c r="H34" s="321"/>
      <c r="K34" s="322"/>
      <c r="L34" s="321"/>
      <c r="O34" s="322"/>
      <c r="P34" s="321"/>
      <c r="S34" s="322"/>
      <c r="W34" s="203"/>
      <c r="X34" s="43">
        <f t="shared" si="0"/>
        <v>0</v>
      </c>
      <c r="Y34" s="43">
        <f>IF(X34&lt;8,X34,8)</f>
        <v>0</v>
      </c>
      <c r="Z34" s="43">
        <f>IF(X34&gt;8,X34-8,0)</f>
        <v>0</v>
      </c>
      <c r="AA34" s="43">
        <f>SUM(I34,M34,Q34,U34)</f>
        <v>0</v>
      </c>
    </row>
    <row r="35" spans="2:27" x14ac:dyDescent="0.25">
      <c r="B35" s="295"/>
      <c r="C35" s="337">
        <f>SUM(WEEKNUM($G$1,21)+1)</f>
        <v>45</v>
      </c>
      <c r="D35" s="337"/>
      <c r="E35" s="43">
        <v>35</v>
      </c>
      <c r="F35" s="43">
        <v>35</v>
      </c>
      <c r="H35" s="321"/>
      <c r="K35" s="322"/>
      <c r="L35" s="321"/>
      <c r="O35" s="322"/>
      <c r="P35" s="321"/>
      <c r="S35" s="322"/>
      <c r="W35" s="203"/>
      <c r="X35" s="43">
        <f t="shared" si="0"/>
        <v>0</v>
      </c>
      <c r="Y35" s="43">
        <f>IF(X35&lt;8,X35,8)</f>
        <v>0</v>
      </c>
      <c r="Z35" s="43">
        <f>IF(X35&gt;8,X35-8,0)</f>
        <v>0</v>
      </c>
      <c r="AA35" s="43">
        <f t="shared" si="1"/>
        <v>0</v>
      </c>
    </row>
    <row r="36" spans="2:27" x14ac:dyDescent="0.25">
      <c r="B36" s="295"/>
      <c r="C36" s="337">
        <f>WEEKNUM($G$1,21)+2</f>
        <v>46</v>
      </c>
      <c r="D36" s="337"/>
      <c r="E36" s="43">
        <v>35</v>
      </c>
      <c r="F36" s="43">
        <v>35</v>
      </c>
      <c r="H36" s="321"/>
      <c r="K36" s="322"/>
      <c r="L36" s="321"/>
      <c r="O36" s="322"/>
      <c r="P36" s="321"/>
      <c r="S36" s="322"/>
      <c r="W36" s="203"/>
      <c r="X36" s="43">
        <f t="shared" si="0"/>
        <v>0</v>
      </c>
      <c r="Y36" s="43">
        <f>IF(X36&lt;8,X36,8)</f>
        <v>0</v>
      </c>
      <c r="Z36" s="43">
        <f>IF(X36&gt;8,X36-8,0)</f>
        <v>0</v>
      </c>
      <c r="AA36" s="43">
        <f t="shared" si="1"/>
        <v>0</v>
      </c>
    </row>
    <row r="37" spans="2:27" x14ac:dyDescent="0.25">
      <c r="B37" s="295"/>
      <c r="C37" s="337">
        <f>WEEKNUM($G$1,21)+3</f>
        <v>47</v>
      </c>
      <c r="D37" s="337"/>
      <c r="E37" s="43">
        <v>35</v>
      </c>
      <c r="F37" s="43">
        <v>35</v>
      </c>
      <c r="H37" s="321"/>
      <c r="K37" s="322"/>
      <c r="L37" s="321"/>
      <c r="O37" s="322"/>
      <c r="P37" s="321"/>
      <c r="S37" s="322"/>
      <c r="W37" s="203"/>
      <c r="X37" s="43">
        <f t="shared" si="0"/>
        <v>0</v>
      </c>
      <c r="Y37" s="43">
        <f>IF(X37&lt;8,X37,8)</f>
        <v>0</v>
      </c>
      <c r="Z37" s="43">
        <f>IF(X37&gt;8,X37-8,0)</f>
        <v>0</v>
      </c>
      <c r="AA37" s="43">
        <f t="shared" si="1"/>
        <v>0</v>
      </c>
    </row>
    <row r="38" spans="2:27" ht="15.75" thickBot="1" x14ac:dyDescent="0.3">
      <c r="B38" s="307"/>
      <c r="C38" s="338">
        <f>WEEKNUM($G$1,21)+4</f>
        <v>48</v>
      </c>
      <c r="D38" s="337"/>
      <c r="E38" s="335">
        <f>_xlfn.IFS(WEEKDAY($O$1,2)=1,7,WEEKDAY($O$1,2)=2,14,WEEKDAY($O$1,2)=3,21,WEEKDAY($O$1,2)=4,28,WEEKDAY($O$1,2)=5,35,WEEKDAY($O$1,2)=6,0,WEEKDAY($O$1,2)=7,0)</f>
        <v>35</v>
      </c>
      <c r="F38" s="308">
        <v>35</v>
      </c>
      <c r="G38" s="323"/>
      <c r="H38" s="324"/>
      <c r="I38" s="323"/>
      <c r="J38" s="323"/>
      <c r="K38" s="325"/>
      <c r="L38" s="324"/>
      <c r="M38" s="323"/>
      <c r="N38" s="323"/>
      <c r="O38" s="325"/>
      <c r="P38" s="324"/>
      <c r="Q38" s="323"/>
      <c r="R38" s="323"/>
      <c r="S38" s="325"/>
      <c r="T38" s="323"/>
      <c r="U38" s="323"/>
      <c r="V38" s="323"/>
      <c r="W38" s="326"/>
      <c r="X38" s="308">
        <f t="shared" si="0"/>
        <v>0</v>
      </c>
      <c r="Y38" s="308">
        <f>IF(X38&lt;8,X38,8)</f>
        <v>0</v>
      </c>
      <c r="Z38" s="308">
        <f>IF(X38&gt;8,X38-8,0)</f>
        <v>0</v>
      </c>
      <c r="AA38" s="308">
        <f t="shared" si="1"/>
        <v>0</v>
      </c>
    </row>
    <row r="39" spans="2:27" ht="18" thickBot="1" x14ac:dyDescent="0.3">
      <c r="B39" s="306" t="s">
        <v>14</v>
      </c>
      <c r="C39" s="204"/>
      <c r="D39" s="204"/>
      <c r="E39" s="205"/>
      <c r="F39" s="44">
        <f>SUM(F34:F38)</f>
        <v>175</v>
      </c>
      <c r="G39" s="204"/>
      <c r="H39" s="327"/>
      <c r="I39" s="204">
        <f>SUM(I34:I38)</f>
        <v>0</v>
      </c>
      <c r="J39" s="204"/>
      <c r="K39" s="328"/>
      <c r="L39" s="327"/>
      <c r="M39" s="204">
        <f>SUM(M34:M38)</f>
        <v>0</v>
      </c>
      <c r="N39" s="204"/>
      <c r="O39" s="328"/>
      <c r="P39" s="327"/>
      <c r="Q39" s="204">
        <f>SUM(Q34:Q38)</f>
        <v>0</v>
      </c>
      <c r="R39" s="204"/>
      <c r="S39" s="328"/>
      <c r="T39" s="204"/>
      <c r="U39" s="204">
        <f>SUM(U34:U38)</f>
        <v>0</v>
      </c>
      <c r="V39" s="204"/>
      <c r="W39" s="205"/>
      <c r="X39" s="44">
        <f>SUM(X34:X38)</f>
        <v>0</v>
      </c>
      <c r="Y39" s="44">
        <f t="shared" ref="Y39" si="12">SUM(Y34:Y38)</f>
        <v>0</v>
      </c>
      <c r="Z39" s="44">
        <f t="shared" ref="Z39" si="13">SUM(Z34:Z38)</f>
        <v>0</v>
      </c>
      <c r="AA39" s="44">
        <f t="shared" ref="AA39" si="14">SUM(AA34:AA38)</f>
        <v>0</v>
      </c>
    </row>
    <row r="40" spans="2:27" x14ac:dyDescent="0.25">
      <c r="B40" s="294" t="s">
        <v>83</v>
      </c>
      <c r="C40" s="42"/>
      <c r="D40" s="42"/>
      <c r="E40" s="42"/>
      <c r="F40" s="42"/>
      <c r="G40" s="318" t="s">
        <v>87</v>
      </c>
      <c r="H40" s="319" t="s">
        <v>85</v>
      </c>
      <c r="I40" s="329"/>
      <c r="J40" s="320" t="s">
        <v>86</v>
      </c>
      <c r="K40" s="330"/>
      <c r="L40" s="319" t="s">
        <v>85</v>
      </c>
      <c r="M40" s="329"/>
      <c r="N40" s="320" t="s">
        <v>86</v>
      </c>
      <c r="O40" s="330"/>
      <c r="P40" s="319" t="s">
        <v>85</v>
      </c>
      <c r="Q40" s="329"/>
      <c r="R40" s="320" t="s">
        <v>86</v>
      </c>
      <c r="S40" s="330"/>
      <c r="T40" s="320" t="s">
        <v>85</v>
      </c>
      <c r="U40" s="329"/>
      <c r="V40" s="320" t="s">
        <v>86</v>
      </c>
      <c r="W40" s="331"/>
      <c r="X40" s="42"/>
      <c r="Y40" s="42"/>
      <c r="Z40" s="42"/>
      <c r="AA40" s="42"/>
    </row>
    <row r="41" spans="2:27" x14ac:dyDescent="0.25">
      <c r="B41" s="295"/>
      <c r="C41" s="43">
        <f>WEEKNUM($G$1,21)</f>
        <v>44</v>
      </c>
      <c r="D41" s="43"/>
      <c r="E41" s="43">
        <v>35</v>
      </c>
      <c r="F41" s="43">
        <v>35</v>
      </c>
      <c r="H41" s="321"/>
      <c r="K41" s="322"/>
      <c r="L41" s="321"/>
      <c r="O41" s="322"/>
      <c r="P41" s="321"/>
      <c r="S41" s="322"/>
      <c r="W41" s="203"/>
      <c r="X41" s="43">
        <f t="shared" si="0"/>
        <v>0</v>
      </c>
      <c r="Y41" s="43">
        <f>IF(X41&lt;8,X41,8)</f>
        <v>0</v>
      </c>
      <c r="Z41" s="43">
        <f>IF(X41&gt;8,X41-8,0)</f>
        <v>0</v>
      </c>
      <c r="AA41" s="43">
        <f>SUM(I41,M41,Q41,U41)</f>
        <v>0</v>
      </c>
    </row>
    <row r="42" spans="2:27" x14ac:dyDescent="0.25">
      <c r="B42" s="295"/>
      <c r="C42" s="337">
        <f>SUM(WEEKNUM($G$1,21)+1)</f>
        <v>45</v>
      </c>
      <c r="D42" s="337"/>
      <c r="E42" s="43">
        <v>35</v>
      </c>
      <c r="F42" s="43">
        <v>35</v>
      </c>
      <c r="H42" s="321"/>
      <c r="K42" s="322"/>
      <c r="L42" s="321"/>
      <c r="O42" s="322"/>
      <c r="P42" s="321"/>
      <c r="S42" s="322"/>
      <c r="W42" s="203"/>
      <c r="X42" s="43">
        <f t="shared" si="0"/>
        <v>0</v>
      </c>
      <c r="Y42" s="43">
        <f>IF(X42&lt;8,X42,8)</f>
        <v>0</v>
      </c>
      <c r="Z42" s="43">
        <f>IF(X42&gt;8,X42-8,0)</f>
        <v>0</v>
      </c>
      <c r="AA42" s="43">
        <f t="shared" si="1"/>
        <v>0</v>
      </c>
    </row>
    <row r="43" spans="2:27" x14ac:dyDescent="0.25">
      <c r="B43" s="295"/>
      <c r="C43" s="337">
        <f>WEEKNUM($G$1,21)+2</f>
        <v>46</v>
      </c>
      <c r="D43" s="337"/>
      <c r="E43" s="43">
        <v>35</v>
      </c>
      <c r="F43" s="43">
        <v>35</v>
      </c>
      <c r="H43" s="321"/>
      <c r="K43" s="322"/>
      <c r="L43" s="321"/>
      <c r="O43" s="322"/>
      <c r="P43" s="321"/>
      <c r="S43" s="322"/>
      <c r="W43" s="203"/>
      <c r="X43" s="43">
        <f t="shared" si="0"/>
        <v>0</v>
      </c>
      <c r="Y43" s="43">
        <f>IF(X43&lt;8,X43,8)</f>
        <v>0</v>
      </c>
      <c r="Z43" s="43">
        <f>IF(X43&gt;8,X43-8,0)</f>
        <v>0</v>
      </c>
      <c r="AA43" s="43">
        <f t="shared" si="1"/>
        <v>0</v>
      </c>
    </row>
    <row r="44" spans="2:27" x14ac:dyDescent="0.25">
      <c r="B44" s="295"/>
      <c r="C44" s="337">
        <f>WEEKNUM($G$1,21)+3</f>
        <v>47</v>
      </c>
      <c r="D44" s="337"/>
      <c r="E44" s="43">
        <v>35</v>
      </c>
      <c r="F44" s="43">
        <v>35</v>
      </c>
      <c r="H44" s="321"/>
      <c r="K44" s="322"/>
      <c r="L44" s="321"/>
      <c r="O44" s="322"/>
      <c r="P44" s="321"/>
      <c r="S44" s="322"/>
      <c r="W44" s="203"/>
      <c r="X44" s="43">
        <f t="shared" si="0"/>
        <v>0</v>
      </c>
      <c r="Y44" s="43">
        <f>IF(X44&lt;8,X44,8)</f>
        <v>0</v>
      </c>
      <c r="Z44" s="43">
        <f>IF(X44&gt;8,X44-8,0)</f>
        <v>0</v>
      </c>
      <c r="AA44" s="43">
        <f t="shared" si="1"/>
        <v>0</v>
      </c>
    </row>
    <row r="45" spans="2:27" ht="15.75" thickBot="1" x14ac:dyDescent="0.3">
      <c r="B45" s="307"/>
      <c r="C45" s="338">
        <f>WEEKNUM($G$1,21)+4</f>
        <v>48</v>
      </c>
      <c r="D45" s="337"/>
      <c r="E45" s="335">
        <f>_xlfn.IFS(WEEKDAY($O$1,2)=1,7,WEEKDAY($O$1,2)=2,14,WEEKDAY($O$1,2)=3,21,WEEKDAY($O$1,2)=4,28,WEEKDAY($O$1,2)=5,35,WEEKDAY($O$1,2)=6,0,WEEKDAY($O$1,2)=7,0)</f>
        <v>35</v>
      </c>
      <c r="F45" s="308">
        <v>35</v>
      </c>
      <c r="G45" s="323"/>
      <c r="H45" s="324"/>
      <c r="I45" s="323"/>
      <c r="J45" s="323"/>
      <c r="K45" s="325"/>
      <c r="L45" s="324"/>
      <c r="M45" s="323"/>
      <c r="N45" s="323"/>
      <c r="O45" s="325"/>
      <c r="P45" s="324"/>
      <c r="Q45" s="323"/>
      <c r="R45" s="323"/>
      <c r="S45" s="325"/>
      <c r="T45" s="323"/>
      <c r="U45" s="323"/>
      <c r="V45" s="323"/>
      <c r="W45" s="326"/>
      <c r="X45" s="308">
        <f t="shared" si="0"/>
        <v>0</v>
      </c>
      <c r="Y45" s="308">
        <f>IF(X45&lt;8,X45,8)</f>
        <v>0</v>
      </c>
      <c r="Z45" s="308">
        <f>IF(X45&gt;8,X45-8,0)</f>
        <v>0</v>
      </c>
      <c r="AA45" s="308">
        <f t="shared" si="1"/>
        <v>0</v>
      </c>
    </row>
    <row r="46" spans="2:27" ht="18" thickBot="1" x14ac:dyDescent="0.3">
      <c r="B46" s="306" t="s">
        <v>14</v>
      </c>
      <c r="C46" s="204"/>
      <c r="D46" s="204"/>
      <c r="E46" s="205"/>
      <c r="F46" s="44">
        <f>SUM(F41:F45)</f>
        <v>175</v>
      </c>
      <c r="G46" s="204"/>
      <c r="H46" s="327"/>
      <c r="I46" s="204">
        <f>SUM(I41:I45)</f>
        <v>0</v>
      </c>
      <c r="J46" s="204"/>
      <c r="K46" s="328"/>
      <c r="L46" s="327"/>
      <c r="M46" s="204">
        <f>SUM(M41:M45)</f>
        <v>0</v>
      </c>
      <c r="N46" s="204"/>
      <c r="O46" s="328"/>
      <c r="P46" s="327"/>
      <c r="Q46" s="204">
        <f>SUM(Q41:Q45)</f>
        <v>0</v>
      </c>
      <c r="R46" s="204"/>
      <c r="S46" s="328"/>
      <c r="T46" s="204"/>
      <c r="U46" s="204">
        <f>SUM(U41:U45)</f>
        <v>0</v>
      </c>
      <c r="V46" s="204"/>
      <c r="W46" s="205"/>
      <c r="X46" s="44">
        <f>SUM(X41:X45)</f>
        <v>0</v>
      </c>
      <c r="Y46" s="44">
        <f t="shared" ref="Y46" si="15">SUM(Y41:Y45)</f>
        <v>0</v>
      </c>
      <c r="Z46" s="44">
        <f t="shared" ref="Z46" si="16">SUM(Z41:Z45)</f>
        <v>0</v>
      </c>
      <c r="AA46" s="44">
        <f t="shared" ref="AA46" si="17">SUM(AA41:AA45)</f>
        <v>0</v>
      </c>
    </row>
    <row r="47" spans="2:27" x14ac:dyDescent="0.25">
      <c r="B47" s="294" t="s">
        <v>84</v>
      </c>
      <c r="C47" s="42"/>
      <c r="D47" s="42"/>
      <c r="E47" s="42"/>
      <c r="F47" s="42"/>
      <c r="G47" s="318" t="s">
        <v>87</v>
      </c>
      <c r="H47" s="319" t="s">
        <v>85</v>
      </c>
      <c r="I47" s="329"/>
      <c r="J47" s="320" t="s">
        <v>86</v>
      </c>
      <c r="K47" s="330"/>
      <c r="L47" s="319" t="s">
        <v>85</v>
      </c>
      <c r="M47" s="329"/>
      <c r="N47" s="320" t="s">
        <v>86</v>
      </c>
      <c r="O47" s="330"/>
      <c r="P47" s="319" t="s">
        <v>85</v>
      </c>
      <c r="Q47" s="329"/>
      <c r="R47" s="320" t="s">
        <v>86</v>
      </c>
      <c r="S47" s="330"/>
      <c r="T47" s="320" t="s">
        <v>85</v>
      </c>
      <c r="U47" s="329"/>
      <c r="V47" s="320" t="s">
        <v>86</v>
      </c>
      <c r="W47" s="331"/>
      <c r="X47" s="42"/>
      <c r="Y47" s="42"/>
      <c r="Z47" s="42"/>
      <c r="AA47" s="42"/>
    </row>
    <row r="48" spans="2:27" x14ac:dyDescent="0.25">
      <c r="B48" s="295"/>
      <c r="C48" s="43">
        <f>WEEKNUM($G$1,21)</f>
        <v>44</v>
      </c>
      <c r="D48" s="43"/>
      <c r="E48" s="43">
        <v>35</v>
      </c>
      <c r="F48" s="43">
        <v>35</v>
      </c>
      <c r="H48" s="321"/>
      <c r="K48" s="322"/>
      <c r="L48" s="321"/>
      <c r="O48" s="322"/>
      <c r="P48" s="321"/>
      <c r="S48" s="322"/>
      <c r="W48" s="203"/>
      <c r="X48" s="43">
        <f t="shared" si="0"/>
        <v>0</v>
      </c>
      <c r="Y48" s="43">
        <f>IF(X48&lt;8,X48,8)</f>
        <v>0</v>
      </c>
      <c r="Z48" s="43">
        <f>IF(X48&gt;8,X48-8,0)</f>
        <v>0</v>
      </c>
      <c r="AA48" s="43">
        <f>SUM(I48,M48,Q48,U48)</f>
        <v>0</v>
      </c>
    </row>
    <row r="49" spans="2:27" x14ac:dyDescent="0.25">
      <c r="B49" s="295"/>
      <c r="C49" s="337">
        <f>SUM(WEEKNUM($G$1,21)+1)</f>
        <v>45</v>
      </c>
      <c r="D49" s="337"/>
      <c r="E49" s="43">
        <v>35</v>
      </c>
      <c r="F49" s="43">
        <v>35</v>
      </c>
      <c r="H49" s="321"/>
      <c r="K49" s="322"/>
      <c r="L49" s="321"/>
      <c r="O49" s="322"/>
      <c r="P49" s="321"/>
      <c r="S49" s="322"/>
      <c r="W49" s="203"/>
      <c r="X49" s="43">
        <f t="shared" si="0"/>
        <v>0</v>
      </c>
      <c r="Y49" s="43">
        <f>IF(X49&lt;8,X49,8)</f>
        <v>0</v>
      </c>
      <c r="Z49" s="43">
        <f>IF(X49&gt;8,X49-8,0)</f>
        <v>0</v>
      </c>
      <c r="AA49" s="43">
        <f t="shared" si="1"/>
        <v>0</v>
      </c>
    </row>
    <row r="50" spans="2:27" x14ac:dyDescent="0.25">
      <c r="B50" s="295"/>
      <c r="C50" s="337">
        <f>WEEKNUM($G$1,21)+2</f>
        <v>46</v>
      </c>
      <c r="D50" s="337"/>
      <c r="E50" s="43">
        <v>35</v>
      </c>
      <c r="F50" s="43">
        <v>35</v>
      </c>
      <c r="H50" s="321"/>
      <c r="K50" s="322"/>
      <c r="L50" s="321"/>
      <c r="O50" s="322"/>
      <c r="P50" s="321"/>
      <c r="S50" s="322"/>
      <c r="W50" s="203"/>
      <c r="X50" s="43">
        <f t="shared" si="0"/>
        <v>0</v>
      </c>
      <c r="Y50" s="43">
        <f>IF(X50&lt;8,X50,8)</f>
        <v>0</v>
      </c>
      <c r="Z50" s="43">
        <f>IF(X50&gt;8,X50-8,0)</f>
        <v>0</v>
      </c>
      <c r="AA50" s="43">
        <f t="shared" si="1"/>
        <v>0</v>
      </c>
    </row>
    <row r="51" spans="2:27" x14ac:dyDescent="0.25">
      <c r="B51" s="295"/>
      <c r="C51" s="337">
        <f>WEEKNUM($G$1,21)+3</f>
        <v>47</v>
      </c>
      <c r="D51" s="337"/>
      <c r="E51" s="43">
        <v>35</v>
      </c>
      <c r="F51" s="43">
        <v>35</v>
      </c>
      <c r="H51" s="321"/>
      <c r="K51" s="322"/>
      <c r="L51" s="321"/>
      <c r="O51" s="322"/>
      <c r="P51" s="321"/>
      <c r="S51" s="322"/>
      <c r="W51" s="203"/>
      <c r="X51" s="43">
        <f t="shared" si="0"/>
        <v>0</v>
      </c>
      <c r="Y51" s="43">
        <f>IF(X51&lt;8,X51,8)</f>
        <v>0</v>
      </c>
      <c r="Z51" s="43">
        <f>IF(X51&gt;8,X51-8,0)</f>
        <v>0</v>
      </c>
      <c r="AA51" s="43">
        <f t="shared" si="1"/>
        <v>0</v>
      </c>
    </row>
    <row r="52" spans="2:27" ht="15.75" thickBot="1" x14ac:dyDescent="0.3">
      <c r="B52" s="307"/>
      <c r="C52" s="338">
        <f>WEEKNUM($G$1,21)+4</f>
        <v>48</v>
      </c>
      <c r="D52" s="337"/>
      <c r="E52" s="335">
        <f>_xlfn.IFS(WEEKDAY($O$1,2)=1,7,WEEKDAY($O$1,2)=2,14,WEEKDAY($O$1,2)=3,21,WEEKDAY($O$1,2)=4,28,WEEKDAY($O$1,2)=5,35,WEEKDAY($O$1,2)=6,0,WEEKDAY($O$1,2)=7,0)</f>
        <v>35</v>
      </c>
      <c r="F52" s="308">
        <v>35</v>
      </c>
      <c r="G52" s="323"/>
      <c r="H52" s="324"/>
      <c r="I52" s="323"/>
      <c r="J52" s="323"/>
      <c r="K52" s="325"/>
      <c r="L52" s="324"/>
      <c r="M52" s="323"/>
      <c r="N52" s="323"/>
      <c r="O52" s="325"/>
      <c r="P52" s="324"/>
      <c r="Q52" s="323"/>
      <c r="R52" s="323"/>
      <c r="S52" s="325"/>
      <c r="T52" s="323"/>
      <c r="U52" s="323"/>
      <c r="V52" s="323"/>
      <c r="W52" s="326"/>
      <c r="X52" s="308">
        <f t="shared" si="0"/>
        <v>0</v>
      </c>
      <c r="Y52" s="308">
        <f>IF(X52&lt;8,X52,8)</f>
        <v>0</v>
      </c>
      <c r="Z52" s="308">
        <f>IF(X52&gt;8,X52-8,0)</f>
        <v>0</v>
      </c>
      <c r="AA52" s="308">
        <f t="shared" si="1"/>
        <v>0</v>
      </c>
    </row>
    <row r="53" spans="2:27" ht="18" thickBot="1" x14ac:dyDescent="0.3">
      <c r="B53" s="306" t="s">
        <v>14</v>
      </c>
      <c r="C53" s="204"/>
      <c r="D53" s="204"/>
      <c r="E53" s="205"/>
      <c r="F53" s="44">
        <f>SUM(F48:F52)</f>
        <v>175</v>
      </c>
      <c r="G53" s="204"/>
      <c r="H53" s="327"/>
      <c r="I53" s="204">
        <f>SUM(I48:I52)</f>
        <v>0</v>
      </c>
      <c r="J53" s="204"/>
      <c r="K53" s="328"/>
      <c r="L53" s="327"/>
      <c r="M53" s="204">
        <f>SUM(M48:M52)</f>
        <v>0</v>
      </c>
      <c r="N53" s="204"/>
      <c r="O53" s="328"/>
      <c r="P53" s="327"/>
      <c r="Q53" s="204">
        <f>SUM(Q48:Q52)</f>
        <v>0</v>
      </c>
      <c r="R53" s="204"/>
      <c r="S53" s="328"/>
      <c r="T53" s="204"/>
      <c r="U53" s="204">
        <f>SUM(U48:U52)</f>
        <v>0</v>
      </c>
      <c r="V53" s="204"/>
      <c r="W53" s="205"/>
      <c r="X53" s="44">
        <f>SUM(X48:X52)</f>
        <v>0</v>
      </c>
      <c r="Y53" s="44">
        <f t="shared" ref="Y53" si="18">SUM(Y48:Y52)</f>
        <v>0</v>
      </c>
      <c r="Z53" s="44">
        <f t="shared" ref="Z53" si="19">SUM(Z48:Z52)</f>
        <v>0</v>
      </c>
      <c r="AA53" s="44">
        <f t="shared" ref="AA53" si="20">SUM(AA48:AA52)</f>
        <v>0</v>
      </c>
    </row>
  </sheetData>
  <mergeCells count="24">
    <mergeCell ref="B33:B38"/>
    <mergeCell ref="B40:B45"/>
    <mergeCell ref="B47:B52"/>
    <mergeCell ref="G1:K1"/>
    <mergeCell ref="O1:S1"/>
    <mergeCell ref="E1:F1"/>
    <mergeCell ref="D3:D4"/>
    <mergeCell ref="B12:B17"/>
    <mergeCell ref="B19:B24"/>
    <mergeCell ref="B26:B31"/>
    <mergeCell ref="X3:X4"/>
    <mergeCell ref="AA3:AA4"/>
    <mergeCell ref="Z3:Z4"/>
    <mergeCell ref="Y3:Y4"/>
    <mergeCell ref="B5:B10"/>
    <mergeCell ref="G3:W3"/>
    <mergeCell ref="B3:B4"/>
    <mergeCell ref="C3:C4"/>
    <mergeCell ref="E3:E4"/>
    <mergeCell ref="F3:F4"/>
    <mergeCell ref="H4:K4"/>
    <mergeCell ref="L4:O4"/>
    <mergeCell ref="P4:S4"/>
    <mergeCell ref="T4:W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99FB-A6F8-4580-9170-E547C20B175C}">
  <dimension ref="B3:K17"/>
  <sheetViews>
    <sheetView topLeftCell="A6" workbookViewId="0">
      <selection activeCell="C11" sqref="C11"/>
    </sheetView>
  </sheetViews>
  <sheetFormatPr baseColWidth="10" defaultRowHeight="15" x14ac:dyDescent="0.25"/>
  <cols>
    <col min="2" max="2" width="17.140625" customWidth="1"/>
  </cols>
  <sheetData>
    <row r="3" spans="2:11" x14ac:dyDescent="0.25">
      <c r="B3" t="s">
        <v>69</v>
      </c>
      <c r="C3" s="202">
        <v>43374</v>
      </c>
      <c r="D3" t="s">
        <v>70</v>
      </c>
      <c r="E3" s="202">
        <v>43404</v>
      </c>
    </row>
    <row r="4" spans="2:11" x14ac:dyDescent="0.25">
      <c r="B4" t="s">
        <v>68</v>
      </c>
      <c r="C4">
        <f>NETWORKDAYS(C3,E3)</f>
        <v>23</v>
      </c>
    </row>
    <row r="5" spans="2:11" x14ac:dyDescent="0.25">
      <c r="C5" s="201"/>
    </row>
    <row r="7" spans="2:11" x14ac:dyDescent="0.25">
      <c r="B7" t="s">
        <v>51</v>
      </c>
      <c r="C7">
        <v>9.8800000000000008</v>
      </c>
      <c r="D7" t="s">
        <v>64</v>
      </c>
      <c r="E7">
        <v>151.66999999999999</v>
      </c>
    </row>
    <row r="8" spans="2:11" ht="15" customHeight="1" x14ac:dyDescent="0.25">
      <c r="B8" t="s">
        <v>62</v>
      </c>
      <c r="C8" s="299" t="s">
        <v>53</v>
      </c>
      <c r="D8" s="299"/>
      <c r="E8" s="299"/>
      <c r="F8" s="299"/>
      <c r="G8" s="27"/>
      <c r="H8" s="27"/>
      <c r="I8" s="300" t="s">
        <v>66</v>
      </c>
      <c r="J8" s="197"/>
      <c r="K8" s="198" t="s">
        <v>61</v>
      </c>
    </row>
    <row r="9" spans="2:11" ht="45" x14ac:dyDescent="0.25">
      <c r="B9" s="301" t="s">
        <v>52</v>
      </c>
      <c r="C9" t="s">
        <v>54</v>
      </c>
      <c r="D9" t="s">
        <v>55</v>
      </c>
      <c r="E9" s="200" t="s">
        <v>65</v>
      </c>
      <c r="F9" s="198" t="s">
        <v>88</v>
      </c>
      <c r="G9" s="198"/>
      <c r="H9" s="198"/>
      <c r="I9" s="299"/>
      <c r="J9" s="27" t="s">
        <v>67</v>
      </c>
      <c r="K9">
        <v>1.8</v>
      </c>
    </row>
    <row r="10" spans="2:11" x14ac:dyDescent="0.25">
      <c r="B10" s="301"/>
      <c r="C10" t="str">
        <f>IF('INFOS MOIS'!D15&gt;0,"X","")</f>
        <v/>
      </c>
      <c r="D10" t="str">
        <f>IF('INFOS MOIS'!D15=0,"X","")</f>
        <v>X</v>
      </c>
      <c r="E10" s="39">
        <v>151.66999999999999</v>
      </c>
      <c r="F10" t="str">
        <f>_xlfn.IFS(C10="X",'INFOS MOIS'!D15,Feuil2!D10="X","")</f>
        <v/>
      </c>
      <c r="I10">
        <v>4500</v>
      </c>
      <c r="K10" s="199">
        <f t="shared" ref="K10:K16" si="0">$C$7*$K$9*$E$7</f>
        <v>2697.2992800000002</v>
      </c>
    </row>
    <row r="11" spans="2:11" x14ac:dyDescent="0.25">
      <c r="B11" t="s">
        <v>22</v>
      </c>
      <c r="C11" t="str">
        <f>IF('INFOS MOIS'!J15&gt;0,"X","")</f>
        <v/>
      </c>
      <c r="D11" t="str">
        <f>IF('INFOS MOIS'!J15=0,"X","")</f>
        <v>X</v>
      </c>
      <c r="E11">
        <v>151.66999999999999</v>
      </c>
      <c r="F11" t="str">
        <f>_xlfn.IFS(C11="X",'INFOS MOIS'!J15,Feuil2!D11="X","")</f>
        <v/>
      </c>
      <c r="I11">
        <v>4300</v>
      </c>
      <c r="K11" s="199">
        <f t="shared" si="0"/>
        <v>2697.2992800000002</v>
      </c>
    </row>
    <row r="12" spans="2:11" x14ac:dyDescent="0.25">
      <c r="B12" t="s">
        <v>23</v>
      </c>
      <c r="C12" t="str">
        <f>IF('INFOS MOIS'!P15&gt;0,"X","")</f>
        <v>X</v>
      </c>
      <c r="D12" t="str">
        <f>IF('INFOS MOIS'!P15=0,"X","")</f>
        <v/>
      </c>
      <c r="E12">
        <v>151.66999999999999</v>
      </c>
      <c r="F12">
        <f>_xlfn.IFS(C12="X",'INFOS MOIS'!P15,Feuil2!D12="X","")</f>
        <v>10</v>
      </c>
      <c r="I12">
        <v>3452</v>
      </c>
      <c r="K12" s="199">
        <f t="shared" si="0"/>
        <v>2697.2992800000002</v>
      </c>
    </row>
    <row r="13" spans="2:11" x14ac:dyDescent="0.25">
      <c r="B13" t="s">
        <v>56</v>
      </c>
      <c r="C13" t="str">
        <f>IF('INFOS MOIS'!V15&gt;0,"X","")</f>
        <v/>
      </c>
      <c r="D13" t="str">
        <f>IF('INFOS MOIS'!V15=0,"X","")</f>
        <v>X</v>
      </c>
      <c r="E13">
        <v>151.66999999999999</v>
      </c>
      <c r="F13" t="str">
        <f>_xlfn.IFS(C13="X",'INFOS MOIS'!V15,Feuil2!D13="X","")</f>
        <v/>
      </c>
      <c r="K13" s="199">
        <f t="shared" si="0"/>
        <v>2697.2992800000002</v>
      </c>
    </row>
    <row r="14" spans="2:11" x14ac:dyDescent="0.25">
      <c r="B14" t="s">
        <v>57</v>
      </c>
      <c r="C14" t="str">
        <f>IF('INFOS MOIS'!AB15&gt;0,"X","")</f>
        <v/>
      </c>
      <c r="D14" t="str">
        <f>IF('INFOS MOIS'!AB15=0,"X","")</f>
        <v>X</v>
      </c>
      <c r="E14">
        <v>151.66999999999999</v>
      </c>
      <c r="F14" t="str">
        <f>_xlfn.IFS(C14="X",'INFOS MOIS'!AB15,Feuil2!D14="X","")</f>
        <v/>
      </c>
      <c r="K14" s="199">
        <f t="shared" si="0"/>
        <v>2697.2992800000002</v>
      </c>
    </row>
    <row r="15" spans="2:11" x14ac:dyDescent="0.25">
      <c r="B15" t="s">
        <v>58</v>
      </c>
      <c r="C15" t="str">
        <f>IF('INFOS MOIS'!AH15&gt;0,"X","")</f>
        <v/>
      </c>
      <c r="D15" t="str">
        <f>IF('INFOS MOIS'!AH15=0,"X","")</f>
        <v>X</v>
      </c>
      <c r="E15">
        <v>151.66999999999999</v>
      </c>
      <c r="F15" t="str">
        <f>_xlfn.IFS(C15="X",'INFOS MOIS'!AH15,Feuil2!D15="X","")</f>
        <v/>
      </c>
      <c r="K15" s="199">
        <f t="shared" si="0"/>
        <v>2697.2992800000002</v>
      </c>
    </row>
    <row r="16" spans="2:11" x14ac:dyDescent="0.25">
      <c r="B16" t="s">
        <v>59</v>
      </c>
      <c r="C16" t="str">
        <f>IF('INFOS MOIS'!AN15&gt;0,"X","")</f>
        <v>X</v>
      </c>
      <c r="D16" t="str">
        <f>IF('INFOS MOIS'!AN15=0,"X","")</f>
        <v/>
      </c>
      <c r="E16">
        <v>151.66999999999999</v>
      </c>
      <c r="F16">
        <f>_xlfn.IFS(C16="X",'INFOS MOIS'!AN15,Feuil2!D16="X","")</f>
        <v>3</v>
      </c>
      <c r="K16" s="199">
        <f t="shared" si="0"/>
        <v>2697.2992800000002</v>
      </c>
    </row>
    <row r="17" spans="2:11" x14ac:dyDescent="0.25">
      <c r="B17" t="s">
        <v>60</v>
      </c>
      <c r="K17" s="199"/>
    </row>
  </sheetData>
  <mergeCells count="3">
    <mergeCell ref="C8:F8"/>
    <mergeCell ref="I8:I9"/>
    <mergeCell ref="B9:B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90B1-96AD-4996-93DA-881C469964A4}">
  <dimension ref="C3:D18"/>
  <sheetViews>
    <sheetView topLeftCell="A4" workbookViewId="0">
      <selection activeCell="D12" sqref="D12"/>
    </sheetView>
  </sheetViews>
  <sheetFormatPr baseColWidth="10" defaultRowHeight="15" x14ac:dyDescent="0.25"/>
  <sheetData>
    <row r="3" spans="3:4" x14ac:dyDescent="0.25">
      <c r="C3">
        <v>2018</v>
      </c>
    </row>
    <row r="6" spans="3:4" x14ac:dyDescent="0.25">
      <c r="C6" t="s">
        <v>94</v>
      </c>
      <c r="D6" s="202">
        <f>DATE($C$3,1,1)</f>
        <v>43101</v>
      </c>
    </row>
    <row r="7" spans="3:4" x14ac:dyDescent="0.25">
      <c r="C7" t="s">
        <v>95</v>
      </c>
      <c r="D7" s="202">
        <f>FLOOR(DAY(MINUTE($C$3/38)/2+56)&amp;"/5/"&amp;$C$3,7)-34</f>
        <v>43191</v>
      </c>
    </row>
    <row r="8" spans="3:4" x14ac:dyDescent="0.25">
      <c r="C8" t="s">
        <v>96</v>
      </c>
      <c r="D8" s="202">
        <f>D7+1</f>
        <v>43192</v>
      </c>
    </row>
    <row r="9" spans="3:4" x14ac:dyDescent="0.25">
      <c r="C9" t="s">
        <v>97</v>
      </c>
      <c r="D9" s="202">
        <f>DATE($C$3,5,1)</f>
        <v>43221</v>
      </c>
    </row>
    <row r="10" spans="3:4" x14ac:dyDescent="0.25">
      <c r="C10" t="s">
        <v>98</v>
      </c>
      <c r="D10" s="202">
        <f>DATE($C$3,5,8)</f>
        <v>43228</v>
      </c>
    </row>
    <row r="11" spans="3:4" x14ac:dyDescent="0.25">
      <c r="C11" t="s">
        <v>99</v>
      </c>
      <c r="D11" s="202">
        <f>D7+39</f>
        <v>43230</v>
      </c>
    </row>
    <row r="12" spans="3:4" x14ac:dyDescent="0.25">
      <c r="C12" t="s">
        <v>100</v>
      </c>
      <c r="D12" s="202">
        <f>D7+49</f>
        <v>43240</v>
      </c>
    </row>
    <row r="13" spans="3:4" x14ac:dyDescent="0.25">
      <c r="C13" t="s">
        <v>101</v>
      </c>
      <c r="D13" s="202">
        <f>D7+50</f>
        <v>43241</v>
      </c>
    </row>
    <row r="14" spans="3:4" x14ac:dyDescent="0.25">
      <c r="C14" t="s">
        <v>102</v>
      </c>
      <c r="D14" s="202">
        <f>DATE($C$3,7,14)</f>
        <v>43295</v>
      </c>
    </row>
    <row r="15" spans="3:4" x14ac:dyDescent="0.25">
      <c r="C15" t="s">
        <v>103</v>
      </c>
      <c r="D15" s="202">
        <f>DATE($C$3,8,15)</f>
        <v>43327</v>
      </c>
    </row>
    <row r="16" spans="3:4" x14ac:dyDescent="0.25">
      <c r="C16" t="s">
        <v>104</v>
      </c>
      <c r="D16" s="202">
        <f>DATE($C$3,11,1)</f>
        <v>43405</v>
      </c>
    </row>
    <row r="17" spans="3:4" x14ac:dyDescent="0.25">
      <c r="C17" t="s">
        <v>105</v>
      </c>
      <c r="D17" s="202">
        <f>DATE($C$3,11,11)</f>
        <v>43415</v>
      </c>
    </row>
    <row r="18" spans="3:4" x14ac:dyDescent="0.25">
      <c r="C18" t="s">
        <v>106</v>
      </c>
      <c r="D18" s="202">
        <f>DATE($C$3,12,25)</f>
        <v>43459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17</vt:i4>
      </vt:variant>
    </vt:vector>
  </HeadingPairs>
  <TitlesOfParts>
    <vt:vector size="23" baseType="lpstr">
      <vt:lpstr>RECAP DES FRAIS</vt:lpstr>
      <vt:lpstr>INFOS COMMERCIAUX</vt:lpstr>
      <vt:lpstr>INFOS MOIS</vt:lpstr>
      <vt:lpstr>Feuil3</vt:lpstr>
      <vt:lpstr>Feuil2</vt:lpstr>
      <vt:lpstr>Feuil1</vt:lpstr>
      <vt:lpstr>ABSENCES</vt:lpstr>
      <vt:lpstr>CP</vt:lpstr>
      <vt:lpstr>formules</vt:lpstr>
      <vt:lpstr>HSD</vt:lpstr>
      <vt:lpstr>HSP</vt:lpstr>
      <vt:lpstr>Jour_Fériés</vt:lpstr>
      <vt:lpstr>NBH</vt:lpstr>
      <vt:lpstr>NBHS</vt:lpstr>
      <vt:lpstr>OBJ_AT_DUBOIS</vt:lpstr>
      <vt:lpstr>OBJ_AT_DURANT</vt:lpstr>
      <vt:lpstr>OBJA</vt:lpstr>
      <vt:lpstr>OBJDUBOIS</vt:lpstr>
      <vt:lpstr>OBJDURANT</vt:lpstr>
      <vt:lpstr>OBJM</vt:lpstr>
      <vt:lpstr>OBJMA</vt:lpstr>
      <vt:lpstr>OBJMSUP</vt:lpstr>
      <vt:lpstr>OBJSUP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Zellvegre</dc:creator>
  <cp:lastModifiedBy>Fanny Zellvegre</cp:lastModifiedBy>
  <dcterms:created xsi:type="dcterms:W3CDTF">2019-03-21T11:01:17Z</dcterms:created>
  <dcterms:modified xsi:type="dcterms:W3CDTF">2019-03-24T08:32:00Z</dcterms:modified>
</cp:coreProperties>
</file>