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880" yWindow="525" windowWidth="6720" windowHeight="4650" tabRatio="862" activeTab="8"/>
  </bookViews>
  <sheets>
    <sheet name="LUNDI" sheetId="1" r:id="rId1"/>
    <sheet name="MARDI" sheetId="2" r:id="rId2"/>
    <sheet name="MERCREDI" sheetId="3" r:id="rId3"/>
    <sheet name="JEUDI" sheetId="4" r:id="rId4"/>
    <sheet name="VENDREDI" sheetId="5" r:id="rId5"/>
    <sheet name="VIANDE" sheetId="8" r:id="rId6"/>
    <sheet name="P. LAITIERS" sheetId="9" r:id="rId7"/>
    <sheet name="SURGELES" sheetId="10" r:id="rId8"/>
    <sheet name="S. VIDE" sheetId="12" r:id="rId9"/>
    <sheet name="Feuil1" sheetId="13" r:id="rId10"/>
  </sheets>
  <definedNames>
    <definedName name="formule">OFFSET(produit,0,0,COUNTA(produitliste),1)</definedName>
    <definedName name="produit">Feuil1!$A$3</definedName>
    <definedName name="produitliste">Feuil1!$A:$A</definedName>
    <definedName name="_xlnm.Print_Area" localSheetId="3">JEUDI!$A$6:$AE$58</definedName>
    <definedName name="_xlnm.Print_Area" localSheetId="0">LUNDI!$A$6:$AE$46</definedName>
    <definedName name="_xlnm.Print_Area" localSheetId="1">MARDI!$A$7:$AE$57</definedName>
    <definedName name="_xlnm.Print_Area" localSheetId="2">MERCREDI!$A$7:$AE$52</definedName>
    <definedName name="_xlnm.Print_Area" localSheetId="6">'P. LAITIERS'!$A$1:$J$36</definedName>
    <definedName name="_xlnm.Print_Area" localSheetId="8">'S. VIDE'!$B$1:$K$18</definedName>
    <definedName name="_xlnm.Print_Area" localSheetId="7">SURGELES!$A$1:$J$42</definedName>
    <definedName name="_xlnm.Print_Area" localSheetId="4">VENDREDI!$A$5:$AE$40</definedName>
    <definedName name="_xlnm.Print_Area" localSheetId="5">VIANDE!$A$1:$J$31</definedName>
  </definedNames>
  <calcPr calcId="124519"/>
</workbook>
</file>

<file path=xl/calcChain.xml><?xml version="1.0" encoding="utf-8"?>
<calcChain xmlns="http://schemas.openxmlformats.org/spreadsheetml/2006/main">
  <c r="I6" i="9"/>
  <c r="G5" i="8"/>
  <c r="F5"/>
  <c r="I30"/>
  <c r="I29"/>
  <c r="F11" i="9" l="1"/>
  <c r="E11"/>
  <c r="AD22" i="3"/>
  <c r="I20" i="10"/>
  <c r="AD13" i="4"/>
  <c r="I3" i="8"/>
  <c r="I27"/>
  <c r="I3" i="10"/>
  <c r="D35" i="9"/>
  <c r="D31" i="10"/>
  <c r="H30" i="3"/>
  <c r="H11"/>
  <c r="AD46" i="2"/>
  <c r="AD24" l="1"/>
  <c r="AD25"/>
  <c r="D26" i="10"/>
  <c r="D12"/>
  <c r="D13" i="9" l="1"/>
  <c r="I41" i="10" l="1"/>
  <c r="H45" i="1"/>
  <c r="F45"/>
  <c r="F38"/>
  <c r="G35"/>
  <c r="F35"/>
  <c r="F33"/>
  <c r="H35"/>
  <c r="H21"/>
  <c r="H19"/>
  <c r="I20" i="8" l="1"/>
  <c r="A19" i="10"/>
  <c r="A27" l="1"/>
  <c r="A7" i="9"/>
  <c r="A11"/>
  <c r="I8" i="8"/>
  <c r="A7"/>
  <c r="A35" i="10"/>
  <c r="A21"/>
  <c r="A34" i="9"/>
  <c r="A13"/>
  <c r="A13" i="8"/>
  <c r="T42" i="3"/>
  <c r="F20"/>
  <c r="G20"/>
  <c r="W20"/>
  <c r="N33" i="1"/>
  <c r="Q23"/>
  <c r="A25" i="9" s="1"/>
  <c r="G21" i="1"/>
  <c r="F21"/>
  <c r="G10"/>
  <c r="F10"/>
  <c r="L20" i="3" l="1"/>
  <c r="X20" s="1"/>
  <c r="L35" i="1"/>
  <c r="U35" l="1"/>
  <c r="C28" i="10" s="1"/>
  <c r="AD35" i="1"/>
  <c r="I17" i="8" l="1"/>
  <c r="I23" i="9"/>
  <c r="AC18" i="5" l="1"/>
  <c r="H22" i="3" l="1"/>
  <c r="H31" i="1" l="1"/>
  <c r="H23"/>
  <c r="G23"/>
  <c r="F23"/>
  <c r="G17"/>
  <c r="F17"/>
  <c r="G19"/>
  <c r="F19"/>
  <c r="L23" l="1"/>
  <c r="R23" s="1"/>
  <c r="C25" i="9" s="1"/>
  <c r="I25" s="1"/>
  <c r="L17" i="1"/>
  <c r="O17" s="1"/>
  <c r="C13" i="8" s="1"/>
  <c r="A12"/>
  <c r="AC22" i="3"/>
  <c r="AC19" i="1"/>
  <c r="Q15"/>
  <c r="A17" i="9" s="1"/>
  <c r="L19" i="1" l="1"/>
  <c r="AD19" s="1"/>
  <c r="L21"/>
  <c r="R21" s="1"/>
  <c r="C5" i="9" s="1"/>
  <c r="X21" i="1" l="1"/>
  <c r="D10" i="12" s="1"/>
  <c r="F46" i="4" l="1"/>
  <c r="G46"/>
  <c r="H21" i="2" l="1"/>
  <c r="G21"/>
  <c r="F21"/>
  <c r="L21" l="1"/>
  <c r="AD22" l="1"/>
  <c r="AD23"/>
  <c r="AA21"/>
  <c r="R22"/>
  <c r="D36" i="9" s="1"/>
  <c r="R21" i="2"/>
  <c r="R23"/>
  <c r="D34" i="9" s="1"/>
  <c r="I34" s="1"/>
  <c r="AD21" i="2"/>
  <c r="I29" i="10"/>
  <c r="H15" i="2" l="1"/>
  <c r="G31" i="1" l="1"/>
  <c r="F31"/>
  <c r="L31" l="1"/>
  <c r="R31" l="1"/>
  <c r="AD31"/>
  <c r="H15" l="1"/>
  <c r="G15"/>
  <c r="F15"/>
  <c r="G33" l="1"/>
  <c r="L33" l="1"/>
  <c r="O33" s="1"/>
  <c r="C14" i="8" s="1"/>
  <c r="L15" i="1"/>
  <c r="R15" s="1"/>
  <c r="C17" i="9" s="1"/>
  <c r="G37" i="5" l="1"/>
  <c r="I22" i="9" l="1"/>
  <c r="I8" i="10" l="1"/>
  <c r="H42" i="2"/>
  <c r="G39"/>
  <c r="G11" l="1"/>
  <c r="F11"/>
  <c r="AC11"/>
  <c r="L11" l="1"/>
  <c r="AD11" s="1"/>
  <c r="G41" i="4" l="1"/>
  <c r="Z15" i="2" l="1"/>
  <c r="L10" i="1" l="1"/>
  <c r="I28" i="8"/>
  <c r="I26"/>
  <c r="I25"/>
  <c r="I24"/>
  <c r="I23"/>
  <c r="AA12" i="1" l="1"/>
  <c r="AD11"/>
  <c r="AA10"/>
  <c r="AA13"/>
  <c r="AD10"/>
  <c r="AA11"/>
  <c r="G29" i="5"/>
  <c r="G14" l="1"/>
  <c r="A11" i="8" l="1"/>
  <c r="F17" i="4" l="1"/>
  <c r="G17"/>
  <c r="L17" l="1"/>
  <c r="AD20" l="1"/>
  <c r="AD19"/>
  <c r="R18"/>
  <c r="I11" i="9" s="1"/>
  <c r="R17" i="4"/>
  <c r="R19"/>
  <c r="F7" i="9" s="1"/>
  <c r="I7" s="1"/>
  <c r="AD17" i="4"/>
  <c r="R20"/>
  <c r="AD18"/>
  <c r="G15" l="1"/>
  <c r="F15"/>
  <c r="L15" l="1"/>
  <c r="X15" l="1"/>
  <c r="G3" i="12" s="1"/>
  <c r="J3" s="1"/>
  <c r="U15" i="4"/>
  <c r="F13" i="8"/>
  <c r="I13" s="1"/>
  <c r="I37" i="10"/>
  <c r="T34" i="2" l="1"/>
  <c r="G45" i="1" l="1"/>
  <c r="L45" l="1"/>
  <c r="AD45" s="1"/>
  <c r="I19" i="9" l="1"/>
  <c r="E6" i="8"/>
  <c r="I13" i="10" l="1"/>
  <c r="F29" i="5"/>
  <c r="G23"/>
  <c r="F23"/>
  <c r="L23" l="1"/>
  <c r="G16" i="8" l="1"/>
  <c r="I16" s="1"/>
  <c r="U27" i="5"/>
  <c r="G24" i="10" s="1"/>
  <c r="AD23" i="5"/>
  <c r="U24"/>
  <c r="U25"/>
  <c r="U26"/>
  <c r="U23"/>
  <c r="G19" i="10" s="1"/>
  <c r="I19" s="1"/>
  <c r="G8" i="9"/>
  <c r="L29" i="5"/>
  <c r="AD30" l="1"/>
  <c r="R29"/>
  <c r="G4" i="9" s="1"/>
  <c r="U29" i="5"/>
  <c r="G38" i="10" s="1"/>
  <c r="U30" i="5"/>
  <c r="U31"/>
  <c r="G40" i="10" s="1"/>
  <c r="AD29" i="5"/>
  <c r="F14" l="1"/>
  <c r="L14" s="1"/>
  <c r="AA14" l="1"/>
  <c r="AA15"/>
  <c r="AA16"/>
  <c r="AD14"/>
  <c r="AD15"/>
  <c r="G10" i="10"/>
  <c r="I26" i="9"/>
  <c r="G39" i="3"/>
  <c r="A15" i="10" l="1"/>
  <c r="A36"/>
  <c r="C22"/>
  <c r="D22" s="1"/>
  <c r="E22" s="1"/>
  <c r="F22" s="1"/>
  <c r="G22" s="1"/>
  <c r="G55" i="4"/>
  <c r="F55"/>
  <c r="A9" i="10" l="1"/>
  <c r="L55" i="4" l="1"/>
  <c r="F44" i="3"/>
  <c r="G44"/>
  <c r="G22"/>
  <c r="G14"/>
  <c r="F14"/>
  <c r="R57" i="4" l="1"/>
  <c r="F10" i="9" s="1"/>
  <c r="X55" i="4"/>
  <c r="G8" i="12" s="1"/>
  <c r="R55" i="4"/>
  <c r="F12" i="9" s="1"/>
  <c r="R56" i="4"/>
  <c r="F36" i="9" s="1"/>
  <c r="G54" i="2" l="1"/>
  <c r="F54"/>
  <c r="I5" i="10" l="1"/>
  <c r="G38" i="1"/>
  <c r="L44" i="3" l="1"/>
  <c r="G35"/>
  <c r="F35"/>
  <c r="G16"/>
  <c r="F16"/>
  <c r="G11"/>
  <c r="F11"/>
  <c r="G42" i="2"/>
  <c r="G49" s="1"/>
  <c r="F42"/>
  <c r="F49" s="1"/>
  <c r="G29"/>
  <c r="F29"/>
  <c r="G27"/>
  <c r="F27"/>
  <c r="G17"/>
  <c r="F17"/>
  <c r="G42" i="3"/>
  <c r="AD46" l="1"/>
  <c r="AD47"/>
  <c r="AD44"/>
  <c r="AD48"/>
  <c r="U44"/>
  <c r="E30" i="10" s="1"/>
  <c r="AD45" i="3"/>
  <c r="L49" i="2"/>
  <c r="AD51" s="1"/>
  <c r="L42"/>
  <c r="O44" i="3"/>
  <c r="E21" i="8" s="1"/>
  <c r="L35" i="3"/>
  <c r="L11"/>
  <c r="L16"/>
  <c r="L17" i="2"/>
  <c r="L38" i="1"/>
  <c r="G31" i="4"/>
  <c r="F31"/>
  <c r="F51"/>
  <c r="G34" i="2"/>
  <c r="F34"/>
  <c r="G15"/>
  <c r="F15"/>
  <c r="U42" l="1"/>
  <c r="O42"/>
  <c r="U43"/>
  <c r="AD35" i="3"/>
  <c r="AD36"/>
  <c r="R35"/>
  <c r="R36"/>
  <c r="E8" i="9" s="1"/>
  <c r="U36" i="3"/>
  <c r="E40" i="10" s="1"/>
  <c r="U37" i="3"/>
  <c r="E26" i="10" s="1"/>
  <c r="AA17" i="3"/>
  <c r="AA18"/>
  <c r="AD17"/>
  <c r="AA16"/>
  <c r="X16"/>
  <c r="F11" i="12" s="1"/>
  <c r="AD16" i="3"/>
  <c r="X11"/>
  <c r="F5" i="12" s="1"/>
  <c r="AD11" i="3"/>
  <c r="AA11"/>
  <c r="AD43" i="2"/>
  <c r="D12" i="8"/>
  <c r="I12" s="1"/>
  <c r="U44" i="2"/>
  <c r="D35" i="10" s="1"/>
  <c r="D21"/>
  <c r="AD44" i="2"/>
  <c r="AD45"/>
  <c r="AD47"/>
  <c r="AD42"/>
  <c r="AD49"/>
  <c r="AD50"/>
  <c r="AD42" i="1"/>
  <c r="AD38"/>
  <c r="R38"/>
  <c r="C4" i="9" s="1"/>
  <c r="AD39" i="1"/>
  <c r="U38"/>
  <c r="C38" i="10" s="1"/>
  <c r="AD40" i="1"/>
  <c r="U39"/>
  <c r="C30" i="10" s="1"/>
  <c r="I30" s="1"/>
  <c r="AD41" i="1"/>
  <c r="U40"/>
  <c r="E35" i="10"/>
  <c r="U35" i="3"/>
  <c r="E9" i="10" s="1"/>
  <c r="E5" i="8"/>
  <c r="AD12" i="3"/>
  <c r="AA18" i="2"/>
  <c r="AA17"/>
  <c r="X17"/>
  <c r="E11" i="12" s="1"/>
  <c r="U17" i="2"/>
  <c r="D34" i="10" s="1"/>
  <c r="I34" s="1"/>
  <c r="L31" i="4"/>
  <c r="L34" i="2"/>
  <c r="L15"/>
  <c r="AA15" s="1"/>
  <c r="G22" i="4"/>
  <c r="F22"/>
  <c r="AC13"/>
  <c r="I35" i="10" l="1"/>
  <c r="C24"/>
  <c r="AD34" i="4"/>
  <c r="AD31"/>
  <c r="AD35"/>
  <c r="AD32"/>
  <c r="AD37"/>
  <c r="R31"/>
  <c r="AD33"/>
  <c r="AD35" i="2"/>
  <c r="AD36"/>
  <c r="AD34"/>
  <c r="I12" i="10"/>
  <c r="F26"/>
  <c r="O31" i="4"/>
  <c r="F6" i="8" s="1"/>
  <c r="I9" i="10"/>
  <c r="U34" i="2"/>
  <c r="D15" i="10" s="1"/>
  <c r="L22" i="4"/>
  <c r="X22" s="1"/>
  <c r="G6" i="12" s="1"/>
  <c r="AD22" i="4" l="1"/>
  <c r="AD23"/>
  <c r="G24" i="3"/>
  <c r="F24"/>
  <c r="L27" i="2"/>
  <c r="U27" s="1"/>
  <c r="G35" i="5"/>
  <c r="F35"/>
  <c r="L46" i="4"/>
  <c r="F10"/>
  <c r="G10"/>
  <c r="F42" i="3"/>
  <c r="L42" s="1"/>
  <c r="U42" s="1"/>
  <c r="E14" i="10" s="1"/>
  <c r="F39" i="2"/>
  <c r="L39" s="1"/>
  <c r="U40" s="1"/>
  <c r="B8" i="4"/>
  <c r="F13"/>
  <c r="G13"/>
  <c r="F26"/>
  <c r="G26"/>
  <c r="Q26"/>
  <c r="A16" i="9" s="1"/>
  <c r="F39" i="4"/>
  <c r="G39"/>
  <c r="F41"/>
  <c r="G51"/>
  <c r="L51" s="1"/>
  <c r="AD51" s="1"/>
  <c r="T51"/>
  <c r="B27" i="1"/>
  <c r="F29"/>
  <c r="G29"/>
  <c r="B9" i="2"/>
  <c r="F13"/>
  <c r="G13"/>
  <c r="Q13"/>
  <c r="Q29"/>
  <c r="B9" i="3"/>
  <c r="Q14"/>
  <c r="F22"/>
  <c r="F30"/>
  <c r="G30"/>
  <c r="Q30"/>
  <c r="A21" i="9" s="1"/>
  <c r="F39" i="3"/>
  <c r="L39" s="1"/>
  <c r="F51"/>
  <c r="G51"/>
  <c r="C1" i="9"/>
  <c r="D1" s="1"/>
  <c r="E1" s="1"/>
  <c r="F1" s="1"/>
  <c r="G1" s="1"/>
  <c r="D5"/>
  <c r="E5"/>
  <c r="G5"/>
  <c r="A20"/>
  <c r="I27"/>
  <c r="I29"/>
  <c r="I30"/>
  <c r="I32"/>
  <c r="D1" i="12"/>
  <c r="E1" s="1"/>
  <c r="F1" s="1"/>
  <c r="G1" s="1"/>
  <c r="H1" s="1"/>
  <c r="C1" i="10"/>
  <c r="D1" s="1"/>
  <c r="E1" s="1"/>
  <c r="F1" s="1"/>
  <c r="G1" s="1"/>
  <c r="I4"/>
  <c r="I6"/>
  <c r="I7"/>
  <c r="I16"/>
  <c r="I32"/>
  <c r="I42"/>
  <c r="B7" i="5"/>
  <c r="F9"/>
  <c r="G9"/>
  <c r="F12"/>
  <c r="G12"/>
  <c r="F18"/>
  <c r="G18"/>
  <c r="F37"/>
  <c r="C1" i="8"/>
  <c r="D1" s="1"/>
  <c r="E1" s="1"/>
  <c r="F1" s="1"/>
  <c r="G1" s="1"/>
  <c r="I9"/>
  <c r="I15"/>
  <c r="I19"/>
  <c r="J9" i="12"/>
  <c r="J8"/>
  <c r="L54" i="2"/>
  <c r="U47" i="4" l="1"/>
  <c r="F38" i="10" s="1"/>
  <c r="U48" i="4"/>
  <c r="F27" i="10" s="1"/>
  <c r="AD47" i="4"/>
  <c r="U49"/>
  <c r="F24" i="10" s="1"/>
  <c r="AD46" i="4"/>
  <c r="E27" i="10"/>
  <c r="I27" s="1"/>
  <c r="R39" i="3"/>
  <c r="E12" i="9" s="1"/>
  <c r="AD39" i="3"/>
  <c r="U54" i="2"/>
  <c r="AD54"/>
  <c r="R55"/>
  <c r="D10" i="9" s="1"/>
  <c r="AD55" i="2"/>
  <c r="AD39"/>
  <c r="U39"/>
  <c r="D38" i="10" s="1"/>
  <c r="E10" i="9"/>
  <c r="I13"/>
  <c r="D4"/>
  <c r="J6" i="12"/>
  <c r="R54" i="2"/>
  <c r="AD27"/>
  <c r="U46" i="4"/>
  <c r="F39" i="10" s="1"/>
  <c r="I10"/>
  <c r="D36"/>
  <c r="I36" s="1"/>
  <c r="L37" i="5"/>
  <c r="U38" s="1"/>
  <c r="G25" i="10" s="1"/>
  <c r="I25" s="1"/>
  <c r="L26" i="4"/>
  <c r="R26" s="1"/>
  <c r="F16" i="9" s="1"/>
  <c r="I16" s="1"/>
  <c r="L29" i="1"/>
  <c r="L24" i="3"/>
  <c r="I17" i="9"/>
  <c r="L41" i="4"/>
  <c r="L39"/>
  <c r="AD39" s="1"/>
  <c r="L10"/>
  <c r="L51" i="3"/>
  <c r="U51" s="1"/>
  <c r="E33" i="10" s="1"/>
  <c r="L35" i="5"/>
  <c r="O35" s="1"/>
  <c r="G11" i="8" s="1"/>
  <c r="I11" s="1"/>
  <c r="L13" i="2"/>
  <c r="L12" i="5"/>
  <c r="AA12" s="1"/>
  <c r="L9"/>
  <c r="J4" i="12"/>
  <c r="L13" i="4"/>
  <c r="L14" i="3"/>
  <c r="R14" s="1"/>
  <c r="L30"/>
  <c r="R30" s="1"/>
  <c r="E21" i="9" s="1"/>
  <c r="I21" s="1"/>
  <c r="L22" i="3"/>
  <c r="I15" i="10"/>
  <c r="I6" i="8"/>
  <c r="L29" i="2"/>
  <c r="R29" s="1"/>
  <c r="D15" i="9" s="1"/>
  <c r="I31"/>
  <c r="I21" i="8"/>
  <c r="L18" i="5"/>
  <c r="AD18" s="1"/>
  <c r="I40" i="10"/>
  <c r="I21"/>
  <c r="U51" i="4"/>
  <c r="F17" i="10" s="1"/>
  <c r="I17" s="1"/>
  <c r="R18" i="5" l="1"/>
  <c r="G12" i="9" s="1"/>
  <c r="R9" i="5"/>
  <c r="G9" i="9" s="1"/>
  <c r="O9" i="5"/>
  <c r="AA9"/>
  <c r="AD41" i="4"/>
  <c r="AD42"/>
  <c r="AD43"/>
  <c r="X11"/>
  <c r="G5" i="12" s="1"/>
  <c r="J5" s="1"/>
  <c r="AD10" i="4"/>
  <c r="AA10"/>
  <c r="X10"/>
  <c r="G7" i="12" s="1"/>
  <c r="J7" s="1"/>
  <c r="O10" i="4"/>
  <c r="AD27" i="3"/>
  <c r="AA24"/>
  <c r="AA25"/>
  <c r="AA26"/>
  <c r="AD25"/>
  <c r="I14" i="10"/>
  <c r="O29" i="1"/>
  <c r="C4" i="8" s="1"/>
  <c r="AD29" i="1"/>
  <c r="I36" i="9"/>
  <c r="AD26" i="3"/>
  <c r="AD24"/>
  <c r="AD28"/>
  <c r="E18" i="9"/>
  <c r="I18" s="1"/>
  <c r="X9" i="5"/>
  <c r="H11" i="12" s="1"/>
  <c r="J11" s="1"/>
  <c r="I10" i="9"/>
  <c r="R51" i="3"/>
  <c r="E4" i="9" s="1"/>
  <c r="I33" i="10"/>
  <c r="J10" i="12"/>
  <c r="I35" i="9"/>
  <c r="U37" i="5"/>
  <c r="G28" i="10" s="1"/>
  <c r="I28" s="1"/>
  <c r="I10" i="8"/>
  <c r="O41" i="4"/>
  <c r="U39" i="5"/>
  <c r="G26" i="10" s="1"/>
  <c r="I31"/>
  <c r="R13" i="2"/>
  <c r="D20" i="9" s="1"/>
  <c r="I20" s="1"/>
  <c r="R39" i="4"/>
  <c r="F4" i="9" s="1"/>
  <c r="I15"/>
  <c r="I39" i="10"/>
  <c r="I14" i="8" l="1"/>
  <c r="F7"/>
  <c r="I7" s="1"/>
  <c r="I4" i="9"/>
  <c r="I4" i="8"/>
  <c r="I28" i="9"/>
  <c r="I12"/>
  <c r="I24" i="10"/>
  <c r="I18" i="8"/>
  <c r="I38" i="10"/>
  <c r="I8" i="9"/>
  <c r="I5"/>
  <c r="I9"/>
  <c r="I26" i="10"/>
  <c r="I5" i="8"/>
</calcChain>
</file>

<file path=xl/sharedStrings.xml><?xml version="1.0" encoding="utf-8"?>
<sst xmlns="http://schemas.openxmlformats.org/spreadsheetml/2006/main" count="1408" uniqueCount="694">
  <si>
    <t>ENF</t>
  </si>
  <si>
    <t>LUNDI MIDI</t>
  </si>
  <si>
    <t>VIANDES</t>
  </si>
  <si>
    <t>P.LAITIERS</t>
  </si>
  <si>
    <t>SURGELES</t>
  </si>
  <si>
    <t>S/VIDE</t>
  </si>
  <si>
    <t>FRUITS &amp; LEG</t>
  </si>
  <si>
    <t>EPICERIE</t>
  </si>
  <si>
    <t>MENU 3</t>
  </si>
  <si>
    <t>RN</t>
  </si>
  <si>
    <t>SELF</t>
  </si>
  <si>
    <t>LUNDI SOIR</t>
  </si>
  <si>
    <t>MARDI MIDI</t>
  </si>
  <si>
    <t>JEUDI MIDI</t>
  </si>
  <si>
    <t>MARDI SOIR</t>
  </si>
  <si>
    <t>MERCREDI SOIR</t>
  </si>
  <si>
    <t>MERCREDI MIDI</t>
  </si>
  <si>
    <t>VENDREDI MIDI</t>
  </si>
  <si>
    <t>JEUDI SOIR</t>
  </si>
  <si>
    <t>SAMEDI MIDI</t>
  </si>
  <si>
    <t>SAMEDI SOIR</t>
  </si>
  <si>
    <t>VENDREDI SOIR</t>
  </si>
  <si>
    <t>DIMANCHE SOIR</t>
  </si>
  <si>
    <t>DIMANCHE MIDI</t>
  </si>
  <si>
    <t>SUP</t>
  </si>
  <si>
    <t>LUNDI</t>
  </si>
  <si>
    <t>MARDI</t>
  </si>
  <si>
    <t>MERCREDI</t>
  </si>
  <si>
    <t>JEUDI</t>
  </si>
  <si>
    <t>VENDREDI</t>
  </si>
  <si>
    <t>DESSERT LACTES</t>
  </si>
  <si>
    <t>OVOPRODUITS</t>
  </si>
  <si>
    <t>LEGUMES</t>
  </si>
  <si>
    <t>SOUS VIDE</t>
  </si>
  <si>
    <t>ADU</t>
  </si>
  <si>
    <t>ADO</t>
  </si>
  <si>
    <t xml:space="preserve">VENDREDI </t>
  </si>
  <si>
    <t xml:space="preserve">LUNDI </t>
  </si>
  <si>
    <t xml:space="preserve">MARDI </t>
  </si>
  <si>
    <t xml:space="preserve">MERCREDI </t>
  </si>
  <si>
    <t xml:space="preserve">JEUDI </t>
  </si>
  <si>
    <t>SEL</t>
  </si>
  <si>
    <t>TOTAL</t>
  </si>
  <si>
    <t>FROMAGES PORTIONS</t>
  </si>
  <si>
    <t>épaule D.D</t>
  </si>
  <si>
    <t>jambon blanc</t>
  </si>
  <si>
    <t>rôti de bœuf cuit</t>
  </si>
  <si>
    <t>sauté de porc</t>
  </si>
  <si>
    <t>CREMERIE</t>
  </si>
  <si>
    <t>crème liquide</t>
  </si>
  <si>
    <t>yaourt nature</t>
  </si>
  <si>
    <t>yaourt sucré</t>
  </si>
  <si>
    <t xml:space="preserve">œufs durs </t>
  </si>
  <si>
    <t>crevettes entières</t>
  </si>
  <si>
    <t>surimi</t>
  </si>
  <si>
    <t>croque monsieur</t>
  </si>
  <si>
    <t>carottes rondelles</t>
  </si>
  <si>
    <t>choux fleurs</t>
  </si>
  <si>
    <t>épinards</t>
  </si>
  <si>
    <t>frites self</t>
  </si>
  <si>
    <t>oignons</t>
  </si>
  <si>
    <t>petits pois</t>
  </si>
  <si>
    <t>poireaux</t>
  </si>
  <si>
    <t>pommes de terre rondes</t>
  </si>
  <si>
    <t>salade verte</t>
  </si>
  <si>
    <t>ENTREES</t>
  </si>
  <si>
    <t>POISSONS</t>
  </si>
  <si>
    <t>VOLAILLES</t>
  </si>
  <si>
    <t>PÂTISSERIES</t>
  </si>
  <si>
    <t>tomates</t>
  </si>
  <si>
    <t>camembert</t>
  </si>
  <si>
    <t>sauce pizza</t>
  </si>
  <si>
    <t>jus de veau</t>
  </si>
  <si>
    <t>emmental râpé</t>
  </si>
  <si>
    <t>rôti de veau cuit sans sel</t>
  </si>
  <si>
    <t>semoule</t>
  </si>
  <si>
    <t>bouillon de volaille</t>
  </si>
  <si>
    <t>macédoine de légumes</t>
  </si>
  <si>
    <t>jus de citron</t>
  </si>
  <si>
    <t>haricots beurre persillés</t>
  </si>
  <si>
    <t>haricots beurre</t>
  </si>
  <si>
    <t>œufs durs</t>
  </si>
  <si>
    <t>taboulé</t>
  </si>
  <si>
    <t>torti au beurre</t>
  </si>
  <si>
    <t>torti</t>
  </si>
  <si>
    <t>beurre</t>
  </si>
  <si>
    <t>yaourt aromatisé</t>
  </si>
  <si>
    <t>œufs liquides</t>
  </si>
  <si>
    <t>emmental dés</t>
  </si>
  <si>
    <t>huile d'olives</t>
  </si>
  <si>
    <t>curry</t>
  </si>
  <si>
    <t>rôti de bœuf cuit sans sel</t>
  </si>
  <si>
    <t>steak haché</t>
  </si>
  <si>
    <t>fromage blanc 0%</t>
  </si>
  <si>
    <t>fromage blanc 20%</t>
  </si>
  <si>
    <t>ail</t>
  </si>
  <si>
    <t>persil</t>
  </si>
  <si>
    <t>beurre micro</t>
  </si>
  <si>
    <t>radis</t>
  </si>
  <si>
    <t>moutarde</t>
  </si>
  <si>
    <t>sucre</t>
  </si>
  <si>
    <t xml:space="preserve"> </t>
  </si>
  <si>
    <t xml:space="preserve">    VENDREDI </t>
  </si>
  <si>
    <t>cuisse de poulet</t>
  </si>
  <si>
    <t>emmental</t>
  </si>
  <si>
    <t>escalope de dinde</t>
  </si>
  <si>
    <t>muscade</t>
  </si>
  <si>
    <t>mayonnaise</t>
  </si>
  <si>
    <t>sauce béchamel</t>
  </si>
  <si>
    <t>roux</t>
  </si>
  <si>
    <t>salsifis</t>
  </si>
  <si>
    <t>legumes tricolores aux herbes</t>
  </si>
  <si>
    <t>brocolis</t>
  </si>
  <si>
    <t>tomate farcie 170 g</t>
  </si>
  <si>
    <t xml:space="preserve">rôti de veau cuit </t>
  </si>
  <si>
    <t>radis beurre</t>
  </si>
  <si>
    <t>tomate farcie 170g</t>
  </si>
  <si>
    <t>Edam</t>
  </si>
  <si>
    <t>rondelé aux 3 poivres</t>
  </si>
  <si>
    <t>carré président</t>
  </si>
  <si>
    <t>kg</t>
  </si>
  <si>
    <t>dont 240 pour le self</t>
  </si>
  <si>
    <t>flan vanille nappé caramel</t>
  </si>
  <si>
    <t>haricots verts</t>
  </si>
  <si>
    <t>jambon blanc sachet</t>
  </si>
  <si>
    <t>PM</t>
  </si>
  <si>
    <t xml:space="preserve">radis </t>
  </si>
  <si>
    <t>burger de veau</t>
  </si>
  <si>
    <t>macédoine mayonnaise</t>
  </si>
  <si>
    <t>PAINS DE VIANDES HACHES</t>
  </si>
  <si>
    <t>porc à la diable haché</t>
  </si>
  <si>
    <t>jambon braisé haché</t>
  </si>
  <si>
    <t>canard dinde haché</t>
  </si>
  <si>
    <t>carottes râpées</t>
  </si>
  <si>
    <t>farine</t>
  </si>
  <si>
    <t>navarin d'agneau haché</t>
  </si>
  <si>
    <t>lapin chasseur haché</t>
  </si>
  <si>
    <t>boulettes d'agneau</t>
  </si>
  <si>
    <t>haricots blancs</t>
  </si>
  <si>
    <t>poivrons rouges</t>
  </si>
  <si>
    <t>céleri rave frais au curry</t>
  </si>
  <si>
    <t xml:space="preserve">  </t>
  </si>
  <si>
    <t>beurre kg</t>
  </si>
  <si>
    <t>tomme noire</t>
  </si>
  <si>
    <t>dont 80 pour le self</t>
  </si>
  <si>
    <t>yaourt light aux fruits</t>
  </si>
  <si>
    <t>dos de lieu</t>
  </si>
  <si>
    <t>épinards branches</t>
  </si>
  <si>
    <t>U</t>
  </si>
  <si>
    <t>sachet</t>
  </si>
  <si>
    <t>L</t>
  </si>
  <si>
    <t>lait outre/brique</t>
  </si>
  <si>
    <t>navets cubes</t>
  </si>
  <si>
    <t>salade mélangée</t>
  </si>
  <si>
    <t>sauce aigre douce</t>
  </si>
  <si>
    <t>U -pique-niques</t>
  </si>
  <si>
    <t>potage jardinière de légumes</t>
  </si>
  <si>
    <t>pomme</t>
  </si>
  <si>
    <t>MERCR</t>
  </si>
  <si>
    <t>poivrons verts</t>
  </si>
  <si>
    <t>vin blanc</t>
  </si>
  <si>
    <t>échalotes</t>
  </si>
  <si>
    <t>courgettes rondelles</t>
  </si>
  <si>
    <t>échalotes hachées</t>
  </si>
  <si>
    <t>arôme vanille</t>
  </si>
  <si>
    <t>oranges</t>
  </si>
  <si>
    <t>huile de tournesol</t>
  </si>
  <si>
    <t>lait outre</t>
  </si>
  <si>
    <t>pâtes tricolores</t>
  </si>
  <si>
    <t>thym</t>
  </si>
  <si>
    <t>laurier</t>
  </si>
  <si>
    <t>endives</t>
  </si>
  <si>
    <t>champignons de Paris</t>
  </si>
  <si>
    <t>céleri rave râpé</t>
  </si>
  <si>
    <t>choux blancs émincés</t>
  </si>
  <si>
    <t>jus d'oranges</t>
  </si>
  <si>
    <t>câpres</t>
  </si>
  <si>
    <t>rôti de bœuf</t>
  </si>
  <si>
    <t>jus de poulet</t>
  </si>
  <si>
    <t>coupelle purée de pommes</t>
  </si>
  <si>
    <t>vache Picon</t>
  </si>
  <si>
    <t>rôti de dinde cuit</t>
  </si>
  <si>
    <t>rôti de dinde cuit sans sel</t>
  </si>
  <si>
    <t>céleri branche</t>
  </si>
  <si>
    <t>olives noires 5/1</t>
  </si>
  <si>
    <t>endives niçoises</t>
  </si>
  <si>
    <t>rosette cornichon</t>
  </si>
  <si>
    <t>rosette</t>
  </si>
  <si>
    <t>cornichons</t>
  </si>
  <si>
    <t>crème dessert vanille</t>
  </si>
  <si>
    <t>escalope viennoise</t>
  </si>
  <si>
    <t>papillons au beurre</t>
  </si>
  <si>
    <t>papillons</t>
  </si>
  <si>
    <t>choux fleurs à la béchamel</t>
  </si>
  <si>
    <t>encornets sauce armoricaine</t>
  </si>
  <si>
    <t>fumet de poisson sans sel</t>
  </si>
  <si>
    <t>cognac</t>
  </si>
  <si>
    <t>concentré de tomates</t>
  </si>
  <si>
    <t>piment</t>
  </si>
  <si>
    <t>riz créole</t>
  </si>
  <si>
    <t>riz</t>
  </si>
  <si>
    <t>gâteau au yaourt banane chocolat</t>
  </si>
  <si>
    <t>yaourt nature seau</t>
  </si>
  <si>
    <t>jaunes d'œufs liquides</t>
  </si>
  <si>
    <t>levure chimique</t>
  </si>
  <si>
    <t>choicolat en poudre sucré</t>
  </si>
  <si>
    <t>banane</t>
  </si>
  <si>
    <t>Camembert</t>
  </si>
  <si>
    <t>palette de porc à la diable</t>
  </si>
  <si>
    <t>fond brun</t>
  </si>
  <si>
    <t>carottes</t>
  </si>
  <si>
    <t>couscous aux 3 viandes</t>
  </si>
  <si>
    <t>pilon de poulet</t>
  </si>
  <si>
    <t>merguez</t>
  </si>
  <si>
    <t>légumes couscous</t>
  </si>
  <si>
    <t>raisins secs</t>
  </si>
  <si>
    <t>épices couscous</t>
  </si>
  <si>
    <t>harissa</t>
  </si>
  <si>
    <t>œufs durs florentine</t>
  </si>
  <si>
    <t>salade floride</t>
  </si>
  <si>
    <t>salade de haricots blancs</t>
  </si>
  <si>
    <t>vinaigre balsamique</t>
  </si>
  <si>
    <t>pruneaux au sirop</t>
  </si>
  <si>
    <t>taboulé aux fruits ensorcelés</t>
  </si>
  <si>
    <t>jus d'orange</t>
  </si>
  <si>
    <t>pamplemousses</t>
  </si>
  <si>
    <t>citron</t>
  </si>
  <si>
    <t>Saint-Nectaire</t>
  </si>
  <si>
    <t>paupiette de poisson sauce blanquette</t>
  </si>
  <si>
    <t>paupiette de poisson</t>
  </si>
  <si>
    <t>sauce vin blanc</t>
  </si>
  <si>
    <t>purée</t>
  </si>
  <si>
    <t>sauté de porc madrilène</t>
  </si>
  <si>
    <t>fond blanc de volaille</t>
  </si>
  <si>
    <t>jus de porc</t>
  </si>
  <si>
    <t>salade alsacienne</t>
  </si>
  <si>
    <t>choux blancs</t>
  </si>
  <si>
    <t>betteraves crues râpées vinaigrette</t>
  </si>
  <si>
    <t>petit pot de crème aux raisins</t>
  </si>
  <si>
    <t>maïzéna</t>
  </si>
  <si>
    <t>fromage blanc seau</t>
  </si>
  <si>
    <t>crème épaisse</t>
  </si>
  <si>
    <t>escalope de dinde à l'ananas</t>
  </si>
  <si>
    <t>ananas au sirop</t>
  </si>
  <si>
    <t>vinaigre de xérès</t>
  </si>
  <si>
    <t>gigot d'agneau au jus</t>
  </si>
  <si>
    <t>gigot d'agneau</t>
  </si>
  <si>
    <t>jus d'agneau</t>
  </si>
  <si>
    <t>petits pois forestiers</t>
  </si>
  <si>
    <t>pommes de terre mélanie</t>
  </si>
  <si>
    <t>pommes de terre lamelles</t>
  </si>
  <si>
    <t>gigot d'agneau sans sel</t>
  </si>
  <si>
    <t>salade parisienne</t>
  </si>
  <si>
    <t>pomme cuite au caramel</t>
  </si>
  <si>
    <t>caramel liquide</t>
  </si>
  <si>
    <t>pommes</t>
  </si>
  <si>
    <t>salade italienne</t>
  </si>
  <si>
    <t>poule au pot</t>
  </si>
  <si>
    <t>cuisse de poule</t>
  </si>
  <si>
    <t>clou de girofle</t>
  </si>
  <si>
    <t>blé aux légumes</t>
  </si>
  <si>
    <t>blé</t>
  </si>
  <si>
    <t>ciboule</t>
  </si>
  <si>
    <t>basilic</t>
  </si>
  <si>
    <t>jambonneau cornichon</t>
  </si>
  <si>
    <t>jambonneau</t>
  </si>
  <si>
    <t>cornichon</t>
  </si>
  <si>
    <t>saucisson à l'ail</t>
  </si>
  <si>
    <t>tartare ail fines herbes</t>
  </si>
  <si>
    <t>coupelle purée pommes coings</t>
  </si>
  <si>
    <t>bœuf aux carottes hachée</t>
  </si>
  <si>
    <t>ratatouille</t>
  </si>
  <si>
    <t>tranches</t>
  </si>
  <si>
    <t>carottes à l'étouffée</t>
  </si>
  <si>
    <t>Pour le mardi 2 avril,  prévoir  1 service de soupe potage jardinière de légumes, 4 kg de chocolat en poudre sucré, 10 kg de farine, 300g de levure chimique, 1 kg de raisins secs, 1,5 poche d'épices à paëlla, 800 g d'harissa</t>
  </si>
  <si>
    <t>crème anglaise</t>
  </si>
  <si>
    <t>tarte aux fromages</t>
  </si>
  <si>
    <t>bœuf bourguignon haché</t>
  </si>
  <si>
    <t>pommes de terre cubes</t>
  </si>
  <si>
    <t>andouille de Bretagne</t>
  </si>
  <si>
    <t>betteraves crues râpées</t>
  </si>
  <si>
    <t>U - self si besoin</t>
  </si>
  <si>
    <t>kg - 80 + 280 unités</t>
  </si>
  <si>
    <t>Pour le lundi 1er avril, prévoir 115 étuis de spéculoos, 3  boites de cœurs de céleris, 2 litres de cognac, 8 litres de vin blanc, 330 coupelles purée pommes coings, 14 boites de pruneaux au sirop</t>
  </si>
  <si>
    <t xml:space="preserve">Pour le mercredi 3 avril,  prévoir 230 étuis de galettes bretonnes, 1,7 kg de raisins secs, 1 bouteille de vinaigre balsamique           </t>
  </si>
  <si>
    <t xml:space="preserve">Pour le jeudi 4 avril,  prévoir 240 coupelles purée pom vanille, 260 coupelles purée de pommes, 3,5kg de raisins secs,  de l'arôme vanille, 1 kg de maïzena, 3 boites de brisures d'ananas, 1 bouteille de vinaigre de xérès                                        </t>
  </si>
  <si>
    <t>entremets chocolat</t>
  </si>
  <si>
    <t>lait</t>
  </si>
  <si>
    <t>poulet à la moutarde haché</t>
  </si>
  <si>
    <t>faire avec 1 épaule</t>
  </si>
  <si>
    <t xml:space="preserve">Pour vendredi 5 avril, prévoir 4 boites d'entremets chocolat, 3 litres de caramel liquide                  </t>
  </si>
  <si>
    <t>DESIGNATION</t>
  </si>
  <si>
    <t>Code produit MAG</t>
  </si>
  <si>
    <t>Unité de
factura-                         tion</t>
  </si>
  <si>
    <t>Réfence fournisseur</t>
  </si>
  <si>
    <t>Conditionnement</t>
  </si>
  <si>
    <t>1/2 jambon sec en pave</t>
  </si>
  <si>
    <t>2,6 kg</t>
  </si>
  <si>
    <t>8 sachets = 1 carton</t>
  </si>
  <si>
    <t>aile de raie</t>
  </si>
  <si>
    <t>5 kg</t>
  </si>
  <si>
    <t>ananas</t>
  </si>
  <si>
    <t>5 kg - 5 sachets de 1 kg</t>
  </si>
  <si>
    <t>andouille de bretagne</t>
  </si>
  <si>
    <t>1,2 kg -</t>
  </si>
  <si>
    <t>andouillette</t>
  </si>
  <si>
    <t>860 - B</t>
  </si>
  <si>
    <t>10 U - 1,4 KG</t>
  </si>
  <si>
    <t>aubergines cubes</t>
  </si>
  <si>
    <t>10 KG</t>
  </si>
  <si>
    <t>bavettes</t>
  </si>
  <si>
    <t>1,5 kg - 10 U</t>
  </si>
  <si>
    <t>beignet framboises</t>
  </si>
  <si>
    <t>60 U</t>
  </si>
  <si>
    <t>beignet pommes</t>
  </si>
  <si>
    <t>betteraves crues rapees</t>
  </si>
  <si>
    <t>1 kg</t>
  </si>
  <si>
    <t>betteraves en des</t>
  </si>
  <si>
    <t xml:space="preserve">12 kg </t>
  </si>
  <si>
    <t>betteraves entieres</t>
  </si>
  <si>
    <t>10 kg</t>
  </si>
  <si>
    <t>beurre micropains</t>
  </si>
  <si>
    <t>6 kg</t>
  </si>
  <si>
    <t>blanc en neige</t>
  </si>
  <si>
    <t>1 barquette</t>
  </si>
  <si>
    <t>blancs d'œufs liquides</t>
  </si>
  <si>
    <t>1 L</t>
  </si>
  <si>
    <t>bleu en pain</t>
  </si>
  <si>
    <t>bonbel</t>
  </si>
  <si>
    <t>boudin noir</t>
  </si>
  <si>
    <t>10 U - 1,3 KG</t>
  </si>
  <si>
    <t>5 kg - 165U</t>
  </si>
  <si>
    <t>boulettes de bœuf</t>
  </si>
  <si>
    <t>brandade de morue</t>
  </si>
  <si>
    <t>1 KG</t>
  </si>
  <si>
    <t>brochette de dinde</t>
  </si>
  <si>
    <t>10U - 1 KG</t>
  </si>
  <si>
    <t>brochette de poisson</t>
  </si>
  <si>
    <t>6 kg - 42U</t>
  </si>
  <si>
    <t>brochette de poisson pane</t>
  </si>
  <si>
    <t>860 - D</t>
  </si>
  <si>
    <t>5 kg - 38 U</t>
  </si>
  <si>
    <t>brunoise de legumes</t>
  </si>
  <si>
    <t>buche chocolat</t>
  </si>
  <si>
    <t>PART</t>
  </si>
  <si>
    <t>14 U</t>
  </si>
  <si>
    <t>6 kg - 50U</t>
  </si>
  <si>
    <t>canelé</t>
  </si>
  <si>
    <t>cantal</t>
  </si>
  <si>
    <t>carottes rapees</t>
  </si>
  <si>
    <t>carre de colin</t>
  </si>
  <si>
    <t>5 kg - 40U</t>
  </si>
  <si>
    <t>carre president</t>
  </si>
  <si>
    <t>480 U</t>
  </si>
  <si>
    <t>celeri rave 1/4</t>
  </si>
  <si>
    <t>celeri rave cubes</t>
  </si>
  <si>
    <t>celeri rave rape</t>
  </si>
  <si>
    <t>celeris cubes</t>
  </si>
  <si>
    <t>cervelas obernois</t>
  </si>
  <si>
    <t>5 kg - 35U</t>
  </si>
  <si>
    <t>champignons de paris</t>
  </si>
  <si>
    <t>chavroux</t>
  </si>
  <si>
    <t>chipolata</t>
  </si>
  <si>
    <t>20 U - 1KG</t>
  </si>
  <si>
    <t>chorizo</t>
  </si>
  <si>
    <t xml:space="preserve"> 1 kg</t>
  </si>
  <si>
    <t>chorizo tranche</t>
  </si>
  <si>
    <t>500 g</t>
  </si>
  <si>
    <t>chou farci</t>
  </si>
  <si>
    <t>6,4 kg - 40U</t>
  </si>
  <si>
    <t>choucroute</t>
  </si>
  <si>
    <t>choux blancs emincés</t>
  </si>
  <si>
    <t>choux creme</t>
  </si>
  <si>
    <t>choux de bruxelles</t>
  </si>
  <si>
    <t>choux rouges emincés</t>
  </si>
  <si>
    <t>choux-fleurs</t>
  </si>
  <si>
    <t>cocktail de fruits de mers</t>
  </si>
  <si>
    <t>cœur de veau</t>
  </si>
  <si>
    <t>comté</t>
  </si>
  <si>
    <t>concombres rondelles</t>
  </si>
  <si>
    <t>cordon bleu de dinde</t>
  </si>
  <si>
    <t>5 kg - 38U</t>
  </si>
  <si>
    <t>courgette farcie</t>
  </si>
  <si>
    <t>6 kg - 34U</t>
  </si>
  <si>
    <t>courgettes cubes</t>
  </si>
  <si>
    <t>creme anglaise</t>
  </si>
  <si>
    <t>6 L - D</t>
  </si>
  <si>
    <t>creme cafe</t>
  </si>
  <si>
    <t>48 U</t>
  </si>
  <si>
    <t>creme caramel</t>
  </si>
  <si>
    <t>creme chocolat</t>
  </si>
  <si>
    <t>creme epaisse</t>
  </si>
  <si>
    <t>5 L</t>
  </si>
  <si>
    <t>creme liquide</t>
  </si>
  <si>
    <t>creme vanille</t>
  </si>
  <si>
    <t>crepe champignons 150g</t>
  </si>
  <si>
    <t>32 U</t>
  </si>
  <si>
    <t>crepe champignons 50g</t>
  </si>
  <si>
    <t>40 U</t>
  </si>
  <si>
    <t>crepe fromage 150g</t>
  </si>
  <si>
    <t>crepe fromage 50g</t>
  </si>
  <si>
    <t>crepe jambon fromage 150g</t>
  </si>
  <si>
    <t>crepe jambon fromage 50g</t>
  </si>
  <si>
    <t>crevettes decortiquees</t>
  </si>
  <si>
    <t>crevettes entieres</t>
  </si>
  <si>
    <t>croc'lait</t>
  </si>
  <si>
    <t>croissant</t>
  </si>
  <si>
    <t>110 U</t>
  </si>
  <si>
    <t>26 U</t>
  </si>
  <si>
    <t>cubes de poisson</t>
  </si>
  <si>
    <t>cuisse de canard</t>
  </si>
  <si>
    <t>5 kg - 25 U</t>
  </si>
  <si>
    <t>cuisse de pintade</t>
  </si>
  <si>
    <t>5 kg - 27 U</t>
  </si>
  <si>
    <t>5 kg - 18 U</t>
  </si>
  <si>
    <t>10U - 2KG</t>
  </si>
  <si>
    <t>cuisse de poulet surg</t>
  </si>
  <si>
    <t>5 kg - 22 U</t>
  </si>
  <si>
    <t>decoupe de coq</t>
  </si>
  <si>
    <t>5 kg - 47 U</t>
  </si>
  <si>
    <t>duo de poivrons</t>
  </si>
  <si>
    <t xml:space="preserve">10 KG </t>
  </si>
  <si>
    <t>echalote hachee</t>
  </si>
  <si>
    <t>eclair cafe</t>
  </si>
  <si>
    <t>96 U</t>
  </si>
  <si>
    <t>eclair chocolat</t>
  </si>
  <si>
    <t>eclair vanille</t>
  </si>
  <si>
    <t>edam</t>
  </si>
  <si>
    <t>egraine de bœuf</t>
  </si>
  <si>
    <t xml:space="preserve">6 kg </t>
  </si>
  <si>
    <t>emince de dinde</t>
  </si>
  <si>
    <t>2,5 kg</t>
  </si>
  <si>
    <t>emmental rapé</t>
  </si>
  <si>
    <t>encornets</t>
  </si>
  <si>
    <t>epaule d.d</t>
  </si>
  <si>
    <t>4 kg</t>
  </si>
  <si>
    <t>epinards branches</t>
  </si>
  <si>
    <t>épinards haches</t>
  </si>
  <si>
    <t>10 U - 1,2 KG</t>
  </si>
  <si>
    <t>escalope de dinde surg</t>
  </si>
  <si>
    <t>5 kg - 41 U</t>
  </si>
  <si>
    <t>escalope de porc</t>
  </si>
  <si>
    <t>escalope de veau - surg</t>
  </si>
  <si>
    <t>3 kg - 16 U</t>
  </si>
  <si>
    <t>filet de cabillaud</t>
  </si>
  <si>
    <t>5 kg - 42 U</t>
  </si>
  <si>
    <t>filet de hoki</t>
  </si>
  <si>
    <t>filets de harengs</t>
  </si>
  <si>
    <t>KG</t>
  </si>
  <si>
    <t>3 KG</t>
  </si>
  <si>
    <t>flageolets</t>
  </si>
  <si>
    <t>flan chocolat</t>
  </si>
  <si>
    <t>flan patissier</t>
  </si>
  <si>
    <t xml:space="preserve">La tarte </t>
  </si>
  <si>
    <t>8 U</t>
  </si>
  <si>
    <t>flan vanille</t>
  </si>
  <si>
    <t>flan vanille nappe caramel</t>
  </si>
  <si>
    <t>foie de veau surg</t>
  </si>
  <si>
    <t>5 kg - 33 U</t>
  </si>
  <si>
    <t>foie de volailles</t>
  </si>
  <si>
    <t>fond de tarte pâte brisee</t>
  </si>
  <si>
    <t>fonds d'artichauts</t>
  </si>
  <si>
    <t>fraidou</t>
  </si>
  <si>
    <t>framboises</t>
  </si>
  <si>
    <t>friand au fromage</t>
  </si>
  <si>
    <t>80 U</t>
  </si>
  <si>
    <t>frites four</t>
  </si>
  <si>
    <t>fromage blanc 20% seau</t>
  </si>
  <si>
    <t>fromage blanc 40% seau</t>
  </si>
  <si>
    <t>fromage frais me loïk</t>
  </si>
  <si>
    <t>72 U</t>
  </si>
  <si>
    <t>galets de brocolis</t>
  </si>
  <si>
    <t>galets de carottes</t>
  </si>
  <si>
    <t>galets de celeris</t>
  </si>
  <si>
    <t>galets de haricots verts</t>
  </si>
  <si>
    <t>galette frangipane</t>
  </si>
  <si>
    <t>gateau basque</t>
  </si>
  <si>
    <t>5 U</t>
  </si>
  <si>
    <t>gigot d'agneau cuit</t>
  </si>
  <si>
    <t>gigot d'agneau cuit sans sel</t>
  </si>
  <si>
    <t>gouda</t>
  </si>
  <si>
    <t>102 U</t>
  </si>
  <si>
    <t>gouda en pain</t>
  </si>
  <si>
    <t>3 kg</t>
  </si>
  <si>
    <t>haricots blancs demi secs</t>
  </si>
  <si>
    <t>haut de cuisse de poulet</t>
  </si>
  <si>
    <t>15 KG - D</t>
  </si>
  <si>
    <t>jambon blanc tranche</t>
  </si>
  <si>
    <t>720 G</t>
  </si>
  <si>
    <t>jambon de dinde</t>
  </si>
  <si>
    <t>3,5 kg</t>
  </si>
  <si>
    <t>jambon gril</t>
  </si>
  <si>
    <t>jeunes carottes</t>
  </si>
  <si>
    <t>joue de bœuf</t>
  </si>
  <si>
    <t>5 kg - 66 U</t>
  </si>
  <si>
    <t>joue de porc</t>
  </si>
  <si>
    <t>5 kg - 83 U</t>
  </si>
  <si>
    <t>julienne de legumes</t>
  </si>
  <si>
    <t>lait 1l</t>
  </si>
  <si>
    <t>432 L</t>
  </si>
  <si>
    <t>10 L</t>
  </si>
  <si>
    <t>laitue</t>
  </si>
  <si>
    <t>langue de bœuf</t>
  </si>
  <si>
    <t>lardons</t>
  </si>
  <si>
    <t>1 KG (1 BARQ)</t>
  </si>
  <si>
    <t>leerdammer</t>
  </si>
  <si>
    <t>legumes couscous</t>
  </si>
  <si>
    <t>legumes s/féculent</t>
  </si>
  <si>
    <t>lentilles</t>
  </si>
  <si>
    <t>4 x 2,5 kg</t>
  </si>
  <si>
    <t>liégeois cafe</t>
  </si>
  <si>
    <t>liégeois chocolat</t>
  </si>
  <si>
    <t>liégeois vanille</t>
  </si>
  <si>
    <t>macedoine de legumes</t>
  </si>
  <si>
    <t>mache</t>
  </si>
  <si>
    <t>200 g</t>
  </si>
  <si>
    <t>margarine</t>
  </si>
  <si>
    <t>melange de fruits rouges</t>
  </si>
  <si>
    <t>20 U - 1 KG</t>
  </si>
  <si>
    <t>mi chevre</t>
  </si>
  <si>
    <t>18 U - D</t>
  </si>
  <si>
    <t>mille-feuille</t>
  </si>
  <si>
    <t>36 U</t>
  </si>
  <si>
    <t>mimolette</t>
  </si>
  <si>
    <t>mimolette en pain</t>
  </si>
  <si>
    <t>mini babybel</t>
  </si>
  <si>
    <t>mini croissant</t>
  </si>
  <si>
    <t>160 U</t>
  </si>
  <si>
    <t>mini pain au chocolat</t>
  </si>
  <si>
    <t>mini pain aux raisins</t>
  </si>
  <si>
    <t>mortadelle</t>
  </si>
  <si>
    <t>moules decoquillees</t>
  </si>
  <si>
    <t>moules pleine eau</t>
  </si>
  <si>
    <t>mousse au cafe</t>
  </si>
  <si>
    <t>mousse au citron</t>
  </si>
  <si>
    <t>mousse chocolat</t>
  </si>
  <si>
    <t>mousse chocolat noir</t>
  </si>
  <si>
    <t>mozzarella</t>
  </si>
  <si>
    <t>museau</t>
  </si>
  <si>
    <t>myrtilles</t>
  </si>
  <si>
    <t>navets 1/4</t>
  </si>
  <si>
    <t>oeufs durs</t>
  </si>
  <si>
    <t>120 U</t>
  </si>
  <si>
    <t xml:space="preserve">150 U </t>
  </si>
  <si>
    <t>oeufs frais</t>
  </si>
  <si>
    <t>oeufs liquides</t>
  </si>
  <si>
    <t>oeufs poches</t>
  </si>
  <si>
    <t>75 U</t>
  </si>
  <si>
    <t>oseille</t>
  </si>
  <si>
    <t>paleron de bœuf</t>
  </si>
  <si>
    <t>palette de porc a la diable</t>
  </si>
  <si>
    <t>palette de porc a la provencale</t>
  </si>
  <si>
    <t>paris brest</t>
  </si>
  <si>
    <t>pate de campagne</t>
  </si>
  <si>
    <t>pate de foie</t>
  </si>
  <si>
    <t>1,5 kg</t>
  </si>
  <si>
    <t>pate de legumes</t>
  </si>
  <si>
    <t>3 KG - 66 U</t>
  </si>
  <si>
    <t>pate de poissons aux pts leg</t>
  </si>
  <si>
    <t>pate de saumon</t>
  </si>
  <si>
    <t>pate en croute</t>
  </si>
  <si>
    <t>20 U - 1,3 KG</t>
  </si>
  <si>
    <t>pate feuilletee</t>
  </si>
  <si>
    <t>La plaque</t>
  </si>
  <si>
    <t>16 PLAQUE = 8 kg</t>
  </si>
  <si>
    <t>5 KG - 40 U</t>
  </si>
  <si>
    <t>paupiette de saumon</t>
  </si>
  <si>
    <t>paupiette de veau</t>
  </si>
  <si>
    <t>paupiette de volaille</t>
  </si>
  <si>
    <t>pavé 1/2 sel</t>
  </si>
  <si>
    <t>192 U</t>
  </si>
  <si>
    <t>pave de saumon</t>
  </si>
  <si>
    <t>petit moule ail et fines herbes</t>
  </si>
  <si>
    <t>petit sale</t>
  </si>
  <si>
    <t>petit suisse aromatisé</t>
  </si>
  <si>
    <t>8 X 6U</t>
  </si>
  <si>
    <t>petit suisse nature</t>
  </si>
  <si>
    <t>petits moules aux noix</t>
  </si>
  <si>
    <t>144 U</t>
  </si>
  <si>
    <t>5 kg - env 45 U</t>
  </si>
  <si>
    <t>pizza royale</t>
  </si>
  <si>
    <t>poelée de legumes campagnarde</t>
  </si>
  <si>
    <t>poelée de legumes forestiere</t>
  </si>
  <si>
    <t>pointe cacao</t>
  </si>
  <si>
    <t>Portion</t>
  </si>
  <si>
    <t>pointe fruits rouges</t>
  </si>
  <si>
    <t>poisson meuniere</t>
  </si>
  <si>
    <t>5,5 kg - 44 U</t>
  </si>
  <si>
    <t>poisson pane</t>
  </si>
  <si>
    <t>5,2 kg - 52 U</t>
  </si>
  <si>
    <t>poitrine de veau farcie</t>
  </si>
  <si>
    <t>8 kg - 4 U</t>
  </si>
  <si>
    <t>poitrine fumee</t>
  </si>
  <si>
    <t>poivrons melanges lanieres</t>
  </si>
  <si>
    <t>pomme de terre farcie</t>
  </si>
  <si>
    <t>6 kg - 32U</t>
  </si>
  <si>
    <t>pommes campagnardes</t>
  </si>
  <si>
    <t>pommes dauphines</t>
  </si>
  <si>
    <t>pommes de terre cubes 4ème gamme</t>
  </si>
  <si>
    <t>2 x 5 kg</t>
  </si>
  <si>
    <t>pommes de terre lamelles sautees</t>
  </si>
  <si>
    <t>pommes de terre rondelles</t>
  </si>
  <si>
    <t>pommes de terre rondelles 4ème gamme</t>
  </si>
  <si>
    <t>pommes de terre rondes 4ème gamme</t>
  </si>
  <si>
    <t>pommes duchesses</t>
  </si>
  <si>
    <t>pommes noisettes</t>
  </si>
  <si>
    <t>pommes rissolees</t>
  </si>
  <si>
    <t>port salut</t>
  </si>
  <si>
    <t>printaniere de legumes</t>
  </si>
  <si>
    <t>puree de potirons</t>
  </si>
  <si>
    <t>quenelle de volaille</t>
  </si>
  <si>
    <t>2 kg - 50 U</t>
  </si>
  <si>
    <t>quenelles de brochet</t>
  </si>
  <si>
    <t>2 KG - 50U</t>
  </si>
  <si>
    <t>quiche lorraine</t>
  </si>
  <si>
    <t>1 kg x 8 U</t>
  </si>
  <si>
    <t>quiche lorraine individuelle</t>
  </si>
  <si>
    <t>12 U</t>
  </si>
  <si>
    <t>rillettes</t>
  </si>
  <si>
    <t>riz au lait</t>
  </si>
  <si>
    <t>rognons de bœuf</t>
  </si>
  <si>
    <t>rondeles 3 poivres</t>
  </si>
  <si>
    <t>roquefort</t>
  </si>
  <si>
    <t>192 U - 8U</t>
  </si>
  <si>
    <t>rosette tranche</t>
  </si>
  <si>
    <t>1 kg - 100 U</t>
  </si>
  <si>
    <t>roti de bœuf</t>
  </si>
  <si>
    <t>roti de boeuf sans sel</t>
  </si>
  <si>
    <t>roti de dinde</t>
  </si>
  <si>
    <t>roti de dinde sans sel</t>
  </si>
  <si>
    <t>roti de lapin farci</t>
  </si>
  <si>
    <t>6 kg - 3 U</t>
  </si>
  <si>
    <t>roti de porc</t>
  </si>
  <si>
    <t>roti de porc sans sel</t>
  </si>
  <si>
    <t>roti de veau</t>
  </si>
  <si>
    <t>roti de veau sans sel</t>
  </si>
  <si>
    <t>saint moret</t>
  </si>
  <si>
    <t>saint nectaire</t>
  </si>
  <si>
    <t>100 U</t>
  </si>
  <si>
    <t>saint paulin</t>
  </si>
  <si>
    <t>salade de fruits sans sucre</t>
  </si>
  <si>
    <t>salade melangee</t>
  </si>
  <si>
    <t>salamis tranche</t>
  </si>
  <si>
    <t>200 g - 20 U</t>
  </si>
  <si>
    <t>saucisse de toulouse</t>
  </si>
  <si>
    <t>1,25 KG - 10 U</t>
  </si>
  <si>
    <t>saucisse de volaille</t>
  </si>
  <si>
    <t>20 U - 1,1 KG</t>
  </si>
  <si>
    <t>saucisses de strasbourg</t>
  </si>
  <si>
    <t>1 kg - 20 U</t>
  </si>
  <si>
    <t>saucisson l'ail</t>
  </si>
  <si>
    <t>saucisson sec</t>
  </si>
  <si>
    <t>1,250 kg</t>
  </si>
  <si>
    <t>saumonette</t>
  </si>
  <si>
    <t>5 kg - 8 U</t>
  </si>
  <si>
    <t>saute d'agneau</t>
  </si>
  <si>
    <t>saute de boeuf</t>
  </si>
  <si>
    <t>saute de dinde</t>
  </si>
  <si>
    <t>saute de porc</t>
  </si>
  <si>
    <t>saute de veau</t>
  </si>
  <si>
    <t>scarole</t>
  </si>
  <si>
    <t>semoule au lait</t>
  </si>
  <si>
    <t>steak</t>
  </si>
  <si>
    <t>steaks haches surg</t>
  </si>
  <si>
    <t>5 KG</t>
  </si>
  <si>
    <t>surimi en miettes</t>
  </si>
  <si>
    <t>tartare ail et fines herbes</t>
  </si>
  <si>
    <t>tarte au chocolat</t>
  </si>
  <si>
    <t>5 U = 50 parts</t>
  </si>
  <si>
    <t>tarte au citron</t>
  </si>
  <si>
    <t>8 U = 80 parts</t>
  </si>
  <si>
    <t>tarte aux abricots</t>
  </si>
  <si>
    <t>6 U = 60 parts</t>
  </si>
  <si>
    <t>tarte aux fromages individuelle</t>
  </si>
  <si>
    <t>tarte aux poireaux</t>
  </si>
  <si>
    <t>tarte aux pommes</t>
  </si>
  <si>
    <t>10 U = 100 parts</t>
  </si>
  <si>
    <t>tarte fruits rouges</t>
  </si>
  <si>
    <t>tarte noix de coco</t>
  </si>
  <si>
    <t>tarte pommes normande</t>
  </si>
  <si>
    <t>tarte pommes rhubarbe</t>
  </si>
  <si>
    <t>tomate farcie 120g</t>
  </si>
  <si>
    <t>6 kg - 48U</t>
  </si>
  <si>
    <t>6 KG - 35U</t>
  </si>
  <si>
    <t>tripes</t>
  </si>
  <si>
    <t>vache picon</t>
  </si>
  <si>
    <t>yaourt fermier aux fruits</t>
  </si>
  <si>
    <t>yaourt fermier aux fruits seau</t>
  </si>
  <si>
    <t>3 kg ou 5 kg</t>
  </si>
  <si>
    <t>yaourt fermier nature</t>
  </si>
  <si>
    <t>yaourt fermier nature seau</t>
  </si>
  <si>
    <t>yaourt fermier sucre</t>
  </si>
  <si>
    <t>yaourt light vanille</t>
  </si>
  <si>
    <t>yaourt sucre</t>
  </si>
</sst>
</file>

<file path=xl/styles.xml><?xml version="1.0" encoding="utf-8"?>
<styleSheet xmlns="http://schemas.openxmlformats.org/spreadsheetml/2006/main">
  <numFmts count="2">
    <numFmt numFmtId="164" formatCode="0.0"/>
    <numFmt numFmtId="165" formatCode="#,##0.000\ &quot;€&quot;"/>
  </numFmts>
  <fonts count="58">
    <font>
      <sz val="10"/>
      <name val="Arial"/>
    </font>
    <font>
      <sz val="10"/>
      <name val="Comic Sans MS"/>
      <family val="4"/>
    </font>
    <font>
      <sz val="14"/>
      <name val="Comic Sans MS"/>
      <family val="4"/>
    </font>
    <font>
      <sz val="9"/>
      <color indexed="14"/>
      <name val="Comic Sans MS"/>
      <family val="4"/>
    </font>
    <font>
      <sz val="10"/>
      <color indexed="14"/>
      <name val="Comic Sans MS"/>
      <family val="4"/>
    </font>
    <font>
      <sz val="14"/>
      <color indexed="14"/>
      <name val="Comic Sans MS"/>
      <family val="4"/>
    </font>
    <font>
      <sz val="10"/>
      <color indexed="9"/>
      <name val="Comic Sans MS"/>
      <family val="4"/>
    </font>
    <font>
      <sz val="14"/>
      <color indexed="12"/>
      <name val="Comic Sans MS"/>
      <family val="4"/>
    </font>
    <font>
      <sz val="10"/>
      <color indexed="12"/>
      <name val="Comic Sans MS"/>
      <family val="4"/>
    </font>
    <font>
      <sz val="9"/>
      <color indexed="12"/>
      <name val="Comic Sans MS"/>
      <family val="4"/>
    </font>
    <font>
      <sz val="9"/>
      <color indexed="17"/>
      <name val="Comic Sans MS"/>
      <family val="4"/>
    </font>
    <font>
      <sz val="10"/>
      <color indexed="17"/>
      <name val="Comic Sans MS"/>
      <family val="4"/>
    </font>
    <font>
      <sz val="14"/>
      <color indexed="17"/>
      <name val="Comic Sans MS"/>
      <family val="4"/>
    </font>
    <font>
      <u/>
      <sz val="22"/>
      <name val="Comic Sans MS"/>
      <family val="4"/>
    </font>
    <font>
      <b/>
      <sz val="10"/>
      <name val="Comic Sans MS"/>
      <family val="4"/>
    </font>
    <font>
      <b/>
      <i/>
      <sz val="10"/>
      <name val="Comic Sans MS"/>
      <family val="4"/>
    </font>
    <font>
      <u/>
      <sz val="18"/>
      <color indexed="12"/>
      <name val="Comic Sans MS"/>
      <family val="4"/>
    </font>
    <font>
      <sz val="9"/>
      <color indexed="10"/>
      <name val="Comic Sans MS"/>
      <family val="4"/>
    </font>
    <font>
      <sz val="12"/>
      <name val="Comic Sans MS"/>
      <family val="4"/>
    </font>
    <font>
      <sz val="8"/>
      <color indexed="10"/>
      <name val="Comic Sans MS"/>
      <family val="4"/>
    </font>
    <font>
      <sz val="10"/>
      <color indexed="10"/>
      <name val="Comic Sans MS"/>
      <family val="4"/>
    </font>
    <font>
      <sz val="12"/>
      <color indexed="12"/>
      <name val="Comic Sans MS"/>
      <family val="4"/>
    </font>
    <font>
      <sz val="12"/>
      <color indexed="17"/>
      <name val="Comic Sans MS"/>
      <family val="4"/>
    </font>
    <font>
      <sz val="8"/>
      <color indexed="14"/>
      <name val="Comic Sans MS"/>
      <family val="4"/>
    </font>
    <font>
      <sz val="10"/>
      <color indexed="8"/>
      <name val="Comic Sans MS"/>
      <family val="4"/>
    </font>
    <font>
      <sz val="12"/>
      <color indexed="9"/>
      <name val="Comic Sans MS"/>
      <family val="4"/>
    </font>
    <font>
      <b/>
      <u/>
      <sz val="16"/>
      <name val="Comic Sans MS"/>
      <family val="4"/>
    </font>
    <font>
      <sz val="8"/>
      <name val="Comic Sans MS"/>
      <family val="4"/>
    </font>
    <font>
      <sz val="9"/>
      <name val="Comic Sans MS"/>
      <family val="4"/>
    </font>
    <font>
      <b/>
      <sz val="14"/>
      <name val="Comic Sans MS"/>
      <family val="4"/>
    </font>
    <font>
      <sz val="12"/>
      <color indexed="8"/>
      <name val="Comic Sans MS"/>
      <family val="4"/>
    </font>
    <font>
      <sz val="9"/>
      <color indexed="8"/>
      <name val="Comic Sans MS"/>
      <family val="4"/>
    </font>
    <font>
      <sz val="16"/>
      <color indexed="8"/>
      <name val="Comic Sans MS"/>
      <family val="4"/>
    </font>
    <font>
      <sz val="16"/>
      <name val="Comic Sans MS"/>
      <family val="4"/>
    </font>
    <font>
      <sz val="14"/>
      <color indexed="9"/>
      <name val="Comic Sans MS"/>
      <family val="4"/>
    </font>
    <font>
      <sz val="22"/>
      <color indexed="8"/>
      <name val="Comic Sans MS"/>
      <family val="4"/>
    </font>
    <font>
      <u/>
      <sz val="14"/>
      <name val="Comic Sans MS"/>
      <family val="4"/>
    </font>
    <font>
      <sz val="12"/>
      <color indexed="10"/>
      <name val="Comic Sans MS"/>
      <family val="4"/>
    </font>
    <font>
      <sz val="8"/>
      <color indexed="12"/>
      <name val="Comic Sans MS"/>
      <family val="4"/>
    </font>
    <font>
      <sz val="12"/>
      <color indexed="14"/>
      <name val="Comic Sans MS"/>
      <family val="4"/>
    </font>
    <font>
      <sz val="16"/>
      <color indexed="14"/>
      <name val="Comic Sans MS"/>
      <family val="4"/>
    </font>
    <font>
      <sz val="22"/>
      <name val="Comic Sans MS"/>
      <family val="4"/>
    </font>
    <font>
      <sz val="24"/>
      <name val="Comic Sans MS"/>
      <family val="4"/>
    </font>
    <font>
      <sz val="11"/>
      <name val="Comic Sans MS"/>
      <family val="4"/>
    </font>
    <font>
      <sz val="12"/>
      <color rgb="FF0000FF"/>
      <name val="Comic Sans MS"/>
      <family val="4"/>
    </font>
    <font>
      <sz val="12"/>
      <color rgb="FFFF00FF"/>
      <name val="Comic Sans MS"/>
      <family val="4"/>
    </font>
    <font>
      <sz val="10"/>
      <color rgb="FF008000"/>
      <name val="Comic Sans MS"/>
      <family val="4"/>
    </font>
    <font>
      <sz val="12"/>
      <color rgb="FF008000"/>
      <name val="Comic Sans MS"/>
      <family val="4"/>
    </font>
    <font>
      <sz val="8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rgb="FFFF0000"/>
      <name val="Comic Sans MS"/>
      <family val="4"/>
    </font>
    <font>
      <b/>
      <sz val="16"/>
      <name val="Comic Sans MS"/>
      <family val="4"/>
    </font>
    <font>
      <sz val="11"/>
      <color indexed="8"/>
      <name val="Comic Sans MS"/>
      <family val="4"/>
    </font>
    <font>
      <sz val="11"/>
      <color indexed="12"/>
      <name val="Comic Sans MS"/>
      <family val="4"/>
    </font>
    <font>
      <sz val="10"/>
      <name val="Arial"/>
      <family val="2"/>
    </font>
    <font>
      <b/>
      <sz val="16"/>
      <color indexed="8"/>
      <name val="Comic Sans MS"/>
      <family val="4"/>
    </font>
    <font>
      <b/>
      <sz val="9"/>
      <name val="Comic Sans MS"/>
      <family val="4"/>
    </font>
    <font>
      <sz val="8"/>
      <color indexed="8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FFFF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4" fillId="0" borderId="0"/>
  </cellStyleXfs>
  <cellXfs count="694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" fillId="0" borderId="0" xfId="0" quotePrefix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3" fillId="0" borderId="3" xfId="0" quotePrefix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8" fillId="0" borderId="7" xfId="0" applyFont="1" applyFill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18" fillId="0" borderId="0" xfId="0" applyFont="1" applyFill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8" fillId="0" borderId="8" xfId="0" applyFont="1" applyFill="1" applyBorder="1" applyAlignment="1">
      <alignment horizontal="center" vertical="center"/>
    </xf>
    <xf numFmtId="0" fontId="21" fillId="0" borderId="1" xfId="0" applyFont="1" applyFill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1" fillId="0" borderId="0" xfId="0" quotePrefix="1" applyFont="1" applyBorder="1" applyAlignment="1">
      <alignment horizontal="center" vertical="center"/>
    </xf>
    <xf numFmtId="0" fontId="24" fillId="0" borderId="7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25" fillId="0" borderId="7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26" fillId="0" borderId="0" xfId="0" applyFont="1" applyFill="1" applyAlignment="1">
      <alignment horizontal="center" vertical="center"/>
    </xf>
    <xf numFmtId="16" fontId="2" fillId="0" borderId="0" xfId="0" applyNumberFormat="1" applyFont="1" applyFill="1" applyAlignment="1">
      <alignment horizontal="center" vertical="center"/>
    </xf>
    <xf numFmtId="0" fontId="27" fillId="0" borderId="0" xfId="0" applyFont="1" applyFill="1" applyAlignment="1">
      <alignment horizontal="center" vertical="center"/>
    </xf>
    <xf numFmtId="0" fontId="28" fillId="0" borderId="0" xfId="0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8" fillId="0" borderId="0" xfId="0" applyFont="1" applyFill="1" applyAlignment="1">
      <alignment horizontal="center" vertical="center"/>
    </xf>
    <xf numFmtId="0" fontId="28" fillId="0" borderId="0" xfId="0" quotePrefix="1" applyFont="1" applyFill="1" applyAlignment="1">
      <alignment horizontal="center" vertical="center"/>
    </xf>
    <xf numFmtId="9" fontId="29" fillId="0" borderId="0" xfId="0" applyNumberFormat="1" applyFont="1" applyFill="1" applyAlignment="1">
      <alignment horizontal="center" vertical="center"/>
    </xf>
    <xf numFmtId="0" fontId="29" fillId="0" borderId="0" xfId="0" applyFont="1" applyFill="1" applyBorder="1" applyAlignment="1">
      <alignment horizontal="center" vertical="center"/>
    </xf>
    <xf numFmtId="0" fontId="1" fillId="0" borderId="0" xfId="0" quotePrefix="1" applyFont="1" applyFill="1" applyAlignment="1">
      <alignment horizontal="center" vertical="center"/>
    </xf>
    <xf numFmtId="0" fontId="30" fillId="0" borderId="0" xfId="0" applyFont="1" applyFill="1" applyAlignment="1">
      <alignment horizontal="center" vertical="center"/>
    </xf>
    <xf numFmtId="0" fontId="32" fillId="0" borderId="12" xfId="0" applyFont="1" applyFill="1" applyBorder="1" applyAlignment="1">
      <alignment horizontal="center" vertical="center"/>
    </xf>
    <xf numFmtId="164" fontId="29" fillId="0" borderId="0" xfId="0" applyNumberFormat="1" applyFont="1" applyFill="1" applyBorder="1" applyAlignment="1">
      <alignment horizontal="center" vertical="center"/>
    </xf>
    <xf numFmtId="1" fontId="33" fillId="0" borderId="1" xfId="0" applyNumberFormat="1" applyFont="1" applyFill="1" applyBorder="1" applyAlignment="1">
      <alignment horizontal="center" vertical="center"/>
    </xf>
    <xf numFmtId="0" fontId="32" fillId="0" borderId="13" xfId="0" applyFont="1" applyFill="1" applyBorder="1" applyAlignment="1">
      <alignment horizontal="center" vertical="center"/>
    </xf>
    <xf numFmtId="1" fontId="32" fillId="0" borderId="12" xfId="0" applyNumberFormat="1" applyFont="1" applyFill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34" fillId="0" borderId="0" xfId="0" applyFont="1" applyFill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16" fontId="36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19" fillId="0" borderId="7" xfId="0" applyFont="1" applyFill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4" fillId="0" borderId="0" xfId="0" applyFont="1" applyFill="1" applyAlignment="1">
      <alignment horizontal="center" vertical="center"/>
    </xf>
    <xf numFmtId="0" fontId="23" fillId="0" borderId="7" xfId="0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38" fillId="0" borderId="7" xfId="0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9" fontId="23" fillId="0" borderId="0" xfId="0" applyNumberFormat="1" applyFont="1" applyFill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9" fontId="4" fillId="0" borderId="7" xfId="0" applyNumberFormat="1" applyFont="1" applyFill="1" applyBorder="1" applyAlignment="1">
      <alignment horizontal="center" vertical="center"/>
    </xf>
    <xf numFmtId="9" fontId="1" fillId="0" borderId="7" xfId="0" applyNumberFormat="1" applyFont="1" applyFill="1" applyBorder="1" applyAlignment="1">
      <alignment horizontal="center" vertical="center"/>
    </xf>
    <xf numFmtId="0" fontId="39" fillId="0" borderId="8" xfId="0" applyFont="1" applyBorder="1" applyAlignment="1">
      <alignment horizontal="center" vertical="center"/>
    </xf>
    <xf numFmtId="0" fontId="39" fillId="0" borderId="0" xfId="0" applyFont="1" applyBorder="1" applyAlignment="1">
      <alignment horizontal="center" vertical="center"/>
    </xf>
    <xf numFmtId="0" fontId="39" fillId="0" borderId="1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24" fillId="0" borderId="0" xfId="0" quotePrefix="1" applyFont="1" applyFill="1" applyBorder="1" applyAlignment="1">
      <alignment horizontal="center" vertical="center"/>
    </xf>
    <xf numFmtId="0" fontId="18" fillId="0" borderId="0" xfId="0" quotePrefix="1" applyFont="1" applyFill="1" applyBorder="1" applyAlignment="1">
      <alignment horizontal="center" vertical="center"/>
    </xf>
    <xf numFmtId="0" fontId="37" fillId="0" borderId="0" xfId="0" quotePrefix="1" applyFont="1" applyBorder="1" applyAlignment="1">
      <alignment horizontal="center" vertical="center"/>
    </xf>
    <xf numFmtId="0" fontId="21" fillId="0" borderId="7" xfId="0" applyFont="1" applyFill="1" applyBorder="1" applyAlignment="1">
      <alignment horizontal="center" vertical="center"/>
    </xf>
    <xf numFmtId="0" fontId="33" fillId="0" borderId="0" xfId="0" applyFont="1" applyFill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 wrapText="1"/>
    </xf>
    <xf numFmtId="0" fontId="22" fillId="0" borderId="8" xfId="0" applyFont="1" applyBorder="1" applyAlignment="1">
      <alignment horizontal="center" vertical="center"/>
    </xf>
    <xf numFmtId="0" fontId="30" fillId="0" borderId="0" xfId="0" applyFont="1" applyFill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30" fillId="0" borderId="8" xfId="0" applyFont="1" applyFill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30" fillId="0" borderId="1" xfId="0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1" fontId="18" fillId="0" borderId="1" xfId="0" applyNumberFormat="1" applyFont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1" fontId="30" fillId="0" borderId="1" xfId="0" applyNumberFormat="1" applyFont="1" applyFill="1" applyBorder="1" applyAlignment="1">
      <alignment horizontal="center" vertical="center"/>
    </xf>
    <xf numFmtId="0" fontId="37" fillId="0" borderId="0" xfId="0" applyFont="1" applyFill="1" applyBorder="1" applyAlignment="1">
      <alignment horizontal="center" vertical="center"/>
    </xf>
    <xf numFmtId="0" fontId="39" fillId="0" borderId="1" xfId="0" applyFont="1" applyFill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0" fontId="22" fillId="0" borderId="1" xfId="0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0" fontId="30" fillId="0" borderId="15" xfId="0" applyFont="1" applyFill="1" applyBorder="1" applyAlignment="1">
      <alignment horizontal="center" vertical="center"/>
    </xf>
    <xf numFmtId="1" fontId="18" fillId="0" borderId="0" xfId="0" applyNumberFormat="1" applyFont="1" applyBorder="1" applyAlignment="1">
      <alignment horizontal="center" vertical="center"/>
    </xf>
    <xf numFmtId="1" fontId="18" fillId="0" borderId="1" xfId="0" applyNumberFormat="1" applyFont="1" applyFill="1" applyBorder="1" applyAlignment="1">
      <alignment horizontal="center" vertical="center"/>
    </xf>
    <xf numFmtId="0" fontId="18" fillId="0" borderId="8" xfId="0" applyFont="1" applyBorder="1" applyAlignment="1">
      <alignment horizontal="center" vertical="center" wrapText="1"/>
    </xf>
    <xf numFmtId="164" fontId="18" fillId="0" borderId="1" xfId="0" applyNumberFormat="1" applyFont="1" applyBorder="1" applyAlignment="1">
      <alignment horizontal="center" vertical="center"/>
    </xf>
    <xf numFmtId="1" fontId="30" fillId="0" borderId="0" xfId="0" applyNumberFormat="1" applyFont="1" applyFill="1" applyBorder="1" applyAlignment="1">
      <alignment horizontal="center" vertical="center"/>
    </xf>
    <xf numFmtId="0" fontId="18" fillId="0" borderId="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horizontal="center" vertical="center"/>
    </xf>
    <xf numFmtId="0" fontId="18" fillId="0" borderId="6" xfId="0" applyFont="1" applyFill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1" fontId="18" fillId="0" borderId="15" xfId="0" applyNumberFormat="1" applyFont="1" applyBorder="1" applyAlignment="1">
      <alignment horizontal="center" vertical="center"/>
    </xf>
    <xf numFmtId="0" fontId="30" fillId="0" borderId="0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37" fillId="0" borderId="0" xfId="0" applyFont="1" applyBorder="1" applyAlignment="1">
      <alignment horizontal="center" vertical="center"/>
    </xf>
    <xf numFmtId="0" fontId="37" fillId="0" borderId="0" xfId="0" applyFont="1" applyBorder="1" applyAlignment="1">
      <alignment horizontal="left" vertical="center"/>
    </xf>
    <xf numFmtId="0" fontId="18" fillId="0" borderId="0" xfId="0" applyFont="1" applyBorder="1" applyAlignment="1">
      <alignment horizontal="center" vertical="center" wrapText="1"/>
    </xf>
    <xf numFmtId="9" fontId="8" fillId="0" borderId="7" xfId="0" applyNumberFormat="1" applyFont="1" applyFill="1" applyBorder="1" applyAlignment="1">
      <alignment horizontal="center" vertical="center"/>
    </xf>
    <xf numFmtId="164" fontId="18" fillId="0" borderId="0" xfId="0" applyNumberFormat="1" applyFont="1" applyBorder="1" applyAlignment="1">
      <alignment horizontal="center" vertical="center"/>
    </xf>
    <xf numFmtId="164" fontId="18" fillId="0" borderId="0" xfId="0" applyNumberFormat="1" applyFont="1" applyFill="1" applyBorder="1" applyAlignment="1">
      <alignment horizontal="center" vertical="center"/>
    </xf>
    <xf numFmtId="0" fontId="33" fillId="0" borderId="0" xfId="0" applyFont="1" applyFill="1" applyAlignment="1">
      <alignment horizontal="left" vertical="center"/>
    </xf>
    <xf numFmtId="0" fontId="32" fillId="0" borderId="0" xfId="0" applyFont="1" applyFill="1" applyAlignment="1">
      <alignment horizontal="left" vertical="center"/>
    </xf>
    <xf numFmtId="9" fontId="33" fillId="0" borderId="0" xfId="0" applyNumberFormat="1" applyFont="1" applyFill="1" applyAlignment="1">
      <alignment horizontal="left" vertical="center"/>
    </xf>
    <xf numFmtId="0" fontId="33" fillId="0" borderId="0" xfId="0" applyFont="1" applyFill="1" applyBorder="1" applyAlignment="1">
      <alignment horizontal="left" vertical="center"/>
    </xf>
    <xf numFmtId="0" fontId="18" fillId="0" borderId="15" xfId="0" applyFont="1" applyFill="1" applyBorder="1" applyAlignment="1">
      <alignment horizontal="center" vertical="center"/>
    </xf>
    <xf numFmtId="0" fontId="31" fillId="0" borderId="7" xfId="0" applyFont="1" applyFill="1" applyBorder="1" applyAlignment="1">
      <alignment horizontal="center" vertical="center"/>
    </xf>
    <xf numFmtId="0" fontId="30" fillId="0" borderId="8" xfId="0" applyFont="1" applyFill="1" applyBorder="1" applyAlignment="1">
      <alignment horizontal="center" vertical="center" wrapText="1"/>
    </xf>
    <xf numFmtId="0" fontId="18" fillId="0" borderId="15" xfId="0" applyFont="1" applyBorder="1" applyAlignment="1">
      <alignment horizontal="center" vertical="center" wrapText="1"/>
    </xf>
    <xf numFmtId="164" fontId="30" fillId="0" borderId="8" xfId="0" applyNumberFormat="1" applyFont="1" applyFill="1" applyBorder="1" applyAlignment="1">
      <alignment horizontal="center" vertical="center"/>
    </xf>
    <xf numFmtId="164" fontId="30" fillId="0" borderId="15" xfId="0" applyNumberFormat="1" applyFont="1" applyFill="1" applyBorder="1" applyAlignment="1">
      <alignment horizontal="center" vertical="center"/>
    </xf>
    <xf numFmtId="1" fontId="30" fillId="0" borderId="15" xfId="0" applyNumberFormat="1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 wrapText="1"/>
    </xf>
    <xf numFmtId="164" fontId="18" fillId="0" borderId="1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16" fontId="16" fillId="0" borderId="0" xfId="0" applyNumberFormat="1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/>
    </xf>
    <xf numFmtId="16" fontId="2" fillId="0" borderId="0" xfId="0" applyNumberFormat="1" applyFont="1" applyFill="1" applyBorder="1" applyAlignment="1">
      <alignment horizontal="center" vertical="center"/>
    </xf>
    <xf numFmtId="0" fontId="18" fillId="0" borderId="8" xfId="0" applyFont="1" applyFill="1" applyBorder="1" applyAlignment="1">
      <alignment horizontal="center" vertical="center" wrapText="1"/>
    </xf>
    <xf numFmtId="1" fontId="18" fillId="0" borderId="0" xfId="0" applyNumberFormat="1" applyFont="1" applyFill="1" applyBorder="1" applyAlignment="1">
      <alignment horizontal="center" vertical="center"/>
    </xf>
    <xf numFmtId="0" fontId="39" fillId="0" borderId="7" xfId="0" applyFont="1" applyFill="1" applyBorder="1" applyAlignment="1">
      <alignment horizontal="center" vertical="center"/>
    </xf>
    <xf numFmtId="1" fontId="18" fillId="0" borderId="15" xfId="0" applyNumberFormat="1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horizontal="center" vertical="center"/>
    </xf>
    <xf numFmtId="0" fontId="28" fillId="0" borderId="7" xfId="0" quotePrefix="1" applyFont="1" applyFill="1" applyBorder="1" applyAlignment="1">
      <alignment horizontal="center" vertical="center"/>
    </xf>
    <xf numFmtId="0" fontId="28" fillId="0" borderId="7" xfId="0" applyFont="1" applyFill="1" applyBorder="1" applyAlignment="1">
      <alignment horizontal="center" vertical="center"/>
    </xf>
    <xf numFmtId="0" fontId="33" fillId="0" borderId="12" xfId="0" applyFont="1" applyFill="1" applyBorder="1" applyAlignment="1">
      <alignment horizontal="center" vertical="center"/>
    </xf>
    <xf numFmtId="0" fontId="33" fillId="0" borderId="24" xfId="0" applyFont="1" applyFill="1" applyBorder="1" applyAlignment="1">
      <alignment horizontal="center" vertical="center"/>
    </xf>
    <xf numFmtId="1" fontId="33" fillId="0" borderId="13" xfId="0" applyNumberFormat="1" applyFont="1" applyFill="1" applyBorder="1" applyAlignment="1">
      <alignment horizontal="center" vertical="center"/>
    </xf>
    <xf numFmtId="1" fontId="33" fillId="0" borderId="0" xfId="0" applyNumberFormat="1" applyFont="1" applyFill="1" applyBorder="1" applyAlignment="1">
      <alignment horizontal="center" vertical="center"/>
    </xf>
    <xf numFmtId="164" fontId="30" fillId="0" borderId="1" xfId="0" applyNumberFormat="1" applyFont="1" applyFill="1" applyBorder="1" applyAlignment="1">
      <alignment horizontal="center" vertical="center"/>
    </xf>
    <xf numFmtId="0" fontId="18" fillId="2" borderId="5" xfId="0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center" vertical="center"/>
    </xf>
    <xf numFmtId="0" fontId="30" fillId="2" borderId="0" xfId="0" applyFont="1" applyFill="1" applyBorder="1" applyAlignment="1">
      <alignment horizontal="center" vertical="center"/>
    </xf>
    <xf numFmtId="0" fontId="18" fillId="2" borderId="6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 wrapText="1"/>
    </xf>
    <xf numFmtId="0" fontId="38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8" fillId="0" borderId="1" xfId="0" applyFont="1" applyFill="1" applyBorder="1" applyAlignment="1">
      <alignment horizontal="left"/>
    </xf>
    <xf numFmtId="0" fontId="41" fillId="0" borderId="0" xfId="0" applyFont="1" applyFill="1" applyAlignment="1">
      <alignment horizontal="center" vertical="center"/>
    </xf>
    <xf numFmtId="0" fontId="42" fillId="0" borderId="0" xfId="0" applyFont="1" applyFill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18" fillId="0" borderId="16" xfId="0" applyFont="1" applyFill="1" applyBorder="1" applyAlignment="1">
      <alignment horizontal="center" vertical="center" wrapText="1"/>
    </xf>
    <xf numFmtId="0" fontId="18" fillId="0" borderId="18" xfId="0" applyFont="1" applyFill="1" applyBorder="1" applyAlignment="1">
      <alignment horizontal="center" vertical="center"/>
    </xf>
    <xf numFmtId="0" fontId="21" fillId="0" borderId="16" xfId="0" applyFont="1" applyFill="1" applyBorder="1" applyAlignment="1">
      <alignment horizontal="center" vertical="center"/>
    </xf>
    <xf numFmtId="0" fontId="18" fillId="0" borderId="15" xfId="0" applyFont="1" applyFill="1" applyBorder="1" applyAlignment="1">
      <alignment horizontal="center" vertical="center" wrapText="1"/>
    </xf>
    <xf numFmtId="0" fontId="21" fillId="0" borderId="15" xfId="0" applyFont="1" applyFill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164" fontId="33" fillId="0" borderId="1" xfId="0" applyNumberFormat="1" applyFont="1" applyFill="1" applyBorder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center" vertical="center" wrapText="1"/>
    </xf>
    <xf numFmtId="0" fontId="18" fillId="0" borderId="17" xfId="0" applyFont="1" applyFill="1" applyBorder="1" applyAlignment="1">
      <alignment horizontal="center" vertical="center"/>
    </xf>
    <xf numFmtId="0" fontId="18" fillId="2" borderId="8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left" vertical="center"/>
    </xf>
    <xf numFmtId="0" fontId="39" fillId="2" borderId="0" xfId="0" applyFont="1" applyFill="1" applyBorder="1" applyAlignment="1">
      <alignment horizontal="center" vertical="center"/>
    </xf>
    <xf numFmtId="0" fontId="30" fillId="0" borderId="1" xfId="0" applyFont="1" applyBorder="1" applyAlignment="1">
      <alignment horizontal="center" vertical="center" wrapText="1"/>
    </xf>
    <xf numFmtId="0" fontId="30" fillId="0" borderId="1" xfId="0" applyFont="1" applyFill="1" applyBorder="1" applyAlignment="1">
      <alignment horizontal="center" vertical="center" wrapText="1"/>
    </xf>
    <xf numFmtId="164" fontId="24" fillId="0" borderId="7" xfId="0" applyNumberFormat="1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horizontal="left" vertical="center"/>
    </xf>
    <xf numFmtId="0" fontId="1" fillId="0" borderId="29" xfId="0" applyFont="1" applyFill="1" applyBorder="1" applyAlignment="1">
      <alignment horizontal="center" vertical="center"/>
    </xf>
    <xf numFmtId="164" fontId="30" fillId="0" borderId="0" xfId="0" applyNumberFormat="1" applyFont="1" applyFill="1" applyBorder="1" applyAlignment="1">
      <alignment horizontal="center" vertical="center"/>
    </xf>
    <xf numFmtId="0" fontId="33" fillId="0" borderId="0" xfId="0" applyFont="1" applyFill="1" applyAlignment="1">
      <alignment horizontal="left" vertical="center" wrapText="1"/>
    </xf>
    <xf numFmtId="0" fontId="18" fillId="3" borderId="1" xfId="0" applyFont="1" applyFill="1" applyBorder="1" applyAlignment="1">
      <alignment horizontal="center" vertical="center"/>
    </xf>
    <xf numFmtId="0" fontId="18" fillId="3" borderId="1" xfId="0" applyFont="1" applyFill="1" applyBorder="1" applyAlignment="1">
      <alignment horizontal="center" vertical="center" wrapText="1"/>
    </xf>
    <xf numFmtId="0" fontId="18" fillId="3" borderId="0" xfId="0" applyFont="1" applyFill="1" applyBorder="1" applyAlignment="1">
      <alignment horizontal="center" vertical="center"/>
    </xf>
    <xf numFmtId="1" fontId="18" fillId="3" borderId="1" xfId="0" applyNumberFormat="1" applyFont="1" applyFill="1" applyBorder="1" applyAlignment="1">
      <alignment horizontal="center" vertical="center"/>
    </xf>
    <xf numFmtId="164" fontId="18" fillId="3" borderId="1" xfId="0" applyNumberFormat="1" applyFont="1" applyFill="1" applyBorder="1" applyAlignment="1">
      <alignment horizontal="center" vertical="center"/>
    </xf>
    <xf numFmtId="0" fontId="44" fillId="0" borderId="1" xfId="0" applyFont="1" applyBorder="1" applyAlignment="1">
      <alignment horizontal="center" vertical="center"/>
    </xf>
    <xf numFmtId="0" fontId="44" fillId="0" borderId="1" xfId="0" applyFont="1" applyFill="1" applyBorder="1" applyAlignment="1">
      <alignment horizontal="center" vertical="center"/>
    </xf>
    <xf numFmtId="0" fontId="45" fillId="0" borderId="1" xfId="0" applyFont="1" applyFill="1" applyBorder="1" applyAlignment="1">
      <alignment horizontal="center" vertical="center"/>
    </xf>
    <xf numFmtId="0" fontId="46" fillId="0" borderId="7" xfId="0" applyFont="1" applyBorder="1" applyAlignment="1">
      <alignment horizontal="center" vertical="center"/>
    </xf>
    <xf numFmtId="0" fontId="47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7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8" fillId="3" borderId="0" xfId="0" applyFont="1" applyFill="1" applyBorder="1" applyAlignment="1">
      <alignment horizontal="center" vertical="center" wrapText="1"/>
    </xf>
    <xf numFmtId="0" fontId="21" fillId="3" borderId="0" xfId="0" applyFont="1" applyFill="1" applyBorder="1" applyAlignment="1">
      <alignment horizontal="center" vertical="center"/>
    </xf>
    <xf numFmtId="0" fontId="13" fillId="0" borderId="0" xfId="0" quotePrefix="1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3" fillId="0" borderId="15" xfId="0" quotePrefix="1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14" fillId="0" borderId="15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8" fillId="0" borderId="23" xfId="0" applyFont="1" applyFill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8" fillId="3" borderId="17" xfId="0" applyFont="1" applyFill="1" applyBorder="1" applyAlignment="1">
      <alignment horizontal="center" vertical="center"/>
    </xf>
    <xf numFmtId="0" fontId="18" fillId="3" borderId="23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48" fillId="3" borderId="7" xfId="0" applyFont="1" applyFill="1" applyBorder="1" applyAlignment="1">
      <alignment vertical="center"/>
    </xf>
    <xf numFmtId="0" fontId="49" fillId="3" borderId="7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30" fillId="3" borderId="1" xfId="0" applyFont="1" applyFill="1" applyBorder="1" applyAlignment="1">
      <alignment horizontal="center" vertical="center"/>
    </xf>
    <xf numFmtId="0" fontId="30" fillId="3" borderId="0" xfId="0" applyFont="1" applyFill="1" applyBorder="1" applyAlignment="1">
      <alignment horizontal="center" vertical="center"/>
    </xf>
    <xf numFmtId="1" fontId="30" fillId="3" borderId="0" xfId="0" applyNumberFormat="1" applyFont="1" applyFill="1" applyBorder="1" applyAlignment="1">
      <alignment horizontal="center" vertical="center"/>
    </xf>
    <xf numFmtId="0" fontId="30" fillId="3" borderId="1" xfId="0" applyFont="1" applyFill="1" applyBorder="1" applyAlignment="1">
      <alignment horizontal="center" vertical="center" wrapText="1"/>
    </xf>
    <xf numFmtId="164" fontId="30" fillId="3" borderId="1" xfId="0" applyNumberFormat="1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8" fillId="0" borderId="23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3" fillId="0" borderId="15" xfId="0" quotePrefix="1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 wrapText="1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32" fillId="0" borderId="0" xfId="0" applyFont="1" applyFill="1" applyBorder="1" applyAlignment="1">
      <alignment horizontal="center" vertical="center"/>
    </xf>
    <xf numFmtId="1" fontId="33" fillId="3" borderId="0" xfId="0" applyNumberFormat="1" applyFont="1" applyFill="1" applyBorder="1" applyAlignment="1">
      <alignment horizontal="center" vertical="center"/>
    </xf>
    <xf numFmtId="0" fontId="33" fillId="0" borderId="0" xfId="0" applyFont="1" applyFill="1" applyBorder="1"/>
    <xf numFmtId="0" fontId="32" fillId="0" borderId="0" xfId="0" applyFont="1" applyFill="1" applyBorder="1"/>
    <xf numFmtId="164" fontId="51" fillId="3" borderId="0" xfId="0" applyNumberFormat="1" applyFont="1" applyFill="1" applyBorder="1" applyAlignment="1">
      <alignment horizontal="center" vertical="center"/>
    </xf>
    <xf numFmtId="0" fontId="1" fillId="0" borderId="0" xfId="0" applyFont="1" applyFill="1"/>
    <xf numFmtId="0" fontId="30" fillId="0" borderId="0" xfId="0" applyFont="1" applyFill="1" applyAlignment="1">
      <alignment horizontal="center"/>
    </xf>
    <xf numFmtId="0" fontId="1" fillId="0" borderId="0" xfId="0" applyFont="1" applyFill="1" applyBorder="1"/>
    <xf numFmtId="0" fontId="1" fillId="0" borderId="0" xfId="0" applyFont="1" applyFill="1" applyAlignment="1">
      <alignment horizontal="center"/>
    </xf>
    <xf numFmtId="0" fontId="33" fillId="3" borderId="24" xfId="0" applyFont="1" applyFill="1" applyBorder="1" applyAlignment="1">
      <alignment horizontal="center" vertical="center"/>
    </xf>
    <xf numFmtId="0" fontId="33" fillId="3" borderId="0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8" fillId="0" borderId="0" xfId="0" applyFont="1" applyFill="1" applyBorder="1" applyAlignment="1">
      <alignment horizontal="left" vertical="center"/>
    </xf>
    <xf numFmtId="0" fontId="32" fillId="3" borderId="0" xfId="0" applyFont="1" applyFill="1" applyBorder="1" applyAlignment="1">
      <alignment horizontal="center" vertical="center"/>
    </xf>
    <xf numFmtId="0" fontId="43" fillId="0" borderId="0" xfId="0" applyFont="1" applyFill="1" applyBorder="1"/>
    <xf numFmtId="164" fontId="18" fillId="0" borderId="6" xfId="0" applyNumberFormat="1" applyFont="1" applyBorder="1" applyAlignment="1">
      <alignment horizontal="center" vertical="center"/>
    </xf>
    <xf numFmtId="0" fontId="18" fillId="3" borderId="15" xfId="0" applyFont="1" applyFill="1" applyBorder="1" applyAlignment="1">
      <alignment horizontal="center" vertical="center"/>
    </xf>
    <xf numFmtId="0" fontId="18" fillId="3" borderId="8" xfId="0" applyFont="1" applyFill="1" applyBorder="1" applyAlignment="1">
      <alignment horizontal="center" vertical="center"/>
    </xf>
    <xf numFmtId="0" fontId="18" fillId="3" borderId="0" xfId="0" applyFont="1" applyFill="1" applyAlignment="1">
      <alignment horizontal="center" vertical="center"/>
    </xf>
    <xf numFmtId="164" fontId="18" fillId="0" borderId="15" xfId="0" applyNumberFormat="1" applyFont="1" applyBorder="1" applyAlignment="1">
      <alignment horizontal="center" vertical="center"/>
    </xf>
    <xf numFmtId="0" fontId="26" fillId="0" borderId="0" xfId="0" applyFont="1" applyFill="1" applyAlignment="1">
      <alignment horizontal="left"/>
    </xf>
    <xf numFmtId="0" fontId="1" fillId="0" borderId="0" xfId="0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1" fillId="3" borderId="7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8" fillId="3" borderId="7" xfId="0" applyFont="1" applyFill="1" applyBorder="1" applyAlignment="1">
      <alignment horizontal="center" vertical="center"/>
    </xf>
    <xf numFmtId="0" fontId="25" fillId="3" borderId="7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2" fillId="3" borderId="1" xfId="0" applyFont="1" applyFill="1" applyBorder="1" applyAlignment="1">
      <alignment horizontal="center" vertical="center"/>
    </xf>
    <xf numFmtId="0" fontId="22" fillId="3" borderId="0" xfId="0" applyFont="1" applyFill="1" applyBorder="1" applyAlignment="1">
      <alignment horizontal="center" vertical="center"/>
    </xf>
    <xf numFmtId="1" fontId="18" fillId="3" borderId="0" xfId="0" applyNumberFormat="1" applyFont="1" applyFill="1" applyBorder="1" applyAlignment="1">
      <alignment horizontal="center" vertical="center"/>
    </xf>
    <xf numFmtId="164" fontId="18" fillId="3" borderId="0" xfId="0" applyNumberFormat="1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1" fontId="18" fillId="3" borderId="15" xfId="0" applyNumberFormat="1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33" fillId="0" borderId="0" xfId="0" applyFont="1" applyFill="1" applyBorder="1" applyAlignment="1">
      <alignment horizontal="left" vertical="center" wrapText="1"/>
    </xf>
    <xf numFmtId="0" fontId="18" fillId="3" borderId="8" xfId="0" applyFont="1" applyFill="1" applyBorder="1" applyAlignment="1">
      <alignment horizontal="center" vertical="center" wrapText="1"/>
    </xf>
    <xf numFmtId="0" fontId="39" fillId="3" borderId="1" xfId="0" applyFont="1" applyFill="1" applyBorder="1" applyAlignment="1">
      <alignment horizontal="center" vertical="center"/>
    </xf>
    <xf numFmtId="0" fontId="21" fillId="3" borderId="1" xfId="0" applyFont="1" applyFill="1" applyBorder="1" applyAlignment="1">
      <alignment horizontal="center" vertical="center"/>
    </xf>
    <xf numFmtId="0" fontId="18" fillId="3" borderId="5" xfId="0" applyFont="1" applyFill="1" applyBorder="1" applyAlignment="1">
      <alignment horizontal="center" vertical="center"/>
    </xf>
    <xf numFmtId="0" fontId="18" fillId="3" borderId="16" xfId="0" applyFont="1" applyFill="1" applyBorder="1" applyAlignment="1">
      <alignment horizontal="center" vertical="center"/>
    </xf>
    <xf numFmtId="0" fontId="18" fillId="3" borderId="6" xfId="0" applyFont="1" applyFill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8" fillId="0" borderId="1" xfId="0" applyFont="1" applyFill="1" applyBorder="1" applyAlignment="1">
      <alignment horizontal="left" wrapText="1"/>
    </xf>
    <xf numFmtId="0" fontId="1" fillId="0" borderId="0" xfId="0" applyFont="1" applyFill="1" applyAlignment="1">
      <alignment horizontal="center" vertical="center"/>
    </xf>
    <xf numFmtId="0" fontId="18" fillId="0" borderId="0" xfId="0" applyFont="1" applyFill="1" applyAlignment="1">
      <alignment horizontal="left" vertical="center"/>
    </xf>
    <xf numFmtId="0" fontId="32" fillId="3" borderId="37" xfId="0" applyFont="1" applyFill="1" applyBorder="1" applyAlignment="1">
      <alignment horizontal="center" vertical="center"/>
    </xf>
    <xf numFmtId="164" fontId="51" fillId="3" borderId="19" xfId="0" applyNumberFormat="1" applyFont="1" applyFill="1" applyBorder="1" applyAlignment="1">
      <alignment horizontal="center" vertical="center"/>
    </xf>
    <xf numFmtId="0" fontId="33" fillId="0" borderId="0" xfId="0" applyFont="1" applyFill="1"/>
    <xf numFmtId="0" fontId="32" fillId="0" borderId="37" xfId="0" applyFont="1" applyFill="1" applyBorder="1" applyAlignment="1">
      <alignment horizontal="center" vertical="center"/>
    </xf>
    <xf numFmtId="164" fontId="51" fillId="3" borderId="7" xfId="0" applyNumberFormat="1" applyFont="1" applyFill="1" applyBorder="1" applyAlignment="1">
      <alignment horizontal="center" vertical="center"/>
    </xf>
    <xf numFmtId="1" fontId="18" fillId="0" borderId="8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45" fillId="3" borderId="1" xfId="0" applyFont="1" applyFill="1" applyBorder="1" applyAlignment="1">
      <alignment horizontal="center" vertical="center"/>
    </xf>
    <xf numFmtId="0" fontId="50" fillId="3" borderId="0" xfId="0" applyFont="1" applyFill="1" applyBorder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21" fillId="0" borderId="8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8" fillId="0" borderId="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" fontId="32" fillId="0" borderId="0" xfId="0" applyNumberFormat="1" applyFont="1" applyFill="1" applyBorder="1" applyAlignment="1">
      <alignment horizontal="center" vertical="center"/>
    </xf>
    <xf numFmtId="0" fontId="18" fillId="0" borderId="28" xfId="0" applyFont="1" applyFill="1" applyBorder="1" applyAlignment="1">
      <alignment horizontal="center" vertical="center"/>
    </xf>
    <xf numFmtId="0" fontId="18" fillId="0" borderId="15" xfId="0" applyFont="1" applyFill="1" applyBorder="1" applyAlignment="1">
      <alignment vertical="center" wrapText="1"/>
    </xf>
    <xf numFmtId="0" fontId="18" fillId="0" borderId="28" xfId="0" applyFont="1" applyFill="1" applyBorder="1" applyAlignment="1">
      <alignment vertical="center" wrapText="1"/>
    </xf>
    <xf numFmtId="0" fontId="18" fillId="0" borderId="0" xfId="0" applyFont="1" applyFill="1" applyBorder="1" applyAlignment="1">
      <alignment vertical="center" wrapText="1"/>
    </xf>
    <xf numFmtId="0" fontId="33" fillId="3" borderId="0" xfId="0" applyFont="1" applyFill="1" applyBorder="1" applyAlignment="1">
      <alignment horizontal="left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8" fillId="3" borderId="0" xfId="0" applyFont="1" applyFill="1" applyBorder="1" applyAlignment="1">
      <alignment horizontal="center" vertical="center"/>
    </xf>
    <xf numFmtId="1" fontId="33" fillId="3" borderId="12" xfId="0" applyNumberFormat="1" applyFont="1" applyFill="1" applyBorder="1" applyAlignment="1">
      <alignment horizontal="center" vertical="center"/>
    </xf>
    <xf numFmtId="1" fontId="33" fillId="3" borderId="1" xfId="0" applyNumberFormat="1" applyFont="1" applyFill="1" applyBorder="1" applyAlignment="1">
      <alignment horizontal="center" vertical="center"/>
    </xf>
    <xf numFmtId="164" fontId="1" fillId="3" borderId="0" xfId="0" applyNumberFormat="1" applyFont="1" applyFill="1" applyBorder="1" applyAlignment="1">
      <alignment horizontal="center" vertical="center"/>
    </xf>
    <xf numFmtId="164" fontId="33" fillId="3" borderId="12" xfId="0" applyNumberFormat="1" applyFont="1" applyFill="1" applyBorder="1" applyAlignment="1">
      <alignment horizontal="center" vertical="center"/>
    </xf>
    <xf numFmtId="1" fontId="2" fillId="3" borderId="0" xfId="0" applyNumberFormat="1" applyFont="1" applyFill="1" applyBorder="1" applyAlignment="1">
      <alignment horizontal="center" vertical="center"/>
    </xf>
    <xf numFmtId="0" fontId="37" fillId="3" borderId="0" xfId="0" applyFont="1" applyFill="1" applyBorder="1" applyAlignment="1">
      <alignment horizontal="left" vertical="center"/>
    </xf>
    <xf numFmtId="0" fontId="39" fillId="3" borderId="0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21" fillId="3" borderId="8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8" fillId="3" borderId="0" xfId="0" applyFont="1" applyFill="1" applyBorder="1" applyAlignment="1">
      <alignment horizontal="center" vertical="center"/>
    </xf>
    <xf numFmtId="0" fontId="18" fillId="4" borderId="1" xfId="0" applyFont="1" applyFill="1" applyBorder="1" applyAlignment="1">
      <alignment horizontal="center" vertical="center"/>
    </xf>
    <xf numFmtId="0" fontId="27" fillId="4" borderId="7" xfId="0" applyFont="1" applyFill="1" applyBorder="1" applyAlignment="1">
      <alignment horizontal="center" vertical="center"/>
    </xf>
    <xf numFmtId="0" fontId="18" fillId="3" borderId="15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0" fontId="19" fillId="3" borderId="7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1" fontId="30" fillId="3" borderId="1" xfId="0" applyNumberFormat="1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horizontal="center" vertical="center" wrapText="1"/>
    </xf>
    <xf numFmtId="0" fontId="39" fillId="0" borderId="8" xfId="0" applyFont="1" applyFill="1" applyBorder="1" applyAlignment="1">
      <alignment horizontal="center" vertical="center"/>
    </xf>
    <xf numFmtId="164" fontId="18" fillId="0" borderId="8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3" fillId="3" borderId="18" xfId="0" applyFont="1" applyFill="1" applyBorder="1" applyAlignment="1">
      <alignment horizontal="center" vertical="center"/>
    </xf>
    <xf numFmtId="0" fontId="18" fillId="3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8" fillId="3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8" fillId="3" borderId="0" xfId="0" applyFont="1" applyFill="1" applyBorder="1" applyAlignment="1">
      <alignment horizontal="center" vertical="center" wrapText="1"/>
    </xf>
    <xf numFmtId="0" fontId="30" fillId="3" borderId="15" xfId="0" applyFont="1" applyFill="1" applyBorder="1" applyAlignment="1">
      <alignment horizontal="center" vertical="center"/>
    </xf>
    <xf numFmtId="0" fontId="43" fillId="0" borderId="1" xfId="0" applyFont="1" applyFill="1" applyBorder="1" applyAlignment="1">
      <alignment horizontal="center" vertical="center"/>
    </xf>
    <xf numFmtId="0" fontId="43" fillId="0" borderId="0" xfId="0" applyFont="1" applyFill="1" applyAlignment="1">
      <alignment horizontal="center" vertical="center"/>
    </xf>
    <xf numFmtId="0" fontId="43" fillId="0" borderId="7" xfId="0" applyFont="1" applyFill="1" applyBorder="1" applyAlignment="1">
      <alignment horizontal="center" vertical="center"/>
    </xf>
    <xf numFmtId="0" fontId="43" fillId="0" borderId="0" xfId="0" applyFont="1" applyFill="1" applyBorder="1" applyAlignment="1">
      <alignment horizontal="center" vertical="center"/>
    </xf>
    <xf numFmtId="0" fontId="43" fillId="0" borderId="8" xfId="0" applyFont="1" applyFill="1" applyBorder="1" applyAlignment="1">
      <alignment horizontal="center" vertical="center"/>
    </xf>
    <xf numFmtId="0" fontId="43" fillId="3" borderId="1" xfId="0" applyFont="1" applyFill="1" applyBorder="1" applyAlignment="1">
      <alignment horizontal="center" vertical="center" wrapText="1"/>
    </xf>
    <xf numFmtId="164" fontId="52" fillId="0" borderId="1" xfId="0" applyNumberFormat="1" applyFont="1" applyFill="1" applyBorder="1" applyAlignment="1">
      <alignment horizontal="center" vertical="center"/>
    </xf>
    <xf numFmtId="0" fontId="43" fillId="0" borderId="23" xfId="0" applyFont="1" applyFill="1" applyBorder="1" applyAlignment="1">
      <alignment horizontal="center" vertical="center"/>
    </xf>
    <xf numFmtId="0" fontId="53" fillId="0" borderId="7" xfId="0" applyFont="1" applyFill="1" applyBorder="1" applyAlignment="1">
      <alignment horizontal="center" vertical="center"/>
    </xf>
    <xf numFmtId="0" fontId="43" fillId="3" borderId="0" xfId="0" applyFont="1" applyFill="1" applyBorder="1" applyAlignment="1">
      <alignment horizontal="center" vertical="center"/>
    </xf>
    <xf numFmtId="0" fontId="43" fillId="3" borderId="8" xfId="0" applyFont="1" applyFill="1" applyBorder="1" applyAlignment="1">
      <alignment horizontal="center" vertical="center"/>
    </xf>
    <xf numFmtId="1" fontId="43" fillId="3" borderId="0" xfId="0" applyNumberFormat="1" applyFont="1" applyFill="1" applyBorder="1" applyAlignment="1">
      <alignment horizontal="center" vertical="center"/>
    </xf>
    <xf numFmtId="1" fontId="43" fillId="0" borderId="1" xfId="0" applyNumberFormat="1" applyFont="1" applyFill="1" applyBorder="1" applyAlignment="1">
      <alignment horizontal="center" vertical="center"/>
    </xf>
    <xf numFmtId="164" fontId="18" fillId="0" borderId="15" xfId="0" applyNumberFormat="1" applyFont="1" applyFill="1" applyBorder="1" applyAlignment="1">
      <alignment horizontal="center" vertical="center"/>
    </xf>
    <xf numFmtId="164" fontId="18" fillId="3" borderId="15" xfId="0" applyNumberFormat="1" applyFont="1" applyFill="1" applyBorder="1" applyAlignment="1">
      <alignment horizontal="center" vertical="center"/>
    </xf>
    <xf numFmtId="1" fontId="33" fillId="0" borderId="20" xfId="0" applyNumberFormat="1" applyFont="1" applyFill="1" applyBorder="1" applyAlignment="1">
      <alignment horizontal="center" vertical="center"/>
    </xf>
    <xf numFmtId="1" fontId="33" fillId="0" borderId="7" xfId="0" applyNumberFormat="1" applyFont="1" applyFill="1" applyBorder="1" applyAlignment="1">
      <alignment horizontal="center" vertical="center"/>
    </xf>
    <xf numFmtId="1" fontId="33" fillId="0" borderId="25" xfId="0" applyNumberFormat="1" applyFont="1" applyFill="1" applyBorder="1" applyAlignment="1">
      <alignment horizontal="center" vertical="center"/>
    </xf>
    <xf numFmtId="1" fontId="32" fillId="0" borderId="21" xfId="0" applyNumberFormat="1" applyFont="1" applyFill="1" applyBorder="1" applyAlignment="1">
      <alignment horizontal="center" vertical="center"/>
    </xf>
    <xf numFmtId="1" fontId="33" fillId="0" borderId="21" xfId="0" applyNumberFormat="1" applyFont="1" applyFill="1" applyBorder="1" applyAlignment="1">
      <alignment horizontal="center" vertical="center"/>
    </xf>
    <xf numFmtId="1" fontId="33" fillId="0" borderId="22" xfId="0" applyNumberFormat="1" applyFont="1" applyFill="1" applyBorder="1" applyAlignment="1">
      <alignment horizontal="center" vertical="center"/>
    </xf>
    <xf numFmtId="164" fontId="33" fillId="0" borderId="22" xfId="0" applyNumberFormat="1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164" fontId="33" fillId="0" borderId="21" xfId="0" applyNumberFormat="1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  <xf numFmtId="1" fontId="32" fillId="0" borderId="38" xfId="0" applyNumberFormat="1" applyFont="1" applyFill="1" applyBorder="1" applyAlignment="1">
      <alignment horizontal="center" vertical="center"/>
    </xf>
    <xf numFmtId="1" fontId="33" fillId="0" borderId="38" xfId="0" applyNumberFormat="1" applyFont="1" applyFill="1" applyBorder="1" applyAlignment="1">
      <alignment horizontal="center" vertical="center"/>
    </xf>
    <xf numFmtId="1" fontId="33" fillId="0" borderId="19" xfId="0" applyNumberFormat="1" applyFont="1" applyFill="1" applyBorder="1" applyAlignment="1">
      <alignment horizontal="center" vertical="center"/>
    </xf>
    <xf numFmtId="1" fontId="33" fillId="0" borderId="39" xfId="0" applyNumberFormat="1" applyFont="1" applyFill="1" applyBorder="1" applyAlignment="1">
      <alignment horizontal="center" vertical="center"/>
    </xf>
    <xf numFmtId="0" fontId="33" fillId="0" borderId="21" xfId="0" applyFont="1" applyFill="1" applyBorder="1" applyAlignment="1">
      <alignment horizontal="center" vertical="center"/>
    </xf>
    <xf numFmtId="0" fontId="33" fillId="0" borderId="19" xfId="0" applyFont="1" applyFill="1" applyBorder="1" applyAlignment="1">
      <alignment horizontal="center" vertical="center"/>
    </xf>
    <xf numFmtId="0" fontId="33" fillId="0" borderId="22" xfId="0" applyFont="1" applyFill="1" applyBorder="1" applyAlignment="1">
      <alignment horizontal="center" vertical="center"/>
    </xf>
    <xf numFmtId="1" fontId="40" fillId="0" borderId="21" xfId="0" applyNumberFormat="1" applyFont="1" applyFill="1" applyBorder="1" applyAlignment="1">
      <alignment horizontal="center" vertical="center"/>
    </xf>
    <xf numFmtId="1" fontId="40" fillId="0" borderId="0" xfId="0" applyNumberFormat="1" applyFont="1" applyFill="1" applyAlignment="1">
      <alignment horizontal="center" vertical="center"/>
    </xf>
    <xf numFmtId="1" fontId="40" fillId="0" borderId="36" xfId="0" applyNumberFormat="1" applyFont="1" applyFill="1" applyBorder="1" applyAlignment="1">
      <alignment horizontal="center" vertical="center"/>
    </xf>
    <xf numFmtId="1" fontId="40" fillId="0" borderId="4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 indent="1"/>
    </xf>
    <xf numFmtId="0" fontId="1" fillId="0" borderId="19" xfId="0" applyFont="1" applyFill="1" applyBorder="1" applyAlignment="1">
      <alignment horizontal="center" vertical="center"/>
    </xf>
    <xf numFmtId="0" fontId="33" fillId="0" borderId="25" xfId="0" applyFont="1" applyFill="1" applyBorder="1" applyAlignment="1">
      <alignment horizontal="center" vertical="center"/>
    </xf>
    <xf numFmtId="0" fontId="2" fillId="0" borderId="0" xfId="0" quotePrefix="1" applyFont="1" applyFill="1" applyBorder="1" applyAlignment="1">
      <alignment horizontal="center" vertical="center"/>
    </xf>
    <xf numFmtId="0" fontId="28" fillId="0" borderId="19" xfId="0" applyFont="1" applyFill="1" applyBorder="1" applyAlignment="1">
      <alignment horizontal="center" vertical="center"/>
    </xf>
    <xf numFmtId="1" fontId="33" fillId="0" borderId="27" xfId="0" applyNumberFormat="1" applyFont="1" applyFill="1" applyBorder="1" applyAlignment="1">
      <alignment horizontal="center" vertical="center"/>
    </xf>
    <xf numFmtId="0" fontId="22" fillId="3" borderId="8" xfId="0" applyFont="1" applyFill="1" applyBorder="1" applyAlignment="1">
      <alignment horizontal="center" vertical="center"/>
    </xf>
    <xf numFmtId="1" fontId="43" fillId="0" borderId="0" xfId="0" applyNumberFormat="1" applyFont="1" applyFill="1" applyBorder="1" applyAlignment="1">
      <alignment horizontal="center" vertical="center"/>
    </xf>
    <xf numFmtId="164" fontId="18" fillId="3" borderId="8" xfId="0" applyNumberFormat="1" applyFont="1" applyFill="1" applyBorder="1" applyAlignment="1">
      <alignment horizontal="center" vertical="center"/>
    </xf>
    <xf numFmtId="0" fontId="39" fillId="0" borderId="0" xfId="0" applyFont="1" applyFill="1" applyBorder="1" applyAlignment="1">
      <alignment horizontal="center" vertical="center"/>
    </xf>
    <xf numFmtId="1" fontId="1" fillId="0" borderId="0" xfId="0" applyNumberFormat="1" applyFont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4" fontId="29" fillId="0" borderId="18" xfId="0" applyNumberFormat="1" applyFont="1" applyFill="1" applyBorder="1" applyAlignment="1">
      <alignment horizontal="center" vertical="center"/>
    </xf>
    <xf numFmtId="0" fontId="18" fillId="3" borderId="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8" fillId="0" borderId="1" xfId="0" applyFont="1" applyFill="1" applyBorder="1" applyAlignment="1">
      <alignment vertical="center" wrapText="1"/>
    </xf>
    <xf numFmtId="164" fontId="18" fillId="3" borderId="23" xfId="0" applyNumberFormat="1" applyFont="1" applyFill="1" applyBorder="1" applyAlignment="1">
      <alignment horizontal="center" vertical="center"/>
    </xf>
    <xf numFmtId="0" fontId="45" fillId="0" borderId="8" xfId="0" applyFont="1" applyFill="1" applyBorder="1" applyAlignment="1">
      <alignment horizontal="center" vertical="center"/>
    </xf>
    <xf numFmtId="0" fontId="47" fillId="3" borderId="1" xfId="0" applyFont="1" applyFill="1" applyBorder="1" applyAlignment="1">
      <alignment horizontal="center" vertical="center"/>
    </xf>
    <xf numFmtId="0" fontId="43" fillId="3" borderId="1" xfId="0" applyFont="1" applyFill="1" applyBorder="1" applyAlignment="1">
      <alignment horizontal="center" vertical="center"/>
    </xf>
    <xf numFmtId="1" fontId="43" fillId="3" borderId="1" xfId="0" applyNumberFormat="1" applyFont="1" applyFill="1" applyBorder="1" applyAlignment="1">
      <alignment horizontal="center" vertical="center"/>
    </xf>
    <xf numFmtId="0" fontId="43" fillId="0" borderId="17" xfId="0" applyFont="1" applyFill="1" applyBorder="1" applyAlignment="1">
      <alignment horizontal="center" vertical="center"/>
    </xf>
    <xf numFmtId="0" fontId="47" fillId="0" borderId="0" xfId="0" applyFont="1" applyFill="1" applyBorder="1" applyAlignment="1">
      <alignment horizontal="center" vertical="center"/>
    </xf>
    <xf numFmtId="0" fontId="30" fillId="0" borderId="23" xfId="0" applyFont="1" applyFill="1" applyBorder="1" applyAlignment="1">
      <alignment horizontal="center" vertical="center" wrapText="1"/>
    </xf>
    <xf numFmtId="1" fontId="33" fillId="0" borderId="12" xfId="0" applyNumberFormat="1" applyFont="1" applyFill="1" applyBorder="1" applyAlignment="1">
      <alignment horizontal="center" vertical="center"/>
    </xf>
    <xf numFmtId="1" fontId="32" fillId="0" borderId="0" xfId="0" applyNumberFormat="1" applyFont="1" applyFill="1" applyAlignment="1">
      <alignment horizontal="center" vertical="center"/>
    </xf>
    <xf numFmtId="1" fontId="33" fillId="0" borderId="0" xfId="0" applyNumberFormat="1" applyFont="1" applyFill="1" applyAlignment="1">
      <alignment horizontal="center" vertical="center"/>
    </xf>
    <xf numFmtId="164" fontId="33" fillId="0" borderId="40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" fontId="33" fillId="5" borderId="21" xfId="0" applyNumberFormat="1" applyFont="1" applyFill="1" applyBorder="1" applyAlignment="1">
      <alignment horizontal="center" vertical="center"/>
    </xf>
    <xf numFmtId="1" fontId="32" fillId="5" borderId="21" xfId="0" applyNumberFormat="1" applyFont="1" applyFill="1" applyBorder="1" applyAlignment="1">
      <alignment horizontal="center" vertical="center"/>
    </xf>
    <xf numFmtId="1" fontId="40" fillId="5" borderId="21" xfId="0" applyNumberFormat="1" applyFont="1" applyFill="1" applyBorder="1" applyAlignment="1">
      <alignment horizontal="center" vertical="center"/>
    </xf>
    <xf numFmtId="0" fontId="33" fillId="5" borderId="21" xfId="0" applyFont="1" applyFill="1" applyBorder="1" applyAlignment="1">
      <alignment horizontal="center" vertical="center"/>
    </xf>
    <xf numFmtId="0" fontId="33" fillId="5" borderId="22" xfId="0" applyFont="1" applyFill="1" applyBorder="1" applyAlignment="1">
      <alignment horizontal="center" vertical="center"/>
    </xf>
    <xf numFmtId="1" fontId="33" fillId="5" borderId="20" xfId="0" applyNumberFormat="1" applyFont="1" applyFill="1" applyBorder="1" applyAlignment="1">
      <alignment horizontal="center" vertical="center"/>
    </xf>
    <xf numFmtId="1" fontId="32" fillId="5" borderId="38" xfId="0" applyNumberFormat="1" applyFont="1" applyFill="1" applyBorder="1" applyAlignment="1">
      <alignment horizontal="center" vertical="center"/>
    </xf>
    <xf numFmtId="1" fontId="33" fillId="5" borderId="38" xfId="0" applyNumberFormat="1" applyFont="1" applyFill="1" applyBorder="1" applyAlignment="1">
      <alignment horizontal="center" vertical="center"/>
    </xf>
    <xf numFmtId="164" fontId="33" fillId="5" borderId="20" xfId="0" applyNumberFormat="1" applyFont="1" applyFill="1" applyBorder="1" applyAlignment="1">
      <alignment horizontal="center" vertical="center"/>
    </xf>
    <xf numFmtId="164" fontId="33" fillId="5" borderId="21" xfId="0" applyNumberFormat="1" applyFont="1" applyFill="1" applyBorder="1" applyAlignment="1">
      <alignment horizontal="center" vertical="center"/>
    </xf>
    <xf numFmtId="0" fontId="33" fillId="5" borderId="25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" fontId="33" fillId="5" borderId="7" xfId="0" applyNumberFormat="1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33" fillId="5" borderId="19" xfId="0" applyFont="1" applyFill="1" applyBorder="1" applyAlignment="1">
      <alignment horizontal="center" vertical="center"/>
    </xf>
    <xf numFmtId="1" fontId="33" fillId="5" borderId="22" xfId="0" applyNumberFormat="1" applyFont="1" applyFill="1" applyBorder="1" applyAlignment="1">
      <alignment horizontal="center" vertical="center"/>
    </xf>
    <xf numFmtId="164" fontId="30" fillId="0" borderId="8" xfId="0" applyNumberFormat="1" applyFont="1" applyFill="1" applyBorder="1" applyAlignment="1">
      <alignment horizontal="center" vertical="center" wrapText="1"/>
    </xf>
    <xf numFmtId="1" fontId="33" fillId="5" borderId="25" xfId="0" applyNumberFormat="1" applyFont="1" applyFill="1" applyBorder="1" applyAlignment="1">
      <alignment horizontal="center" vertical="center"/>
    </xf>
    <xf numFmtId="1" fontId="40" fillId="5" borderId="40" xfId="0" applyNumberFormat="1" applyFont="1" applyFill="1" applyBorder="1" applyAlignment="1">
      <alignment horizontal="center" vertical="center"/>
    </xf>
    <xf numFmtId="1" fontId="33" fillId="5" borderId="39" xfId="0" applyNumberFormat="1" applyFont="1" applyFill="1" applyBorder="1" applyAlignment="1">
      <alignment horizontal="center" vertical="center"/>
    </xf>
    <xf numFmtId="164" fontId="33" fillId="5" borderId="22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3" fillId="0" borderId="7" xfId="0" applyFont="1" applyFill="1" applyBorder="1" applyAlignment="1">
      <alignment horizontal="center" vertical="center"/>
    </xf>
    <xf numFmtId="0" fontId="15" fillId="0" borderId="30" xfId="0" applyFont="1" applyFill="1" applyBorder="1" applyAlignment="1">
      <alignment horizontal="center" vertical="center"/>
    </xf>
    <xf numFmtId="0" fontId="15" fillId="0" borderId="31" xfId="0" applyFont="1" applyFill="1" applyBorder="1" applyAlignment="1">
      <alignment horizontal="center" vertical="center"/>
    </xf>
    <xf numFmtId="0" fontId="18" fillId="3" borderId="0" xfId="0" applyFont="1" applyFill="1" applyBorder="1" applyAlignment="1">
      <alignment horizontal="center" vertical="center" wrapText="1"/>
    </xf>
    <xf numFmtId="0" fontId="23" fillId="3" borderId="7" xfId="0" applyFont="1" applyFill="1" applyBorder="1" applyAlignment="1">
      <alignment horizontal="center" vertical="center"/>
    </xf>
    <xf numFmtId="0" fontId="23" fillId="0" borderId="19" xfId="0" applyFont="1" applyFill="1" applyBorder="1" applyAlignment="1">
      <alignment horizontal="center" vertical="center"/>
    </xf>
    <xf numFmtId="0" fontId="15" fillId="0" borderId="30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8" fillId="4" borderId="15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33" fillId="0" borderId="0" xfId="0" applyFont="1" applyFill="1" applyBorder="1" applyAlignment="1">
      <alignment horizontal="left" vertical="center" wrapText="1"/>
    </xf>
    <xf numFmtId="0" fontId="2" fillId="0" borderId="0" xfId="0" applyFont="1" applyFill="1" applyAlignment="1">
      <alignment vertical="center" wrapText="1"/>
    </xf>
    <xf numFmtId="0" fontId="33" fillId="3" borderId="0" xfId="0" applyFont="1" applyFill="1" applyBorder="1" applyAlignment="1">
      <alignment horizontal="left" vertical="center" wrapText="1"/>
    </xf>
    <xf numFmtId="0" fontId="55" fillId="6" borderId="41" xfId="1" applyFont="1" applyFill="1" applyBorder="1" applyAlignment="1">
      <alignment horizontal="center" vertical="center"/>
    </xf>
    <xf numFmtId="0" fontId="56" fillId="6" borderId="42" xfId="1" applyFont="1" applyFill="1" applyBorder="1" applyAlignment="1">
      <alignment horizontal="center" vertical="center" wrapText="1"/>
    </xf>
    <xf numFmtId="0" fontId="56" fillId="6" borderId="43" xfId="1" applyFont="1" applyFill="1" applyBorder="1" applyAlignment="1">
      <alignment horizontal="center" vertical="center" wrapText="1"/>
    </xf>
    <xf numFmtId="0" fontId="56" fillId="6" borderId="44" xfId="1" applyFont="1" applyFill="1" applyBorder="1" applyAlignment="1">
      <alignment horizontal="center" vertical="center" wrapText="1"/>
    </xf>
    <xf numFmtId="0" fontId="56" fillId="6" borderId="45" xfId="1" applyFont="1" applyFill="1" applyBorder="1" applyAlignment="1">
      <alignment horizontal="center" vertical="center" wrapText="1"/>
    </xf>
    <xf numFmtId="0" fontId="55" fillId="6" borderId="46" xfId="1" applyFont="1" applyFill="1" applyBorder="1" applyAlignment="1">
      <alignment horizontal="center" vertical="center"/>
    </xf>
    <xf numFmtId="0" fontId="56" fillId="6" borderId="47" xfId="1" applyFont="1" applyFill="1" applyBorder="1" applyAlignment="1">
      <alignment horizontal="center" vertical="center" wrapText="1"/>
    </xf>
    <xf numFmtId="0" fontId="56" fillId="6" borderId="48" xfId="1" applyFont="1" applyFill="1" applyBorder="1" applyAlignment="1">
      <alignment horizontal="center" vertical="center" wrapText="1"/>
    </xf>
    <xf numFmtId="0" fontId="56" fillId="6" borderId="49" xfId="1" applyFont="1" applyFill="1" applyBorder="1" applyAlignment="1">
      <alignment horizontal="center" vertical="center" wrapText="1"/>
    </xf>
    <xf numFmtId="0" fontId="56" fillId="6" borderId="50" xfId="1" applyFont="1" applyFill="1" applyBorder="1" applyAlignment="1">
      <alignment horizontal="center" vertical="center" wrapText="1"/>
    </xf>
    <xf numFmtId="0" fontId="33" fillId="0" borderId="41" xfId="1" applyFont="1" applyBorder="1" applyAlignment="1">
      <alignment vertical="center" wrapText="1"/>
    </xf>
    <xf numFmtId="0" fontId="28" fillId="0" borderId="51" xfId="1" applyFont="1" applyBorder="1" applyAlignment="1">
      <alignment horizontal="center"/>
    </xf>
    <xf numFmtId="0" fontId="28" fillId="0" borderId="41" xfId="1" applyFont="1" applyBorder="1" applyAlignment="1">
      <alignment horizontal="center" vertical="center"/>
    </xf>
    <xf numFmtId="0" fontId="28" fillId="0" borderId="52" xfId="1" applyFont="1" applyBorder="1" applyAlignment="1">
      <alignment horizontal="center" vertical="center" wrapText="1"/>
    </xf>
    <xf numFmtId="0" fontId="33" fillId="0" borderId="1" xfId="1" applyFont="1" applyFill="1" applyBorder="1" applyAlignment="1">
      <alignment vertical="center"/>
    </xf>
    <xf numFmtId="0" fontId="28" fillId="4" borderId="53" xfId="1" applyFont="1" applyFill="1" applyBorder="1" applyAlignment="1">
      <alignment horizontal="center"/>
    </xf>
    <xf numFmtId="0" fontId="28" fillId="0" borderId="1" xfId="1" applyFont="1" applyBorder="1" applyAlignment="1">
      <alignment horizontal="center" vertical="center" wrapText="1"/>
    </xf>
    <xf numFmtId="0" fontId="28" fillId="0" borderId="1" xfId="1" applyFont="1" applyFill="1" applyBorder="1" applyAlignment="1">
      <alignment horizontal="center" vertical="center"/>
    </xf>
    <xf numFmtId="0" fontId="28" fillId="0" borderId="54" xfId="1" applyFont="1" applyFill="1" applyBorder="1" applyAlignment="1">
      <alignment horizontal="center" vertical="center"/>
    </xf>
    <xf numFmtId="0" fontId="33" fillId="0" borderId="1" xfId="1" applyFont="1" applyBorder="1" applyAlignment="1">
      <alignment vertical="center" wrapText="1"/>
    </xf>
    <xf numFmtId="0" fontId="28" fillId="4" borderId="53" xfId="1" applyFont="1" applyFill="1" applyBorder="1" applyAlignment="1">
      <alignment horizontal="center" vertical="center"/>
    </xf>
    <xf numFmtId="0" fontId="27" fillId="0" borderId="1" xfId="1" applyFont="1" applyFill="1" applyBorder="1" applyAlignment="1">
      <alignment horizontal="center" vertical="center"/>
    </xf>
    <xf numFmtId="0" fontId="28" fillId="0" borderId="1" xfId="1" applyFont="1" applyBorder="1" applyAlignment="1">
      <alignment horizontal="center" vertical="center"/>
    </xf>
    <xf numFmtId="0" fontId="28" fillId="0" borderId="54" xfId="1" applyFont="1" applyBorder="1" applyAlignment="1">
      <alignment horizontal="center" vertical="center"/>
    </xf>
    <xf numFmtId="0" fontId="31" fillId="0" borderId="1" xfId="1" applyFont="1" applyFill="1" applyBorder="1" applyAlignment="1">
      <alignment horizontal="center" vertical="center" wrapText="1"/>
    </xf>
    <xf numFmtId="0" fontId="28" fillId="7" borderId="54" xfId="1" applyFont="1" applyFill="1" applyBorder="1" applyAlignment="1">
      <alignment horizontal="center" vertical="center" wrapText="1"/>
    </xf>
    <xf numFmtId="0" fontId="33" fillId="6" borderId="1" xfId="1" applyFont="1" applyFill="1" applyBorder="1" applyAlignment="1">
      <alignment vertical="center" wrapText="1"/>
    </xf>
    <xf numFmtId="0" fontId="33" fillId="0" borderId="46" xfId="1" applyFont="1" applyFill="1" applyBorder="1" applyAlignment="1">
      <alignment vertical="center"/>
    </xf>
    <xf numFmtId="0" fontId="28" fillId="4" borderId="55" xfId="1" applyFont="1" applyFill="1" applyBorder="1" applyAlignment="1">
      <alignment horizontal="center"/>
    </xf>
    <xf numFmtId="0" fontId="28" fillId="0" borderId="46" xfId="1" applyFont="1" applyBorder="1" applyAlignment="1">
      <alignment horizontal="center" vertical="center"/>
    </xf>
    <xf numFmtId="0" fontId="28" fillId="0" borderId="46" xfId="1" applyFont="1" applyFill="1" applyBorder="1" applyAlignment="1">
      <alignment horizontal="center" vertical="center"/>
    </xf>
    <xf numFmtId="0" fontId="28" fillId="0" borderId="56" xfId="1" applyFont="1" applyFill="1" applyBorder="1" applyAlignment="1">
      <alignment horizontal="center" vertical="center"/>
    </xf>
    <xf numFmtId="0" fontId="28" fillId="4" borderId="51" xfId="1" applyFont="1" applyFill="1" applyBorder="1" applyAlignment="1">
      <alignment horizontal="center" vertical="center"/>
    </xf>
    <xf numFmtId="0" fontId="31" fillId="0" borderId="41" xfId="1" applyFont="1" applyFill="1" applyBorder="1" applyAlignment="1">
      <alignment horizontal="center" vertical="center" wrapText="1"/>
    </xf>
    <xf numFmtId="3" fontId="31" fillId="0" borderId="41" xfId="1" applyNumberFormat="1" applyFont="1" applyBorder="1" applyAlignment="1">
      <alignment horizontal="center" vertical="center"/>
    </xf>
    <xf numFmtId="3" fontId="31" fillId="0" borderId="52" xfId="1" applyNumberFormat="1" applyFont="1" applyBorder="1" applyAlignment="1">
      <alignment horizontal="center" vertical="center" wrapText="1"/>
    </xf>
    <xf numFmtId="0" fontId="33" fillId="0" borderId="1" xfId="1" applyFont="1" applyBorder="1" applyAlignment="1">
      <alignment vertical="center"/>
    </xf>
    <xf numFmtId="3" fontId="31" fillId="4" borderId="53" xfId="1" applyNumberFormat="1" applyFont="1" applyFill="1" applyBorder="1" applyAlignment="1">
      <alignment horizontal="center" vertical="center"/>
    </xf>
    <xf numFmtId="165" fontId="28" fillId="0" borderId="54" xfId="1" applyNumberFormat="1" applyFont="1" applyBorder="1" applyAlignment="1">
      <alignment horizontal="center" vertical="center"/>
    </xf>
    <xf numFmtId="0" fontId="33" fillId="0" borderId="46" xfId="1" applyFont="1" applyBorder="1" applyAlignment="1">
      <alignment vertical="center" wrapText="1"/>
    </xf>
    <xf numFmtId="3" fontId="31" fillId="4" borderId="55" xfId="1" applyNumberFormat="1" applyFont="1" applyFill="1" applyBorder="1" applyAlignment="1">
      <alignment horizontal="center" vertical="center"/>
    </xf>
    <xf numFmtId="3" fontId="31" fillId="4" borderId="51" xfId="1" applyNumberFormat="1" applyFont="1" applyFill="1" applyBorder="1" applyAlignment="1">
      <alignment horizontal="center" vertical="center"/>
    </xf>
    <xf numFmtId="165" fontId="28" fillId="0" borderId="52" xfId="1" applyNumberFormat="1" applyFont="1" applyBorder="1" applyAlignment="1">
      <alignment horizontal="center" vertical="center"/>
    </xf>
    <xf numFmtId="0" fontId="32" fillId="0" borderId="1" xfId="1" applyFont="1" applyFill="1" applyBorder="1" applyAlignment="1" applyProtection="1">
      <alignment horizontal="left" vertical="center" wrapText="1"/>
    </xf>
    <xf numFmtId="0" fontId="31" fillId="4" borderId="53" xfId="1" applyFont="1" applyFill="1" applyBorder="1" applyAlignment="1">
      <alignment horizontal="center" vertical="center"/>
    </xf>
    <xf numFmtId="3" fontId="31" fillId="0" borderId="1" xfId="1" applyNumberFormat="1" applyFont="1" applyBorder="1" applyAlignment="1">
      <alignment horizontal="center" vertical="center"/>
    </xf>
    <xf numFmtId="0" fontId="31" fillId="0" borderId="54" xfId="1" applyFont="1" applyBorder="1" applyAlignment="1">
      <alignment horizontal="center" vertical="center"/>
    </xf>
    <xf numFmtId="0" fontId="33" fillId="0" borderId="1" xfId="1" applyFont="1" applyFill="1" applyBorder="1" applyAlignment="1" applyProtection="1">
      <alignment horizontal="left" vertical="center" wrapText="1"/>
    </xf>
    <xf numFmtId="0" fontId="32" fillId="0" borderId="1" xfId="1" applyFont="1" applyFill="1" applyBorder="1" applyAlignment="1">
      <alignment horizontal="left" vertical="center" wrapText="1"/>
    </xf>
    <xf numFmtId="0" fontId="57" fillId="0" borderId="1" xfId="1" applyFont="1" applyFill="1" applyBorder="1" applyAlignment="1">
      <alignment horizontal="center" vertical="center" wrapText="1"/>
    </xf>
    <xf numFmtId="0" fontId="31" fillId="0" borderId="53" xfId="1" applyFont="1" applyBorder="1" applyAlignment="1">
      <alignment horizontal="center" vertical="center" wrapText="1"/>
    </xf>
    <xf numFmtId="0" fontId="31" fillId="4" borderId="53" xfId="1" applyFont="1" applyFill="1" applyBorder="1" applyAlignment="1">
      <alignment horizontal="center" vertical="center" wrapText="1"/>
    </xf>
    <xf numFmtId="0" fontId="32" fillId="3" borderId="1" xfId="1" applyFont="1" applyFill="1" applyBorder="1" applyAlignment="1">
      <alignment horizontal="left" vertical="center" wrapText="1"/>
    </xf>
    <xf numFmtId="0" fontId="28" fillId="0" borderId="54" xfId="1" applyFont="1" applyBorder="1" applyAlignment="1">
      <alignment horizontal="center"/>
    </xf>
    <xf numFmtId="3" fontId="28" fillId="0" borderId="1" xfId="1" applyNumberFormat="1" applyFont="1" applyBorder="1" applyAlignment="1">
      <alignment horizontal="center" vertical="center"/>
    </xf>
    <xf numFmtId="0" fontId="28" fillId="0" borderId="53" xfId="1" applyFont="1" applyBorder="1" applyAlignment="1">
      <alignment horizontal="center" vertical="center"/>
    </xf>
    <xf numFmtId="0" fontId="33" fillId="3" borderId="1" xfId="1" applyFont="1" applyFill="1" applyBorder="1" applyAlignment="1">
      <alignment horizontal="left" vertical="center" wrapText="1"/>
    </xf>
    <xf numFmtId="0" fontId="33" fillId="3" borderId="1" xfId="1" applyFont="1" applyFill="1" applyBorder="1" applyAlignment="1">
      <alignment vertical="center" wrapText="1"/>
    </xf>
    <xf numFmtId="0" fontId="33" fillId="0" borderId="1" xfId="1" applyFont="1" applyFill="1" applyBorder="1" applyAlignment="1">
      <alignment horizontal="left" vertical="center" wrapText="1"/>
    </xf>
    <xf numFmtId="0" fontId="1" fillId="0" borderId="54" xfId="1" applyFont="1" applyFill="1" applyBorder="1" applyAlignment="1">
      <alignment horizontal="center" vertical="center"/>
    </xf>
    <xf numFmtId="165" fontId="28" fillId="0" borderId="56" xfId="1" applyNumberFormat="1" applyFont="1" applyBorder="1" applyAlignment="1">
      <alignment horizontal="center" vertical="center"/>
    </xf>
    <xf numFmtId="0" fontId="33" fillId="0" borderId="41" xfId="1" applyFont="1" applyFill="1" applyBorder="1" applyAlignment="1">
      <alignment vertical="center"/>
    </xf>
    <xf numFmtId="0" fontId="28" fillId="4" borderId="51" xfId="1" applyFont="1" applyFill="1" applyBorder="1" applyAlignment="1">
      <alignment horizontal="center"/>
    </xf>
    <xf numFmtId="0" fontId="28" fillId="0" borderId="41" xfId="1" applyFont="1" applyFill="1" applyBorder="1" applyAlignment="1">
      <alignment horizontal="center" vertical="center"/>
    </xf>
    <xf numFmtId="0" fontId="28" fillId="0" borderId="52" xfId="1" applyFont="1" applyFill="1" applyBorder="1" applyAlignment="1">
      <alignment horizontal="center" vertical="center"/>
    </xf>
    <xf numFmtId="0" fontId="33" fillId="3" borderId="1" xfId="1" applyFont="1" applyFill="1" applyBorder="1" applyAlignment="1">
      <alignment horizontal="left"/>
    </xf>
    <xf numFmtId="0" fontId="31" fillId="0" borderId="54" xfId="1" applyFont="1" applyBorder="1" applyAlignment="1">
      <alignment horizontal="center" vertical="center" wrapText="1"/>
    </xf>
    <xf numFmtId="0" fontId="28" fillId="0" borderId="54" xfId="1" applyFont="1" applyBorder="1" applyAlignment="1">
      <alignment horizontal="center" vertical="center" wrapText="1"/>
    </xf>
    <xf numFmtId="0" fontId="28" fillId="0" borderId="53" xfId="1" applyFont="1" applyBorder="1" applyAlignment="1">
      <alignment horizontal="center"/>
    </xf>
    <xf numFmtId="0" fontId="33" fillId="0" borderId="16" xfId="1" applyFont="1" applyBorder="1" applyAlignment="1">
      <alignment vertical="center" wrapText="1"/>
    </xf>
    <xf numFmtId="3" fontId="31" fillId="4" borderId="57" xfId="1" applyNumberFormat="1" applyFont="1" applyFill="1" applyBorder="1" applyAlignment="1">
      <alignment horizontal="center" vertical="center"/>
    </xf>
    <xf numFmtId="0" fontId="33" fillId="0" borderId="52" xfId="1" applyFont="1" applyFill="1" applyBorder="1" applyAlignment="1">
      <alignment vertical="center"/>
    </xf>
    <xf numFmtId="0" fontId="28" fillId="0" borderId="27" xfId="1" applyFont="1" applyBorder="1" applyAlignment="1">
      <alignment horizontal="center" vertical="center"/>
    </xf>
    <xf numFmtId="0" fontId="33" fillId="0" borderId="56" xfId="1" applyFont="1" applyBorder="1" applyAlignment="1">
      <alignment vertical="center" wrapText="1"/>
    </xf>
    <xf numFmtId="0" fontId="28" fillId="4" borderId="55" xfId="1" applyFont="1" applyFill="1" applyBorder="1" applyAlignment="1">
      <alignment horizontal="center" vertical="center"/>
    </xf>
    <xf numFmtId="0" fontId="27" fillId="0" borderId="27" xfId="1" applyFont="1" applyFill="1" applyBorder="1" applyAlignment="1">
      <alignment horizontal="center" vertical="center"/>
    </xf>
    <xf numFmtId="0" fontId="33" fillId="0" borderId="52" xfId="1" applyFont="1" applyBorder="1" applyAlignment="1">
      <alignment horizontal="left" vertical="center" wrapText="1"/>
    </xf>
    <xf numFmtId="0" fontId="31" fillId="0" borderId="27" xfId="1" applyFont="1" applyFill="1" applyBorder="1" applyAlignment="1">
      <alignment horizontal="center" vertical="center" wrapText="1"/>
    </xf>
    <xf numFmtId="0" fontId="32" fillId="0" borderId="56" xfId="1" applyFont="1" applyFill="1" applyBorder="1" applyAlignment="1">
      <alignment horizontal="left" vertical="center" wrapText="1"/>
    </xf>
    <xf numFmtId="0" fontId="31" fillId="4" borderId="55" xfId="1" applyFont="1" applyFill="1" applyBorder="1" applyAlignment="1">
      <alignment horizontal="center" vertical="center" wrapText="1"/>
    </xf>
    <xf numFmtId="0" fontId="33" fillId="3" borderId="8" xfId="1" applyFont="1" applyFill="1" applyBorder="1" applyAlignment="1">
      <alignment vertical="center" wrapText="1"/>
    </xf>
    <xf numFmtId="3" fontId="31" fillId="4" borderId="58" xfId="1" applyNumberFormat="1" applyFont="1" applyFill="1" applyBorder="1" applyAlignment="1">
      <alignment horizontal="center" vertical="center"/>
    </xf>
    <xf numFmtId="0" fontId="33" fillId="3" borderId="16" xfId="1" applyFont="1" applyFill="1" applyBorder="1" applyAlignment="1">
      <alignment vertical="center" wrapText="1"/>
    </xf>
    <xf numFmtId="0" fontId="28" fillId="4" borderId="57" xfId="1" applyFont="1" applyFill="1" applyBorder="1" applyAlignment="1">
      <alignment horizontal="center" vertical="center"/>
    </xf>
    <xf numFmtId="0" fontId="33" fillId="0" borderId="56" xfId="1" applyFont="1" applyFill="1" applyBorder="1" applyAlignment="1">
      <alignment vertical="center"/>
    </xf>
    <xf numFmtId="0" fontId="32" fillId="0" borderId="8" xfId="1" applyFont="1" applyFill="1" applyBorder="1" applyAlignment="1">
      <alignment horizontal="left" vertical="center" wrapText="1"/>
    </xf>
    <xf numFmtId="0" fontId="31" fillId="4" borderId="58" xfId="1" applyFont="1" applyFill="1" applyBorder="1" applyAlignment="1">
      <alignment horizontal="center" vertical="center"/>
    </xf>
    <xf numFmtId="0" fontId="32" fillId="3" borderId="1" xfId="1" applyFont="1" applyFill="1" applyBorder="1" applyAlignment="1" applyProtection="1">
      <alignment horizontal="left" vertical="center" wrapText="1"/>
    </xf>
    <xf numFmtId="0" fontId="33" fillId="0" borderId="1" xfId="1" applyFont="1" applyFill="1" applyBorder="1" applyAlignment="1">
      <alignment vertical="center" wrapText="1"/>
    </xf>
    <xf numFmtId="0" fontId="28" fillId="0" borderId="16" xfId="1" applyFont="1" applyBorder="1" applyAlignment="1">
      <alignment horizontal="center" vertical="center"/>
    </xf>
    <xf numFmtId="0" fontId="28" fillId="0" borderId="59" xfId="1" applyFont="1" applyBorder="1" applyAlignment="1">
      <alignment horizontal="center" vertical="center"/>
    </xf>
    <xf numFmtId="0" fontId="33" fillId="0" borderId="60" xfId="1" applyFont="1" applyFill="1" applyBorder="1" applyAlignment="1">
      <alignment vertical="center" wrapText="1"/>
    </xf>
    <xf numFmtId="0" fontId="28" fillId="4" borderId="61" xfId="1" applyFont="1" applyFill="1" applyBorder="1" applyAlignment="1">
      <alignment horizontal="center" vertical="center"/>
    </xf>
    <xf numFmtId="0" fontId="28" fillId="0" borderId="60" xfId="1" applyFont="1" applyFill="1" applyBorder="1" applyAlignment="1">
      <alignment horizontal="center" vertical="center"/>
    </xf>
    <xf numFmtId="0" fontId="28" fillId="0" borderId="62" xfId="1" applyFont="1" applyFill="1" applyBorder="1" applyAlignment="1">
      <alignment horizontal="center" vertical="center"/>
    </xf>
    <xf numFmtId="0" fontId="33" fillId="0" borderId="8" xfId="1" applyFont="1" applyBorder="1" applyAlignment="1">
      <alignment vertical="center" wrapText="1"/>
    </xf>
    <xf numFmtId="0" fontId="28" fillId="4" borderId="58" xfId="1" applyFont="1" applyFill="1" applyBorder="1" applyAlignment="1">
      <alignment horizontal="center" vertical="center"/>
    </xf>
    <xf numFmtId="0" fontId="27" fillId="0" borderId="8" xfId="1" applyFont="1" applyFill="1" applyBorder="1" applyAlignment="1">
      <alignment horizontal="center" vertical="center"/>
    </xf>
    <xf numFmtId="0" fontId="28" fillId="0" borderId="8" xfId="1" applyFont="1" applyFill="1" applyBorder="1" applyAlignment="1">
      <alignment horizontal="center" vertical="center"/>
    </xf>
    <xf numFmtId="0" fontId="1" fillId="0" borderId="63" xfId="1" applyFont="1" applyFill="1" applyBorder="1" applyAlignment="1">
      <alignment horizontal="center" vertical="center"/>
    </xf>
    <xf numFmtId="0" fontId="27" fillId="0" borderId="1" xfId="1" applyFont="1" applyBorder="1" applyAlignment="1">
      <alignment horizontal="center" vertical="center"/>
    </xf>
    <xf numFmtId="0" fontId="27" fillId="0" borderId="46" xfId="1" applyFont="1" applyBorder="1" applyAlignment="1">
      <alignment horizontal="center" vertical="center"/>
    </xf>
    <xf numFmtId="0" fontId="28" fillId="0" borderId="56" xfId="1" applyFont="1" applyBorder="1" applyAlignment="1">
      <alignment horizontal="center" vertical="center"/>
    </xf>
    <xf numFmtId="0" fontId="54" fillId="0" borderId="51" xfId="1" applyBorder="1" applyAlignment="1">
      <alignment horizontal="center" vertical="center"/>
    </xf>
    <xf numFmtId="0" fontId="27" fillId="0" borderId="41" xfId="1" applyFont="1" applyBorder="1" applyAlignment="1">
      <alignment horizontal="center" vertical="center"/>
    </xf>
    <xf numFmtId="0" fontId="1" fillId="0" borderId="41" xfId="1" applyFont="1" applyFill="1" applyBorder="1" applyAlignment="1">
      <alignment horizontal="center" vertical="center"/>
    </xf>
    <xf numFmtId="0" fontId="28" fillId="0" borderId="52" xfId="1" applyFont="1" applyBorder="1" applyAlignment="1">
      <alignment horizontal="center" vertical="center"/>
    </xf>
    <xf numFmtId="0" fontId="54" fillId="4" borderId="53" xfId="1" applyFill="1" applyBorder="1" applyAlignment="1">
      <alignment horizontal="center" vertical="center"/>
    </xf>
    <xf numFmtId="0" fontId="1" fillId="0" borderId="1" xfId="1" applyFont="1" applyFill="1" applyBorder="1" applyAlignment="1">
      <alignment horizontal="center" vertical="center"/>
    </xf>
    <xf numFmtId="0" fontId="54" fillId="0" borderId="1" xfId="1" applyFont="1" applyBorder="1" applyAlignment="1">
      <alignment horizontal="center" vertical="center"/>
    </xf>
    <xf numFmtId="0" fontId="27" fillId="0" borderId="46" xfId="1" applyFont="1" applyFill="1" applyBorder="1" applyAlignment="1">
      <alignment horizontal="center" vertical="center"/>
    </xf>
    <xf numFmtId="0" fontId="33" fillId="0" borderId="46" xfId="1" applyFont="1" applyBorder="1" applyAlignment="1">
      <alignment vertical="center"/>
    </xf>
    <xf numFmtId="0" fontId="33" fillId="0" borderId="41" xfId="1" applyFont="1" applyBorder="1" applyAlignment="1">
      <alignment vertical="center"/>
    </xf>
    <xf numFmtId="0" fontId="33" fillId="0" borderId="1" xfId="1" applyFont="1" applyBorder="1" applyAlignment="1">
      <alignment horizontal="left"/>
    </xf>
    <xf numFmtId="0" fontId="32" fillId="0" borderId="46" xfId="1" applyFont="1" applyFill="1" applyBorder="1" applyAlignment="1">
      <alignment horizontal="left" vertical="center" wrapText="1"/>
    </xf>
    <xf numFmtId="0" fontId="31" fillId="0" borderId="46" xfId="1" applyFont="1" applyFill="1" applyBorder="1" applyAlignment="1">
      <alignment horizontal="center" vertical="center" wrapText="1"/>
    </xf>
    <xf numFmtId="3" fontId="31" fillId="0" borderId="46" xfId="1" applyNumberFormat="1" applyFont="1" applyBorder="1" applyAlignment="1">
      <alignment horizontal="center" vertical="center"/>
    </xf>
    <xf numFmtId="0" fontId="33" fillId="0" borderId="41" xfId="1" applyFont="1" applyFill="1" applyBorder="1" applyAlignment="1">
      <alignment horizontal="left" vertical="center" wrapText="1"/>
    </xf>
    <xf numFmtId="0" fontId="31" fillId="4" borderId="51" xfId="1" applyFont="1" applyFill="1" applyBorder="1" applyAlignment="1">
      <alignment horizontal="center" vertical="center" wrapText="1"/>
    </xf>
    <xf numFmtId="0" fontId="28" fillId="3" borderId="41" xfId="1" applyFont="1" applyFill="1" applyBorder="1" applyAlignment="1">
      <alignment horizontal="center" vertical="center" wrapText="1"/>
    </xf>
    <xf numFmtId="0" fontId="28" fillId="4" borderId="57" xfId="1" applyFont="1" applyFill="1" applyBorder="1" applyAlignment="1">
      <alignment horizontal="center"/>
    </xf>
    <xf numFmtId="0" fontId="28" fillId="0" borderId="59" xfId="1" applyFont="1" applyBorder="1" applyAlignment="1">
      <alignment horizontal="center" vertical="center" wrapText="1"/>
    </xf>
    <xf numFmtId="0" fontId="1" fillId="4" borderId="53" xfId="1" applyFont="1" applyFill="1" applyBorder="1" applyAlignment="1">
      <alignment horizontal="center" vertical="center"/>
    </xf>
    <xf numFmtId="3" fontId="31" fillId="0" borderId="54" xfId="1" applyNumberFormat="1" applyFont="1" applyBorder="1" applyAlignment="1">
      <alignment horizontal="center" vertical="center" wrapText="1"/>
    </xf>
    <xf numFmtId="3" fontId="28" fillId="0" borderId="46" xfId="1" applyNumberFormat="1" applyFont="1" applyBorder="1" applyAlignment="1">
      <alignment horizontal="center" vertical="center"/>
    </xf>
    <xf numFmtId="0" fontId="28" fillId="0" borderId="8" xfId="1" applyFont="1" applyBorder="1" applyAlignment="1">
      <alignment horizontal="center" vertical="center"/>
    </xf>
    <xf numFmtId="0" fontId="28" fillId="0" borderId="63" xfId="1" applyFont="1" applyBorder="1" applyAlignment="1">
      <alignment horizontal="center" vertical="center"/>
    </xf>
    <xf numFmtId="0" fontId="28" fillId="0" borderId="55" xfId="1" applyFont="1" applyBorder="1" applyAlignment="1">
      <alignment horizontal="center" vertical="center"/>
    </xf>
    <xf numFmtId="0" fontId="27" fillId="0" borderId="41" xfId="1" applyFont="1" applyFill="1" applyBorder="1" applyAlignment="1">
      <alignment horizontal="center" vertical="center"/>
    </xf>
    <xf numFmtId="0" fontId="28" fillId="3" borderId="1" xfId="1" applyFont="1" applyFill="1" applyBorder="1" applyAlignment="1">
      <alignment horizontal="center" vertical="center"/>
    </xf>
    <xf numFmtId="0" fontId="28" fillId="3" borderId="54" xfId="1" applyFont="1" applyFill="1" applyBorder="1" applyAlignment="1">
      <alignment horizontal="center" vertical="center"/>
    </xf>
    <xf numFmtId="0" fontId="33" fillId="3" borderId="46" xfId="1" applyFont="1" applyFill="1" applyBorder="1" applyAlignment="1">
      <alignment horizontal="left" vertical="center" wrapText="1"/>
    </xf>
    <xf numFmtId="0" fontId="31" fillId="4" borderId="55" xfId="1" applyFont="1" applyFill="1" applyBorder="1" applyAlignment="1">
      <alignment horizontal="center" vertical="center"/>
    </xf>
    <xf numFmtId="0" fontId="57" fillId="0" borderId="46" xfId="1" applyFont="1" applyFill="1" applyBorder="1" applyAlignment="1">
      <alignment horizontal="center" vertical="center" wrapText="1"/>
    </xf>
    <xf numFmtId="0" fontId="31" fillId="0" borderId="56" xfId="1" applyFont="1" applyBorder="1" applyAlignment="1">
      <alignment horizontal="center" vertical="center"/>
    </xf>
    <xf numFmtId="0" fontId="33" fillId="3" borderId="41" xfId="1" applyFont="1" applyFill="1" applyBorder="1" applyAlignment="1">
      <alignment horizontal="left" vertical="center" wrapText="1"/>
    </xf>
    <xf numFmtId="0" fontId="31" fillId="4" borderId="51" xfId="1" applyFont="1" applyFill="1" applyBorder="1" applyAlignment="1">
      <alignment horizontal="center" vertical="center"/>
    </xf>
    <xf numFmtId="0" fontId="57" fillId="0" borderId="41" xfId="1" applyFont="1" applyFill="1" applyBorder="1" applyAlignment="1">
      <alignment horizontal="center" vertical="center" wrapText="1"/>
    </xf>
    <xf numFmtId="0" fontId="31" fillId="0" borderId="52" xfId="1" applyFont="1" applyBorder="1" applyAlignment="1">
      <alignment horizontal="center" vertical="center"/>
    </xf>
    <xf numFmtId="0" fontId="28" fillId="0" borderId="53" xfId="1" applyFont="1" applyFill="1" applyBorder="1" applyAlignment="1">
      <alignment horizontal="center"/>
    </xf>
    <xf numFmtId="0" fontId="33" fillId="4" borderId="1" xfId="1" applyFont="1" applyFill="1" applyBorder="1" applyAlignment="1">
      <alignment horizontal="left" vertical="center" wrapText="1"/>
    </xf>
    <xf numFmtId="0" fontId="28" fillId="0" borderId="1" xfId="1" applyFont="1" applyFill="1" applyBorder="1" applyAlignment="1">
      <alignment horizontal="center" vertical="center" wrapText="1"/>
    </xf>
    <xf numFmtId="0" fontId="32" fillId="3" borderId="8" xfId="1" applyFont="1" applyFill="1" applyBorder="1" applyAlignment="1">
      <alignment horizontal="left" vertical="center" wrapText="1"/>
    </xf>
    <xf numFmtId="0" fontId="31" fillId="4" borderId="8" xfId="1" applyFont="1" applyFill="1" applyBorder="1" applyAlignment="1">
      <alignment horizontal="center" vertical="center" wrapText="1"/>
    </xf>
    <xf numFmtId="0" fontId="31" fillId="0" borderId="8" xfId="1" applyFont="1" applyFill="1" applyBorder="1" applyAlignment="1">
      <alignment horizontal="center" vertical="center" wrapText="1"/>
    </xf>
    <xf numFmtId="3" fontId="31" fillId="0" borderId="8" xfId="1" applyNumberFormat="1" applyFont="1" applyBorder="1" applyAlignment="1">
      <alignment horizontal="center" vertical="center"/>
    </xf>
    <xf numFmtId="0" fontId="31" fillId="0" borderId="8" xfId="1" applyFont="1" applyBorder="1" applyAlignment="1">
      <alignment horizontal="center" vertical="center"/>
    </xf>
    <xf numFmtId="0" fontId="31" fillId="4" borderId="1" xfId="1" applyFont="1" applyFill="1" applyBorder="1" applyAlignment="1">
      <alignment horizontal="center" vertical="center" wrapText="1"/>
    </xf>
    <xf numFmtId="0" fontId="31" fillId="0" borderId="1" xfId="1" applyFont="1" applyBorder="1" applyAlignment="1">
      <alignment horizontal="center" vertical="center"/>
    </xf>
    <xf numFmtId="0" fontId="28" fillId="4" borderId="1" xfId="1" applyFont="1" applyFill="1" applyBorder="1" applyAlignment="1">
      <alignment horizontal="center"/>
    </xf>
    <xf numFmtId="0" fontId="1" fillId="4" borderId="1" xfId="1" applyFont="1" applyFill="1" applyBorder="1" applyAlignment="1">
      <alignment horizontal="center" vertical="center"/>
    </xf>
    <xf numFmtId="0" fontId="28" fillId="4" borderId="1" xfId="1" applyFont="1" applyFill="1" applyBorder="1" applyAlignment="1">
      <alignment horizontal="center" vertical="center"/>
    </xf>
    <xf numFmtId="0" fontId="28" fillId="4" borderId="16" xfId="1" applyFont="1" applyFill="1" applyBorder="1" applyAlignment="1">
      <alignment horizontal="center" vertical="center"/>
    </xf>
    <xf numFmtId="0" fontId="33" fillId="0" borderId="52" xfId="1" applyFont="1" applyBorder="1" applyAlignment="1">
      <alignment vertical="center" wrapText="1"/>
    </xf>
    <xf numFmtId="0" fontId="28" fillId="0" borderId="1" xfId="1" applyFont="1" applyBorder="1" applyAlignment="1">
      <alignment horizontal="center"/>
    </xf>
    <xf numFmtId="0" fontId="33" fillId="0" borderId="13" xfId="1" applyFont="1" applyBorder="1" applyAlignment="1">
      <alignment vertical="center" wrapText="1"/>
    </xf>
    <xf numFmtId="0" fontId="28" fillId="4" borderId="8" xfId="1" applyFont="1" applyFill="1" applyBorder="1" applyAlignment="1">
      <alignment horizontal="center"/>
    </xf>
    <xf numFmtId="0" fontId="32" fillId="0" borderId="12" xfId="1" applyFont="1" applyFill="1" applyBorder="1" applyAlignment="1">
      <alignment horizontal="left" vertical="center" wrapText="1"/>
    </xf>
    <xf numFmtId="0" fontId="33" fillId="0" borderId="12" xfId="1" applyFont="1" applyFill="1" applyBorder="1" applyAlignment="1">
      <alignment vertical="center"/>
    </xf>
    <xf numFmtId="0" fontId="33" fillId="0" borderId="12" xfId="1" applyFont="1" applyBorder="1" applyAlignment="1">
      <alignment vertical="center" wrapText="1"/>
    </xf>
    <xf numFmtId="0" fontId="33" fillId="0" borderId="16" xfId="1" applyFont="1" applyFill="1" applyBorder="1" applyAlignment="1">
      <alignment vertical="center"/>
    </xf>
    <xf numFmtId="0" fontId="28" fillId="4" borderId="16" xfId="1" applyFont="1" applyFill="1" applyBorder="1" applyAlignment="1">
      <alignment horizontal="center"/>
    </xf>
    <xf numFmtId="0" fontId="32" fillId="0" borderId="52" xfId="1" applyFont="1" applyFill="1" applyBorder="1" applyAlignment="1" applyProtection="1">
      <alignment horizontal="left" vertical="center" wrapText="1"/>
    </xf>
    <xf numFmtId="0" fontId="32" fillId="0" borderId="54" xfId="1" applyFont="1" applyFill="1" applyBorder="1" applyAlignment="1" applyProtection="1">
      <alignment horizontal="left" vertical="center" wrapText="1"/>
    </xf>
    <xf numFmtId="0" fontId="33" fillId="3" borderId="56" xfId="1" applyFont="1" applyFill="1" applyBorder="1" applyAlignment="1">
      <alignment vertical="center" wrapText="1"/>
    </xf>
    <xf numFmtId="0" fontId="28" fillId="3" borderId="27" xfId="1" applyFont="1" applyFill="1" applyBorder="1" applyAlignment="1">
      <alignment horizontal="center" vertical="center" wrapText="1"/>
    </xf>
    <xf numFmtId="165" fontId="28" fillId="0" borderId="1" xfId="1" applyNumberFormat="1" applyFont="1" applyBorder="1" applyAlignment="1">
      <alignment horizontal="center" vertical="center"/>
    </xf>
    <xf numFmtId="0" fontId="33" fillId="0" borderId="52" xfId="1" applyFont="1" applyFill="1" applyBorder="1" applyAlignment="1">
      <alignment horizontal="left" vertical="center" wrapText="1"/>
    </xf>
    <xf numFmtId="0" fontId="33" fillId="0" borderId="54" xfId="1" applyFont="1" applyBorder="1" applyAlignment="1">
      <alignment vertical="center" wrapText="1"/>
    </xf>
    <xf numFmtId="0" fontId="32" fillId="3" borderId="56" xfId="1" applyFont="1" applyFill="1" applyBorder="1" applyAlignment="1">
      <alignment horizontal="left" vertical="center" wrapText="1"/>
    </xf>
    <xf numFmtId="0" fontId="33" fillId="0" borderId="13" xfId="1" applyFont="1" applyFill="1" applyBorder="1" applyAlignment="1">
      <alignment vertical="center"/>
    </xf>
    <xf numFmtId="0" fontId="33" fillId="3" borderId="12" xfId="1" applyFont="1" applyFill="1" applyBorder="1" applyAlignment="1">
      <alignment vertical="center" wrapText="1"/>
    </xf>
    <xf numFmtId="3" fontId="31" fillId="4" borderId="1" xfId="1" applyNumberFormat="1" applyFont="1" applyFill="1" applyBorder="1" applyAlignment="1">
      <alignment horizontal="center" vertical="center"/>
    </xf>
    <xf numFmtId="0" fontId="33" fillId="2" borderId="1" xfId="1" applyFont="1" applyFill="1" applyBorder="1" applyAlignment="1">
      <alignment vertical="center"/>
    </xf>
    <xf numFmtId="0" fontId="28" fillId="3" borderId="1" xfId="1" applyFont="1" applyFill="1" applyBorder="1" applyAlignment="1">
      <alignment horizontal="center" vertical="center" wrapText="1"/>
    </xf>
    <xf numFmtId="0" fontId="31" fillId="0" borderId="1" xfId="1" applyFont="1" applyFill="1" applyBorder="1" applyAlignment="1">
      <alignment horizontal="center" vertical="center"/>
    </xf>
    <xf numFmtId="0" fontId="32" fillId="3" borderId="52" xfId="1" applyFont="1" applyFill="1" applyBorder="1" applyAlignment="1">
      <alignment horizontal="left" vertical="center" wrapText="1"/>
    </xf>
    <xf numFmtId="3" fontId="31" fillId="0" borderId="1" xfId="1" applyNumberFormat="1" applyFont="1" applyBorder="1" applyAlignment="1">
      <alignment horizontal="center" vertical="center" wrapText="1"/>
    </xf>
    <xf numFmtId="0" fontId="33" fillId="0" borderId="1" xfId="1" applyFont="1" applyBorder="1" applyAlignment="1">
      <alignment horizontal="left" vertical="center" wrapText="1"/>
    </xf>
    <xf numFmtId="0" fontId="28" fillId="4" borderId="1" xfId="1" applyFont="1" applyFill="1" applyBorder="1" applyAlignment="1">
      <alignment horizontal="center" vertical="center" wrapText="1"/>
    </xf>
    <xf numFmtId="0" fontId="32" fillId="4" borderId="1" xfId="1" applyFont="1" applyFill="1" applyBorder="1" applyAlignment="1">
      <alignment horizontal="left" vertical="center" wrapText="1"/>
    </xf>
    <xf numFmtId="0" fontId="33" fillId="3" borderId="14" xfId="1" applyFont="1" applyFill="1" applyBorder="1" applyAlignment="1">
      <alignment vertical="center" wrapText="1"/>
    </xf>
    <xf numFmtId="0" fontId="33" fillId="4" borderId="14" xfId="1" applyFont="1" applyFill="1" applyBorder="1" applyAlignment="1">
      <alignment vertical="center" wrapText="1"/>
    </xf>
    <xf numFmtId="0" fontId="33" fillId="4" borderId="1" xfId="1" applyFont="1" applyFill="1" applyBorder="1" applyAlignment="1">
      <alignment vertical="center" wrapText="1"/>
    </xf>
    <xf numFmtId="0" fontId="33" fillId="0" borderId="12" xfId="1" applyFont="1" applyBorder="1" applyAlignment="1">
      <alignment vertical="center"/>
    </xf>
    <xf numFmtId="0" fontId="33" fillId="0" borderId="12" xfId="1" applyFont="1" applyFill="1" applyBorder="1" applyAlignment="1">
      <alignment vertical="center" wrapText="1"/>
    </xf>
    <xf numFmtId="0" fontId="28" fillId="0" borderId="1" xfId="1" applyFont="1" applyFill="1" applyBorder="1" applyAlignment="1">
      <alignment horizontal="center"/>
    </xf>
    <xf numFmtId="165" fontId="28" fillId="3" borderId="1" xfId="1" applyNumberFormat="1" applyFont="1" applyFill="1" applyBorder="1" applyAlignment="1">
      <alignment horizontal="center" vertical="center"/>
    </xf>
    <xf numFmtId="0" fontId="33" fillId="0" borderId="27" xfId="1" applyFont="1" applyBorder="1" applyAlignment="1">
      <alignment vertical="center" wrapText="1"/>
    </xf>
    <xf numFmtId="0" fontId="32" fillId="4" borderId="27" xfId="1" applyFont="1" applyFill="1" applyBorder="1" applyAlignment="1">
      <alignment horizontal="left" vertical="center" wrapText="1"/>
    </xf>
    <xf numFmtId="0" fontId="32" fillId="0" borderId="27" xfId="1" applyFont="1" applyFill="1" applyBorder="1" applyAlignment="1">
      <alignment horizontal="left" vertical="center" wrapText="1"/>
    </xf>
    <xf numFmtId="0" fontId="33" fillId="2" borderId="27" xfId="1" applyFont="1" applyFill="1" applyBorder="1" applyAlignment="1">
      <alignment vertical="center" wrapText="1"/>
    </xf>
    <xf numFmtId="0" fontId="33" fillId="3" borderId="27" xfId="1" applyFont="1" applyFill="1" applyBorder="1" applyAlignment="1">
      <alignment vertical="center" wrapText="1"/>
    </xf>
    <xf numFmtId="0" fontId="33" fillId="2" borderId="1" xfId="1" applyFont="1" applyFill="1" applyBorder="1" applyAlignment="1">
      <alignment vertical="center" wrapText="1"/>
    </xf>
    <xf numFmtId="0" fontId="31" fillId="8" borderId="1" xfId="1" applyFont="1" applyFill="1" applyBorder="1" applyAlignment="1">
      <alignment horizontal="center" vertical="center"/>
    </xf>
    <xf numFmtId="0" fontId="54" fillId="4" borderId="1" xfId="1" applyFill="1" applyBorder="1" applyAlignment="1">
      <alignment horizontal="center" vertical="center"/>
    </xf>
    <xf numFmtId="0" fontId="54" fillId="0" borderId="1" xfId="1" applyBorder="1" applyAlignment="1">
      <alignment horizontal="center" vertical="center"/>
    </xf>
    <xf numFmtId="0" fontId="28" fillId="4" borderId="8" xfId="1" applyFont="1" applyFill="1" applyBorder="1" applyAlignment="1">
      <alignment horizontal="center" vertical="center"/>
    </xf>
    <xf numFmtId="0" fontId="33" fillId="0" borderId="1" xfId="1" applyFont="1" applyBorder="1" applyAlignment="1">
      <alignment horizontal="left" vertical="center"/>
    </xf>
    <xf numFmtId="0" fontId="27" fillId="0" borderId="1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FFFF"/>
      <color rgb="FFFFFFCC"/>
      <color rgb="FF008000"/>
      <color rgb="FF0000FF"/>
      <color rgb="FFFF00FF"/>
      <color rgb="FFCCFF33"/>
      <color rgb="FFFFFF99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G47"/>
  <sheetViews>
    <sheetView showGridLines="0" showZeros="0" zoomScale="60" zoomScaleNormal="60" workbookViewId="0">
      <pane ySplit="5" topLeftCell="A6" activePane="bottomLeft" state="frozen"/>
      <selection activeCell="A7" sqref="A7:IV7"/>
      <selection pane="bottomLeft" activeCell="Q13" sqref="Q13"/>
    </sheetView>
  </sheetViews>
  <sheetFormatPr baseColWidth="10" defaultRowHeight="21"/>
  <cols>
    <col min="1" max="1" width="0.85546875" style="54" customWidth="1"/>
    <col min="2" max="2" width="23.85546875" style="54" customWidth="1"/>
    <col min="3" max="3" width="0.7109375" style="54" customWidth="1"/>
    <col min="4" max="4" width="5.7109375" style="54" customWidth="1"/>
    <col min="5" max="5" width="5.85546875" style="54" customWidth="1"/>
    <col min="6" max="6" width="6" style="54" customWidth="1"/>
    <col min="7" max="7" width="5.7109375" style="54" customWidth="1"/>
    <col min="8" max="8" width="5.42578125" style="54" customWidth="1"/>
    <col min="9" max="9" width="0.28515625" style="54" customWidth="1"/>
    <col min="10" max="11" width="3.42578125" style="54" customWidth="1"/>
    <col min="12" max="12" width="6.42578125" style="61" customWidth="1"/>
    <col min="13" max="13" width="1.42578125" style="54" customWidth="1"/>
    <col min="14" max="14" width="19" style="54" customWidth="1"/>
    <col min="15" max="15" width="8.28515625" style="54" customWidth="1"/>
    <col min="16" max="16" width="0.85546875" style="54" customWidth="1"/>
    <col min="17" max="17" width="22.140625" style="54" customWidth="1"/>
    <col min="18" max="18" width="9" style="54" bestFit="1" customWidth="1"/>
    <col min="19" max="19" width="0.85546875" style="54" customWidth="1"/>
    <col min="20" max="20" width="22" style="54" customWidth="1"/>
    <col min="21" max="21" width="8.42578125" style="54" customWidth="1"/>
    <col min="22" max="22" width="0.85546875" style="54" customWidth="1"/>
    <col min="23" max="23" width="22.42578125" style="54" customWidth="1"/>
    <col min="24" max="24" width="8" style="54" customWidth="1"/>
    <col min="25" max="25" width="0.85546875" style="54" customWidth="1"/>
    <col min="26" max="26" width="20.42578125" style="54" customWidth="1"/>
    <col min="27" max="27" width="9" style="54" bestFit="1" customWidth="1"/>
    <col min="28" max="28" width="0.85546875" style="54" customWidth="1"/>
    <col min="29" max="29" width="25" style="54" customWidth="1"/>
    <col min="30" max="30" width="9.28515625" style="54" customWidth="1"/>
    <col min="31" max="31" width="0.85546875" style="54" customWidth="1"/>
    <col min="32" max="16384" width="11.42578125" style="54"/>
  </cols>
  <sheetData>
    <row r="1" spans="1:33">
      <c r="D1" s="54" t="s">
        <v>34</v>
      </c>
      <c r="E1" s="54" t="s">
        <v>35</v>
      </c>
      <c r="F1" s="54" t="s">
        <v>0</v>
      </c>
    </row>
    <row r="2" spans="1:33" ht="27" customHeight="1">
      <c r="B2" s="164" t="s">
        <v>12</v>
      </c>
      <c r="C2" s="165"/>
      <c r="D2" s="3">
        <v>53</v>
      </c>
      <c r="E2" s="3">
        <v>18</v>
      </c>
      <c r="F2" s="3">
        <v>54</v>
      </c>
      <c r="G2" s="4"/>
      <c r="J2" s="8"/>
      <c r="K2" s="8"/>
      <c r="L2" s="166"/>
      <c r="N2" s="8"/>
      <c r="O2" s="9"/>
      <c r="Q2" s="7"/>
      <c r="R2" s="8"/>
      <c r="S2" s="8"/>
      <c r="T2" s="8"/>
      <c r="U2" s="8"/>
      <c r="V2" s="8"/>
      <c r="W2" s="8"/>
      <c r="X2" s="8"/>
      <c r="Y2" s="8"/>
      <c r="Z2" s="8"/>
      <c r="AA2" s="9"/>
    </row>
    <row r="3" spans="1:33" ht="27" customHeight="1">
      <c r="B3" s="167" t="s">
        <v>14</v>
      </c>
      <c r="C3" s="9"/>
      <c r="D3" s="10">
        <v>20</v>
      </c>
      <c r="E3" s="10">
        <v>12</v>
      </c>
      <c r="F3" s="10"/>
      <c r="G3" s="4"/>
      <c r="J3" s="8"/>
      <c r="K3" s="8"/>
      <c r="L3" s="166"/>
      <c r="N3" s="8"/>
      <c r="O3" s="9"/>
      <c r="Q3" s="8"/>
      <c r="R3" s="9"/>
      <c r="S3" s="9"/>
      <c r="T3" s="9"/>
      <c r="U3" s="9"/>
      <c r="V3" s="9"/>
      <c r="W3" s="9"/>
      <c r="X3" s="8"/>
      <c r="Y3" s="8"/>
      <c r="Z3" s="8"/>
      <c r="AA3" s="8"/>
      <c r="AC3" s="8"/>
    </row>
    <row r="4" spans="1:33" ht="27" customHeight="1">
      <c r="B4" s="168" t="s">
        <v>16</v>
      </c>
      <c r="C4" s="169"/>
      <c r="D4" s="12">
        <v>54</v>
      </c>
      <c r="E4" s="12">
        <v>19</v>
      </c>
      <c r="F4" s="12">
        <v>46</v>
      </c>
      <c r="G4" s="4"/>
      <c r="J4" s="8"/>
      <c r="K4" s="8"/>
      <c r="L4" s="166"/>
      <c r="N4" s="8"/>
      <c r="O4" s="9"/>
      <c r="Q4" s="8"/>
      <c r="R4" s="9"/>
      <c r="S4" s="9"/>
      <c r="T4" s="9"/>
      <c r="U4" s="9"/>
      <c r="V4" s="9"/>
      <c r="W4" s="9"/>
      <c r="X4" s="8"/>
      <c r="Y4" s="8"/>
      <c r="Z4" s="8"/>
      <c r="AA4" s="8"/>
    </row>
    <row r="5" spans="1:33" ht="17.25" customHeight="1">
      <c r="J5" s="8"/>
      <c r="K5" s="8"/>
      <c r="L5" s="166"/>
      <c r="N5" s="8"/>
      <c r="O5" s="9"/>
      <c r="Q5" s="8"/>
      <c r="R5" s="9"/>
      <c r="S5" s="9"/>
      <c r="T5" s="9"/>
      <c r="U5" s="9"/>
      <c r="V5" s="9"/>
      <c r="W5" s="9"/>
      <c r="Y5" s="8"/>
    </row>
    <row r="6" spans="1:33" ht="33.75" thickBot="1">
      <c r="A6" s="237"/>
      <c r="B6" s="238" t="s">
        <v>37</v>
      </c>
      <c r="C6" s="239"/>
      <c r="D6" s="239"/>
      <c r="E6" s="239"/>
      <c r="F6" s="239"/>
      <c r="G6" s="239"/>
      <c r="H6" s="239"/>
      <c r="I6" s="239"/>
      <c r="J6" s="239"/>
      <c r="K6" s="239"/>
      <c r="L6" s="240"/>
      <c r="M6" s="241"/>
      <c r="N6" s="239"/>
      <c r="O6" s="239"/>
      <c r="P6" s="239"/>
      <c r="Q6" s="239"/>
      <c r="R6" s="239"/>
      <c r="S6" s="239"/>
      <c r="T6" s="239"/>
      <c r="U6" s="239"/>
      <c r="V6" s="239"/>
      <c r="W6" s="239"/>
      <c r="X6" s="239"/>
      <c r="Y6" s="239"/>
      <c r="Z6" s="239"/>
      <c r="AA6" s="239"/>
      <c r="AB6" s="239"/>
      <c r="AC6" s="239"/>
      <c r="AD6" s="239"/>
      <c r="AE6" s="242"/>
    </row>
    <row r="7" spans="1:33" ht="21.75" thickBot="1">
      <c r="A7" s="311"/>
      <c r="B7" s="8" t="s">
        <v>8</v>
      </c>
      <c r="C7" s="8"/>
      <c r="D7" s="8"/>
      <c r="E7" s="8"/>
      <c r="F7" s="8"/>
      <c r="G7" s="8"/>
      <c r="H7" s="8"/>
      <c r="I7" s="8"/>
      <c r="J7" s="8"/>
      <c r="K7" s="8"/>
      <c r="L7" s="37"/>
      <c r="M7" s="170"/>
      <c r="N7" s="480" t="s">
        <v>2</v>
      </c>
      <c r="O7" s="481"/>
      <c r="P7" s="171"/>
      <c r="Q7" s="480" t="s">
        <v>3</v>
      </c>
      <c r="R7" s="481"/>
      <c r="S7" s="171"/>
      <c r="T7" s="480" t="s">
        <v>4</v>
      </c>
      <c r="U7" s="481"/>
      <c r="V7" s="171"/>
      <c r="W7" s="480" t="s">
        <v>5</v>
      </c>
      <c r="X7" s="481"/>
      <c r="Y7" s="171"/>
      <c r="Z7" s="480" t="s">
        <v>6</v>
      </c>
      <c r="AA7" s="481"/>
      <c r="AB7" s="171"/>
      <c r="AC7" s="480" t="s">
        <v>7</v>
      </c>
      <c r="AD7" s="481"/>
      <c r="AE7" s="243"/>
    </row>
    <row r="8" spans="1:33" ht="27">
      <c r="A8" s="311"/>
      <c r="B8" s="172">
        <v>43556</v>
      </c>
      <c r="C8" s="8"/>
      <c r="D8" s="88" t="s">
        <v>9</v>
      </c>
      <c r="E8" s="88" t="s">
        <v>41</v>
      </c>
      <c r="F8" s="88" t="s">
        <v>34</v>
      </c>
      <c r="G8" s="88" t="s">
        <v>35</v>
      </c>
      <c r="H8" s="88" t="s">
        <v>0</v>
      </c>
      <c r="I8" s="8"/>
      <c r="J8" s="8"/>
      <c r="K8" s="8"/>
      <c r="L8" s="37"/>
      <c r="M8" s="170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243"/>
    </row>
    <row r="9" spans="1:33" ht="34.5" customHeight="1">
      <c r="A9" s="311"/>
      <c r="B9" s="173" t="s">
        <v>12</v>
      </c>
      <c r="C9" s="30"/>
      <c r="D9" s="30"/>
      <c r="E9" s="30"/>
      <c r="F9" s="30"/>
      <c r="G9" s="30"/>
      <c r="H9" s="30"/>
      <c r="I9" s="30"/>
      <c r="J9" s="30"/>
      <c r="K9" s="30"/>
      <c r="L9" s="174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8"/>
      <c r="AA9" s="8"/>
      <c r="AB9" s="30"/>
      <c r="AC9" s="8"/>
      <c r="AD9" s="8"/>
      <c r="AE9" s="243"/>
      <c r="AG9" s="386"/>
    </row>
    <row r="10" spans="1:33" s="33" customFormat="1" ht="35.1" customHeight="1">
      <c r="A10" s="138"/>
      <c r="B10" s="178" t="s">
        <v>185</v>
      </c>
      <c r="C10" s="36"/>
      <c r="D10" s="40">
        <v>220</v>
      </c>
      <c r="E10" s="40">
        <v>25</v>
      </c>
      <c r="F10" s="445">
        <f>D2</f>
        <v>53</v>
      </c>
      <c r="G10" s="445">
        <f>E2</f>
        <v>18</v>
      </c>
      <c r="H10" s="377"/>
      <c r="I10" s="36"/>
      <c r="J10" s="36"/>
      <c r="K10" s="36"/>
      <c r="L10" s="40">
        <f>SUM(D10:K10)</f>
        <v>316</v>
      </c>
      <c r="M10" s="36"/>
      <c r="N10" s="118"/>
      <c r="O10" s="118"/>
      <c r="P10" s="36"/>
      <c r="Q10" s="118"/>
      <c r="R10" s="137"/>
      <c r="S10" s="36"/>
      <c r="T10" s="155"/>
      <c r="U10" s="403"/>
      <c r="V10" s="36"/>
      <c r="Y10" s="118"/>
      <c r="Z10" s="162" t="s">
        <v>171</v>
      </c>
      <c r="AA10" s="443">
        <f>L10*0.06</f>
        <v>18.96</v>
      </c>
      <c r="AB10" s="118"/>
      <c r="AC10" s="162" t="s">
        <v>78</v>
      </c>
      <c r="AD10" s="163">
        <f>L10*0.01</f>
        <v>3.16</v>
      </c>
      <c r="AE10" s="150"/>
      <c r="AF10" s="210"/>
      <c r="AG10" s="441"/>
    </row>
    <row r="11" spans="1:33" s="297" customFormat="1" ht="35.1" customHeight="1">
      <c r="A11" s="385"/>
      <c r="C11" s="385"/>
      <c r="D11" s="385"/>
      <c r="E11" s="385"/>
      <c r="F11" s="235"/>
      <c r="G11" s="235"/>
      <c r="H11" s="362"/>
      <c r="I11" s="385"/>
      <c r="J11" s="385"/>
      <c r="K11" s="385"/>
      <c r="L11" s="385"/>
      <c r="M11" s="385"/>
      <c r="N11" s="260"/>
      <c r="O11" s="260"/>
      <c r="P11" s="385"/>
      <c r="Q11" s="260"/>
      <c r="R11" s="261"/>
      <c r="S11" s="385"/>
      <c r="T11" s="385"/>
      <c r="U11" s="385"/>
      <c r="V11" s="385"/>
      <c r="W11" s="388"/>
      <c r="X11" s="309"/>
      <c r="Y11" s="260"/>
      <c r="Z11" s="259" t="s">
        <v>69</v>
      </c>
      <c r="AA11" s="263">
        <f>L10*0.03</f>
        <v>9.48</v>
      </c>
      <c r="AB11" s="260"/>
      <c r="AC11" s="221" t="s">
        <v>184</v>
      </c>
      <c r="AD11" s="225">
        <f>L10*0.005/2</f>
        <v>0.79</v>
      </c>
      <c r="AE11" s="310"/>
      <c r="AF11" s="247"/>
      <c r="AG11" s="386"/>
    </row>
    <row r="12" spans="1:33" s="297" customFormat="1" ht="35.1" customHeight="1">
      <c r="A12" s="247"/>
      <c r="B12" s="385"/>
      <c r="C12" s="385"/>
      <c r="D12" s="385"/>
      <c r="E12" s="385"/>
      <c r="F12" s="235"/>
      <c r="G12" s="235"/>
      <c r="H12" s="362"/>
      <c r="I12" s="385"/>
      <c r="J12" s="385"/>
      <c r="K12" s="385"/>
      <c r="L12" s="385"/>
      <c r="M12" s="385"/>
      <c r="N12" s="260"/>
      <c r="O12" s="260"/>
      <c r="P12" s="385"/>
      <c r="Q12" s="260"/>
      <c r="R12" s="261"/>
      <c r="S12" s="385"/>
      <c r="T12" s="385"/>
      <c r="U12" s="385"/>
      <c r="V12" s="385"/>
      <c r="W12" s="439"/>
      <c r="X12" s="309"/>
      <c r="Y12" s="260"/>
      <c r="Z12" s="259" t="s">
        <v>183</v>
      </c>
      <c r="AA12" s="263">
        <f>L10*0.015</f>
        <v>4.74</v>
      </c>
      <c r="AB12" s="260"/>
      <c r="AC12" s="385"/>
      <c r="AD12" s="310"/>
      <c r="AE12" s="444"/>
      <c r="AF12" s="385"/>
      <c r="AG12" s="441"/>
    </row>
    <row r="13" spans="1:33" s="297" customFormat="1" ht="35.1" customHeight="1">
      <c r="A13" s="247"/>
      <c r="B13" s="385"/>
      <c r="C13" s="385"/>
      <c r="D13" s="385"/>
      <c r="E13" s="385"/>
      <c r="F13" s="235"/>
      <c r="G13" s="235"/>
      <c r="H13" s="362"/>
      <c r="I13" s="385"/>
      <c r="J13" s="385"/>
      <c r="K13" s="385"/>
      <c r="L13" s="385"/>
      <c r="M13" s="385"/>
      <c r="N13" s="260"/>
      <c r="O13" s="260"/>
      <c r="P13" s="385"/>
      <c r="Q13" s="260"/>
      <c r="R13" s="261"/>
      <c r="S13" s="385"/>
      <c r="T13" s="385"/>
      <c r="U13" s="385"/>
      <c r="V13" s="385"/>
      <c r="W13" s="439"/>
      <c r="X13" s="309"/>
      <c r="Y13" s="260"/>
      <c r="Z13" s="259" t="s">
        <v>139</v>
      </c>
      <c r="AA13" s="263">
        <f>L10*0.015</f>
        <v>4.74</v>
      </c>
      <c r="AB13" s="260"/>
      <c r="AC13" s="385"/>
      <c r="AD13" s="310"/>
      <c r="AE13" s="444"/>
      <c r="AF13" s="385"/>
      <c r="AG13" s="441"/>
    </row>
    <row r="14" spans="1:33" s="290" customFormat="1" ht="35.1" customHeight="1">
      <c r="A14" s="313"/>
      <c r="B14" s="363" t="s">
        <v>12</v>
      </c>
      <c r="C14" s="303"/>
      <c r="D14" s="304"/>
      <c r="E14" s="304"/>
      <c r="F14" s="304"/>
      <c r="G14" s="304"/>
      <c r="H14" s="223"/>
      <c r="I14" s="304"/>
      <c r="J14" s="304"/>
      <c r="K14" s="304"/>
      <c r="L14" s="306"/>
      <c r="M14" s="303"/>
      <c r="N14" s="303"/>
      <c r="O14" s="303"/>
      <c r="P14" s="303"/>
      <c r="Q14" s="303"/>
      <c r="R14" s="303"/>
      <c r="S14" s="301"/>
      <c r="T14" s="301"/>
      <c r="U14" s="301"/>
      <c r="V14" s="301"/>
      <c r="W14" s="301"/>
      <c r="X14" s="301"/>
      <c r="Y14" s="301"/>
      <c r="Z14" s="301"/>
      <c r="AA14" s="301"/>
      <c r="AB14" s="301"/>
      <c r="AC14" s="482"/>
      <c r="AD14" s="482"/>
      <c r="AE14" s="314"/>
      <c r="AG14" s="386"/>
    </row>
    <row r="15" spans="1:33" s="297" customFormat="1" ht="35.1" customHeight="1">
      <c r="A15" s="247"/>
      <c r="B15" s="222" t="s">
        <v>117</v>
      </c>
      <c r="C15" s="223"/>
      <c r="D15" s="221">
        <v>220</v>
      </c>
      <c r="E15" s="221"/>
      <c r="F15" s="319">
        <f>D2</f>
        <v>53</v>
      </c>
      <c r="G15" s="319">
        <f>E2</f>
        <v>18</v>
      </c>
      <c r="H15" s="319">
        <f>F2</f>
        <v>54</v>
      </c>
      <c r="I15" s="223"/>
      <c r="J15" s="223"/>
      <c r="K15" s="223"/>
      <c r="L15" s="221">
        <f>SUM(D15:K15)</f>
        <v>345</v>
      </c>
      <c r="M15" s="223"/>
      <c r="N15" s="361"/>
      <c r="O15" s="223"/>
      <c r="P15" s="223"/>
      <c r="Q15" s="221" t="str">
        <f>B15</f>
        <v>Edam</v>
      </c>
      <c r="R15" s="221">
        <f>L15</f>
        <v>345</v>
      </c>
      <c r="S15" s="247"/>
      <c r="T15" s="381"/>
      <c r="U15" s="381"/>
      <c r="V15" s="381"/>
      <c r="W15" s="381"/>
      <c r="X15" s="309"/>
      <c r="Y15" s="381"/>
      <c r="Z15" s="381"/>
      <c r="AA15" s="381"/>
      <c r="AB15" s="381"/>
      <c r="AC15" s="381"/>
      <c r="AD15" s="310"/>
      <c r="AE15" s="248"/>
      <c r="AG15" s="386"/>
    </row>
    <row r="16" spans="1:33" s="290" customFormat="1" ht="35.1" customHeight="1">
      <c r="A16" s="313"/>
      <c r="B16" s="364" t="s">
        <v>14</v>
      </c>
      <c r="C16" s="303"/>
      <c r="D16" s="304"/>
      <c r="E16" s="304"/>
      <c r="F16" s="304"/>
      <c r="G16" s="304"/>
      <c r="H16" s="256"/>
      <c r="I16" s="256"/>
      <c r="J16" s="257"/>
      <c r="K16" s="257"/>
      <c r="L16" s="306"/>
      <c r="M16" s="303"/>
      <c r="N16" s="303"/>
      <c r="O16" s="303"/>
      <c r="P16" s="303"/>
      <c r="Q16" s="303"/>
      <c r="R16" s="303"/>
      <c r="S16" s="303"/>
      <c r="T16" s="303"/>
      <c r="U16" s="303"/>
      <c r="V16" s="303"/>
      <c r="W16" s="303"/>
      <c r="X16" s="303"/>
      <c r="Y16" s="303"/>
      <c r="Z16" s="303"/>
      <c r="AA16" s="303"/>
      <c r="AB16" s="303"/>
      <c r="AC16" s="303"/>
      <c r="AD16" s="301"/>
      <c r="AE16" s="314"/>
      <c r="AG16" s="386"/>
    </row>
    <row r="17" spans="1:33" s="33" customFormat="1" ht="35.1" customHeight="1">
      <c r="A17" s="210"/>
      <c r="B17" s="162" t="s">
        <v>186</v>
      </c>
      <c r="C17" s="139"/>
      <c r="D17" s="28">
        <v>200</v>
      </c>
      <c r="E17" s="28">
        <v>40</v>
      </c>
      <c r="F17" s="307">
        <f>D4</f>
        <v>54</v>
      </c>
      <c r="G17" s="307">
        <f>E4</f>
        <v>19</v>
      </c>
      <c r="H17" s="319">
        <v>38</v>
      </c>
      <c r="I17" s="36"/>
      <c r="J17" s="36"/>
      <c r="K17" s="36"/>
      <c r="L17" s="40">
        <f>SUM(D17:K17)</f>
        <v>351</v>
      </c>
      <c r="M17" s="36"/>
      <c r="N17" s="28" t="s">
        <v>187</v>
      </c>
      <c r="O17" s="28">
        <f>L17*3</f>
        <v>1053</v>
      </c>
      <c r="P17" s="36"/>
      <c r="Q17" s="155"/>
      <c r="R17" s="403"/>
      <c r="S17" s="155"/>
      <c r="T17" s="204"/>
      <c r="U17" s="181"/>
      <c r="V17" s="36"/>
      <c r="W17" s="36"/>
      <c r="X17" s="179"/>
      <c r="Y17" s="36"/>
      <c r="Z17" s="36"/>
      <c r="AA17" s="36"/>
      <c r="AB17" s="36"/>
      <c r="AC17" s="178" t="s">
        <v>188</v>
      </c>
      <c r="AD17" s="163">
        <v>2</v>
      </c>
      <c r="AE17" s="244"/>
      <c r="AF17" s="247"/>
      <c r="AG17" s="386"/>
    </row>
    <row r="18" spans="1:33" s="382" customFormat="1" ht="35.1" customHeight="1">
      <c r="A18" s="384"/>
      <c r="B18" s="175" t="s">
        <v>14</v>
      </c>
      <c r="C18" s="30"/>
      <c r="D18" s="31"/>
      <c r="E18" s="31"/>
      <c r="F18" s="31"/>
      <c r="G18" s="31"/>
      <c r="H18" s="479"/>
      <c r="I18" s="479"/>
      <c r="J18" s="31"/>
      <c r="K18" s="31"/>
      <c r="L18" s="34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243"/>
      <c r="AF18" s="247"/>
    </row>
    <row r="19" spans="1:33" s="33" customFormat="1" ht="43.5" customHeight="1">
      <c r="A19" s="210"/>
      <c r="B19" s="178" t="s">
        <v>269</v>
      </c>
      <c r="C19" s="36"/>
      <c r="D19" s="28">
        <v>240</v>
      </c>
      <c r="E19" s="40"/>
      <c r="F19" s="365">
        <f>D3</f>
        <v>20</v>
      </c>
      <c r="G19" s="365">
        <f>E3</f>
        <v>12</v>
      </c>
      <c r="H19" s="377">
        <f>F2</f>
        <v>54</v>
      </c>
      <c r="I19" s="36"/>
      <c r="J19" s="36"/>
      <c r="K19" s="36"/>
      <c r="L19" s="40">
        <f>SUM(D19:K19)</f>
        <v>326</v>
      </c>
      <c r="M19" s="36"/>
      <c r="N19" s="36"/>
      <c r="O19" s="36"/>
      <c r="P19" s="36"/>
      <c r="Q19" s="36"/>
      <c r="R19" s="179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178" t="str">
        <f>B19</f>
        <v>coupelle purée pommes coings</v>
      </c>
      <c r="AD19" s="28">
        <f>L19</f>
        <v>326</v>
      </c>
      <c r="AE19" s="244"/>
      <c r="AF19" s="247"/>
    </row>
    <row r="20" spans="1:33" s="1" customFormat="1" ht="35.1" customHeight="1">
      <c r="A20" s="245"/>
      <c r="B20" s="42" t="s">
        <v>16</v>
      </c>
      <c r="C20" s="26"/>
      <c r="D20" s="30"/>
      <c r="E20" s="30"/>
      <c r="F20" s="26"/>
      <c r="G20" s="26"/>
      <c r="H20" s="484"/>
      <c r="I20" s="479"/>
      <c r="J20" s="26"/>
      <c r="K20" s="26"/>
      <c r="L20" s="34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5"/>
      <c r="Z20" s="5"/>
      <c r="AA20" s="5"/>
      <c r="AB20" s="8"/>
      <c r="AC20" s="8"/>
      <c r="AD20" s="8"/>
      <c r="AE20" s="246"/>
      <c r="AF20" s="247"/>
    </row>
    <row r="21" spans="1:33" s="33" customFormat="1" ht="35.1" customHeight="1">
      <c r="A21" s="210"/>
      <c r="B21" s="162" t="s">
        <v>115</v>
      </c>
      <c r="C21" s="139"/>
      <c r="D21" s="28">
        <v>220</v>
      </c>
      <c r="E21" s="28">
        <v>10</v>
      </c>
      <c r="F21" s="446">
        <f>D4</f>
        <v>54</v>
      </c>
      <c r="G21" s="446">
        <f>E4</f>
        <v>19</v>
      </c>
      <c r="H21" s="307">
        <f>F4</f>
        <v>46</v>
      </c>
      <c r="I21" s="36"/>
      <c r="J21" s="36"/>
      <c r="K21" s="36"/>
      <c r="L21" s="40">
        <f>SUM(D21:K21)</f>
        <v>349</v>
      </c>
      <c r="M21" s="36"/>
      <c r="N21" s="36"/>
      <c r="O21" s="36"/>
      <c r="P21" s="36"/>
      <c r="Q21" s="28" t="s">
        <v>97</v>
      </c>
      <c r="R21" s="335">
        <f>L21</f>
        <v>349</v>
      </c>
      <c r="S21" s="36"/>
      <c r="T21" s="342"/>
      <c r="U21" s="179"/>
      <c r="V21" s="36"/>
      <c r="W21" s="40" t="s">
        <v>98</v>
      </c>
      <c r="X21" s="134">
        <f>L21*0.085</f>
        <v>29.665000000000003</v>
      </c>
      <c r="Y21" s="36"/>
      <c r="Z21" s="36"/>
      <c r="AA21" s="36"/>
      <c r="AB21" s="36"/>
      <c r="AC21" s="342"/>
      <c r="AD21" s="150"/>
      <c r="AE21" s="244"/>
      <c r="AF21" s="247"/>
    </row>
    <row r="22" spans="1:33" s="387" customFormat="1" ht="35.1" customHeight="1">
      <c r="A22" s="245"/>
      <c r="B22" s="42" t="s">
        <v>16</v>
      </c>
      <c r="C22" s="26"/>
      <c r="D22" s="32"/>
      <c r="E22" s="29"/>
      <c r="F22" s="385"/>
      <c r="G22" s="29"/>
      <c r="H22" s="93"/>
      <c r="I22" s="32"/>
      <c r="J22" s="32"/>
      <c r="K22" s="32"/>
      <c r="L22" s="27"/>
      <c r="M22" s="26"/>
      <c r="N22" s="26"/>
      <c r="O22" s="26"/>
      <c r="P22" s="26"/>
      <c r="Q22" s="26"/>
      <c r="R22" s="26"/>
      <c r="S22" s="5"/>
      <c r="T22" s="5"/>
      <c r="U22" s="5"/>
      <c r="V22" s="5"/>
      <c r="W22" s="5"/>
      <c r="X22" s="5"/>
      <c r="Y22" s="5"/>
      <c r="Z22" s="5"/>
      <c r="AA22" s="5"/>
      <c r="AB22" s="8"/>
      <c r="AC22" s="8"/>
      <c r="AD22" s="8"/>
      <c r="AE22" s="246"/>
    </row>
    <row r="23" spans="1:33" s="33" customFormat="1" ht="40.5" customHeight="1">
      <c r="A23" s="210"/>
      <c r="B23" s="162" t="s">
        <v>189</v>
      </c>
      <c r="C23" s="28"/>
      <c r="D23" s="28">
        <v>220</v>
      </c>
      <c r="E23" s="28"/>
      <c r="F23" s="307">
        <f>D4</f>
        <v>54</v>
      </c>
      <c r="G23" s="307">
        <f>E4</f>
        <v>19</v>
      </c>
      <c r="H23" s="307">
        <f>F4</f>
        <v>46</v>
      </c>
      <c r="I23" s="36"/>
      <c r="J23" s="36"/>
      <c r="K23" s="36"/>
      <c r="L23" s="40">
        <f>SUM(D23:K23)</f>
        <v>339</v>
      </c>
      <c r="M23" s="182"/>
      <c r="N23" s="342"/>
      <c r="O23" s="179"/>
      <c r="P23" s="36"/>
      <c r="Q23" s="162" t="str">
        <f>B23</f>
        <v>crème dessert vanille</v>
      </c>
      <c r="R23" s="335">
        <f>L23</f>
        <v>339</v>
      </c>
      <c r="S23" s="210"/>
      <c r="T23" s="36"/>
      <c r="U23" s="179"/>
      <c r="V23" s="36"/>
      <c r="W23" s="36"/>
      <c r="X23" s="36"/>
      <c r="Y23" s="36"/>
      <c r="Z23" s="36"/>
      <c r="AA23" s="36"/>
      <c r="AB23" s="36"/>
      <c r="AC23" s="36"/>
      <c r="AD23" s="150"/>
      <c r="AE23" s="244"/>
      <c r="AF23" s="36"/>
    </row>
    <row r="24" spans="1:33" ht="35.1" customHeight="1">
      <c r="A24" s="249"/>
      <c r="B24" s="250"/>
      <c r="C24" s="30"/>
      <c r="D24" s="30"/>
      <c r="E24" s="30"/>
      <c r="F24" s="30"/>
      <c r="G24" s="30"/>
      <c r="H24" s="30"/>
      <c r="I24" s="30"/>
      <c r="J24" s="30"/>
      <c r="K24" s="30"/>
      <c r="L24" s="34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15"/>
    </row>
    <row r="25" spans="1:33" ht="33.75" thickBot="1">
      <c r="A25" s="311"/>
      <c r="B25" s="236" t="s">
        <v>37</v>
      </c>
      <c r="C25" s="8"/>
      <c r="D25" s="8"/>
      <c r="E25" s="8"/>
      <c r="F25" s="8"/>
      <c r="G25" s="8"/>
      <c r="H25" s="8"/>
      <c r="I25" s="8"/>
      <c r="J25" s="8"/>
      <c r="K25" s="8"/>
      <c r="L25" s="37"/>
      <c r="M25" s="170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243"/>
    </row>
    <row r="26" spans="1:33" ht="21.75" thickBot="1">
      <c r="A26" s="311"/>
      <c r="B26" s="8" t="s">
        <v>8</v>
      </c>
      <c r="C26" s="8"/>
      <c r="D26" s="8"/>
      <c r="E26" s="8"/>
      <c r="F26" s="8"/>
      <c r="G26" s="8"/>
      <c r="H26" s="8"/>
      <c r="I26" s="8"/>
      <c r="J26" s="8"/>
      <c r="K26" s="8"/>
      <c r="L26" s="37"/>
      <c r="M26" s="170"/>
      <c r="N26" s="480" t="s">
        <v>2</v>
      </c>
      <c r="O26" s="481"/>
      <c r="P26" s="171"/>
      <c r="Q26" s="480" t="s">
        <v>3</v>
      </c>
      <c r="R26" s="481"/>
      <c r="S26" s="171"/>
      <c r="T26" s="480" t="s">
        <v>4</v>
      </c>
      <c r="U26" s="481"/>
      <c r="V26" s="171"/>
      <c r="W26" s="480" t="s">
        <v>5</v>
      </c>
      <c r="X26" s="481"/>
      <c r="Y26" s="171"/>
      <c r="Z26" s="480" t="s">
        <v>6</v>
      </c>
      <c r="AA26" s="481"/>
      <c r="AB26" s="171"/>
      <c r="AC26" s="480" t="s">
        <v>7</v>
      </c>
      <c r="AD26" s="481"/>
      <c r="AE26" s="243"/>
    </row>
    <row r="27" spans="1:33">
      <c r="A27" s="311"/>
      <c r="B27" s="177">
        <f>B8</f>
        <v>43556</v>
      </c>
      <c r="C27" s="8"/>
      <c r="D27" s="88" t="s">
        <v>9</v>
      </c>
      <c r="E27" s="88" t="s">
        <v>41</v>
      </c>
      <c r="F27" s="88" t="s">
        <v>34</v>
      </c>
      <c r="G27" s="88" t="s">
        <v>35</v>
      </c>
      <c r="H27" s="88" t="s">
        <v>0</v>
      </c>
      <c r="I27" s="8"/>
      <c r="J27" s="8"/>
      <c r="K27" s="8"/>
      <c r="L27" s="37"/>
      <c r="M27" s="170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243"/>
    </row>
    <row r="28" spans="1:33" ht="35.1" customHeight="1">
      <c r="A28" s="311"/>
      <c r="B28" s="173" t="s">
        <v>12</v>
      </c>
      <c r="C28" s="8"/>
      <c r="D28" s="4"/>
      <c r="E28" s="4"/>
      <c r="F28" s="4"/>
      <c r="G28" s="4"/>
      <c r="H28" s="479"/>
      <c r="I28" s="479"/>
      <c r="J28" s="30"/>
      <c r="K28" s="30"/>
      <c r="L28" s="174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8"/>
      <c r="AE28" s="243"/>
    </row>
    <row r="29" spans="1:33" s="33" customFormat="1" ht="35.1" customHeight="1">
      <c r="A29" s="210"/>
      <c r="B29" s="162" t="s">
        <v>190</v>
      </c>
      <c r="C29" s="28"/>
      <c r="D29" s="28">
        <v>200</v>
      </c>
      <c r="E29" s="28">
        <v>80</v>
      </c>
      <c r="F29" s="128">
        <f>+D2</f>
        <v>53</v>
      </c>
      <c r="G29" s="128">
        <f>E2</f>
        <v>18</v>
      </c>
      <c r="H29" s="128"/>
      <c r="I29" s="36"/>
      <c r="J29" s="36"/>
      <c r="K29" s="36"/>
      <c r="L29" s="40">
        <f>SUM(D29:K29)</f>
        <v>351</v>
      </c>
      <c r="M29" s="36"/>
      <c r="N29" s="40" t="s">
        <v>103</v>
      </c>
      <c r="O29" s="335">
        <f>L29</f>
        <v>351</v>
      </c>
      <c r="P29" s="118"/>
      <c r="Q29" s="36"/>
      <c r="R29" s="36"/>
      <c r="S29" s="118"/>
      <c r="T29" s="155"/>
      <c r="U29" s="161"/>
      <c r="V29" s="36"/>
      <c r="W29" s="36"/>
      <c r="X29" s="36"/>
      <c r="Y29" s="36"/>
      <c r="Z29" s="36"/>
      <c r="AA29" s="36"/>
      <c r="AB29" s="36"/>
      <c r="AC29" s="40" t="s">
        <v>89</v>
      </c>
      <c r="AD29" s="163">
        <f>L29*0.005</f>
        <v>1.7550000000000001</v>
      </c>
      <c r="AE29" s="244"/>
      <c r="AF29" s="36"/>
    </row>
    <row r="30" spans="1:33" ht="35.1" customHeight="1">
      <c r="A30" s="311"/>
      <c r="B30" s="173" t="s">
        <v>12</v>
      </c>
      <c r="C30" s="8"/>
      <c r="D30" s="8"/>
      <c r="E30" s="8"/>
      <c r="F30" s="8"/>
      <c r="G30" s="8"/>
      <c r="H30" s="479"/>
      <c r="I30" s="479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4"/>
      <c r="U30" s="30"/>
      <c r="V30" s="30"/>
      <c r="W30" s="30"/>
      <c r="X30" s="30"/>
      <c r="Y30" s="30"/>
      <c r="Z30" s="30"/>
      <c r="AA30" s="30"/>
      <c r="AB30" s="30"/>
      <c r="AC30" s="8"/>
      <c r="AD30" s="8"/>
      <c r="AE30" s="243"/>
    </row>
    <row r="31" spans="1:33" s="391" customFormat="1" ht="35.1" customHeight="1">
      <c r="B31" s="162" t="s">
        <v>191</v>
      </c>
      <c r="C31" s="390"/>
      <c r="D31" s="28">
        <v>240</v>
      </c>
      <c r="E31" s="28">
        <v>60</v>
      </c>
      <c r="F31" s="128">
        <f>D2</f>
        <v>53</v>
      </c>
      <c r="G31" s="128">
        <f>E2</f>
        <v>18</v>
      </c>
      <c r="H31" s="128">
        <f>F2/2</f>
        <v>27</v>
      </c>
      <c r="I31" s="393"/>
      <c r="J31" s="393"/>
      <c r="K31" s="393"/>
      <c r="L31" s="394">
        <f>SUM(D31:K31)</f>
        <v>398</v>
      </c>
      <c r="Q31" s="28" t="s">
        <v>85</v>
      </c>
      <c r="R31" s="163">
        <f>L31*0.002</f>
        <v>0.79600000000000004</v>
      </c>
      <c r="T31" s="204"/>
      <c r="U31" s="161"/>
      <c r="AC31" s="395" t="s">
        <v>192</v>
      </c>
      <c r="AD31" s="396">
        <f>L31*0.07</f>
        <v>27.860000000000003</v>
      </c>
      <c r="AE31" s="397"/>
    </row>
    <row r="32" spans="1:33" s="391" customFormat="1" ht="35.1" customHeight="1">
      <c r="B32" s="398" t="s">
        <v>14</v>
      </c>
      <c r="D32" s="392"/>
      <c r="E32" s="392"/>
      <c r="F32" s="392"/>
      <c r="G32" s="392"/>
      <c r="H32" s="392"/>
      <c r="I32" s="392"/>
      <c r="J32" s="392"/>
      <c r="K32" s="392"/>
      <c r="L32" s="392"/>
      <c r="M32" s="392"/>
      <c r="N32" s="392"/>
      <c r="O32" s="392"/>
      <c r="P32" s="393"/>
      <c r="Q32" s="393"/>
      <c r="R32" s="393"/>
      <c r="S32" s="393"/>
      <c r="T32" s="393"/>
      <c r="U32" s="393"/>
      <c r="V32" s="393"/>
      <c r="W32" s="393"/>
      <c r="X32" s="393"/>
      <c r="Y32" s="393"/>
      <c r="Z32" s="393"/>
      <c r="AA32" s="393"/>
      <c r="AB32" s="393"/>
      <c r="AC32" s="393"/>
      <c r="AD32" s="393"/>
      <c r="AE32" s="397"/>
    </row>
    <row r="33" spans="1:31" s="391" customFormat="1" ht="35.1" customHeight="1">
      <c r="B33" s="222" t="s">
        <v>177</v>
      </c>
      <c r="C33" s="385"/>
      <c r="D33" s="296">
        <v>220</v>
      </c>
      <c r="E33" s="296"/>
      <c r="F33" s="365">
        <f>D3</f>
        <v>20</v>
      </c>
      <c r="G33" s="365">
        <f>+E3</f>
        <v>12</v>
      </c>
      <c r="H33" s="432"/>
      <c r="I33" s="399"/>
      <c r="J33" s="399"/>
      <c r="K33" s="399"/>
      <c r="L33" s="400">
        <f>SUM(D33:K33)</f>
        <v>252</v>
      </c>
      <c r="M33" s="399"/>
      <c r="N33" s="447" t="str">
        <f>B33</f>
        <v>rôti de bœuf</v>
      </c>
      <c r="O33" s="448">
        <f>L33*0.12</f>
        <v>30.24</v>
      </c>
      <c r="P33" s="449"/>
      <c r="Q33" s="36"/>
      <c r="R33" s="150"/>
      <c r="S33" s="393"/>
      <c r="T33" s="393"/>
      <c r="U33" s="393"/>
      <c r="V33" s="393"/>
      <c r="W33" s="393"/>
      <c r="X33" s="393"/>
      <c r="Y33" s="393"/>
      <c r="Z33" s="393"/>
      <c r="AA33" s="393"/>
      <c r="AB33" s="393"/>
      <c r="AC33" s="393"/>
      <c r="AD33" s="433"/>
      <c r="AE33" s="397"/>
    </row>
    <row r="34" spans="1:31" s="391" customFormat="1" ht="35.1" customHeight="1">
      <c r="B34" s="398" t="s">
        <v>14</v>
      </c>
      <c r="D34" s="392"/>
      <c r="E34" s="392"/>
      <c r="F34" s="392"/>
      <c r="G34" s="392"/>
      <c r="H34" s="392"/>
      <c r="I34" s="392"/>
      <c r="J34" s="392"/>
      <c r="K34" s="392"/>
      <c r="L34" s="392"/>
      <c r="M34" s="392"/>
      <c r="N34" s="392"/>
      <c r="O34" s="392"/>
      <c r="P34" s="392"/>
      <c r="Q34" s="392"/>
      <c r="R34" s="392"/>
      <c r="S34" s="392"/>
      <c r="T34" s="392"/>
      <c r="U34" s="392"/>
      <c r="V34" s="392"/>
      <c r="W34" s="392"/>
      <c r="X34" s="392"/>
      <c r="Y34" s="392"/>
      <c r="Z34" s="392"/>
      <c r="AA34" s="392"/>
      <c r="AB34" s="392"/>
      <c r="AC34" s="392"/>
      <c r="AD34" s="392"/>
      <c r="AE34" s="397"/>
    </row>
    <row r="35" spans="1:31" s="391" customFormat="1" ht="43.5" customHeight="1">
      <c r="B35" s="222" t="s">
        <v>193</v>
      </c>
      <c r="C35" s="385"/>
      <c r="D35" s="296">
        <v>240</v>
      </c>
      <c r="E35" s="296"/>
      <c r="F35" s="365">
        <f>D3</f>
        <v>20</v>
      </c>
      <c r="G35" s="365">
        <f>E3</f>
        <v>12</v>
      </c>
      <c r="H35" s="128">
        <f>F2/2</f>
        <v>27</v>
      </c>
      <c r="I35" s="399"/>
      <c r="J35" s="399"/>
      <c r="K35" s="399"/>
      <c r="L35" s="400">
        <f>SUM(D35:K35)</f>
        <v>299</v>
      </c>
      <c r="M35" s="399"/>
      <c r="N35" s="399"/>
      <c r="O35" s="401"/>
      <c r="P35" s="393"/>
      <c r="Q35" s="36"/>
      <c r="R35" s="150"/>
      <c r="S35" s="393"/>
      <c r="T35" s="390" t="s">
        <v>57</v>
      </c>
      <c r="U35" s="402">
        <f>L35*0.16</f>
        <v>47.84</v>
      </c>
      <c r="V35" s="393"/>
      <c r="W35" s="393"/>
      <c r="X35" s="393"/>
      <c r="Y35" s="393"/>
      <c r="Z35" s="393"/>
      <c r="AA35" s="393"/>
      <c r="AB35" s="393"/>
      <c r="AC35" s="390" t="s">
        <v>108</v>
      </c>
      <c r="AD35" s="402">
        <f>L35*0.025</f>
        <v>7.4750000000000005</v>
      </c>
      <c r="AE35" s="397"/>
    </row>
    <row r="36" spans="1:31" s="393" customFormat="1" ht="35.1" customHeight="1">
      <c r="B36" s="439"/>
      <c r="C36" s="385"/>
      <c r="D36" s="385"/>
      <c r="E36" s="385"/>
      <c r="F36" s="235"/>
      <c r="G36" s="235"/>
      <c r="H36" s="308"/>
      <c r="I36" s="399"/>
      <c r="J36" s="399"/>
      <c r="K36" s="399"/>
      <c r="L36" s="399"/>
      <c r="M36" s="399"/>
      <c r="N36" s="399"/>
      <c r="O36" s="401"/>
      <c r="Q36" s="36"/>
      <c r="R36" s="150"/>
      <c r="AC36" s="390" t="s">
        <v>106</v>
      </c>
      <c r="AD36" s="402" t="s">
        <v>125</v>
      </c>
      <c r="AE36" s="397"/>
    </row>
    <row r="37" spans="1:31" s="290" customFormat="1" ht="35.1" customHeight="1">
      <c r="A37" s="313"/>
      <c r="B37" s="302" t="s">
        <v>16</v>
      </c>
      <c r="C37" s="303"/>
      <c r="D37" s="304"/>
      <c r="E37" s="304"/>
      <c r="F37" s="304"/>
      <c r="G37" s="304"/>
      <c r="H37" s="483"/>
      <c r="I37" s="483"/>
      <c r="J37" s="305"/>
      <c r="K37" s="304"/>
      <c r="L37" s="306"/>
      <c r="M37" s="303"/>
      <c r="N37" s="303"/>
      <c r="O37" s="303"/>
      <c r="P37" s="303"/>
      <c r="Q37" s="303"/>
      <c r="R37" s="303"/>
      <c r="S37" s="303"/>
      <c r="T37" s="303"/>
      <c r="U37" s="303"/>
      <c r="V37" s="303"/>
      <c r="W37" s="303"/>
      <c r="X37" s="303"/>
      <c r="Y37" s="303"/>
      <c r="Z37" s="303"/>
      <c r="AA37" s="303"/>
      <c r="AB37" s="303"/>
      <c r="AC37" s="303"/>
      <c r="AD37" s="303"/>
      <c r="AE37" s="314"/>
    </row>
    <row r="38" spans="1:31" s="297" customFormat="1" ht="42" customHeight="1">
      <c r="A38" s="247"/>
      <c r="B38" s="318" t="s">
        <v>194</v>
      </c>
      <c r="C38" s="223"/>
      <c r="D38" s="296">
        <v>220</v>
      </c>
      <c r="E38" s="296">
        <v>60</v>
      </c>
      <c r="F38" s="432">
        <f>D4</f>
        <v>54</v>
      </c>
      <c r="G38" s="432">
        <f>E4</f>
        <v>19</v>
      </c>
      <c r="H38" s="432">
        <v>39</v>
      </c>
      <c r="I38" s="223"/>
      <c r="J38" s="223"/>
      <c r="K38" s="223"/>
      <c r="L38" s="296">
        <f>SUM(D38:K38)</f>
        <v>392</v>
      </c>
      <c r="M38" s="223"/>
      <c r="N38" s="295"/>
      <c r="O38" s="295"/>
      <c r="P38" s="223"/>
      <c r="Q38" s="221" t="s">
        <v>85</v>
      </c>
      <c r="R38" s="225">
        <f>L38*0.005</f>
        <v>1.96</v>
      </c>
      <c r="S38" s="223"/>
      <c r="T38" s="135" t="s">
        <v>60</v>
      </c>
      <c r="U38" s="159">
        <f>L38*0.01</f>
        <v>3.92</v>
      </c>
      <c r="V38" s="210"/>
      <c r="W38" s="301"/>
      <c r="X38" s="301"/>
      <c r="Y38" s="223"/>
      <c r="Z38" s="223"/>
      <c r="AA38" s="223"/>
      <c r="AB38" s="223"/>
      <c r="AC38" s="318" t="s">
        <v>195</v>
      </c>
      <c r="AD38" s="434">
        <f>L38*0.0025</f>
        <v>0.98</v>
      </c>
      <c r="AE38" s="248"/>
    </row>
    <row r="39" spans="1:31" s="381" customFormat="1" ht="35.1" customHeight="1">
      <c r="A39" s="247"/>
      <c r="R39" s="309"/>
      <c r="T39" s="116" t="s">
        <v>161</v>
      </c>
      <c r="U39" s="189">
        <f>L38*0.001</f>
        <v>0.39200000000000002</v>
      </c>
      <c r="V39" s="36"/>
      <c r="W39" s="301"/>
      <c r="X39" s="301"/>
      <c r="AC39" s="221" t="s">
        <v>196</v>
      </c>
      <c r="AD39" s="225">
        <f>L38*0.005</f>
        <v>1.96</v>
      </c>
      <c r="AE39" s="248"/>
    </row>
    <row r="40" spans="1:31" s="381" customFormat="1" ht="35.1" customHeight="1">
      <c r="A40" s="247"/>
      <c r="R40" s="309"/>
      <c r="T40" s="116" t="s">
        <v>95</v>
      </c>
      <c r="U40" s="189">
        <f>L38*0.001</f>
        <v>0.39200000000000002</v>
      </c>
      <c r="V40" s="36"/>
      <c r="W40" s="301"/>
      <c r="X40" s="301"/>
      <c r="AC40" s="221" t="s">
        <v>160</v>
      </c>
      <c r="AD40" s="225">
        <f>L38*0.02</f>
        <v>7.84</v>
      </c>
      <c r="AE40" s="248"/>
    </row>
    <row r="41" spans="1:31" s="381" customFormat="1" ht="35.1" customHeight="1">
      <c r="A41" s="247"/>
      <c r="B41" s="234"/>
      <c r="F41" s="308"/>
      <c r="G41" s="308"/>
      <c r="H41" s="308"/>
      <c r="R41" s="309"/>
      <c r="T41" s="147"/>
      <c r="U41" s="219"/>
      <c r="V41" s="36"/>
      <c r="W41" s="301"/>
      <c r="X41" s="301"/>
      <c r="AC41" s="221" t="s">
        <v>197</v>
      </c>
      <c r="AD41" s="224">
        <f>L38*0.02/0.88</f>
        <v>8.9090909090909083</v>
      </c>
      <c r="AE41" s="248"/>
    </row>
    <row r="42" spans="1:31" s="381" customFormat="1" ht="35.1" customHeight="1">
      <c r="A42" s="247"/>
      <c r="B42" s="234"/>
      <c r="F42" s="308"/>
      <c r="G42" s="308"/>
      <c r="H42" s="308"/>
      <c r="R42" s="309"/>
      <c r="T42" s="147"/>
      <c r="U42" s="219"/>
      <c r="V42" s="36"/>
      <c r="W42" s="301"/>
      <c r="X42" s="301"/>
      <c r="AC42" s="221" t="s">
        <v>109</v>
      </c>
      <c r="AD42" s="225">
        <f>L38*0.0025</f>
        <v>0.98</v>
      </c>
      <c r="AE42" s="248"/>
    </row>
    <row r="43" spans="1:31" s="385" customFormat="1" ht="35.1" customHeight="1">
      <c r="A43" s="247"/>
      <c r="B43" s="439"/>
      <c r="F43" s="308"/>
      <c r="G43" s="308"/>
      <c r="H43" s="308"/>
      <c r="R43" s="309"/>
      <c r="T43" s="147"/>
      <c r="U43" s="219"/>
      <c r="V43" s="36"/>
      <c r="W43" s="301"/>
      <c r="X43" s="301"/>
      <c r="AC43" s="221" t="s">
        <v>198</v>
      </c>
      <c r="AD43" s="225" t="s">
        <v>125</v>
      </c>
      <c r="AE43" s="248"/>
    </row>
    <row r="44" spans="1:31" s="290" customFormat="1" ht="35.1" customHeight="1">
      <c r="A44" s="313"/>
      <c r="B44" s="302" t="s">
        <v>16</v>
      </c>
      <c r="C44" s="303"/>
      <c r="D44" s="304"/>
      <c r="E44" s="304"/>
      <c r="F44" s="304"/>
      <c r="G44" s="304"/>
      <c r="H44" s="483"/>
      <c r="I44" s="483"/>
      <c r="J44" s="305"/>
      <c r="K44" s="304"/>
      <c r="L44" s="306"/>
      <c r="M44" s="303"/>
      <c r="N44" s="303"/>
      <c r="O44" s="303"/>
      <c r="P44" s="303"/>
      <c r="Q44" s="303"/>
      <c r="R44" s="303"/>
      <c r="S44" s="303"/>
      <c r="T44" s="303"/>
      <c r="U44" s="303"/>
      <c r="V44" s="303"/>
      <c r="W44" s="303"/>
      <c r="X44" s="303"/>
      <c r="Y44" s="303"/>
      <c r="Z44" s="303"/>
      <c r="AA44" s="303"/>
      <c r="AB44" s="303"/>
      <c r="AC44" s="303"/>
      <c r="AD44" s="301"/>
      <c r="AE44" s="314"/>
    </row>
    <row r="45" spans="1:31" s="290" customFormat="1" ht="35.1" customHeight="1">
      <c r="A45" s="313"/>
      <c r="B45" s="221" t="s">
        <v>199</v>
      </c>
      <c r="C45" s="295"/>
      <c r="D45" s="221">
        <v>240</v>
      </c>
      <c r="E45" s="221">
        <v>60</v>
      </c>
      <c r="F45" s="307">
        <f>D4</f>
        <v>54</v>
      </c>
      <c r="G45" s="307">
        <f>E4</f>
        <v>19</v>
      </c>
      <c r="H45" s="307">
        <f>F4</f>
        <v>46</v>
      </c>
      <c r="I45" s="223"/>
      <c r="J45" s="223"/>
      <c r="K45" s="223"/>
      <c r="L45" s="221">
        <f>SUM(D45:K45)</f>
        <v>419</v>
      </c>
      <c r="M45" s="223"/>
      <c r="N45" s="223"/>
      <c r="O45" s="260"/>
      <c r="P45" s="223"/>
      <c r="Q45" s="295"/>
      <c r="R45" s="404"/>
      <c r="S45" s="295"/>
      <c r="T45" s="295"/>
      <c r="U45" s="312"/>
      <c r="V45" s="385"/>
      <c r="W45" s="223"/>
      <c r="X45" s="223"/>
      <c r="Y45" s="223"/>
      <c r="Z45" s="223"/>
      <c r="AA45" s="223"/>
      <c r="AB45" s="223"/>
      <c r="AC45" s="296" t="s">
        <v>200</v>
      </c>
      <c r="AD45" s="224">
        <f>L45*0.07</f>
        <v>29.330000000000002</v>
      </c>
      <c r="AE45" s="314"/>
    </row>
    <row r="46" spans="1:31" ht="35.1" customHeight="1">
      <c r="A46" s="249"/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4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15"/>
    </row>
    <row r="47" spans="1:31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37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</row>
  </sheetData>
  <mergeCells count="19">
    <mergeCell ref="H28:I28"/>
    <mergeCell ref="H37:I37"/>
    <mergeCell ref="H30:I30"/>
    <mergeCell ref="H20:I20"/>
    <mergeCell ref="H44:I44"/>
    <mergeCell ref="H18:I18"/>
    <mergeCell ref="AC7:AD7"/>
    <mergeCell ref="N26:O26"/>
    <mergeCell ref="Q26:R26"/>
    <mergeCell ref="T26:U26"/>
    <mergeCell ref="W26:X26"/>
    <mergeCell ref="Z26:AA26"/>
    <mergeCell ref="AC26:AD26"/>
    <mergeCell ref="W7:X7"/>
    <mergeCell ref="N7:O7"/>
    <mergeCell ref="Q7:R7"/>
    <mergeCell ref="T7:U7"/>
    <mergeCell ref="Z7:AA7"/>
    <mergeCell ref="AC14:AD14"/>
  </mergeCells>
  <phoneticPr fontId="0" type="noConversion"/>
  <printOptions horizontalCentered="1" verticalCentered="1"/>
  <pageMargins left="0.39370078740157483" right="0.59055118110236227" top="0.39370078740157483" bottom="0.39370078740157483" header="0.31496062992125984" footer="0.31496062992125984"/>
  <pageSetup paperSize="9" scale="54" fitToHeight="0" orientation="landscape" r:id="rId1"/>
  <headerFooter alignWithMargins="0">
    <oddHeader>&amp;A</oddHeader>
  </headerFooter>
  <rowBreaks count="1" manualBreakCount="1">
    <brk id="24" max="30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H59"/>
  <sheetViews>
    <sheetView showGridLines="0" showZeros="0" zoomScale="60" zoomScaleNormal="60" workbookViewId="0">
      <pane ySplit="5" topLeftCell="A28" activePane="bottomLeft" state="frozen"/>
      <selection activeCell="Q40" sqref="Q40"/>
      <selection pane="bottomLeft" activeCell="E34" sqref="E34"/>
    </sheetView>
  </sheetViews>
  <sheetFormatPr baseColWidth="10" defaultRowHeight="21"/>
  <cols>
    <col min="1" max="1" width="1" style="1" customWidth="1"/>
    <col min="2" max="2" width="27" style="1" bestFit="1" customWidth="1"/>
    <col min="3" max="3" width="1" style="1" customWidth="1"/>
    <col min="4" max="4" width="6.140625" style="1" customWidth="1"/>
    <col min="5" max="6" width="5.28515625" style="1" customWidth="1"/>
    <col min="7" max="7" width="5.42578125" style="1" customWidth="1"/>
    <col min="8" max="8" width="5.140625" style="1" customWidth="1"/>
    <col min="9" max="11" width="3.7109375" style="1" customWidth="1"/>
    <col min="12" max="12" width="7" style="2" bestFit="1" customWidth="1"/>
    <col min="13" max="13" width="1" style="1" customWidth="1"/>
    <col min="14" max="14" width="24" style="1" customWidth="1"/>
    <col min="15" max="15" width="7.7109375" style="1" customWidth="1"/>
    <col min="16" max="16" width="0.85546875" style="1" customWidth="1"/>
    <col min="17" max="17" width="20.140625" style="1" bestFit="1" customWidth="1"/>
    <col min="18" max="18" width="9" style="1" bestFit="1" customWidth="1"/>
    <col min="19" max="19" width="0.85546875" style="1" customWidth="1"/>
    <col min="20" max="20" width="24.85546875" style="1" customWidth="1"/>
    <col min="21" max="21" width="8.42578125" style="1" customWidth="1"/>
    <col min="22" max="22" width="0.85546875" style="1" customWidth="1"/>
    <col min="23" max="23" width="19.140625" style="1" customWidth="1"/>
    <col min="24" max="24" width="4.7109375" style="1" customWidth="1"/>
    <col min="25" max="25" width="0.85546875" style="1" customWidth="1"/>
    <col min="26" max="26" width="20.42578125" style="1" customWidth="1"/>
    <col min="27" max="27" width="5.7109375" style="1" customWidth="1"/>
    <col min="28" max="28" width="0.85546875" style="1" customWidth="1"/>
    <col min="29" max="29" width="21.42578125" style="1" customWidth="1"/>
    <col min="30" max="30" width="7" style="1" customWidth="1"/>
    <col min="31" max="31" width="0.85546875" style="1" customWidth="1"/>
    <col min="32" max="16384" width="11.42578125" style="1"/>
  </cols>
  <sheetData>
    <row r="1" spans="1:31">
      <c r="D1" s="73" t="s">
        <v>34</v>
      </c>
      <c r="E1" s="73" t="s">
        <v>35</v>
      </c>
      <c r="F1" s="73" t="s">
        <v>0</v>
      </c>
    </row>
    <row r="2" spans="1:31" ht="20.100000000000001" customHeight="1">
      <c r="B2" s="76" t="s">
        <v>15</v>
      </c>
      <c r="C2" s="76"/>
      <c r="D2" s="3">
        <v>20</v>
      </c>
      <c r="E2" s="3">
        <v>12</v>
      </c>
      <c r="F2" s="3"/>
      <c r="G2" s="8"/>
      <c r="J2" s="8"/>
      <c r="K2" s="8"/>
      <c r="L2" s="77"/>
      <c r="M2" s="8"/>
      <c r="N2" s="8"/>
      <c r="O2" s="8"/>
      <c r="P2" s="8"/>
      <c r="Q2" s="110"/>
      <c r="R2" s="47"/>
      <c r="S2" s="47"/>
      <c r="T2" s="47"/>
      <c r="U2" s="47"/>
      <c r="V2" s="47"/>
      <c r="W2" s="47"/>
      <c r="X2" s="47"/>
      <c r="Y2" s="47"/>
      <c r="Z2" s="47"/>
      <c r="AA2" s="4"/>
    </row>
    <row r="3" spans="1:31" ht="20.100000000000001" customHeight="1">
      <c r="B3" s="6" t="s">
        <v>13</v>
      </c>
      <c r="C3" s="6"/>
      <c r="D3" s="10">
        <v>56</v>
      </c>
      <c r="E3" s="10">
        <v>24</v>
      </c>
      <c r="F3" s="10">
        <v>50</v>
      </c>
      <c r="G3" s="8"/>
      <c r="J3" s="8"/>
      <c r="K3" s="8"/>
      <c r="L3" s="77"/>
      <c r="M3" s="8"/>
      <c r="N3" s="8"/>
      <c r="O3" s="8"/>
      <c r="P3" s="8"/>
      <c r="Q3" s="47"/>
      <c r="R3" s="4"/>
      <c r="S3" s="4"/>
      <c r="T3" s="4"/>
      <c r="U3" s="4"/>
      <c r="V3" s="4"/>
      <c r="W3" s="4"/>
      <c r="X3" s="47"/>
      <c r="Y3" s="47"/>
      <c r="Z3" s="47"/>
      <c r="AA3" s="47"/>
    </row>
    <row r="4" spans="1:31" ht="20.100000000000001" customHeight="1">
      <c r="B4" s="11" t="s">
        <v>18</v>
      </c>
      <c r="C4" s="11"/>
      <c r="D4" s="12">
        <v>20</v>
      </c>
      <c r="E4" s="12">
        <v>12</v>
      </c>
      <c r="F4" s="12"/>
      <c r="G4" s="8"/>
      <c r="J4" s="8"/>
      <c r="K4" s="8"/>
      <c r="L4" s="77"/>
      <c r="M4" s="8"/>
      <c r="N4" s="8"/>
      <c r="O4" s="8"/>
      <c r="P4" s="8"/>
      <c r="Q4" s="47"/>
      <c r="R4" s="4"/>
      <c r="S4" s="4"/>
      <c r="T4" s="4"/>
      <c r="U4" s="4"/>
      <c r="V4" s="4"/>
      <c r="W4" s="4"/>
      <c r="X4" s="47"/>
      <c r="Y4" s="47"/>
      <c r="Z4" s="47"/>
      <c r="AA4" s="47"/>
    </row>
    <row r="5" spans="1:31" ht="16.5" customHeight="1">
      <c r="H5" s="54"/>
      <c r="I5" s="54"/>
      <c r="J5" s="8"/>
      <c r="K5" s="8"/>
      <c r="L5" s="77"/>
      <c r="M5" s="54"/>
      <c r="N5" s="54"/>
      <c r="O5" s="54"/>
      <c r="P5" s="54"/>
      <c r="Q5" s="47"/>
      <c r="R5" s="4"/>
      <c r="S5" s="4"/>
      <c r="T5" s="4"/>
      <c r="U5" s="4"/>
      <c r="V5" s="4"/>
      <c r="W5" s="4"/>
      <c r="X5" s="90"/>
      <c r="Y5" s="47"/>
      <c r="Z5" s="90"/>
      <c r="AA5" s="80"/>
    </row>
    <row r="6" spans="1:31">
      <c r="B6" s="26"/>
      <c r="C6" s="26"/>
      <c r="D6" s="26"/>
      <c r="E6" s="26"/>
      <c r="F6" s="26"/>
      <c r="G6" s="26"/>
      <c r="H6" s="26"/>
      <c r="I6" s="26"/>
      <c r="J6" s="26"/>
      <c r="K6" s="26"/>
      <c r="L6" s="98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</row>
    <row r="7" spans="1:31" ht="33.75" thickBot="1">
      <c r="A7" s="273"/>
      <c r="B7" s="274" t="s">
        <v>38</v>
      </c>
      <c r="C7" s="264"/>
      <c r="D7" s="264"/>
      <c r="E7" s="264"/>
      <c r="F7" s="264"/>
      <c r="G7" s="264"/>
      <c r="H7" s="264"/>
      <c r="I7" s="264"/>
      <c r="J7" s="264"/>
      <c r="K7" s="264"/>
      <c r="L7" s="265"/>
      <c r="M7" s="266"/>
      <c r="N7" s="264"/>
      <c r="O7" s="264"/>
      <c r="P7" s="264"/>
      <c r="Q7" s="264"/>
      <c r="R7" s="264"/>
      <c r="S7" s="264"/>
      <c r="T7" s="264"/>
      <c r="U7" s="264"/>
      <c r="V7" s="264"/>
      <c r="W7" s="264"/>
      <c r="X7" s="264"/>
      <c r="Y7" s="264"/>
      <c r="Z7" s="264"/>
      <c r="AA7" s="264"/>
      <c r="AB7" s="264"/>
      <c r="AC7" s="264"/>
      <c r="AD7" s="264"/>
      <c r="AE7" s="267"/>
    </row>
    <row r="8" spans="1:31" ht="21.75" thickBot="1">
      <c r="A8" s="245"/>
      <c r="B8" s="5" t="s">
        <v>8</v>
      </c>
      <c r="C8" s="5"/>
      <c r="D8" s="5"/>
      <c r="E8" s="5"/>
      <c r="F8" s="5"/>
      <c r="G8" s="5"/>
      <c r="H8" s="5"/>
      <c r="I8" s="5"/>
      <c r="J8" s="5"/>
      <c r="K8" s="5"/>
      <c r="L8" s="20"/>
      <c r="M8" s="21"/>
      <c r="N8" s="485" t="s">
        <v>2</v>
      </c>
      <c r="O8" s="486"/>
      <c r="P8" s="22"/>
      <c r="Q8" s="485" t="s">
        <v>3</v>
      </c>
      <c r="R8" s="486"/>
      <c r="S8" s="22"/>
      <c r="T8" s="485" t="s">
        <v>4</v>
      </c>
      <c r="U8" s="486"/>
      <c r="V8" s="22"/>
      <c r="W8" s="485" t="s">
        <v>5</v>
      </c>
      <c r="X8" s="486"/>
      <c r="Y8" s="22"/>
      <c r="Z8" s="485" t="s">
        <v>6</v>
      </c>
      <c r="AA8" s="486"/>
      <c r="AB8" s="22"/>
      <c r="AC8" s="485" t="s">
        <v>7</v>
      </c>
      <c r="AD8" s="486"/>
      <c r="AE8" s="246"/>
    </row>
    <row r="9" spans="1:31">
      <c r="A9" s="245"/>
      <c r="B9" s="81">
        <f>LUNDI!B8+1</f>
        <v>43557</v>
      </c>
      <c r="C9" s="5"/>
      <c r="D9" s="24" t="s">
        <v>9</v>
      </c>
      <c r="E9" s="24" t="s">
        <v>41</v>
      </c>
      <c r="F9" s="24" t="s">
        <v>34</v>
      </c>
      <c r="G9" s="24" t="s">
        <v>35</v>
      </c>
      <c r="H9" s="24" t="s">
        <v>0</v>
      </c>
      <c r="I9" s="5"/>
      <c r="J9" s="5"/>
      <c r="K9" s="5"/>
      <c r="L9" s="20"/>
      <c r="M9" s="21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246"/>
    </row>
    <row r="10" spans="1:31" s="343" customFormat="1" ht="35.1" customHeight="1">
      <c r="A10" s="245"/>
      <c r="B10" s="25" t="s">
        <v>15</v>
      </c>
      <c r="C10" s="5"/>
      <c r="D10" s="36"/>
      <c r="E10" s="111"/>
      <c r="F10" s="112"/>
      <c r="G10" s="29"/>
      <c r="H10" s="93"/>
      <c r="I10" s="32"/>
      <c r="J10" s="32"/>
      <c r="K10" s="32"/>
      <c r="L10" s="34"/>
      <c r="M10" s="5"/>
      <c r="N10" s="5"/>
      <c r="O10" s="47"/>
      <c r="P10" s="47"/>
      <c r="Q10" s="49"/>
      <c r="R10" s="49"/>
      <c r="S10" s="49"/>
      <c r="T10" s="49"/>
      <c r="U10" s="49"/>
      <c r="V10" s="49"/>
      <c r="W10" s="49"/>
      <c r="X10" s="49"/>
      <c r="Y10" s="49"/>
      <c r="Z10" s="26"/>
      <c r="AA10" s="26"/>
      <c r="AB10" s="49"/>
      <c r="AC10" s="47"/>
      <c r="AD10" s="47"/>
      <c r="AE10" s="246"/>
    </row>
    <row r="11" spans="1:31" s="97" customFormat="1" ht="40.5" customHeight="1">
      <c r="A11" s="144"/>
      <c r="B11" s="214" t="s">
        <v>156</v>
      </c>
      <c r="C11" s="109"/>
      <c r="D11" s="28">
        <v>240</v>
      </c>
      <c r="E11" s="28"/>
      <c r="F11" s="105">
        <f>D2</f>
        <v>20</v>
      </c>
      <c r="G11" s="105">
        <f>E2</f>
        <v>12</v>
      </c>
      <c r="H11" s="41"/>
      <c r="I11" s="29"/>
      <c r="J11" s="29"/>
      <c r="K11" s="29"/>
      <c r="L11" s="28">
        <f>SUM(D11:K11)</f>
        <v>272</v>
      </c>
      <c r="M11" s="109"/>
      <c r="N11" s="109"/>
      <c r="O11" s="132"/>
      <c r="P11" s="132"/>
      <c r="S11" s="118"/>
      <c r="T11" s="118"/>
      <c r="U11" s="118"/>
      <c r="V11" s="118"/>
      <c r="W11" s="118"/>
      <c r="X11" s="118"/>
      <c r="Y11" s="118"/>
      <c r="Z11" s="118"/>
      <c r="AA11" s="118"/>
      <c r="AB11" s="118"/>
      <c r="AC11" s="214" t="str">
        <f>B11</f>
        <v>potage jardinière de légumes</v>
      </c>
      <c r="AD11" s="126">
        <f>L11</f>
        <v>272</v>
      </c>
      <c r="AE11" s="268"/>
    </row>
    <row r="12" spans="1:31" ht="35.1" customHeight="1">
      <c r="A12" s="245"/>
      <c r="B12" s="25" t="s">
        <v>15</v>
      </c>
      <c r="C12" s="5"/>
      <c r="D12" s="36"/>
      <c r="E12" s="111"/>
      <c r="F12" s="112"/>
      <c r="G12" s="29"/>
      <c r="H12" s="93"/>
      <c r="I12" s="32"/>
      <c r="J12" s="32"/>
      <c r="K12" s="32"/>
      <c r="L12" s="34"/>
      <c r="M12" s="5"/>
      <c r="N12" s="5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5"/>
      <c r="AA12" s="5"/>
      <c r="AB12" s="47"/>
      <c r="AC12" s="47"/>
      <c r="AD12" s="47"/>
      <c r="AE12" s="246"/>
    </row>
    <row r="13" spans="1:31" s="97" customFormat="1" ht="48" customHeight="1">
      <c r="A13" s="144"/>
      <c r="B13" s="214" t="s">
        <v>118</v>
      </c>
      <c r="C13" s="109"/>
      <c r="D13" s="28">
        <v>240</v>
      </c>
      <c r="E13" s="28"/>
      <c r="F13" s="105">
        <f>+D2</f>
        <v>20</v>
      </c>
      <c r="G13" s="105">
        <f>E2</f>
        <v>12</v>
      </c>
      <c r="H13" s="41"/>
      <c r="I13" s="29"/>
      <c r="J13" s="29"/>
      <c r="K13" s="29"/>
      <c r="L13" s="28">
        <f>SUM(D13:K13)</f>
        <v>272</v>
      </c>
      <c r="M13" s="109"/>
      <c r="N13" s="109"/>
      <c r="O13" s="132"/>
      <c r="P13" s="132"/>
      <c r="Q13" s="214" t="str">
        <f>B13</f>
        <v>rondelé aux 3 poivres</v>
      </c>
      <c r="R13" s="126">
        <f>L13</f>
        <v>272</v>
      </c>
      <c r="S13" s="118"/>
      <c r="T13" s="118"/>
      <c r="U13" s="118"/>
      <c r="V13" s="118"/>
      <c r="W13" s="118"/>
      <c r="X13" s="118"/>
      <c r="Y13" s="118"/>
      <c r="Z13" s="118"/>
      <c r="AA13" s="118"/>
      <c r="AB13" s="118"/>
      <c r="AC13" s="118"/>
      <c r="AD13" s="118"/>
      <c r="AE13" s="268"/>
    </row>
    <row r="14" spans="1:31" s="54" customFormat="1" ht="35.1" customHeight="1">
      <c r="A14" s="254"/>
      <c r="B14" s="25" t="s">
        <v>15</v>
      </c>
      <c r="C14" s="30"/>
      <c r="D14" s="31"/>
      <c r="E14" s="36"/>
      <c r="F14" s="36"/>
      <c r="G14" s="36"/>
      <c r="H14" s="370" t="s">
        <v>158</v>
      </c>
      <c r="I14" s="93"/>
      <c r="J14" s="31"/>
      <c r="K14" s="31"/>
      <c r="L14" s="34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8"/>
      <c r="AC14" s="8"/>
      <c r="AD14" s="8"/>
      <c r="AE14" s="243"/>
    </row>
    <row r="15" spans="1:31" s="297" customFormat="1" ht="35.1" customHeight="1">
      <c r="A15" s="247"/>
      <c r="B15" s="318" t="s">
        <v>157</v>
      </c>
      <c r="C15" s="223"/>
      <c r="D15" s="221">
        <v>220</v>
      </c>
      <c r="E15" s="221">
        <v>25</v>
      </c>
      <c r="F15" s="319">
        <f>D2</f>
        <v>20</v>
      </c>
      <c r="G15" s="319">
        <f>E2</f>
        <v>12</v>
      </c>
      <c r="H15" s="369">
        <f>LUNDI!F4</f>
        <v>46</v>
      </c>
      <c r="I15" s="320"/>
      <c r="J15" s="223"/>
      <c r="K15" s="223"/>
      <c r="L15" s="296">
        <f>SUM(D15:K15)</f>
        <v>323</v>
      </c>
      <c r="M15" s="223"/>
      <c r="N15" s="223"/>
      <c r="O15" s="223"/>
      <c r="P15" s="223"/>
      <c r="Q15" s="223"/>
      <c r="R15" s="223"/>
      <c r="S15" s="223"/>
      <c r="T15" s="223"/>
      <c r="U15" s="223"/>
      <c r="V15" s="223"/>
      <c r="W15" s="223"/>
      <c r="X15" s="223"/>
      <c r="Y15" s="223"/>
      <c r="Z15" s="296" t="str">
        <f>B15</f>
        <v>pomme</v>
      </c>
      <c r="AA15" s="296">
        <f>L15</f>
        <v>323</v>
      </c>
      <c r="AB15" s="247"/>
      <c r="AC15" s="223"/>
      <c r="AD15" s="310"/>
      <c r="AE15" s="248"/>
    </row>
    <row r="16" spans="1:31" ht="35.1" customHeight="1">
      <c r="A16" s="245"/>
      <c r="B16" s="35" t="s">
        <v>13</v>
      </c>
      <c r="C16" s="26"/>
      <c r="D16" s="31"/>
      <c r="E16" s="31"/>
      <c r="F16" s="180"/>
      <c r="G16" s="174"/>
      <c r="H16" s="223"/>
      <c r="I16" s="31"/>
      <c r="J16" s="32"/>
      <c r="K16" s="32"/>
      <c r="L16" s="34"/>
      <c r="M16" s="26"/>
      <c r="N16" s="99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5"/>
      <c r="AC16" s="26"/>
      <c r="AD16" s="26"/>
      <c r="AE16" s="246"/>
    </row>
    <row r="17" spans="1:32" s="33" customFormat="1" ht="35.1" customHeight="1">
      <c r="A17" s="202"/>
      <c r="B17" s="201" t="s">
        <v>153</v>
      </c>
      <c r="C17" s="202"/>
      <c r="D17" s="139">
        <v>220</v>
      </c>
      <c r="E17" s="139">
        <v>15</v>
      </c>
      <c r="F17" s="203">
        <f>D3</f>
        <v>56</v>
      </c>
      <c r="G17" s="203">
        <f>E3</f>
        <v>24</v>
      </c>
      <c r="H17" s="203"/>
      <c r="I17" s="182"/>
      <c r="J17" s="155"/>
      <c r="K17" s="155"/>
      <c r="L17" s="139">
        <f>SUM(D17:K17)</f>
        <v>315</v>
      </c>
      <c r="M17" s="155"/>
      <c r="N17" s="155"/>
      <c r="O17" s="181"/>
      <c r="P17" s="155"/>
      <c r="Q17" s="155"/>
      <c r="R17" s="181"/>
      <c r="S17" s="155"/>
      <c r="T17" s="28" t="s">
        <v>123</v>
      </c>
      <c r="U17" s="134">
        <f>L17*0.06</f>
        <v>18.899999999999999</v>
      </c>
      <c r="V17" s="155"/>
      <c r="W17" s="28" t="s">
        <v>64</v>
      </c>
      <c r="X17" s="163">
        <f>L17*0.014</f>
        <v>4.41</v>
      </c>
      <c r="Y17" s="155"/>
      <c r="Z17" s="139" t="s">
        <v>69</v>
      </c>
      <c r="AA17" s="139">
        <f>L17*0.05</f>
        <v>15.75</v>
      </c>
      <c r="AB17" s="202"/>
      <c r="AC17" s="28" t="s">
        <v>96</v>
      </c>
      <c r="AD17" s="134" t="s">
        <v>125</v>
      </c>
      <c r="AE17" s="202"/>
    </row>
    <row r="18" spans="1:32" s="36" customFormat="1" ht="35.1" customHeight="1">
      <c r="A18" s="210"/>
      <c r="B18" s="204"/>
      <c r="C18" s="155"/>
      <c r="D18" s="155"/>
      <c r="E18" s="155"/>
      <c r="F18" s="205"/>
      <c r="G18" s="205"/>
      <c r="H18" s="205"/>
      <c r="L18" s="155"/>
      <c r="O18" s="179"/>
      <c r="R18" s="179"/>
      <c r="Z18" s="28" t="s">
        <v>159</v>
      </c>
      <c r="AA18" s="134">
        <f>L17*0.02</f>
        <v>6.3</v>
      </c>
      <c r="AC18" s="155"/>
      <c r="AD18" s="155"/>
      <c r="AE18" s="244"/>
    </row>
    <row r="19" spans="1:32" s="36" customFormat="1" ht="35.1" customHeight="1">
      <c r="A19" s="210"/>
      <c r="B19" s="194"/>
      <c r="F19" s="38"/>
      <c r="G19" s="38"/>
      <c r="H19" s="38"/>
      <c r="O19" s="179"/>
      <c r="R19" s="179"/>
      <c r="U19" s="179"/>
      <c r="AE19" s="244"/>
    </row>
    <row r="20" spans="1:32" s="352" customFormat="1" ht="35.1" customHeight="1">
      <c r="A20" s="245"/>
      <c r="B20" s="35" t="s">
        <v>13</v>
      </c>
      <c r="C20" s="26"/>
      <c r="D20" s="31"/>
      <c r="E20" s="31"/>
      <c r="F20" s="32"/>
      <c r="G20" s="32"/>
      <c r="H20" s="32"/>
      <c r="I20" s="32"/>
      <c r="J20" s="32"/>
      <c r="K20" s="32"/>
      <c r="L20" s="34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30"/>
      <c r="AC20" s="30"/>
      <c r="AD20" s="30"/>
      <c r="AE20" s="246"/>
    </row>
    <row r="21" spans="1:32" s="33" customFormat="1" ht="42" customHeight="1">
      <c r="A21" s="210"/>
      <c r="B21" s="215" t="s">
        <v>201</v>
      </c>
      <c r="C21" s="155"/>
      <c r="D21" s="28">
        <v>220</v>
      </c>
      <c r="E21" s="28">
        <v>80</v>
      </c>
      <c r="F21" s="41">
        <f>D3</f>
        <v>56</v>
      </c>
      <c r="G21" s="41">
        <f>E3</f>
        <v>24</v>
      </c>
      <c r="H21" s="41">
        <f>F3</f>
        <v>50</v>
      </c>
      <c r="I21" s="36"/>
      <c r="J21" s="36"/>
      <c r="K21" s="36"/>
      <c r="L21" s="28">
        <f>SUM(D21:K21)</f>
        <v>430</v>
      </c>
      <c r="M21" s="155"/>
      <c r="N21" s="36"/>
      <c r="O21" s="118"/>
      <c r="P21" s="118"/>
      <c r="Q21" s="215" t="s">
        <v>202</v>
      </c>
      <c r="R21" s="189">
        <f>L21*0.009</f>
        <v>3.8699999999999997</v>
      </c>
      <c r="S21" s="118"/>
      <c r="V21" s="118"/>
      <c r="W21" s="118"/>
      <c r="X21" s="118"/>
      <c r="Y21" s="118"/>
      <c r="Z21" s="215" t="s">
        <v>206</v>
      </c>
      <c r="AA21" s="126">
        <f>L21*0.02</f>
        <v>8.6</v>
      </c>
      <c r="AB21" s="118"/>
      <c r="AC21" s="262" t="s">
        <v>134</v>
      </c>
      <c r="AD21" s="263">
        <f>L21*0.023</f>
        <v>9.89</v>
      </c>
      <c r="AE21" s="244"/>
    </row>
    <row r="22" spans="1:32" s="29" customFormat="1" ht="35.1" customHeight="1">
      <c r="A22" s="144"/>
      <c r="B22" s="143"/>
      <c r="D22" s="36"/>
      <c r="E22" s="36"/>
      <c r="F22" s="125"/>
      <c r="G22" s="125"/>
      <c r="H22" s="104"/>
      <c r="L22" s="36"/>
      <c r="O22" s="118"/>
      <c r="P22" s="118"/>
      <c r="Q22" s="262" t="s">
        <v>87</v>
      </c>
      <c r="R22" s="263">
        <f>L21*0.032</f>
        <v>13.76</v>
      </c>
      <c r="S22" s="260"/>
      <c r="T22" s="260"/>
      <c r="AA22" s="260"/>
      <c r="AB22" s="260"/>
      <c r="AC22" s="259" t="s">
        <v>100</v>
      </c>
      <c r="AD22" s="263">
        <f>L21*0.008</f>
        <v>3.44</v>
      </c>
      <c r="AE22" s="268"/>
    </row>
    <row r="23" spans="1:32" s="29" customFormat="1" ht="42" customHeight="1">
      <c r="A23" s="144"/>
      <c r="B23" s="143"/>
      <c r="D23" s="36"/>
      <c r="E23" s="36"/>
      <c r="F23" s="125"/>
      <c r="G23" s="125"/>
      <c r="H23" s="104"/>
      <c r="L23" s="36"/>
      <c r="O23" s="118"/>
      <c r="P23" s="118"/>
      <c r="Q23" s="215" t="s">
        <v>203</v>
      </c>
      <c r="R23" s="263">
        <f>L21*0.009</f>
        <v>3.8699999999999997</v>
      </c>
      <c r="S23" s="260"/>
      <c r="T23" s="260"/>
      <c r="U23" s="261"/>
      <c r="V23" s="260"/>
      <c r="W23" s="260"/>
      <c r="X23" s="260"/>
      <c r="Y23" s="260"/>
      <c r="Z23" s="260"/>
      <c r="AA23" s="260"/>
      <c r="AB23" s="260"/>
      <c r="AC23" s="262" t="s">
        <v>166</v>
      </c>
      <c r="AD23" s="263">
        <f>L21*0.0022</f>
        <v>0.94600000000000006</v>
      </c>
      <c r="AE23" s="268"/>
    </row>
    <row r="24" spans="1:32" s="29" customFormat="1" ht="35.1" customHeight="1">
      <c r="A24" s="144"/>
      <c r="B24" s="143"/>
      <c r="D24" s="36"/>
      <c r="E24" s="36"/>
      <c r="F24" s="125"/>
      <c r="G24" s="125"/>
      <c r="H24" s="104"/>
      <c r="L24" s="36"/>
      <c r="T24" s="260"/>
      <c r="U24" s="261"/>
      <c r="V24" s="260"/>
      <c r="W24" s="260"/>
      <c r="X24" s="260"/>
      <c r="Y24" s="260"/>
      <c r="Z24" s="260"/>
      <c r="AA24" s="260"/>
      <c r="AB24" s="260"/>
      <c r="AC24" s="262" t="s">
        <v>204</v>
      </c>
      <c r="AD24" s="263">
        <f>AD21*0.03</f>
        <v>0.29670000000000002</v>
      </c>
      <c r="AE24" s="268"/>
    </row>
    <row r="25" spans="1:32" s="29" customFormat="1" ht="46.5" customHeight="1">
      <c r="A25" s="144"/>
      <c r="B25" s="143"/>
      <c r="D25" s="36"/>
      <c r="E25" s="36"/>
      <c r="F25" s="125"/>
      <c r="G25" s="125"/>
      <c r="H25" s="104"/>
      <c r="L25" s="36"/>
      <c r="T25" s="260"/>
      <c r="U25" s="261"/>
      <c r="V25" s="260"/>
      <c r="W25" s="260"/>
      <c r="X25" s="260"/>
      <c r="Y25" s="260"/>
      <c r="Z25" s="260"/>
      <c r="AA25" s="260"/>
      <c r="AB25" s="260"/>
      <c r="AC25" s="262" t="s">
        <v>205</v>
      </c>
      <c r="AD25" s="263">
        <f>L21*0.01</f>
        <v>4.3</v>
      </c>
      <c r="AE25" s="268"/>
    </row>
    <row r="26" spans="1:32" s="54" customFormat="1" ht="35.1" customHeight="1">
      <c r="A26" s="254"/>
      <c r="B26" s="176" t="s">
        <v>18</v>
      </c>
      <c r="C26" s="30"/>
      <c r="D26" s="31"/>
      <c r="E26" s="31"/>
      <c r="F26" s="36"/>
      <c r="G26" s="31"/>
      <c r="H26" s="32"/>
      <c r="I26" s="31"/>
      <c r="J26" s="31"/>
      <c r="K26" s="31"/>
      <c r="L26" s="34"/>
      <c r="M26" s="30"/>
      <c r="N26" s="30"/>
      <c r="O26" s="30"/>
      <c r="P26" s="30"/>
      <c r="Q26" s="30"/>
      <c r="R26" s="30"/>
      <c r="S26" s="30"/>
      <c r="T26" s="8"/>
      <c r="U26" s="8"/>
      <c r="V26" s="8"/>
      <c r="W26" s="30"/>
      <c r="X26" s="30"/>
      <c r="Y26" s="30"/>
      <c r="Z26" s="8"/>
      <c r="AA26" s="8"/>
      <c r="AB26" s="30"/>
      <c r="AC26" s="8"/>
      <c r="AD26" s="8"/>
      <c r="AE26" s="243"/>
      <c r="AF26" s="8"/>
    </row>
    <row r="27" spans="1:32" s="33" customFormat="1" ht="42" customHeight="1">
      <c r="A27" s="210"/>
      <c r="B27" s="178" t="s">
        <v>128</v>
      </c>
      <c r="C27" s="36"/>
      <c r="D27" s="28">
        <v>240</v>
      </c>
      <c r="E27" s="28">
        <v>30</v>
      </c>
      <c r="F27" s="232">
        <f>D4</f>
        <v>20</v>
      </c>
      <c r="G27" s="232">
        <f>E4</f>
        <v>12</v>
      </c>
      <c r="H27" s="121"/>
      <c r="I27" s="36"/>
      <c r="J27" s="36"/>
      <c r="K27" s="36"/>
      <c r="L27" s="40">
        <f>SUM(D27:K27)</f>
        <v>302</v>
      </c>
      <c r="M27" s="36"/>
      <c r="N27" s="36"/>
      <c r="O27" s="36"/>
      <c r="P27" s="36"/>
      <c r="Q27" s="155"/>
      <c r="R27" s="155"/>
      <c r="S27" s="155"/>
      <c r="T27" s="222" t="s">
        <v>77</v>
      </c>
      <c r="U27" s="224">
        <f>L27*0.11</f>
        <v>33.22</v>
      </c>
      <c r="V27" s="155"/>
      <c r="W27" s="155"/>
      <c r="X27" s="155"/>
      <c r="Y27" s="155"/>
      <c r="Z27" s="155"/>
      <c r="AA27" s="155"/>
      <c r="AB27" s="36"/>
      <c r="AC27" s="116" t="s">
        <v>107</v>
      </c>
      <c r="AD27" s="136">
        <f>L27*0.015</f>
        <v>4.53</v>
      </c>
      <c r="AE27" s="244"/>
    </row>
    <row r="28" spans="1:32" ht="35.1" customHeight="1">
      <c r="A28" s="245"/>
      <c r="B28" s="42" t="s">
        <v>18</v>
      </c>
      <c r="C28" s="26"/>
      <c r="D28" s="31"/>
      <c r="E28" s="31"/>
      <c r="F28" s="36"/>
      <c r="G28" s="32"/>
      <c r="H28" s="32"/>
      <c r="I28" s="32"/>
      <c r="J28" s="32"/>
      <c r="K28" s="32"/>
      <c r="L28" s="34"/>
      <c r="M28" s="26"/>
      <c r="N28" s="26"/>
      <c r="O28" s="26"/>
      <c r="P28" s="26"/>
      <c r="Q28" s="26"/>
      <c r="R28" s="5"/>
      <c r="S28" s="5"/>
      <c r="T28" s="5"/>
      <c r="U28" s="5"/>
      <c r="V28" s="5"/>
      <c r="W28" s="5"/>
      <c r="X28" s="5"/>
      <c r="Y28" s="5"/>
      <c r="Z28" s="5"/>
      <c r="AA28" s="5"/>
      <c r="AB28" s="8"/>
      <c r="AC28" s="8"/>
      <c r="AD28" s="8"/>
      <c r="AE28" s="246"/>
    </row>
    <row r="29" spans="1:32" s="97" customFormat="1" ht="35.1" customHeight="1">
      <c r="A29" s="144"/>
      <c r="B29" s="119" t="s">
        <v>207</v>
      </c>
      <c r="C29" s="29"/>
      <c r="D29" s="28">
        <v>240</v>
      </c>
      <c r="E29" s="28"/>
      <c r="F29" s="232">
        <f>D4</f>
        <v>20</v>
      </c>
      <c r="G29" s="230">
        <f>E4</f>
        <v>12</v>
      </c>
      <c r="H29" s="41"/>
      <c r="I29" s="29"/>
      <c r="J29" s="29"/>
      <c r="K29" s="29"/>
      <c r="L29" s="40">
        <f>SUM(D29:K29)</f>
        <v>272</v>
      </c>
      <c r="M29" s="29"/>
      <c r="N29" s="29"/>
      <c r="O29" s="29"/>
      <c r="P29" s="29"/>
      <c r="Q29" s="121" t="str">
        <f>B29</f>
        <v>Camembert</v>
      </c>
      <c r="R29" s="121">
        <f>L29</f>
        <v>272</v>
      </c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68"/>
    </row>
    <row r="30" spans="1:32" ht="35.1" customHeight="1" thickBot="1">
      <c r="A30" s="269"/>
      <c r="B30" s="44"/>
      <c r="C30" s="44"/>
      <c r="D30" s="44"/>
      <c r="E30" s="44"/>
      <c r="F30" s="44"/>
      <c r="G30" s="44"/>
      <c r="H30" s="44"/>
      <c r="I30" s="44"/>
      <c r="J30" s="44"/>
      <c r="K30" s="44"/>
      <c r="L30" s="45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4"/>
      <c r="AD30" s="44"/>
      <c r="AE30" s="270"/>
    </row>
    <row r="31" spans="1:32" ht="33.75" thickBot="1">
      <c r="A31" s="275"/>
      <c r="B31" s="14" t="s">
        <v>38</v>
      </c>
      <c r="C31" s="15"/>
      <c r="D31" s="15"/>
      <c r="E31" s="15"/>
      <c r="F31" s="15"/>
      <c r="G31" s="15"/>
      <c r="H31" s="15"/>
      <c r="I31" s="15"/>
      <c r="J31" s="15"/>
      <c r="K31" s="15"/>
      <c r="L31" s="16"/>
      <c r="M31" s="17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271"/>
    </row>
    <row r="32" spans="1:32" ht="21.75" thickBot="1">
      <c r="A32" s="245"/>
      <c r="B32" s="5" t="s">
        <v>8</v>
      </c>
      <c r="C32" s="5"/>
      <c r="D32" s="24" t="s">
        <v>9</v>
      </c>
      <c r="E32" s="24" t="s">
        <v>10</v>
      </c>
      <c r="F32" s="24" t="s">
        <v>34</v>
      </c>
      <c r="G32" s="24" t="s">
        <v>35</v>
      </c>
      <c r="H32" s="24" t="s">
        <v>0</v>
      </c>
      <c r="I32" s="5"/>
      <c r="J32" s="5"/>
      <c r="K32" s="5"/>
      <c r="L32" s="20"/>
      <c r="M32" s="21"/>
      <c r="N32" s="485" t="s">
        <v>2</v>
      </c>
      <c r="O32" s="486"/>
      <c r="P32" s="22"/>
      <c r="Q32" s="485" t="s">
        <v>3</v>
      </c>
      <c r="R32" s="486"/>
      <c r="S32" s="22"/>
      <c r="T32" s="485" t="s">
        <v>4</v>
      </c>
      <c r="U32" s="486"/>
      <c r="V32" s="22"/>
      <c r="W32" s="485" t="s">
        <v>5</v>
      </c>
      <c r="X32" s="486"/>
      <c r="Y32" s="22"/>
      <c r="Z32" s="485" t="s">
        <v>6</v>
      </c>
      <c r="AA32" s="486"/>
      <c r="AB32" s="22"/>
      <c r="AC32" s="485" t="s">
        <v>7</v>
      </c>
      <c r="AD32" s="486"/>
      <c r="AE32" s="246"/>
    </row>
    <row r="33" spans="1:34" ht="35.1" customHeight="1">
      <c r="A33" s="245"/>
      <c r="B33" s="25" t="s">
        <v>15</v>
      </c>
      <c r="C33" s="26"/>
      <c r="D33" s="29"/>
      <c r="E33" s="113"/>
      <c r="F33" s="29"/>
      <c r="G33" s="29"/>
      <c r="H33" s="93"/>
      <c r="I33" s="32"/>
      <c r="J33" s="32"/>
      <c r="K33" s="32"/>
      <c r="L33" s="34"/>
      <c r="M33" s="26"/>
      <c r="N33" s="26"/>
      <c r="O33" s="26"/>
      <c r="P33" s="26"/>
      <c r="Q33" s="26"/>
      <c r="R33" s="26"/>
      <c r="S33" s="26"/>
      <c r="T33" s="26"/>
      <c r="U33" s="5"/>
      <c r="V33" s="26"/>
      <c r="W33" s="26"/>
      <c r="X33" s="26"/>
      <c r="Y33" s="26"/>
      <c r="Z33" s="26"/>
      <c r="AA33" s="26"/>
      <c r="AB33" s="30"/>
      <c r="AC33" s="8"/>
      <c r="AD33" s="8"/>
      <c r="AE33" s="246"/>
    </row>
    <row r="34" spans="1:34" s="33" customFormat="1" ht="44.25" customHeight="1">
      <c r="A34" s="210"/>
      <c r="B34" s="222" t="s">
        <v>208</v>
      </c>
      <c r="C34" s="223">
        <v>235</v>
      </c>
      <c r="D34" s="221">
        <v>200</v>
      </c>
      <c r="E34" s="221">
        <v>30</v>
      </c>
      <c r="F34" s="337">
        <f>D2</f>
        <v>20</v>
      </c>
      <c r="G34" s="337">
        <f>E2</f>
        <v>12</v>
      </c>
      <c r="H34" s="320"/>
      <c r="I34" s="223"/>
      <c r="J34" s="223"/>
      <c r="K34" s="36"/>
      <c r="L34" s="28">
        <f>SUM(D34:K34)</f>
        <v>262</v>
      </c>
      <c r="M34" s="36"/>
      <c r="N34" s="155"/>
      <c r="O34" s="137"/>
      <c r="P34" s="36"/>
      <c r="Q34" s="36"/>
      <c r="R34" s="36"/>
      <c r="S34" s="36"/>
      <c r="T34" s="157" t="str">
        <f>B34</f>
        <v>palette de porc à la diable</v>
      </c>
      <c r="U34" s="126">
        <f>L34*0.15</f>
        <v>39.299999999999997</v>
      </c>
      <c r="V34" s="36"/>
      <c r="W34" s="36"/>
      <c r="X34" s="36"/>
      <c r="Y34" s="36"/>
      <c r="Z34" s="36"/>
      <c r="AA34" s="36"/>
      <c r="AB34" s="36"/>
      <c r="AC34" s="28" t="s">
        <v>209</v>
      </c>
      <c r="AD34" s="163">
        <f>L34*0.0025</f>
        <v>0.65500000000000003</v>
      </c>
      <c r="AE34" s="244"/>
    </row>
    <row r="35" spans="1:34" s="36" customFormat="1" ht="35.1" customHeight="1">
      <c r="A35" s="210"/>
      <c r="B35" s="338"/>
      <c r="C35" s="338"/>
      <c r="D35" s="338"/>
      <c r="E35" s="338"/>
      <c r="F35" s="338"/>
      <c r="G35" s="338"/>
      <c r="H35" s="338"/>
      <c r="I35" s="223"/>
      <c r="J35" s="223"/>
      <c r="O35" s="137"/>
      <c r="T35" s="132"/>
      <c r="U35" s="161"/>
      <c r="AC35" s="162" t="s">
        <v>109</v>
      </c>
      <c r="AD35" s="163">
        <f>L34*0.0025</f>
        <v>0.65500000000000003</v>
      </c>
      <c r="AE35" s="244"/>
    </row>
    <row r="36" spans="1:34" s="36" customFormat="1" ht="35.1" customHeight="1">
      <c r="A36" s="210"/>
      <c r="B36" s="223"/>
      <c r="C36" s="223"/>
      <c r="D36" s="223"/>
      <c r="E36" s="223"/>
      <c r="F36" s="308"/>
      <c r="G36" s="308"/>
      <c r="H36" s="235"/>
      <c r="I36" s="223"/>
      <c r="J36" s="223"/>
      <c r="O36" s="137"/>
      <c r="T36" s="118"/>
      <c r="U36" s="137"/>
      <c r="AC36" s="162" t="s">
        <v>99</v>
      </c>
      <c r="AD36" s="163">
        <f>L34*0.01</f>
        <v>2.62</v>
      </c>
      <c r="AE36" s="244"/>
    </row>
    <row r="37" spans="1:34" s="36" customFormat="1" ht="35.1" customHeight="1">
      <c r="A37" s="210"/>
      <c r="F37" s="131"/>
      <c r="G37" s="131"/>
      <c r="H37" s="38"/>
      <c r="O37" s="137"/>
      <c r="T37" s="118"/>
      <c r="U37" s="137"/>
      <c r="AC37" s="162" t="s">
        <v>96</v>
      </c>
      <c r="AD37" s="134" t="s">
        <v>125</v>
      </c>
      <c r="AE37" s="244"/>
    </row>
    <row r="38" spans="1:34" ht="35.1" customHeight="1">
      <c r="A38" s="245"/>
      <c r="B38" s="25" t="s">
        <v>15</v>
      </c>
      <c r="C38" s="26"/>
      <c r="D38" s="29"/>
      <c r="E38" s="113"/>
      <c r="F38" s="29"/>
      <c r="G38" s="29"/>
      <c r="H38" s="93"/>
      <c r="I38" s="32"/>
      <c r="J38" s="32"/>
      <c r="K38" s="32"/>
      <c r="L38" s="34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30"/>
      <c r="AC38" s="8"/>
      <c r="AD38" s="8"/>
      <c r="AE38" s="246"/>
    </row>
    <row r="39" spans="1:34" s="33" customFormat="1" ht="35.1" customHeight="1">
      <c r="A39" s="210"/>
      <c r="B39" s="157" t="s">
        <v>273</v>
      </c>
      <c r="C39" s="155"/>
      <c r="D39" s="28">
        <v>240</v>
      </c>
      <c r="E39" s="28"/>
      <c r="F39" s="128">
        <f>D2</f>
        <v>20</v>
      </c>
      <c r="G39" s="128">
        <f>E2</f>
        <v>12</v>
      </c>
      <c r="H39" s="123"/>
      <c r="I39" s="36"/>
      <c r="J39" s="36"/>
      <c r="K39" s="36"/>
      <c r="L39" s="40">
        <f>SUM(D39:K39)</f>
        <v>272</v>
      </c>
      <c r="M39" s="155"/>
      <c r="N39" s="155"/>
      <c r="O39" s="155"/>
      <c r="P39" s="155"/>
      <c r="Q39" s="132"/>
      <c r="R39" s="132"/>
      <c r="S39" s="132"/>
      <c r="T39" s="28" t="s">
        <v>60</v>
      </c>
      <c r="U39" s="163">
        <f>L39*0.01</f>
        <v>2.72</v>
      </c>
      <c r="V39" s="118"/>
      <c r="Y39" s="36"/>
      <c r="Z39" s="36"/>
      <c r="AA39" s="36"/>
      <c r="AB39" s="36"/>
      <c r="AC39" s="28" t="s">
        <v>72</v>
      </c>
      <c r="AD39" s="163">
        <f>L39*0.002</f>
        <v>0.54400000000000004</v>
      </c>
      <c r="AE39" s="244"/>
    </row>
    <row r="40" spans="1:34" s="33" customFormat="1" ht="35.1" customHeight="1">
      <c r="A40" s="210"/>
      <c r="B40" s="376"/>
      <c r="C40" s="36"/>
      <c r="D40" s="36"/>
      <c r="E40" s="36"/>
      <c r="F40" s="435"/>
      <c r="G40" s="435"/>
      <c r="H40" s="125"/>
      <c r="I40" s="36"/>
      <c r="J40" s="36"/>
      <c r="K40" s="36"/>
      <c r="L40" s="36"/>
      <c r="M40" s="36"/>
      <c r="N40" s="36"/>
      <c r="O40" s="36"/>
      <c r="P40" s="36"/>
      <c r="Q40" s="118"/>
      <c r="R40" s="118"/>
      <c r="S40" s="118"/>
      <c r="T40" s="28" t="s">
        <v>210</v>
      </c>
      <c r="U40" s="134">
        <f>L39*0.235</f>
        <v>63.919999999999995</v>
      </c>
      <c r="V40" s="118"/>
      <c r="W40" s="36"/>
      <c r="X40" s="36"/>
      <c r="Y40" s="36"/>
      <c r="Z40" s="36"/>
      <c r="AA40" s="36"/>
      <c r="AB40" s="36"/>
      <c r="AC40" s="28" t="s">
        <v>96</v>
      </c>
      <c r="AD40" s="163" t="s">
        <v>125</v>
      </c>
      <c r="AE40" s="244"/>
    </row>
    <row r="41" spans="1:34" ht="35.1" customHeight="1">
      <c r="A41" s="245"/>
      <c r="B41" s="35" t="s">
        <v>13</v>
      </c>
      <c r="C41" s="26"/>
      <c r="D41" s="31"/>
      <c r="E41" s="31"/>
      <c r="F41" s="32"/>
      <c r="G41" s="32"/>
      <c r="H41" s="93"/>
      <c r="I41" s="26"/>
      <c r="J41" s="26"/>
      <c r="K41" s="32"/>
      <c r="L41" s="34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30"/>
      <c r="AC41" s="8"/>
      <c r="AD41" s="8"/>
      <c r="AE41" s="246"/>
    </row>
    <row r="42" spans="1:34" s="97" customFormat="1" ht="47.25" customHeight="1">
      <c r="A42" s="144"/>
      <c r="B42" s="162" t="s">
        <v>211</v>
      </c>
      <c r="C42" s="141"/>
      <c r="D42" s="28">
        <v>220</v>
      </c>
      <c r="E42" s="28">
        <v>80</v>
      </c>
      <c r="F42" s="123">
        <f>D3</f>
        <v>56</v>
      </c>
      <c r="G42" s="123">
        <f>E3</f>
        <v>24</v>
      </c>
      <c r="H42" s="41">
        <f>F3-16</f>
        <v>34</v>
      </c>
      <c r="I42" s="29"/>
      <c r="J42" s="29"/>
      <c r="K42" s="29"/>
      <c r="L42" s="40">
        <f>SUM(D42:K42)</f>
        <v>414</v>
      </c>
      <c r="M42" s="144"/>
      <c r="N42" s="40" t="s">
        <v>213</v>
      </c>
      <c r="O42" s="335">
        <f>L42-20</f>
        <v>394</v>
      </c>
      <c r="P42" s="36"/>
      <c r="Q42" s="36"/>
      <c r="R42" s="179"/>
      <c r="S42" s="36"/>
      <c r="T42" s="28" t="s">
        <v>212</v>
      </c>
      <c r="U42" s="134">
        <f>L42-20</f>
        <v>394</v>
      </c>
      <c r="V42" s="36"/>
      <c r="W42" s="36"/>
      <c r="X42" s="36"/>
      <c r="Y42" s="36"/>
      <c r="Z42" s="36"/>
      <c r="AA42" s="179"/>
      <c r="AB42" s="36"/>
      <c r="AC42" s="28" t="s">
        <v>75</v>
      </c>
      <c r="AD42" s="163">
        <f>L42*0.075</f>
        <v>31.049999999999997</v>
      </c>
      <c r="AE42" s="268"/>
      <c r="AF42" s="29"/>
    </row>
    <row r="43" spans="1:34" s="29" customFormat="1" ht="35.1" customHeight="1">
      <c r="A43" s="144"/>
      <c r="B43" s="36"/>
      <c r="D43" s="36"/>
      <c r="E43" s="36"/>
      <c r="F43" s="125"/>
      <c r="G43" s="125"/>
      <c r="H43" s="125"/>
      <c r="L43" s="36"/>
      <c r="N43" s="155"/>
      <c r="O43" s="155"/>
      <c r="P43" s="36"/>
      <c r="Q43" s="36"/>
      <c r="R43" s="179"/>
      <c r="S43" s="36"/>
      <c r="T43" s="28" t="s">
        <v>137</v>
      </c>
      <c r="U43" s="134">
        <f>L42+80</f>
        <v>494</v>
      </c>
      <c r="V43" s="36"/>
      <c r="W43" s="36"/>
      <c r="X43" s="36"/>
      <c r="Y43" s="36"/>
      <c r="Z43" s="385"/>
      <c r="AA43" s="309"/>
      <c r="AB43" s="385"/>
      <c r="AC43" s="221" t="s">
        <v>215</v>
      </c>
      <c r="AD43" s="225">
        <f>L42*0.002</f>
        <v>0.82800000000000007</v>
      </c>
      <c r="AE43" s="248"/>
      <c r="AF43" s="385"/>
      <c r="AG43" s="385"/>
      <c r="AH43" s="385"/>
    </row>
    <row r="44" spans="1:34" s="29" customFormat="1" ht="35.1" customHeight="1">
      <c r="A44" s="144"/>
      <c r="B44" s="36"/>
      <c r="D44" s="36"/>
      <c r="E44" s="36"/>
      <c r="F44" s="125"/>
      <c r="G44" s="125"/>
      <c r="H44" s="125"/>
      <c r="L44" s="36"/>
      <c r="N44" s="36"/>
      <c r="O44" s="36"/>
      <c r="P44" s="36"/>
      <c r="Q44" s="36"/>
      <c r="R44" s="179"/>
      <c r="S44" s="36"/>
      <c r="T44" s="28" t="s">
        <v>214</v>
      </c>
      <c r="U44" s="134">
        <f>L42*0.13</f>
        <v>53.82</v>
      </c>
      <c r="V44" s="36"/>
      <c r="W44" s="36"/>
      <c r="X44" s="36"/>
      <c r="Y44" s="36"/>
      <c r="Z44" s="385"/>
      <c r="AA44" s="309"/>
      <c r="AB44" s="385"/>
      <c r="AC44" s="222" t="s">
        <v>89</v>
      </c>
      <c r="AD44" s="225">
        <f>L42*0.0004</f>
        <v>0.1656</v>
      </c>
      <c r="AE44" s="248"/>
      <c r="AF44" s="385"/>
      <c r="AG44" s="385"/>
      <c r="AH44" s="385"/>
    </row>
    <row r="45" spans="1:34" s="29" customFormat="1" ht="35.1" customHeight="1">
      <c r="A45" s="144"/>
      <c r="B45" s="36"/>
      <c r="D45" s="36"/>
      <c r="E45" s="36"/>
      <c r="F45" s="125"/>
      <c r="G45" s="125"/>
      <c r="H45" s="125"/>
      <c r="L45" s="36"/>
      <c r="N45" s="36"/>
      <c r="O45" s="36"/>
      <c r="P45" s="36"/>
      <c r="Q45" s="36"/>
      <c r="R45" s="179"/>
      <c r="S45" s="36"/>
      <c r="T45" s="155"/>
      <c r="U45" s="181"/>
      <c r="V45" s="36"/>
      <c r="W45" s="36"/>
      <c r="X45" s="36"/>
      <c r="Y45" s="36"/>
      <c r="Z45" s="385"/>
      <c r="AA45" s="309"/>
      <c r="AB45" s="385"/>
      <c r="AC45" s="221" t="s">
        <v>76</v>
      </c>
      <c r="AD45" s="225">
        <f>L42*0.001</f>
        <v>0.41400000000000003</v>
      </c>
      <c r="AE45" s="248"/>
      <c r="AF45" s="385"/>
      <c r="AG45" s="385"/>
      <c r="AH45" s="385"/>
    </row>
    <row r="46" spans="1:34" s="29" customFormat="1" ht="35.1" customHeight="1">
      <c r="A46" s="144"/>
      <c r="B46" s="36"/>
      <c r="D46" s="36"/>
      <c r="E46" s="36"/>
      <c r="F46" s="125"/>
      <c r="G46" s="125"/>
      <c r="H46" s="125"/>
      <c r="L46" s="36"/>
      <c r="N46" s="36"/>
      <c r="O46" s="36"/>
      <c r="P46" s="36"/>
      <c r="Q46" s="36"/>
      <c r="R46" s="179"/>
      <c r="S46" s="36"/>
      <c r="T46" s="36"/>
      <c r="U46" s="179"/>
      <c r="V46" s="36"/>
      <c r="W46" s="36"/>
      <c r="X46" s="36"/>
      <c r="Y46" s="36"/>
      <c r="Z46" s="385"/>
      <c r="AA46" s="309"/>
      <c r="AB46" s="385"/>
      <c r="AC46" s="221" t="s">
        <v>216</v>
      </c>
      <c r="AD46" s="225">
        <f>O42/300</f>
        <v>1.3133333333333332</v>
      </c>
      <c r="AE46" s="248"/>
      <c r="AF46" s="385"/>
      <c r="AG46" s="385"/>
      <c r="AH46" s="385"/>
    </row>
    <row r="47" spans="1:34" s="29" customFormat="1" ht="35.1" customHeight="1">
      <c r="A47" s="144"/>
      <c r="B47" s="36"/>
      <c r="D47" s="36"/>
      <c r="E47" s="36"/>
      <c r="F47" s="125"/>
      <c r="G47" s="125"/>
      <c r="H47" s="125"/>
      <c r="L47" s="36"/>
      <c r="N47" s="36"/>
      <c r="O47" s="36"/>
      <c r="P47" s="36"/>
      <c r="Q47" s="36"/>
      <c r="R47" s="179"/>
      <c r="S47" s="36"/>
      <c r="T47" s="36"/>
      <c r="U47" s="179"/>
      <c r="V47" s="36"/>
      <c r="W47" s="36"/>
      <c r="X47" s="36"/>
      <c r="Y47" s="36"/>
      <c r="Z47" s="385"/>
      <c r="AA47" s="309"/>
      <c r="AB47" s="385"/>
      <c r="AC47" s="221" t="s">
        <v>217</v>
      </c>
      <c r="AD47" s="225">
        <f>L42*0.002</f>
        <v>0.82800000000000007</v>
      </c>
      <c r="AE47" s="248"/>
      <c r="AF47" s="385"/>
      <c r="AG47" s="385"/>
      <c r="AH47" s="385"/>
    </row>
    <row r="48" spans="1:34" s="383" customFormat="1" ht="35.1" customHeight="1">
      <c r="A48" s="245"/>
      <c r="B48" s="35" t="s">
        <v>13</v>
      </c>
      <c r="C48" s="26"/>
      <c r="D48" s="31"/>
      <c r="E48" s="31"/>
      <c r="F48" s="32"/>
      <c r="G48" s="32"/>
      <c r="H48" s="93"/>
      <c r="I48" s="26"/>
      <c r="J48" s="26"/>
      <c r="K48" s="32"/>
      <c r="L48" s="34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303"/>
      <c r="AA48" s="303"/>
      <c r="AB48" s="303"/>
      <c r="AC48" s="301"/>
      <c r="AD48" s="301"/>
      <c r="AE48" s="314"/>
      <c r="AF48" s="290"/>
      <c r="AG48" s="290"/>
      <c r="AH48" s="290"/>
    </row>
    <row r="49" spans="1:34" s="97" customFormat="1" ht="35.1" customHeight="1">
      <c r="A49" s="144"/>
      <c r="B49" s="162" t="s">
        <v>75</v>
      </c>
      <c r="C49" s="141"/>
      <c r="D49" s="28">
        <v>220</v>
      </c>
      <c r="E49" s="28">
        <v>80</v>
      </c>
      <c r="F49" s="123">
        <f>F42</f>
        <v>56</v>
      </c>
      <c r="G49" s="123">
        <f>G42</f>
        <v>24</v>
      </c>
      <c r="H49" s="41">
        <v>42</v>
      </c>
      <c r="I49" s="29"/>
      <c r="J49" s="29"/>
      <c r="K49" s="29"/>
      <c r="L49" s="40">
        <f>SUM(D49:K49)</f>
        <v>422</v>
      </c>
      <c r="M49" s="144"/>
      <c r="N49" s="155"/>
      <c r="O49" s="181"/>
      <c r="P49" s="155"/>
      <c r="Q49" s="155"/>
      <c r="R49" s="181"/>
      <c r="S49" s="155"/>
      <c r="T49" s="155"/>
      <c r="U49" s="181"/>
      <c r="V49" s="36"/>
      <c r="W49" s="36"/>
      <c r="X49" s="36"/>
      <c r="Y49" s="36"/>
      <c r="Z49" s="385"/>
      <c r="AA49" s="309"/>
      <c r="AB49" s="385"/>
      <c r="AC49" s="221" t="s">
        <v>75</v>
      </c>
      <c r="AD49" s="225">
        <f>L49*0.1</f>
        <v>42.2</v>
      </c>
      <c r="AE49" s="248"/>
      <c r="AF49" s="385"/>
      <c r="AG49" s="297"/>
      <c r="AH49" s="297"/>
    </row>
    <row r="50" spans="1:34" s="29" customFormat="1" ht="35.1" customHeight="1">
      <c r="A50" s="144"/>
      <c r="B50" s="36"/>
      <c r="D50" s="36"/>
      <c r="E50" s="36"/>
      <c r="F50" s="125"/>
      <c r="G50" s="125"/>
      <c r="H50" s="125"/>
      <c r="L50" s="36"/>
      <c r="N50" s="36"/>
      <c r="O50" s="36"/>
      <c r="P50" s="36"/>
      <c r="Q50" s="36"/>
      <c r="R50" s="179"/>
      <c r="S50" s="36"/>
      <c r="T50" s="36"/>
      <c r="U50" s="179"/>
      <c r="V50" s="36"/>
      <c r="W50" s="36"/>
      <c r="X50" s="36"/>
      <c r="Y50" s="36"/>
      <c r="Z50" s="385"/>
      <c r="AA50" s="309"/>
      <c r="AB50" s="385"/>
      <c r="AC50" s="221" t="s">
        <v>166</v>
      </c>
      <c r="AD50" s="225">
        <f>L49*0.005</f>
        <v>2.11</v>
      </c>
      <c r="AE50" s="248"/>
      <c r="AF50" s="385"/>
      <c r="AG50" s="385"/>
      <c r="AH50" s="385"/>
    </row>
    <row r="51" spans="1:34" s="29" customFormat="1" ht="35.1" customHeight="1">
      <c r="A51" s="144"/>
      <c r="B51" s="36"/>
      <c r="D51" s="36"/>
      <c r="E51" s="36"/>
      <c r="F51" s="125"/>
      <c r="G51" s="125"/>
      <c r="H51" s="125"/>
      <c r="L51" s="36"/>
      <c r="N51" s="36"/>
      <c r="O51" s="36"/>
      <c r="P51" s="36"/>
      <c r="Q51" s="36"/>
      <c r="R51" s="179"/>
      <c r="S51" s="36"/>
      <c r="T51" s="36"/>
      <c r="U51" s="150"/>
      <c r="V51" s="36"/>
      <c r="W51" s="36"/>
      <c r="X51" s="36"/>
      <c r="Y51" s="36"/>
      <c r="Z51" s="385"/>
      <c r="AA51" s="309"/>
      <c r="AB51" s="385"/>
      <c r="AC51" s="221" t="s">
        <v>76</v>
      </c>
      <c r="AD51" s="225">
        <f>L49*0.0045</f>
        <v>1.8989999999999998</v>
      </c>
      <c r="AE51" s="248"/>
      <c r="AF51" s="385"/>
      <c r="AG51" s="385"/>
      <c r="AH51" s="385"/>
    </row>
    <row r="52" spans="1:34" s="29" customFormat="1" ht="35.1" customHeight="1">
      <c r="A52" s="144"/>
      <c r="B52" s="36"/>
      <c r="D52" s="36"/>
      <c r="E52" s="36"/>
      <c r="F52" s="125"/>
      <c r="G52" s="125"/>
      <c r="H52" s="125"/>
      <c r="L52" s="36"/>
      <c r="N52" s="36"/>
      <c r="O52" s="36"/>
      <c r="P52" s="36"/>
      <c r="Q52" s="36"/>
      <c r="R52" s="179"/>
      <c r="S52" s="36"/>
      <c r="T52" s="36"/>
      <c r="U52" s="150"/>
      <c r="V52" s="36"/>
      <c r="W52" s="36"/>
      <c r="X52" s="36"/>
      <c r="Y52" s="36"/>
      <c r="Z52" s="385"/>
      <c r="AA52" s="309"/>
      <c r="AB52" s="385"/>
      <c r="AC52" s="221" t="s">
        <v>96</v>
      </c>
      <c r="AD52" s="225" t="s">
        <v>125</v>
      </c>
      <c r="AE52" s="248"/>
      <c r="AF52" s="385"/>
      <c r="AG52" s="385"/>
      <c r="AH52" s="385"/>
    </row>
    <row r="53" spans="1:34" ht="35.1" customHeight="1">
      <c r="A53" s="245"/>
      <c r="B53" s="42" t="s">
        <v>18</v>
      </c>
      <c r="C53" s="26"/>
      <c r="D53" s="32"/>
      <c r="E53" s="29"/>
      <c r="F53" s="223"/>
      <c r="G53" s="29"/>
      <c r="H53" s="93"/>
      <c r="I53" s="32"/>
      <c r="J53" s="32"/>
      <c r="K53" s="32"/>
      <c r="L53" s="27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303"/>
      <c r="AA53" s="303"/>
      <c r="AB53" s="303"/>
      <c r="AC53" s="303"/>
      <c r="AD53" s="303"/>
      <c r="AE53" s="314"/>
      <c r="AF53" s="290"/>
      <c r="AG53" s="290"/>
      <c r="AH53" s="290"/>
    </row>
    <row r="54" spans="1:34" s="33" customFormat="1" ht="35.1" customHeight="1">
      <c r="A54" s="210"/>
      <c r="B54" s="162" t="s">
        <v>218</v>
      </c>
      <c r="C54" s="28"/>
      <c r="D54" s="28">
        <v>240</v>
      </c>
      <c r="E54" s="28">
        <v>20</v>
      </c>
      <c r="F54" s="232">
        <f>D4</f>
        <v>20</v>
      </c>
      <c r="G54" s="232">
        <f>E4</f>
        <v>12</v>
      </c>
      <c r="H54" s="41"/>
      <c r="I54" s="36"/>
      <c r="J54" s="36"/>
      <c r="K54" s="36"/>
      <c r="L54" s="40">
        <f>SUM(D54:K54)</f>
        <v>292</v>
      </c>
      <c r="M54" s="182"/>
      <c r="N54" s="194"/>
      <c r="O54" s="179"/>
      <c r="P54" s="36"/>
      <c r="Q54" s="28" t="s">
        <v>81</v>
      </c>
      <c r="R54" s="28">
        <f>L54*2</f>
        <v>584</v>
      </c>
      <c r="S54" s="210"/>
      <c r="T54" s="28" t="s">
        <v>58</v>
      </c>
      <c r="U54" s="134">
        <f>L54*0.26</f>
        <v>75.92</v>
      </c>
      <c r="V54" s="36"/>
      <c r="W54" s="36"/>
      <c r="X54" s="36"/>
      <c r="Y54" s="36"/>
      <c r="Z54" s="385"/>
      <c r="AA54" s="385"/>
      <c r="AB54" s="385"/>
      <c r="AC54" s="221" t="s">
        <v>108</v>
      </c>
      <c r="AD54" s="225">
        <f>L54*0.025</f>
        <v>7.3000000000000007</v>
      </c>
      <c r="AE54" s="248"/>
      <c r="AF54" s="385"/>
      <c r="AG54" s="297"/>
      <c r="AH54" s="297"/>
    </row>
    <row r="55" spans="1:34" s="36" customFormat="1" ht="35.1" customHeight="1">
      <c r="A55" s="210"/>
      <c r="B55" s="342"/>
      <c r="F55" s="450"/>
      <c r="G55" s="450"/>
      <c r="H55" s="38"/>
      <c r="N55" s="342"/>
      <c r="O55" s="179"/>
      <c r="Q55" s="28" t="s">
        <v>73</v>
      </c>
      <c r="R55" s="163">
        <f>L54*0.01</f>
        <v>2.92</v>
      </c>
      <c r="U55" s="179"/>
      <c r="Z55" s="385"/>
      <c r="AA55" s="385"/>
      <c r="AB55" s="385"/>
      <c r="AC55" s="222" t="s">
        <v>197</v>
      </c>
      <c r="AD55" s="225">
        <f>L54*0.01/0.88</f>
        <v>3.3181818181818179</v>
      </c>
      <c r="AE55" s="248"/>
      <c r="AF55" s="385"/>
      <c r="AG55" s="385"/>
      <c r="AH55" s="385"/>
    </row>
    <row r="56" spans="1:34" s="36" customFormat="1" ht="35.1" customHeight="1">
      <c r="A56" s="210"/>
      <c r="B56" s="342"/>
      <c r="F56" s="450"/>
      <c r="G56" s="450"/>
      <c r="H56" s="38"/>
      <c r="N56" s="342"/>
      <c r="O56" s="179"/>
      <c r="U56" s="179"/>
      <c r="Z56" s="385"/>
      <c r="AA56" s="385"/>
      <c r="AB56" s="385"/>
      <c r="AC56" s="221" t="s">
        <v>106</v>
      </c>
      <c r="AD56" s="225" t="s">
        <v>125</v>
      </c>
      <c r="AE56" s="248"/>
      <c r="AF56" s="385"/>
      <c r="AG56" s="385"/>
      <c r="AH56" s="385"/>
    </row>
    <row r="57" spans="1:34" ht="28.5" customHeight="1">
      <c r="A57" s="272"/>
      <c r="B57" s="26"/>
      <c r="C57" s="26"/>
      <c r="D57" s="26"/>
      <c r="E57" s="26"/>
      <c r="F57" s="26"/>
      <c r="G57" s="26"/>
      <c r="H57" s="26"/>
      <c r="I57" s="26"/>
      <c r="J57" s="26"/>
      <c r="K57" s="26"/>
      <c r="L57" s="98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303"/>
      <c r="AA57" s="303"/>
      <c r="AB57" s="303"/>
      <c r="AC57" s="303"/>
      <c r="AD57" s="303"/>
      <c r="AE57" s="470"/>
      <c r="AF57" s="290"/>
      <c r="AG57" s="290"/>
      <c r="AH57" s="290"/>
    </row>
    <row r="58" spans="1:34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20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301"/>
      <c r="AA58" s="301"/>
      <c r="AB58" s="301"/>
      <c r="AC58" s="301"/>
      <c r="AD58" s="301"/>
      <c r="AE58" s="301"/>
      <c r="AF58" s="290"/>
      <c r="AG58" s="290"/>
      <c r="AH58" s="290"/>
    </row>
    <row r="59" spans="1:34" s="253" customFormat="1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20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301"/>
      <c r="AA59" s="301"/>
      <c r="AB59" s="301"/>
      <c r="AC59" s="301"/>
      <c r="AD59" s="301"/>
      <c r="AE59" s="301"/>
      <c r="AF59" s="290"/>
      <c r="AG59" s="290"/>
      <c r="AH59" s="290"/>
    </row>
  </sheetData>
  <mergeCells count="12">
    <mergeCell ref="N8:O8"/>
    <mergeCell ref="Q8:R8"/>
    <mergeCell ref="N32:O32"/>
    <mergeCell ref="Q32:R32"/>
    <mergeCell ref="AC8:AD8"/>
    <mergeCell ref="Z32:AA32"/>
    <mergeCell ref="AC32:AD32"/>
    <mergeCell ref="T32:U32"/>
    <mergeCell ref="W32:X32"/>
    <mergeCell ref="T8:U8"/>
    <mergeCell ref="W8:X8"/>
    <mergeCell ref="Z8:AA8"/>
  </mergeCells>
  <phoneticPr fontId="0" type="noConversion"/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56" fitToHeight="0" orientation="landscape" r:id="rId1"/>
  <headerFooter alignWithMargins="0">
    <oddHeader>&amp;A</oddHeader>
  </headerFooter>
  <rowBreaks count="1" manualBreakCount="1">
    <brk id="30" max="30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AF53"/>
  <sheetViews>
    <sheetView showGridLines="0" showZeros="0" zoomScale="70" zoomScaleNormal="70" workbookViewId="0">
      <pane ySplit="5" topLeftCell="A18" activePane="bottomLeft" state="frozen"/>
      <selection activeCell="Y26" sqref="X26:Y26"/>
      <selection pane="bottomLeft" activeCell="AD22" sqref="AD22"/>
    </sheetView>
  </sheetViews>
  <sheetFormatPr baseColWidth="10" defaultRowHeight="21"/>
  <cols>
    <col min="1" max="1" width="1" style="1" customWidth="1"/>
    <col min="2" max="2" width="26.140625" style="1" customWidth="1"/>
    <col min="3" max="3" width="1" style="1" customWidth="1"/>
    <col min="4" max="4" width="5.5703125" style="1" customWidth="1"/>
    <col min="5" max="5" width="5.140625" style="1" customWidth="1"/>
    <col min="6" max="6" width="4.85546875" style="1" customWidth="1"/>
    <col min="7" max="8" width="4.5703125" style="1" customWidth="1"/>
    <col min="9" max="11" width="3.5703125" style="1" customWidth="1"/>
    <col min="12" max="12" width="5.85546875" style="2" customWidth="1"/>
    <col min="13" max="13" width="0.85546875" style="1" customWidth="1"/>
    <col min="14" max="14" width="20.28515625" style="1" customWidth="1"/>
    <col min="15" max="15" width="5.42578125" style="1" customWidth="1"/>
    <col min="16" max="16" width="1" style="1" customWidth="1"/>
    <col min="17" max="17" width="20.7109375" style="1" customWidth="1"/>
    <col min="18" max="18" width="5.85546875" style="1" customWidth="1"/>
    <col min="19" max="19" width="1" style="1" customWidth="1"/>
    <col min="20" max="20" width="22.140625" style="1" customWidth="1"/>
    <col min="21" max="21" width="6.28515625" style="1" customWidth="1"/>
    <col min="22" max="22" width="0.5703125" style="1" customWidth="1"/>
    <col min="23" max="23" width="19.28515625" style="1" customWidth="1"/>
    <col min="24" max="24" width="6" style="1" customWidth="1"/>
    <col min="25" max="25" width="0.5703125" style="1" customWidth="1"/>
    <col min="26" max="26" width="18.42578125" style="1" customWidth="1"/>
    <col min="27" max="27" width="6.42578125" style="1" customWidth="1"/>
    <col min="28" max="28" width="0.5703125" style="1" customWidth="1"/>
    <col min="29" max="29" width="22.42578125" style="1" customWidth="1"/>
    <col min="30" max="30" width="6.28515625" style="1" customWidth="1"/>
    <col min="31" max="31" width="1.140625" style="1" customWidth="1"/>
    <col min="32" max="16384" width="11.42578125" style="1"/>
  </cols>
  <sheetData>
    <row r="1" spans="1:32">
      <c r="D1" s="89" t="s">
        <v>34</v>
      </c>
      <c r="E1" s="89" t="s">
        <v>35</v>
      </c>
      <c r="F1" s="89" t="s">
        <v>0</v>
      </c>
    </row>
    <row r="2" spans="1:32">
      <c r="B2" s="76" t="s">
        <v>17</v>
      </c>
      <c r="C2" s="76"/>
      <c r="D2" s="86">
        <v>28</v>
      </c>
      <c r="E2" s="86">
        <v>23</v>
      </c>
      <c r="F2" s="86">
        <v>52</v>
      </c>
      <c r="G2" s="4"/>
      <c r="H2" s="487"/>
      <c r="I2" s="487"/>
      <c r="J2" s="487"/>
      <c r="K2" s="487"/>
      <c r="L2" s="487"/>
      <c r="M2" s="487"/>
      <c r="N2" s="487"/>
      <c r="O2" s="8"/>
      <c r="P2" s="8"/>
      <c r="Q2" s="7"/>
      <c r="R2" s="47"/>
      <c r="S2" s="47"/>
      <c r="T2" s="47"/>
      <c r="U2" s="47"/>
      <c r="V2" s="47"/>
      <c r="W2" s="47"/>
      <c r="X2" s="47"/>
      <c r="Y2" s="47"/>
      <c r="Z2" s="47"/>
      <c r="AA2" s="4"/>
    </row>
    <row r="3" spans="1:32">
      <c r="B3" s="6" t="s">
        <v>21</v>
      </c>
      <c r="C3" s="6"/>
      <c r="D3" s="74">
        <v>20</v>
      </c>
      <c r="E3" s="74">
        <v>10</v>
      </c>
      <c r="F3" s="74"/>
      <c r="G3" s="4"/>
      <c r="J3" s="8"/>
      <c r="K3" s="8"/>
      <c r="L3" s="77"/>
      <c r="M3" s="8"/>
      <c r="N3" s="8"/>
      <c r="O3" s="8"/>
      <c r="P3" s="8"/>
      <c r="Q3" s="8"/>
      <c r="R3" s="4"/>
      <c r="S3" s="4"/>
      <c r="T3" s="4"/>
      <c r="U3" s="4"/>
      <c r="V3" s="4"/>
      <c r="W3" s="4"/>
      <c r="X3" s="47"/>
      <c r="Y3" s="47"/>
      <c r="Z3" s="47"/>
      <c r="AA3" s="47"/>
    </row>
    <row r="4" spans="1:32">
      <c r="B4" s="11" t="s">
        <v>19</v>
      </c>
      <c r="C4" s="11"/>
      <c r="D4" s="75">
        <v>15</v>
      </c>
      <c r="E4" s="75">
        <v>10</v>
      </c>
      <c r="F4" s="75"/>
      <c r="G4" s="4"/>
      <c r="J4" s="8"/>
      <c r="K4" s="8"/>
      <c r="L4" s="77"/>
      <c r="M4" s="8"/>
      <c r="N4" s="8"/>
      <c r="O4" s="8"/>
      <c r="P4" s="8"/>
      <c r="Q4" s="8"/>
      <c r="R4" s="4"/>
      <c r="S4" s="4"/>
      <c r="T4" s="4"/>
      <c r="U4" s="4"/>
      <c r="V4" s="4"/>
      <c r="W4" s="4"/>
      <c r="X4" s="47"/>
      <c r="Y4" s="47"/>
      <c r="Z4" s="47"/>
      <c r="AA4" s="47"/>
    </row>
    <row r="5" spans="1:32">
      <c r="H5" s="54"/>
      <c r="I5" s="54"/>
      <c r="J5" s="8"/>
      <c r="K5" s="8"/>
      <c r="L5" s="77"/>
      <c r="M5" s="54"/>
      <c r="N5" s="54"/>
      <c r="O5" s="54"/>
      <c r="P5" s="54"/>
      <c r="Q5" s="8"/>
      <c r="R5" s="4"/>
      <c r="S5" s="4"/>
      <c r="T5" s="4"/>
      <c r="U5" s="4"/>
      <c r="V5" s="4"/>
      <c r="W5" s="4"/>
      <c r="X5" s="90"/>
      <c r="Y5" s="47"/>
      <c r="Z5" s="90"/>
      <c r="AA5" s="80"/>
    </row>
    <row r="6" spans="1:32" ht="21.75" thickBot="1"/>
    <row r="7" spans="1:32" ht="33.75" thickBot="1">
      <c r="A7" s="13"/>
      <c r="B7" s="14" t="s">
        <v>39</v>
      </c>
      <c r="C7" s="15"/>
      <c r="D7" s="15"/>
      <c r="E7" s="15"/>
      <c r="F7" s="15"/>
      <c r="G7" s="15"/>
      <c r="H7" s="15"/>
      <c r="I7" s="15"/>
      <c r="J7" s="15"/>
      <c r="K7" s="15"/>
      <c r="L7" s="16"/>
      <c r="M7" s="17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8"/>
    </row>
    <row r="8" spans="1:32" ht="21.75" thickBot="1">
      <c r="A8" s="19"/>
      <c r="B8" s="5" t="s">
        <v>8</v>
      </c>
      <c r="C8" s="5"/>
      <c r="D8" s="5"/>
      <c r="E8" s="5"/>
      <c r="F8" s="5"/>
      <c r="G8" s="5"/>
      <c r="H8" s="5"/>
      <c r="I8" s="5"/>
      <c r="J8" s="5"/>
      <c r="K8" s="5"/>
      <c r="L8" s="20"/>
      <c r="M8" s="21"/>
      <c r="N8" s="485" t="s">
        <v>2</v>
      </c>
      <c r="O8" s="486"/>
      <c r="P8" s="22"/>
      <c r="Q8" s="485" t="s">
        <v>3</v>
      </c>
      <c r="R8" s="486"/>
      <c r="S8" s="22"/>
      <c r="T8" s="485" t="s">
        <v>4</v>
      </c>
      <c r="U8" s="486"/>
      <c r="V8" s="22"/>
      <c r="W8" s="485" t="s">
        <v>5</v>
      </c>
      <c r="X8" s="486"/>
      <c r="Y8" s="22"/>
      <c r="Z8" s="485" t="s">
        <v>6</v>
      </c>
      <c r="AA8" s="486"/>
      <c r="AB8" s="22"/>
      <c r="AC8" s="485" t="s">
        <v>7</v>
      </c>
      <c r="AD8" s="486"/>
      <c r="AE8" s="23"/>
    </row>
    <row r="9" spans="1:32">
      <c r="A9" s="19"/>
      <c r="B9" s="81">
        <f>LUNDI!B8+2</f>
        <v>43558</v>
      </c>
      <c r="C9" s="5"/>
      <c r="D9" s="24" t="s">
        <v>9</v>
      </c>
      <c r="E9" s="24" t="s">
        <v>41</v>
      </c>
      <c r="F9" s="24" t="s">
        <v>34</v>
      </c>
      <c r="G9" s="24" t="s">
        <v>35</v>
      </c>
      <c r="H9" s="24" t="s">
        <v>0</v>
      </c>
      <c r="I9" s="5"/>
      <c r="J9" s="5"/>
      <c r="K9" s="5"/>
      <c r="L9" s="20"/>
      <c r="M9" s="21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23"/>
      <c r="AF9" s="379"/>
    </row>
    <row r="10" spans="1:32" s="54" customFormat="1" ht="35.1" customHeight="1">
      <c r="A10" s="51"/>
      <c r="B10" s="101" t="s">
        <v>17</v>
      </c>
      <c r="C10" s="30"/>
      <c r="D10" s="31"/>
      <c r="E10" s="31"/>
      <c r="F10" s="36"/>
      <c r="G10" s="36"/>
      <c r="H10" s="31"/>
      <c r="I10" s="31"/>
      <c r="J10" s="52"/>
      <c r="K10" s="31"/>
      <c r="L10" s="34"/>
      <c r="M10" s="30"/>
      <c r="N10" s="30"/>
      <c r="O10" s="30"/>
      <c r="P10" s="30"/>
      <c r="Q10" s="102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8"/>
      <c r="AD10" s="8"/>
      <c r="AE10" s="53"/>
      <c r="AF10" s="379"/>
    </row>
    <row r="11" spans="1:32" s="97" customFormat="1" ht="35.1" customHeight="1">
      <c r="A11" s="115"/>
      <c r="B11" s="178" t="s">
        <v>219</v>
      </c>
      <c r="D11" s="40">
        <v>220</v>
      </c>
      <c r="E11" s="40">
        <v>25</v>
      </c>
      <c r="F11" s="105">
        <f>D2</f>
        <v>28</v>
      </c>
      <c r="G11" s="105">
        <f>E2</f>
        <v>23</v>
      </c>
      <c r="H11" s="105">
        <f>F2</f>
        <v>52</v>
      </c>
      <c r="I11" s="29"/>
      <c r="J11" s="29"/>
      <c r="K11" s="29"/>
      <c r="L11" s="40">
        <f>SUM(D11:K11)</f>
        <v>348</v>
      </c>
      <c r="N11" s="146"/>
      <c r="P11" s="29"/>
      <c r="S11" s="29"/>
      <c r="T11" s="29"/>
      <c r="U11" s="29"/>
      <c r="V11" s="29"/>
      <c r="W11" s="121" t="s">
        <v>133</v>
      </c>
      <c r="X11" s="121">
        <f>L11*0.07</f>
        <v>24.360000000000003</v>
      </c>
      <c r="Y11" s="29"/>
      <c r="Z11" s="121" t="s">
        <v>165</v>
      </c>
      <c r="AA11" s="124">
        <f>L11*0.01</f>
        <v>3.48</v>
      </c>
      <c r="AB11" s="29"/>
      <c r="AC11" s="121" t="s">
        <v>215</v>
      </c>
      <c r="AD11" s="121">
        <f>L11*0.005</f>
        <v>1.74</v>
      </c>
      <c r="AE11" s="129"/>
      <c r="AF11" s="379"/>
    </row>
    <row r="12" spans="1:32" s="97" customFormat="1" ht="35.1" customHeight="1">
      <c r="A12" s="115"/>
      <c r="B12" s="342"/>
      <c r="C12" s="29"/>
      <c r="D12" s="36"/>
      <c r="E12" s="36"/>
      <c r="F12" s="104"/>
      <c r="G12" s="104"/>
      <c r="H12" s="104"/>
      <c r="I12" s="29"/>
      <c r="J12" s="29"/>
      <c r="K12" s="29"/>
      <c r="L12" s="36"/>
      <c r="N12" s="146"/>
      <c r="P12" s="29"/>
      <c r="S12" s="29"/>
      <c r="T12" s="29"/>
      <c r="U12" s="29"/>
      <c r="V12" s="29"/>
      <c r="W12" s="29"/>
      <c r="X12" s="29"/>
      <c r="Y12" s="29"/>
      <c r="Z12" s="29"/>
      <c r="AA12" s="133"/>
      <c r="AB12" s="29"/>
      <c r="AC12" s="121" t="s">
        <v>175</v>
      </c>
      <c r="AD12" s="136">
        <f>L11*0.008</f>
        <v>2.7840000000000003</v>
      </c>
      <c r="AE12" s="129"/>
      <c r="AF12" s="440"/>
    </row>
    <row r="13" spans="1:32" ht="35.1" customHeight="1">
      <c r="A13" s="19"/>
      <c r="B13" s="101" t="s">
        <v>17</v>
      </c>
      <c r="C13" s="26"/>
      <c r="D13" s="31"/>
      <c r="E13" s="31"/>
      <c r="F13" s="29"/>
      <c r="G13" s="36"/>
      <c r="H13" s="96"/>
      <c r="I13" s="32"/>
      <c r="J13" s="32"/>
      <c r="K13" s="32"/>
      <c r="L13" s="34"/>
      <c r="M13" s="26"/>
      <c r="N13" s="26"/>
      <c r="O13" s="26"/>
      <c r="P13" s="26"/>
      <c r="Q13" s="26"/>
      <c r="R13" s="26"/>
      <c r="S13" s="5"/>
      <c r="T13" s="5"/>
      <c r="U13" s="5"/>
      <c r="V13" s="5"/>
      <c r="Y13" s="5"/>
      <c r="Z13" s="5"/>
      <c r="AA13" s="5"/>
      <c r="AB13" s="8"/>
      <c r="AC13" s="8"/>
      <c r="AD13" s="8"/>
      <c r="AE13" s="23"/>
    </row>
    <row r="14" spans="1:32" s="97" customFormat="1" ht="35.1" customHeight="1">
      <c r="A14" s="115"/>
      <c r="B14" s="119" t="s">
        <v>104</v>
      </c>
      <c r="D14" s="40">
        <v>220</v>
      </c>
      <c r="E14" s="40"/>
      <c r="F14" s="105">
        <f>D2</f>
        <v>28</v>
      </c>
      <c r="G14" s="105">
        <f>E2</f>
        <v>23</v>
      </c>
      <c r="H14" s="105"/>
      <c r="I14" s="29"/>
      <c r="J14" s="29"/>
      <c r="K14" s="29"/>
      <c r="L14" s="40">
        <f>SUM(D14:K14)</f>
        <v>271</v>
      </c>
      <c r="P14" s="29"/>
      <c r="Q14" s="121" t="str">
        <f>+B14</f>
        <v>emmental</v>
      </c>
      <c r="R14" s="121">
        <f>+L14</f>
        <v>271</v>
      </c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129"/>
    </row>
    <row r="15" spans="1:32" ht="35.1" customHeight="1">
      <c r="A15" s="19"/>
      <c r="B15" s="35" t="s">
        <v>21</v>
      </c>
      <c r="C15" s="26"/>
      <c r="D15" s="30"/>
      <c r="E15" s="30"/>
      <c r="F15" s="26"/>
      <c r="G15" s="26"/>
      <c r="H15" s="26"/>
      <c r="I15" s="26"/>
      <c r="J15" s="26"/>
      <c r="K15" s="26"/>
      <c r="L15" s="34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5"/>
      <c r="X15" s="5"/>
      <c r="Y15" s="5"/>
      <c r="Z15" s="5"/>
      <c r="AA15" s="5"/>
      <c r="AB15" s="30"/>
      <c r="AC15" s="30"/>
      <c r="AD15" s="8"/>
      <c r="AE15" s="23"/>
    </row>
    <row r="16" spans="1:32" s="33" customFormat="1" ht="39.75" customHeight="1">
      <c r="A16" s="138"/>
      <c r="B16" s="162" t="s">
        <v>220</v>
      </c>
      <c r="D16" s="28">
        <v>210</v>
      </c>
      <c r="E16" s="28"/>
      <c r="F16" s="41">
        <f>D3</f>
        <v>20</v>
      </c>
      <c r="G16" s="340">
        <f>E3</f>
        <v>10</v>
      </c>
      <c r="H16" s="105"/>
      <c r="I16" s="36"/>
      <c r="J16" s="36"/>
      <c r="K16" s="36"/>
      <c r="L16" s="40">
        <f>SUM(D16:K16)</f>
        <v>240</v>
      </c>
      <c r="N16" s="371"/>
      <c r="O16" s="181"/>
      <c r="P16" s="155"/>
      <c r="Q16" s="29"/>
      <c r="R16" s="29"/>
      <c r="S16" s="29"/>
      <c r="T16" s="97"/>
      <c r="U16" s="29"/>
      <c r="V16" s="36"/>
      <c r="W16" s="162" t="s">
        <v>64</v>
      </c>
      <c r="X16" s="28">
        <f>L16*0.012</f>
        <v>2.88</v>
      </c>
      <c r="Y16" s="346"/>
      <c r="Z16" s="28" t="s">
        <v>69</v>
      </c>
      <c r="AA16" s="134">
        <f>L16*0.015</f>
        <v>3.5999999999999996</v>
      </c>
      <c r="AB16" s="36"/>
      <c r="AC16" s="28" t="s">
        <v>138</v>
      </c>
      <c r="AD16" s="163">
        <f>L16*0.03</f>
        <v>7.1999999999999993</v>
      </c>
      <c r="AE16" s="140"/>
    </row>
    <row r="17" spans="1:31" s="97" customFormat="1" ht="35.1" customHeight="1">
      <c r="A17" s="115"/>
      <c r="B17" s="29"/>
      <c r="C17" s="29"/>
      <c r="D17" s="36"/>
      <c r="E17" s="36"/>
      <c r="F17" s="125"/>
      <c r="G17" s="125"/>
      <c r="H17" s="125"/>
      <c r="I17" s="29"/>
      <c r="J17" s="29"/>
      <c r="K17" s="29"/>
      <c r="L17" s="36"/>
      <c r="N17" s="29"/>
      <c r="O17" s="29"/>
      <c r="P17" s="29"/>
      <c r="V17" s="29"/>
      <c r="W17" s="29"/>
      <c r="X17" s="29"/>
      <c r="Y17" s="29"/>
      <c r="Z17" s="121" t="s">
        <v>139</v>
      </c>
      <c r="AA17" s="124">
        <f>L16*0.012</f>
        <v>2.88</v>
      </c>
      <c r="AB17" s="29"/>
      <c r="AC17" s="121" t="s">
        <v>221</v>
      </c>
      <c r="AD17" s="136">
        <f>L16*0.005</f>
        <v>1.2</v>
      </c>
      <c r="AE17" s="129"/>
    </row>
    <row r="18" spans="1:31" s="29" customFormat="1" ht="35.1" customHeight="1">
      <c r="A18" s="115"/>
      <c r="D18" s="36"/>
      <c r="E18" s="36"/>
      <c r="F18" s="125"/>
      <c r="G18" s="125"/>
      <c r="H18" s="125"/>
      <c r="L18" s="36"/>
      <c r="Z18" s="121" t="s">
        <v>60</v>
      </c>
      <c r="AA18" s="124">
        <f>L16*0.009</f>
        <v>2.1599999999999997</v>
      </c>
      <c r="AC18" s="121" t="s">
        <v>96</v>
      </c>
      <c r="AD18" s="136" t="s">
        <v>125</v>
      </c>
      <c r="AE18" s="129"/>
    </row>
    <row r="19" spans="1:31" s="231" customFormat="1" ht="35.1" customHeight="1">
      <c r="A19" s="19"/>
      <c r="B19" s="148" t="s">
        <v>21</v>
      </c>
      <c r="C19" s="26"/>
      <c r="D19" s="31"/>
      <c r="E19" s="31"/>
      <c r="F19" s="29"/>
      <c r="G19" s="87"/>
      <c r="H19" s="87"/>
      <c r="I19" s="32"/>
      <c r="J19" s="32"/>
      <c r="K19" s="32"/>
      <c r="L19" s="34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5"/>
      <c r="Z19" s="5"/>
      <c r="AA19" s="5"/>
      <c r="AB19" s="8"/>
      <c r="AC19" s="8"/>
      <c r="AD19" s="8"/>
      <c r="AE19" s="23"/>
    </row>
    <row r="20" spans="1:31" s="97" customFormat="1" ht="35.1" customHeight="1">
      <c r="A20" s="115"/>
      <c r="B20" s="119" t="s">
        <v>64</v>
      </c>
      <c r="D20" s="40">
        <v>220</v>
      </c>
      <c r="E20" s="40">
        <v>50</v>
      </c>
      <c r="F20" s="123">
        <f>D3</f>
        <v>20</v>
      </c>
      <c r="G20" s="226">
        <f>E3</f>
        <v>10</v>
      </c>
      <c r="H20" s="105"/>
      <c r="I20" s="29"/>
      <c r="J20" s="29"/>
      <c r="K20" s="29"/>
      <c r="L20" s="40">
        <f>SUM(D20:K20)</f>
        <v>300</v>
      </c>
      <c r="P20" s="29"/>
      <c r="S20" s="29"/>
      <c r="T20" s="29"/>
      <c r="U20" s="29"/>
      <c r="V20" s="29"/>
      <c r="W20" s="121" t="str">
        <f>B20</f>
        <v>salade verte</v>
      </c>
      <c r="X20" s="136">
        <f>L20*0.035</f>
        <v>10.500000000000002</v>
      </c>
      <c r="Y20" s="29"/>
      <c r="Z20" s="29"/>
      <c r="AA20" s="29"/>
      <c r="AB20" s="29"/>
      <c r="AC20" s="29"/>
      <c r="AD20" s="29"/>
      <c r="AE20" s="129"/>
    </row>
    <row r="21" spans="1:31" ht="35.1" customHeight="1">
      <c r="A21" s="19"/>
      <c r="B21" s="148" t="s">
        <v>21</v>
      </c>
      <c r="C21" s="26"/>
      <c r="D21" s="31"/>
      <c r="E21" s="31"/>
      <c r="F21" s="29"/>
      <c r="G21" s="87"/>
      <c r="H21" s="87"/>
      <c r="I21" s="32"/>
      <c r="J21" s="32"/>
      <c r="K21" s="32"/>
      <c r="L21" s="34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30"/>
      <c r="AC21" s="30"/>
      <c r="AD21" s="30"/>
      <c r="AE21" s="23"/>
    </row>
    <row r="22" spans="1:31" s="97" customFormat="1" ht="35.1" customHeight="1">
      <c r="A22" s="115"/>
      <c r="B22" s="119" t="s">
        <v>222</v>
      </c>
      <c r="D22" s="40">
        <v>200</v>
      </c>
      <c r="E22" s="40"/>
      <c r="F22" s="123">
        <f>+D3</f>
        <v>20</v>
      </c>
      <c r="G22" s="123">
        <f>E3</f>
        <v>10</v>
      </c>
      <c r="H22" s="105">
        <f>F2</f>
        <v>52</v>
      </c>
      <c r="I22" s="29"/>
      <c r="J22" s="29"/>
      <c r="K22" s="29"/>
      <c r="L22" s="40">
        <f>SUM(D22:K22)</f>
        <v>282</v>
      </c>
      <c r="P22" s="29"/>
      <c r="S22" s="29"/>
      <c r="T22" s="29"/>
      <c r="U22" s="29"/>
      <c r="V22" s="29"/>
      <c r="W22" s="29"/>
      <c r="X22" s="29"/>
      <c r="Y22" s="29"/>
      <c r="AB22" s="451"/>
      <c r="AC22" s="135" t="str">
        <f>B22</f>
        <v>pruneaux au sirop</v>
      </c>
      <c r="AD22" s="473">
        <f>L22/25</f>
        <v>11.28</v>
      </c>
      <c r="AE22" s="129"/>
    </row>
    <row r="23" spans="1:31" ht="35.1" customHeight="1">
      <c r="A23" s="19"/>
      <c r="B23" s="42" t="s">
        <v>19</v>
      </c>
      <c r="C23" s="26"/>
      <c r="D23" s="32"/>
      <c r="E23" s="32"/>
      <c r="F23" s="32"/>
      <c r="G23" s="32"/>
      <c r="H23" s="87"/>
      <c r="I23" s="26"/>
      <c r="J23" s="26"/>
      <c r="K23" s="26"/>
      <c r="L23" s="83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92"/>
      <c r="AE23" s="23"/>
    </row>
    <row r="24" spans="1:31" s="97" customFormat="1" ht="42" customHeight="1">
      <c r="A24" s="115"/>
      <c r="B24" s="135" t="s">
        <v>223</v>
      </c>
      <c r="C24" s="29"/>
      <c r="D24" s="40">
        <v>220</v>
      </c>
      <c r="E24" s="40">
        <v>20</v>
      </c>
      <c r="F24" s="85">
        <f>D4</f>
        <v>15</v>
      </c>
      <c r="G24" s="85">
        <f>E4</f>
        <v>10</v>
      </c>
      <c r="H24" s="105"/>
      <c r="I24" s="29"/>
      <c r="J24" s="29"/>
      <c r="K24" s="29"/>
      <c r="L24" s="40">
        <f>SUM(D24:K24)</f>
        <v>265</v>
      </c>
      <c r="M24" s="36"/>
      <c r="P24" s="29"/>
      <c r="Q24" s="118"/>
      <c r="R24" s="118"/>
      <c r="S24" s="29"/>
      <c r="T24" s="158"/>
      <c r="U24" s="142"/>
      <c r="V24" s="29"/>
      <c r="W24" s="29"/>
      <c r="X24" s="29"/>
      <c r="Y24" s="118"/>
      <c r="Z24" s="122" t="s">
        <v>225</v>
      </c>
      <c r="AA24" s="126">
        <f>L24*0.02</f>
        <v>5.3</v>
      </c>
      <c r="AB24" s="118"/>
      <c r="AC24" s="119" t="s">
        <v>82</v>
      </c>
      <c r="AD24" s="120">
        <f>L24*0.075/4</f>
        <v>4.96875</v>
      </c>
      <c r="AE24" s="129"/>
    </row>
    <row r="25" spans="1:31" s="97" customFormat="1" ht="35.1" customHeight="1">
      <c r="A25" s="115"/>
      <c r="B25" s="29"/>
      <c r="C25" s="29"/>
      <c r="D25" s="36"/>
      <c r="E25" s="36"/>
      <c r="F25" s="100"/>
      <c r="G25" s="100"/>
      <c r="H25" s="100"/>
      <c r="I25" s="29"/>
      <c r="J25" s="29"/>
      <c r="K25" s="29"/>
      <c r="L25" s="36"/>
      <c r="M25" s="36"/>
      <c r="N25" s="29"/>
      <c r="O25" s="29"/>
      <c r="P25" s="29"/>
      <c r="Q25" s="118"/>
      <c r="R25" s="118"/>
      <c r="S25" s="29"/>
      <c r="T25" s="29"/>
      <c r="U25" s="29"/>
      <c r="V25" s="29"/>
      <c r="W25" s="29"/>
      <c r="X25" s="29"/>
      <c r="Y25" s="118"/>
      <c r="Z25" s="122" t="s">
        <v>165</v>
      </c>
      <c r="AA25" s="122">
        <f>L24*0.015</f>
        <v>3.9749999999999996</v>
      </c>
      <c r="AB25" s="118"/>
      <c r="AC25" s="121" t="s">
        <v>75</v>
      </c>
      <c r="AD25" s="189">
        <f>L24*0.03</f>
        <v>7.9499999999999993</v>
      </c>
      <c r="AE25" s="129"/>
    </row>
    <row r="26" spans="1:31" s="97" customFormat="1" ht="35.1" customHeight="1">
      <c r="A26" s="115"/>
      <c r="B26" s="147"/>
      <c r="C26" s="29"/>
      <c r="D26" s="36"/>
      <c r="E26" s="36"/>
      <c r="F26" s="100"/>
      <c r="G26" s="100"/>
      <c r="H26" s="100"/>
      <c r="I26" s="29"/>
      <c r="J26" s="29"/>
      <c r="K26" s="29"/>
      <c r="L26" s="36"/>
      <c r="M26" s="36"/>
      <c r="P26" s="29"/>
      <c r="Q26" s="118"/>
      <c r="R26" s="118"/>
      <c r="S26" s="29"/>
      <c r="T26" s="147"/>
      <c r="U26" s="133"/>
      <c r="V26" s="29"/>
      <c r="W26" s="29"/>
      <c r="X26" s="29"/>
      <c r="Y26" s="118"/>
      <c r="Z26" s="122" t="s">
        <v>226</v>
      </c>
      <c r="AA26" s="189">
        <f>L24*0.008</f>
        <v>2.12</v>
      </c>
      <c r="AB26" s="118"/>
      <c r="AC26" s="119" t="s">
        <v>78</v>
      </c>
      <c r="AD26" s="159">
        <f>L24*0.002</f>
        <v>0.53</v>
      </c>
      <c r="AE26" s="129"/>
    </row>
    <row r="27" spans="1:31" s="97" customFormat="1" ht="35.1" customHeight="1">
      <c r="A27" s="115"/>
      <c r="B27" s="147"/>
      <c r="C27" s="29"/>
      <c r="D27" s="36"/>
      <c r="E27" s="36"/>
      <c r="F27" s="100"/>
      <c r="G27" s="100"/>
      <c r="H27" s="100"/>
      <c r="I27" s="29"/>
      <c r="J27" s="29"/>
      <c r="K27" s="29"/>
      <c r="L27" s="36"/>
      <c r="M27" s="36"/>
      <c r="P27" s="29"/>
      <c r="Q27" s="118"/>
      <c r="R27" s="118"/>
      <c r="S27" s="29"/>
      <c r="T27" s="147"/>
      <c r="U27" s="133"/>
      <c r="V27" s="29"/>
      <c r="W27" s="29"/>
      <c r="X27" s="29"/>
      <c r="Y27" s="118"/>
      <c r="Z27" s="118"/>
      <c r="AA27" s="219"/>
      <c r="AB27" s="118"/>
      <c r="AC27" s="119" t="s">
        <v>224</v>
      </c>
      <c r="AD27" s="159">
        <f>L24*0.004</f>
        <v>1.06</v>
      </c>
      <c r="AE27" s="129"/>
    </row>
    <row r="28" spans="1:31" s="97" customFormat="1" ht="35.1" customHeight="1">
      <c r="A28" s="115"/>
      <c r="B28" s="147"/>
      <c r="C28" s="29"/>
      <c r="D28" s="36"/>
      <c r="E28" s="36"/>
      <c r="F28" s="100"/>
      <c r="G28" s="100"/>
      <c r="H28" s="100"/>
      <c r="I28" s="29"/>
      <c r="J28" s="29"/>
      <c r="K28" s="29"/>
      <c r="L28" s="36"/>
      <c r="M28" s="36"/>
      <c r="P28" s="29"/>
      <c r="Q28" s="118"/>
      <c r="R28" s="118"/>
      <c r="S28" s="29"/>
      <c r="T28" s="147"/>
      <c r="U28" s="133"/>
      <c r="V28" s="29"/>
      <c r="W28" s="29"/>
      <c r="X28" s="29"/>
      <c r="Y28" s="118"/>
      <c r="Z28" s="118"/>
      <c r="AA28" s="219"/>
      <c r="AB28" s="118"/>
      <c r="AC28" s="121" t="s">
        <v>89</v>
      </c>
      <c r="AD28" s="189">
        <f>L24*0.001</f>
        <v>0.26500000000000001</v>
      </c>
      <c r="AE28" s="129"/>
    </row>
    <row r="29" spans="1:31" ht="35.1" customHeight="1">
      <c r="A29" s="19"/>
      <c r="B29" s="42" t="s">
        <v>19</v>
      </c>
      <c r="C29" s="26"/>
      <c r="D29" s="31"/>
      <c r="E29" s="31"/>
      <c r="F29" s="125"/>
      <c r="G29" s="29"/>
      <c r="H29" s="87"/>
      <c r="I29" s="32"/>
      <c r="J29" s="32"/>
      <c r="K29" s="32"/>
      <c r="L29" s="34"/>
      <c r="M29" s="26"/>
      <c r="N29" s="26"/>
      <c r="O29" s="26"/>
      <c r="P29" s="26"/>
      <c r="Q29" s="26"/>
      <c r="R29" s="26"/>
      <c r="S29" s="5"/>
      <c r="T29" s="5"/>
      <c r="U29" s="5"/>
      <c r="V29" s="5"/>
      <c r="W29" s="5"/>
      <c r="X29" s="5"/>
      <c r="Y29" s="5"/>
      <c r="Z29" s="5"/>
      <c r="AA29" s="5"/>
      <c r="AB29" s="8"/>
      <c r="AC29" s="8"/>
      <c r="AD29" s="8"/>
      <c r="AE29" s="23"/>
    </row>
    <row r="30" spans="1:31" s="97" customFormat="1" ht="35.1" customHeight="1">
      <c r="A30" s="115"/>
      <c r="B30" s="119" t="s">
        <v>227</v>
      </c>
      <c r="D30" s="40">
        <v>220</v>
      </c>
      <c r="E30" s="40"/>
      <c r="F30" s="85">
        <f>D4</f>
        <v>15</v>
      </c>
      <c r="G30" s="85">
        <f>E4</f>
        <v>10</v>
      </c>
      <c r="H30" s="105">
        <f>F2</f>
        <v>52</v>
      </c>
      <c r="I30" s="29"/>
      <c r="J30" s="29"/>
      <c r="K30" s="29"/>
      <c r="L30" s="40">
        <f>SUM(D30:K30)</f>
        <v>297</v>
      </c>
      <c r="P30" s="29"/>
      <c r="Q30" s="121" t="str">
        <f>B30</f>
        <v>Saint-Nectaire</v>
      </c>
      <c r="R30" s="121">
        <f>L30</f>
        <v>297</v>
      </c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129"/>
    </row>
    <row r="31" spans="1:31" ht="35.1" customHeight="1" thickBot="1">
      <c r="A31" s="43"/>
      <c r="B31" s="44"/>
      <c r="C31" s="44"/>
      <c r="D31" s="44"/>
      <c r="E31" s="44"/>
      <c r="F31" s="44"/>
      <c r="G31" s="44"/>
      <c r="H31" s="44"/>
      <c r="I31" s="44"/>
      <c r="J31" s="44"/>
      <c r="K31" s="44"/>
      <c r="L31" s="45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  <c r="AA31" s="44"/>
      <c r="AB31" s="44"/>
      <c r="AC31" s="44"/>
      <c r="AD31" s="44"/>
      <c r="AE31" s="46"/>
    </row>
    <row r="32" spans="1:31" ht="33.75" thickBot="1">
      <c r="A32" s="13"/>
      <c r="B32" s="14" t="s">
        <v>39</v>
      </c>
      <c r="C32" s="15"/>
      <c r="D32" s="15"/>
      <c r="E32" s="15"/>
      <c r="F32" s="15"/>
      <c r="G32" s="15"/>
      <c r="H32" s="15"/>
      <c r="I32" s="15"/>
      <c r="J32" s="15"/>
      <c r="K32" s="15"/>
      <c r="L32" s="16"/>
      <c r="M32" s="17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8"/>
    </row>
    <row r="33" spans="1:31" ht="21.75" thickBot="1">
      <c r="A33" s="19"/>
      <c r="B33" s="5" t="s">
        <v>8</v>
      </c>
      <c r="C33" s="5"/>
      <c r="D33" s="24" t="s">
        <v>9</v>
      </c>
      <c r="E33" s="24" t="s">
        <v>41</v>
      </c>
      <c r="F33" s="24" t="s">
        <v>34</v>
      </c>
      <c r="G33" s="24" t="s">
        <v>35</v>
      </c>
      <c r="H33" s="24" t="s">
        <v>0</v>
      </c>
      <c r="I33" s="5"/>
      <c r="J33" s="5"/>
      <c r="K33" s="5"/>
      <c r="L33" s="20"/>
      <c r="M33" s="21"/>
      <c r="N33" s="485" t="s">
        <v>2</v>
      </c>
      <c r="O33" s="486"/>
      <c r="P33" s="22"/>
      <c r="Q33" s="485" t="s">
        <v>3</v>
      </c>
      <c r="R33" s="486"/>
      <c r="S33" s="22"/>
      <c r="T33" s="485" t="s">
        <v>4</v>
      </c>
      <c r="U33" s="486"/>
      <c r="V33" s="22"/>
      <c r="W33" s="485" t="s">
        <v>5</v>
      </c>
      <c r="X33" s="486"/>
      <c r="Y33" s="22"/>
      <c r="Z33" s="485" t="s">
        <v>6</v>
      </c>
      <c r="AA33" s="486"/>
      <c r="AB33" s="22"/>
      <c r="AC33" s="485" t="s">
        <v>7</v>
      </c>
      <c r="AD33" s="486"/>
      <c r="AE33" s="23"/>
    </row>
    <row r="34" spans="1:31" ht="35.1" customHeight="1">
      <c r="A34" s="19"/>
      <c r="B34" s="25" t="s">
        <v>17</v>
      </c>
      <c r="C34" s="26"/>
      <c r="D34" s="30"/>
      <c r="E34" s="30"/>
      <c r="F34" s="36"/>
      <c r="G34" s="36"/>
      <c r="H34" s="26"/>
      <c r="I34" s="26"/>
      <c r="J34" s="26"/>
      <c r="K34" s="26"/>
      <c r="L34" s="34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30"/>
      <c r="AC34" s="30"/>
      <c r="AD34" s="8"/>
      <c r="AE34" s="23"/>
    </row>
    <row r="35" spans="1:31" s="297" customFormat="1" ht="45" customHeight="1">
      <c r="A35" s="321"/>
      <c r="B35" s="222" t="s">
        <v>228</v>
      </c>
      <c r="C35" s="322"/>
      <c r="D35" s="221">
        <v>220</v>
      </c>
      <c r="E35" s="221"/>
      <c r="F35" s="319">
        <f>D2</f>
        <v>28</v>
      </c>
      <c r="G35" s="319">
        <f>E2</f>
        <v>23</v>
      </c>
      <c r="H35" s="319">
        <v>17</v>
      </c>
      <c r="I35" s="368"/>
      <c r="J35" s="368"/>
      <c r="K35" s="368"/>
      <c r="L35" s="221">
        <f>SUM(D35:K35)</f>
        <v>288</v>
      </c>
      <c r="M35" s="368"/>
      <c r="P35" s="368"/>
      <c r="Q35" s="221" t="s">
        <v>85</v>
      </c>
      <c r="R35" s="221">
        <f>L35*0.004</f>
        <v>1.1520000000000001</v>
      </c>
      <c r="S35" s="260"/>
      <c r="T35" s="221" t="s">
        <v>229</v>
      </c>
      <c r="U35" s="375">
        <f>L35</f>
        <v>288</v>
      </c>
      <c r="V35" s="260"/>
      <c r="W35" s="260"/>
      <c r="X35" s="260"/>
      <c r="Y35" s="260"/>
      <c r="Z35" s="389"/>
      <c r="AA35" s="389"/>
      <c r="AB35" s="260"/>
      <c r="AC35" s="318" t="s">
        <v>230</v>
      </c>
      <c r="AD35" s="263">
        <f>L35*0.0045</f>
        <v>1.2959999999999998</v>
      </c>
      <c r="AE35" s="323"/>
    </row>
    <row r="36" spans="1:31" s="297" customFormat="1" ht="35.1" customHeight="1">
      <c r="A36" s="321"/>
      <c r="B36" s="234"/>
      <c r="C36" s="368"/>
      <c r="D36" s="368"/>
      <c r="E36" s="368"/>
      <c r="F36" s="362"/>
      <c r="G36" s="362"/>
      <c r="H36" s="362"/>
      <c r="I36" s="368"/>
      <c r="J36" s="368"/>
      <c r="K36" s="368"/>
      <c r="L36" s="368"/>
      <c r="M36" s="368"/>
      <c r="P36" s="368"/>
      <c r="Q36" s="121" t="s">
        <v>49</v>
      </c>
      <c r="R36" s="121">
        <f>L35*0.01</f>
        <v>2.88</v>
      </c>
      <c r="S36" s="118"/>
      <c r="T36" s="121" t="s">
        <v>62</v>
      </c>
      <c r="U36" s="189">
        <f>L35*0.04</f>
        <v>11.52</v>
      </c>
      <c r="V36" s="118"/>
      <c r="W36" s="118"/>
      <c r="X36" s="118"/>
      <c r="Y36" s="118"/>
      <c r="Z36" s="118"/>
      <c r="AA36" s="118"/>
      <c r="AB36" s="118"/>
      <c r="AC36" s="116" t="s">
        <v>195</v>
      </c>
      <c r="AD36" s="189">
        <f>L35*0.001</f>
        <v>0.28800000000000003</v>
      </c>
      <c r="AE36" s="323"/>
    </row>
    <row r="37" spans="1:31" s="297" customFormat="1" ht="35.1" customHeight="1">
      <c r="A37" s="321"/>
      <c r="B37" s="234"/>
      <c r="C37" s="368"/>
      <c r="D37" s="368"/>
      <c r="E37" s="368"/>
      <c r="F37" s="362"/>
      <c r="G37" s="362"/>
      <c r="H37" s="362"/>
      <c r="I37" s="368"/>
      <c r="J37" s="368"/>
      <c r="K37" s="368"/>
      <c r="L37" s="368"/>
      <c r="M37" s="368"/>
      <c r="P37" s="368"/>
      <c r="Q37" s="29"/>
      <c r="R37" s="29"/>
      <c r="S37" s="118"/>
      <c r="T37" s="121" t="s">
        <v>56</v>
      </c>
      <c r="U37" s="189">
        <f>L35*0.03</f>
        <v>8.64</v>
      </c>
      <c r="V37" s="118"/>
      <c r="W37" s="118"/>
      <c r="X37" s="118"/>
      <c r="Y37" s="118"/>
      <c r="Z37" s="118"/>
      <c r="AA37" s="118"/>
      <c r="AB37" s="118"/>
      <c r="AC37" s="222" t="s">
        <v>96</v>
      </c>
      <c r="AD37" s="189" t="s">
        <v>125</v>
      </c>
      <c r="AE37" s="323"/>
    </row>
    <row r="38" spans="1:31" s="290" customFormat="1" ht="35.1" customHeight="1">
      <c r="A38" s="372"/>
      <c r="B38" s="363" t="s">
        <v>17</v>
      </c>
      <c r="C38" s="303"/>
      <c r="D38" s="304"/>
      <c r="E38" s="373"/>
      <c r="F38" s="368"/>
      <c r="G38" s="368"/>
      <c r="H38" s="304"/>
      <c r="I38" s="304"/>
      <c r="J38" s="304"/>
      <c r="K38" s="304"/>
      <c r="L38" s="306"/>
      <c r="M38" s="303"/>
      <c r="N38" s="303"/>
      <c r="O38" s="303"/>
      <c r="P38" s="303"/>
      <c r="Q38" s="303"/>
      <c r="R38" s="303"/>
      <c r="S38" s="303"/>
      <c r="T38" s="303"/>
      <c r="U38" s="303"/>
      <c r="V38" s="303"/>
      <c r="W38" s="303"/>
      <c r="X38" s="303"/>
      <c r="Y38" s="303"/>
      <c r="Z38" s="303"/>
      <c r="AA38" s="303"/>
      <c r="AB38" s="303"/>
      <c r="AC38" s="303"/>
      <c r="AD38" s="303"/>
      <c r="AE38" s="374"/>
    </row>
    <row r="39" spans="1:31" s="297" customFormat="1" ht="35.1" customHeight="1">
      <c r="A39" s="321"/>
      <c r="B39" s="221" t="s">
        <v>231</v>
      </c>
      <c r="C39" s="322"/>
      <c r="D39" s="221">
        <v>240</v>
      </c>
      <c r="E39" s="221">
        <v>50</v>
      </c>
      <c r="F39" s="319">
        <f>D2</f>
        <v>28</v>
      </c>
      <c r="G39" s="319">
        <f>E2</f>
        <v>23</v>
      </c>
      <c r="H39" s="319">
        <v>9</v>
      </c>
      <c r="I39" s="368"/>
      <c r="J39" s="368"/>
      <c r="K39" s="368"/>
      <c r="L39" s="221">
        <f>SUM(D39:K39)</f>
        <v>350</v>
      </c>
      <c r="M39" s="368"/>
      <c r="N39" s="368"/>
      <c r="O39" s="368"/>
      <c r="P39" s="368"/>
      <c r="Q39" s="221" t="s">
        <v>167</v>
      </c>
      <c r="R39" s="221">
        <f>L39*0.05</f>
        <v>17.5</v>
      </c>
      <c r="S39" s="368"/>
      <c r="T39" s="295"/>
      <c r="U39" s="312"/>
      <c r="V39" s="385"/>
      <c r="W39" s="381"/>
      <c r="X39" s="381"/>
      <c r="Y39" s="381"/>
      <c r="Z39" s="381"/>
      <c r="AA39" s="381"/>
      <c r="AB39" s="381"/>
      <c r="AC39" s="221" t="s">
        <v>231</v>
      </c>
      <c r="AD39" s="221">
        <f>L39*0.04</f>
        <v>14</v>
      </c>
      <c r="AE39" s="323"/>
    </row>
    <row r="40" spans="1:31" s="385" customFormat="1" ht="35.1" customHeight="1">
      <c r="A40" s="321"/>
      <c r="F40" s="362"/>
      <c r="G40" s="362"/>
      <c r="H40" s="362"/>
      <c r="U40" s="309"/>
      <c r="AC40" s="221" t="s">
        <v>106</v>
      </c>
      <c r="AD40" s="221" t="s">
        <v>125</v>
      </c>
      <c r="AE40" s="323"/>
    </row>
    <row r="41" spans="1:31" ht="35.1" customHeight="1">
      <c r="A41" s="19"/>
      <c r="B41" s="35" t="s">
        <v>21</v>
      </c>
      <c r="C41" s="26"/>
      <c r="D41" s="31"/>
      <c r="E41" s="84"/>
      <c r="F41" s="32"/>
      <c r="G41" s="32"/>
      <c r="H41" s="91"/>
      <c r="I41" s="32"/>
      <c r="J41" s="32"/>
      <c r="K41" s="32"/>
      <c r="L41" s="34"/>
      <c r="M41" s="26"/>
      <c r="N41" s="26"/>
      <c r="O41" s="26"/>
      <c r="P41" s="26"/>
      <c r="Q41" s="26"/>
      <c r="R41" s="26"/>
      <c r="S41" s="26"/>
      <c r="T41" s="26"/>
      <c r="U41" s="26"/>
      <c r="V41" s="5"/>
      <c r="W41" s="5"/>
      <c r="X41" s="5"/>
      <c r="Y41" s="5"/>
      <c r="Z41" s="5"/>
      <c r="AA41" s="5"/>
      <c r="AB41" s="8"/>
      <c r="AC41" s="8"/>
      <c r="AD41" s="8"/>
      <c r="AE41" s="23"/>
    </row>
    <row r="42" spans="1:31" s="297" customFormat="1" ht="35.1" customHeight="1">
      <c r="A42" s="321"/>
      <c r="B42" s="222" t="s">
        <v>55</v>
      </c>
      <c r="C42" s="322"/>
      <c r="D42" s="221">
        <v>200</v>
      </c>
      <c r="E42" s="221"/>
      <c r="F42" s="320">
        <f>D3</f>
        <v>20</v>
      </c>
      <c r="G42" s="320">
        <f>E3</f>
        <v>10</v>
      </c>
      <c r="H42" s="319"/>
      <c r="I42" s="223"/>
      <c r="J42" s="223"/>
      <c r="K42" s="223"/>
      <c r="L42" s="221">
        <f>SUM(D42:K42)</f>
        <v>230</v>
      </c>
      <c r="M42" s="223"/>
      <c r="N42" s="223"/>
      <c r="O42" s="223"/>
      <c r="P42" s="223"/>
      <c r="Q42" s="295"/>
      <c r="R42" s="312"/>
      <c r="S42" s="223"/>
      <c r="T42" s="221" t="str">
        <f>B42</f>
        <v>croque monsieur</v>
      </c>
      <c r="U42" s="224">
        <f>L42</f>
        <v>230</v>
      </c>
      <c r="V42" s="247"/>
      <c r="W42" s="385"/>
      <c r="X42" s="385"/>
      <c r="Y42" s="385"/>
      <c r="Z42" s="385"/>
      <c r="AA42" s="385"/>
      <c r="AB42" s="385"/>
      <c r="AC42" s="385"/>
      <c r="AD42" s="385"/>
      <c r="AE42" s="323"/>
    </row>
    <row r="43" spans="1:31" ht="35.1" customHeight="1">
      <c r="A43" s="19"/>
      <c r="B43" s="42" t="s">
        <v>19</v>
      </c>
      <c r="C43" s="26"/>
      <c r="D43" s="31"/>
      <c r="E43" s="84"/>
      <c r="F43" s="32"/>
      <c r="G43" s="32"/>
      <c r="H43" s="87"/>
      <c r="I43" s="32"/>
      <c r="J43" s="32"/>
      <c r="K43" s="32"/>
      <c r="L43" s="34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30"/>
      <c r="AC43" s="30"/>
      <c r="AD43" s="30"/>
      <c r="AE43" s="23"/>
    </row>
    <row r="44" spans="1:31" s="33" customFormat="1" ht="35.1" customHeight="1">
      <c r="A44" s="138"/>
      <c r="B44" s="162" t="s">
        <v>232</v>
      </c>
      <c r="C44" s="36">
        <v>235</v>
      </c>
      <c r="D44" s="28">
        <v>200</v>
      </c>
      <c r="E44" s="28">
        <v>70</v>
      </c>
      <c r="F44" s="130">
        <f>D4</f>
        <v>15</v>
      </c>
      <c r="G44" s="130">
        <f>E4</f>
        <v>10</v>
      </c>
      <c r="H44" s="41"/>
      <c r="I44" s="36"/>
      <c r="J44" s="36"/>
      <c r="K44" s="36"/>
      <c r="L44" s="28">
        <f>SUM(D44:K44)</f>
        <v>295</v>
      </c>
      <c r="M44" s="36"/>
      <c r="N44" s="28" t="s">
        <v>47</v>
      </c>
      <c r="O44" s="126">
        <f>+L44*0.18</f>
        <v>53.1</v>
      </c>
      <c r="P44" s="36"/>
      <c r="Q44" s="36"/>
      <c r="R44" s="36"/>
      <c r="S44" s="36"/>
      <c r="T44" s="120" t="s">
        <v>161</v>
      </c>
      <c r="U44" s="189">
        <f>L44*0.0045</f>
        <v>1.3274999999999999</v>
      </c>
      <c r="V44" s="36"/>
      <c r="W44" s="36"/>
      <c r="X44" s="36"/>
      <c r="Y44" s="36"/>
      <c r="Z44" s="36"/>
      <c r="AA44" s="36"/>
      <c r="AB44" s="36"/>
      <c r="AC44" s="28" t="s">
        <v>166</v>
      </c>
      <c r="AD44" s="163">
        <f>L44*0.0035</f>
        <v>1.0325</v>
      </c>
      <c r="AE44" s="140"/>
    </row>
    <row r="45" spans="1:31" s="36" customFormat="1" ht="42" customHeight="1">
      <c r="A45" s="138"/>
      <c r="F45" s="131"/>
      <c r="G45" s="131"/>
      <c r="H45" s="38"/>
      <c r="O45" s="137"/>
      <c r="T45" s="132"/>
      <c r="U45" s="161"/>
      <c r="AC45" s="162" t="s">
        <v>233</v>
      </c>
      <c r="AD45" s="163">
        <f>L44*0.0003</f>
        <v>8.8499999999999995E-2</v>
      </c>
      <c r="AE45" s="140"/>
    </row>
    <row r="46" spans="1:31" s="36" customFormat="1" ht="35.1" customHeight="1">
      <c r="A46" s="138"/>
      <c r="F46" s="131"/>
      <c r="G46" s="131"/>
      <c r="H46" s="38"/>
      <c r="O46" s="137"/>
      <c r="AC46" s="162" t="s">
        <v>234</v>
      </c>
      <c r="AD46" s="163">
        <f>L44*0.00075</f>
        <v>0.22125</v>
      </c>
      <c r="AE46" s="140"/>
    </row>
    <row r="47" spans="1:31" s="36" customFormat="1" ht="35.1" customHeight="1">
      <c r="A47" s="138"/>
      <c r="F47" s="131"/>
      <c r="G47" s="131"/>
      <c r="H47" s="38"/>
      <c r="O47" s="137"/>
      <c r="T47" s="118"/>
      <c r="U47" s="137"/>
      <c r="AC47" s="162" t="s">
        <v>99</v>
      </c>
      <c r="AD47" s="163">
        <f>L44*0.0015</f>
        <v>0.4425</v>
      </c>
      <c r="AE47" s="140"/>
    </row>
    <row r="48" spans="1:31" s="36" customFormat="1" ht="35.1" customHeight="1">
      <c r="A48" s="138"/>
      <c r="F48" s="131"/>
      <c r="G48" s="131"/>
      <c r="H48" s="38"/>
      <c r="O48" s="137"/>
      <c r="T48" s="118"/>
      <c r="U48" s="137"/>
      <c r="AC48" s="162" t="s">
        <v>176</v>
      </c>
      <c r="AD48" s="163">
        <f>L44*0.003/0.475</f>
        <v>1.8631578947368421</v>
      </c>
      <c r="AE48" s="140"/>
    </row>
    <row r="49" spans="1:31" s="36" customFormat="1" ht="35.1" customHeight="1">
      <c r="A49" s="138"/>
      <c r="F49" s="131"/>
      <c r="G49" s="131"/>
      <c r="H49" s="38"/>
      <c r="O49" s="137"/>
      <c r="T49" s="118"/>
      <c r="U49" s="137"/>
      <c r="AC49" s="162" t="s">
        <v>96</v>
      </c>
      <c r="AD49" s="163" t="s">
        <v>125</v>
      </c>
      <c r="AE49" s="140"/>
    </row>
    <row r="50" spans="1:31" ht="35.1" customHeight="1">
      <c r="A50" s="19"/>
      <c r="B50" s="42" t="s">
        <v>19</v>
      </c>
      <c r="C50" s="26"/>
      <c r="D50" s="31"/>
      <c r="E50" s="31"/>
      <c r="F50" s="32"/>
      <c r="G50" s="32"/>
      <c r="H50" s="87"/>
      <c r="I50" s="32"/>
      <c r="J50" s="32"/>
      <c r="K50" s="32"/>
      <c r="L50" s="34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30"/>
      <c r="AC50" s="30"/>
      <c r="AD50" s="30"/>
      <c r="AE50" s="23"/>
    </row>
    <row r="51" spans="1:31" s="97" customFormat="1" ht="41.25" customHeight="1">
      <c r="A51" s="115"/>
      <c r="B51" s="116" t="s">
        <v>79</v>
      </c>
      <c r="C51" s="29"/>
      <c r="D51" s="28">
        <v>240</v>
      </c>
      <c r="E51" s="28"/>
      <c r="F51" s="85">
        <f>+D4</f>
        <v>15</v>
      </c>
      <c r="G51" s="85">
        <f>E4</f>
        <v>10</v>
      </c>
      <c r="H51" s="105">
        <v>8</v>
      </c>
      <c r="I51" s="29"/>
      <c r="J51" s="29"/>
      <c r="K51" s="29"/>
      <c r="L51" s="28">
        <f>SUM(D51:K51)</f>
        <v>273</v>
      </c>
      <c r="M51" s="29"/>
      <c r="P51" s="29"/>
      <c r="Q51" s="121" t="s">
        <v>85</v>
      </c>
      <c r="R51" s="136">
        <f>L51*0.003</f>
        <v>0.81900000000000006</v>
      </c>
      <c r="S51" s="29"/>
      <c r="T51" s="119" t="s">
        <v>80</v>
      </c>
      <c r="U51" s="119">
        <f>L51*0.24</f>
        <v>65.52</v>
      </c>
      <c r="V51" s="29"/>
      <c r="W51" s="29"/>
      <c r="X51" s="29"/>
      <c r="Y51" s="29"/>
      <c r="Z51" s="29"/>
      <c r="AA51" s="29"/>
      <c r="AB51" s="29"/>
      <c r="AC51" s="121" t="s">
        <v>96</v>
      </c>
      <c r="AD51" s="121" t="s">
        <v>125</v>
      </c>
      <c r="AE51" s="129"/>
    </row>
    <row r="52" spans="1:31" s="54" customFormat="1" ht="35.1" customHeight="1" thickBot="1">
      <c r="A52" s="106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107"/>
      <c r="M52" s="55"/>
      <c r="N52" s="55"/>
      <c r="O52" s="55"/>
      <c r="P52" s="55"/>
      <c r="Q52" s="55"/>
      <c r="R52" s="55"/>
      <c r="S52" s="55"/>
      <c r="T52" s="55"/>
      <c r="U52" s="55"/>
      <c r="V52" s="55"/>
      <c r="W52" s="55"/>
      <c r="X52" s="55"/>
      <c r="Y52" s="55"/>
      <c r="Z52" s="55"/>
      <c r="AA52" s="55"/>
      <c r="AB52" s="55"/>
      <c r="AC52" s="55"/>
      <c r="AD52" s="55"/>
      <c r="AE52" s="108"/>
    </row>
    <row r="53" spans="1:31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20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</row>
  </sheetData>
  <mergeCells count="13">
    <mergeCell ref="H2:N2"/>
    <mergeCell ref="N8:O8"/>
    <mergeCell ref="Q8:R8"/>
    <mergeCell ref="N33:O33"/>
    <mergeCell ref="Q33:R33"/>
    <mergeCell ref="Z8:AA8"/>
    <mergeCell ref="AC8:AD8"/>
    <mergeCell ref="Z33:AA33"/>
    <mergeCell ref="AC33:AD33"/>
    <mergeCell ref="T33:U33"/>
    <mergeCell ref="W33:X33"/>
    <mergeCell ref="T8:U8"/>
    <mergeCell ref="W8:X8"/>
  </mergeCells>
  <phoneticPr fontId="0" type="noConversion"/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60" fitToHeight="0" orientation="landscape" r:id="rId1"/>
  <headerFooter alignWithMargins="0">
    <oddHeader>&amp;A</oddHeader>
  </headerFooter>
  <rowBreaks count="1" manualBreakCount="1">
    <brk id="31" max="30" man="1"/>
  </rowBreak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AG58"/>
  <sheetViews>
    <sheetView showGridLines="0" showZeros="0" zoomScale="60" zoomScaleNormal="60" workbookViewId="0">
      <pane ySplit="5" topLeftCell="A6" activePane="bottomLeft" state="frozen"/>
      <selection activeCell="Y26" sqref="X26:Y26"/>
      <selection pane="bottomLeft" activeCell="N11" sqref="N11:O11"/>
    </sheetView>
  </sheetViews>
  <sheetFormatPr baseColWidth="10" defaultRowHeight="21"/>
  <cols>
    <col min="1" max="1" width="0.85546875" style="1" customWidth="1"/>
    <col min="2" max="2" width="23.5703125" style="1" customWidth="1"/>
    <col min="3" max="3" width="1" style="1" customWidth="1"/>
    <col min="4" max="4" width="6.28515625" style="1" customWidth="1"/>
    <col min="5" max="5" width="5.7109375" style="1" customWidth="1"/>
    <col min="6" max="6" width="5.28515625" style="1" customWidth="1"/>
    <col min="7" max="8" width="5.5703125" style="1" customWidth="1"/>
    <col min="9" max="11" width="3.140625" style="1" customWidth="1"/>
    <col min="12" max="12" width="5.85546875" style="2" customWidth="1"/>
    <col min="13" max="13" width="0.7109375" style="1" customWidth="1"/>
    <col min="14" max="14" width="20.5703125" style="1" customWidth="1"/>
    <col min="15" max="15" width="6.7109375" style="1" customWidth="1"/>
    <col min="16" max="16" width="0.42578125" style="1" customWidth="1"/>
    <col min="17" max="17" width="20.5703125" style="1" customWidth="1"/>
    <col min="18" max="18" width="6.28515625" style="1" customWidth="1"/>
    <col min="19" max="19" width="0.42578125" style="1" customWidth="1"/>
    <col min="20" max="20" width="23.5703125" style="1" customWidth="1"/>
    <col min="21" max="21" width="6.140625" style="1" customWidth="1"/>
    <col min="22" max="22" width="0.7109375" style="1" customWidth="1"/>
    <col min="23" max="23" width="18.5703125" style="1" customWidth="1"/>
    <col min="24" max="24" width="4.85546875" style="1" customWidth="1"/>
    <col min="25" max="25" width="0.85546875" style="1" customWidth="1"/>
    <col min="26" max="26" width="17.85546875" style="1" customWidth="1"/>
    <col min="27" max="27" width="7.140625" style="1" customWidth="1"/>
    <col min="28" max="28" width="0.7109375" style="1" customWidth="1"/>
    <col min="29" max="29" width="23" style="1" customWidth="1"/>
    <col min="30" max="30" width="7.140625" style="1" customWidth="1"/>
    <col min="31" max="31" width="2.28515625" style="1" customWidth="1"/>
    <col min="32" max="32" width="11.140625" style="1" customWidth="1"/>
    <col min="33" max="16384" width="11.42578125" style="1"/>
  </cols>
  <sheetData>
    <row r="1" spans="1:33">
      <c r="D1" s="89" t="s">
        <v>34</v>
      </c>
      <c r="E1" s="89" t="s">
        <v>35</v>
      </c>
      <c r="F1" s="89" t="s">
        <v>0</v>
      </c>
    </row>
    <row r="2" spans="1:33">
      <c r="B2" s="76" t="s">
        <v>20</v>
      </c>
      <c r="C2" s="76"/>
      <c r="D2" s="86">
        <v>10</v>
      </c>
      <c r="E2" s="86">
        <v>10</v>
      </c>
      <c r="F2" s="86"/>
      <c r="G2" s="4"/>
      <c r="J2" s="8"/>
      <c r="K2" s="8"/>
      <c r="L2" s="77"/>
      <c r="M2" s="8"/>
      <c r="N2" s="7"/>
      <c r="O2" s="9"/>
      <c r="P2" s="8"/>
      <c r="Q2" s="7"/>
      <c r="R2" s="47"/>
      <c r="S2" s="47"/>
      <c r="T2" s="47"/>
      <c r="U2" s="47"/>
      <c r="V2" s="47"/>
      <c r="W2" s="47"/>
      <c r="X2" s="47"/>
      <c r="Y2" s="47"/>
      <c r="Z2" s="47"/>
      <c r="AA2" s="4"/>
      <c r="AE2" s="5"/>
      <c r="AF2" s="5"/>
    </row>
    <row r="3" spans="1:33">
      <c r="B3" s="6" t="s">
        <v>23</v>
      </c>
      <c r="C3" s="6"/>
      <c r="D3" s="74">
        <v>19</v>
      </c>
      <c r="E3" s="74">
        <v>10</v>
      </c>
      <c r="F3" s="74"/>
      <c r="G3" s="4"/>
      <c r="J3" s="8"/>
      <c r="K3" s="8"/>
      <c r="L3" s="77"/>
      <c r="M3" s="8"/>
      <c r="N3" s="7"/>
      <c r="O3" s="9"/>
      <c r="P3" s="8"/>
      <c r="Q3" s="8"/>
      <c r="R3" s="4"/>
      <c r="S3" s="4"/>
      <c r="T3" s="4"/>
      <c r="U3" s="4"/>
      <c r="V3" s="4"/>
      <c r="W3" s="4"/>
      <c r="X3" s="47"/>
      <c r="Y3" s="47"/>
      <c r="Z3" s="47"/>
      <c r="AA3" s="47"/>
      <c r="AE3" s="5"/>
      <c r="AF3" s="5"/>
    </row>
    <row r="4" spans="1:33">
      <c r="B4" s="11" t="s">
        <v>22</v>
      </c>
      <c r="C4" s="11"/>
      <c r="D4" s="75">
        <v>10</v>
      </c>
      <c r="E4" s="75">
        <v>10</v>
      </c>
      <c r="F4" s="75"/>
      <c r="G4" s="4"/>
      <c r="J4" s="5"/>
      <c r="K4" s="5"/>
      <c r="L4" s="77"/>
      <c r="M4" s="54"/>
      <c r="N4" s="66"/>
      <c r="O4" s="9"/>
      <c r="P4" s="54"/>
      <c r="Q4" s="8"/>
      <c r="R4" s="4"/>
      <c r="S4" s="4"/>
      <c r="T4" s="4"/>
      <c r="U4" s="4"/>
      <c r="V4" s="4"/>
      <c r="W4" s="4"/>
      <c r="X4" s="90"/>
      <c r="Y4" s="47"/>
      <c r="Z4" s="90"/>
      <c r="AA4" s="90"/>
      <c r="AB4" s="54"/>
      <c r="AC4" s="54"/>
      <c r="AF4" s="5"/>
    </row>
    <row r="5" spans="1:33" ht="21.75" thickBot="1">
      <c r="C5" s="5"/>
      <c r="J5" s="5"/>
      <c r="K5" s="5"/>
      <c r="L5" s="20"/>
      <c r="O5" s="5"/>
      <c r="T5" s="5"/>
      <c r="U5" s="78"/>
      <c r="V5" s="78"/>
      <c r="W5" s="78"/>
      <c r="X5" s="78"/>
      <c r="Y5" s="78"/>
      <c r="Z5" s="78"/>
      <c r="AA5" s="80"/>
      <c r="AB5" s="78"/>
      <c r="AC5" s="80"/>
      <c r="AD5" s="78"/>
      <c r="AE5" s="5"/>
      <c r="AF5" s="5"/>
    </row>
    <row r="6" spans="1:33" ht="33.75" thickBot="1">
      <c r="A6" s="13"/>
      <c r="B6" s="14" t="s">
        <v>40</v>
      </c>
      <c r="C6" s="15"/>
      <c r="D6" s="15"/>
      <c r="E6" s="15"/>
      <c r="F6" s="15"/>
      <c r="G6" s="15"/>
      <c r="H6" s="15"/>
      <c r="I6" s="15"/>
      <c r="J6" s="15"/>
      <c r="K6" s="15"/>
      <c r="L6" s="16"/>
      <c r="M6" s="17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8"/>
      <c r="AF6" s="19"/>
    </row>
    <row r="7" spans="1:33" ht="21.75" thickBot="1">
      <c r="A7" s="19"/>
      <c r="B7" s="5" t="s">
        <v>8</v>
      </c>
      <c r="C7" s="5"/>
      <c r="D7" s="5"/>
      <c r="E7" s="5"/>
      <c r="F7" s="5"/>
      <c r="G7" s="5"/>
      <c r="H7" s="5"/>
      <c r="I7" s="5"/>
      <c r="J7" s="5"/>
      <c r="K7" s="5"/>
      <c r="L7" s="20"/>
      <c r="M7" s="21"/>
      <c r="N7" s="485" t="s">
        <v>2</v>
      </c>
      <c r="O7" s="486"/>
      <c r="P7" s="22"/>
      <c r="Q7" s="485" t="s">
        <v>3</v>
      </c>
      <c r="R7" s="486"/>
      <c r="S7" s="22"/>
      <c r="T7" s="485" t="s">
        <v>4</v>
      </c>
      <c r="U7" s="486"/>
      <c r="V7" s="22"/>
      <c r="W7" s="485" t="s">
        <v>5</v>
      </c>
      <c r="X7" s="486"/>
      <c r="Y7" s="22"/>
      <c r="Z7" s="485" t="s">
        <v>6</v>
      </c>
      <c r="AA7" s="486"/>
      <c r="AB7" s="22"/>
      <c r="AC7" s="485" t="s">
        <v>7</v>
      </c>
      <c r="AD7" s="486"/>
      <c r="AE7" s="23"/>
      <c r="AF7" s="19"/>
    </row>
    <row r="8" spans="1:33">
      <c r="A8" s="19"/>
      <c r="B8" s="81">
        <f>LUNDI!B8+3</f>
        <v>43559</v>
      </c>
      <c r="C8" s="5"/>
      <c r="D8" s="24" t="s">
        <v>9</v>
      </c>
      <c r="E8" s="24" t="s">
        <v>10</v>
      </c>
      <c r="F8" s="24" t="s">
        <v>34</v>
      </c>
      <c r="G8" s="24" t="s">
        <v>35</v>
      </c>
      <c r="H8" s="24" t="s">
        <v>0</v>
      </c>
      <c r="I8" s="5"/>
      <c r="J8" s="5"/>
      <c r="K8" s="5"/>
      <c r="L8" s="20"/>
      <c r="M8" s="21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23"/>
      <c r="AF8" s="19"/>
    </row>
    <row r="9" spans="1:33" ht="35.1" customHeight="1">
      <c r="A9" s="19"/>
      <c r="B9" s="25" t="s">
        <v>20</v>
      </c>
      <c r="C9" s="26"/>
      <c r="D9" s="31"/>
      <c r="E9" s="31"/>
      <c r="F9" s="32"/>
      <c r="G9" s="32"/>
      <c r="H9" s="32"/>
      <c r="I9" s="26"/>
      <c r="J9" s="26"/>
      <c r="K9" s="26"/>
      <c r="L9" s="34"/>
      <c r="M9" s="30"/>
      <c r="N9" s="26"/>
      <c r="O9" s="26"/>
      <c r="P9" s="26"/>
      <c r="Q9" s="26"/>
      <c r="R9" s="26"/>
      <c r="S9" s="26"/>
      <c r="T9" s="26"/>
      <c r="U9" s="26"/>
      <c r="V9" s="26"/>
      <c r="W9" s="5"/>
      <c r="X9" s="5"/>
      <c r="Y9" s="26"/>
      <c r="Z9" s="26"/>
      <c r="AA9" s="26"/>
      <c r="AB9" s="26"/>
      <c r="AC9" s="26"/>
      <c r="AD9" s="92"/>
      <c r="AE9" s="23"/>
      <c r="AG9" s="366"/>
    </row>
    <row r="10" spans="1:33" s="97" customFormat="1" ht="35.1" customHeight="1">
      <c r="A10" s="115"/>
      <c r="B10" s="135" t="s">
        <v>235</v>
      </c>
      <c r="C10" s="29"/>
      <c r="D10" s="40">
        <v>220</v>
      </c>
      <c r="E10" s="40">
        <v>20</v>
      </c>
      <c r="F10" s="103">
        <f>D2</f>
        <v>10</v>
      </c>
      <c r="G10" s="103">
        <f>E2</f>
        <v>10</v>
      </c>
      <c r="H10" s="117"/>
      <c r="I10" s="29"/>
      <c r="J10" s="29"/>
      <c r="K10" s="29"/>
      <c r="L10" s="40">
        <f>SUM(D10:K10)</f>
        <v>260</v>
      </c>
      <c r="M10" s="36"/>
      <c r="N10" s="121" t="s">
        <v>44</v>
      </c>
      <c r="O10" s="121">
        <f>L10*0.02</f>
        <v>5.2</v>
      </c>
      <c r="P10" s="29"/>
      <c r="Q10" s="118"/>
      <c r="R10" s="118"/>
      <c r="S10" s="29"/>
      <c r="T10" s="158"/>
      <c r="U10" s="298"/>
      <c r="V10" s="29"/>
      <c r="W10" s="121" t="s">
        <v>236</v>
      </c>
      <c r="X10" s="121">
        <f>L10*0.05</f>
        <v>13</v>
      </c>
      <c r="Y10" s="118"/>
      <c r="Z10" s="122" t="s">
        <v>161</v>
      </c>
      <c r="AA10" s="189">
        <f>L10*0.003</f>
        <v>0.78</v>
      </c>
      <c r="AB10" s="118"/>
      <c r="AC10" s="121" t="s">
        <v>188</v>
      </c>
      <c r="AD10" s="189">
        <f>L10*0.008/2.21</f>
        <v>0.94117647058823539</v>
      </c>
      <c r="AE10" s="129"/>
      <c r="AG10" s="366"/>
    </row>
    <row r="11" spans="1:33" s="29" customFormat="1" ht="35.1" customHeight="1">
      <c r="A11" s="115"/>
      <c r="B11" s="147"/>
      <c r="D11" s="36"/>
      <c r="E11" s="36"/>
      <c r="F11" s="104"/>
      <c r="G11" s="104"/>
      <c r="H11" s="100"/>
      <c r="L11" s="36"/>
      <c r="M11" s="36"/>
      <c r="N11" s="488" t="s">
        <v>289</v>
      </c>
      <c r="O11" s="488"/>
      <c r="Q11" s="118"/>
      <c r="R11" s="118"/>
      <c r="T11" s="147"/>
      <c r="U11" s="149"/>
      <c r="W11" s="121" t="s">
        <v>133</v>
      </c>
      <c r="X11" s="121">
        <f>L10*0.03</f>
        <v>7.8</v>
      </c>
      <c r="Y11" s="118"/>
      <c r="Z11" s="118"/>
      <c r="AA11" s="219"/>
      <c r="AB11" s="118"/>
      <c r="AC11" s="121" t="s">
        <v>96</v>
      </c>
      <c r="AD11" s="122" t="s">
        <v>125</v>
      </c>
      <c r="AE11" s="129"/>
      <c r="AG11" s="5"/>
    </row>
    <row r="12" spans="1:33" ht="35.1" customHeight="1">
      <c r="A12" s="19"/>
      <c r="B12" s="25" t="s">
        <v>20</v>
      </c>
      <c r="C12" s="26"/>
      <c r="D12" s="31"/>
      <c r="E12" s="31"/>
      <c r="F12" s="27"/>
      <c r="G12" s="27"/>
      <c r="H12" s="32"/>
      <c r="I12" s="26"/>
      <c r="J12" s="26"/>
      <c r="K12" s="26"/>
      <c r="L12" s="34"/>
      <c r="M12" s="30"/>
      <c r="N12" s="49"/>
      <c r="O12" s="49"/>
      <c r="P12" s="26"/>
      <c r="Q12" s="49"/>
      <c r="R12" s="49"/>
      <c r="S12" s="26"/>
      <c r="T12" s="26"/>
      <c r="U12" s="26"/>
      <c r="V12" s="26"/>
      <c r="W12" s="26"/>
      <c r="X12" s="216"/>
      <c r="Y12" s="49"/>
      <c r="Z12" s="49"/>
      <c r="AA12" s="49"/>
      <c r="AB12" s="49"/>
      <c r="AC12" s="49"/>
      <c r="AD12" s="5"/>
      <c r="AE12" s="23"/>
      <c r="AG12" s="366"/>
    </row>
    <row r="13" spans="1:33" s="97" customFormat="1" ht="47.25" customHeight="1">
      <c r="A13" s="115"/>
      <c r="B13" s="116" t="s">
        <v>179</v>
      </c>
      <c r="C13" s="141"/>
      <c r="D13" s="28">
        <v>240</v>
      </c>
      <c r="E13" s="28"/>
      <c r="F13" s="105">
        <f>+D2</f>
        <v>10</v>
      </c>
      <c r="G13" s="105">
        <f>E2</f>
        <v>10</v>
      </c>
      <c r="H13" s="117"/>
      <c r="I13" s="29"/>
      <c r="J13" s="29"/>
      <c r="K13" s="29"/>
      <c r="L13" s="28">
        <f>SUM(D13:K13)</f>
        <v>260</v>
      </c>
      <c r="M13" s="36"/>
      <c r="N13" s="118"/>
      <c r="O13" s="118"/>
      <c r="P13" s="29"/>
      <c r="Q13" s="29"/>
      <c r="R13" s="118"/>
      <c r="S13" s="29"/>
      <c r="T13" s="29"/>
      <c r="U13" s="29"/>
      <c r="V13" s="29"/>
      <c r="W13" s="29"/>
      <c r="X13" s="29"/>
      <c r="Y13" s="118"/>
      <c r="AB13" s="118"/>
      <c r="AC13" s="135" t="str">
        <f>B13</f>
        <v>coupelle purée de pommes</v>
      </c>
      <c r="AD13" s="121">
        <f>L13</f>
        <v>260</v>
      </c>
      <c r="AE13" s="129"/>
      <c r="AG13" s="366"/>
    </row>
    <row r="14" spans="1:33" ht="35.1" customHeight="1">
      <c r="A14" s="19"/>
      <c r="B14" s="324" t="s">
        <v>23</v>
      </c>
      <c r="C14" s="5"/>
      <c r="D14" s="8"/>
      <c r="E14" s="8"/>
      <c r="F14" s="5"/>
      <c r="G14" s="5"/>
      <c r="H14" s="5"/>
      <c r="I14" s="26"/>
      <c r="J14" s="26"/>
      <c r="K14" s="26"/>
      <c r="L14" s="34"/>
      <c r="M14" s="30"/>
      <c r="N14" s="49"/>
      <c r="O14" s="49"/>
      <c r="P14" s="26"/>
      <c r="Q14" s="49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82"/>
      <c r="AE14" s="23"/>
      <c r="AG14" s="366"/>
    </row>
    <row r="15" spans="1:33" s="33" customFormat="1" ht="44.25" customHeight="1">
      <c r="A15" s="138"/>
      <c r="B15" s="178" t="s">
        <v>237</v>
      </c>
      <c r="C15" s="36"/>
      <c r="D15" s="28">
        <v>220</v>
      </c>
      <c r="E15" s="28">
        <v>30</v>
      </c>
      <c r="F15" s="227">
        <f>D3</f>
        <v>19</v>
      </c>
      <c r="G15" s="227">
        <f>E3</f>
        <v>10</v>
      </c>
      <c r="H15" s="41"/>
      <c r="I15" s="36"/>
      <c r="J15" s="36"/>
      <c r="K15" s="36"/>
      <c r="L15" s="40">
        <f>SUM(D15:K15)</f>
        <v>279</v>
      </c>
      <c r="M15" s="36"/>
      <c r="N15" s="109"/>
      <c r="O15" s="142"/>
      <c r="P15" s="155"/>
      <c r="Q15" s="158"/>
      <c r="R15" s="298"/>
      <c r="S15" s="155"/>
      <c r="T15" s="28" t="s">
        <v>95</v>
      </c>
      <c r="U15" s="28">
        <f>L15*0.001</f>
        <v>0.27900000000000003</v>
      </c>
      <c r="V15" s="155"/>
      <c r="W15" s="178" t="s">
        <v>280</v>
      </c>
      <c r="X15" s="28">
        <f>L15*0.1</f>
        <v>27.900000000000002</v>
      </c>
      <c r="Y15" s="155"/>
      <c r="Z15" s="132"/>
      <c r="AA15" s="403"/>
      <c r="AB15" s="36"/>
      <c r="AC15" s="40" t="s">
        <v>96</v>
      </c>
      <c r="AD15" s="134" t="s">
        <v>125</v>
      </c>
      <c r="AE15" s="140"/>
      <c r="AF15" s="97"/>
      <c r="AG15" s="366"/>
    </row>
    <row r="16" spans="1:33" ht="35.1" customHeight="1">
      <c r="A16" s="19"/>
      <c r="B16" s="6" t="s">
        <v>23</v>
      </c>
      <c r="C16" s="5"/>
      <c r="D16" s="36"/>
      <c r="E16" s="36"/>
      <c r="F16" s="29"/>
      <c r="G16" s="91"/>
      <c r="H16" s="95"/>
      <c r="I16" s="26"/>
      <c r="J16" s="26"/>
      <c r="K16" s="26"/>
      <c r="L16" s="34"/>
      <c r="M16" s="30"/>
      <c r="N16" s="26"/>
      <c r="O16" s="26"/>
      <c r="P16" s="26"/>
      <c r="Q16" s="26"/>
      <c r="R16" s="26"/>
      <c r="S16" s="26"/>
      <c r="T16" s="26"/>
      <c r="U16" s="5"/>
      <c r="V16" s="26"/>
      <c r="W16" s="26"/>
      <c r="X16" s="26"/>
      <c r="Y16" s="26"/>
      <c r="Z16" s="26"/>
      <c r="AA16" s="26"/>
      <c r="AB16" s="26"/>
      <c r="AC16" s="26"/>
      <c r="AD16" s="92"/>
      <c r="AE16" s="23"/>
      <c r="AF16" s="97"/>
      <c r="AG16" s="97"/>
    </row>
    <row r="17" spans="1:33" s="33" customFormat="1" ht="43.5" customHeight="1">
      <c r="A17" s="138"/>
      <c r="B17" s="162" t="s">
        <v>238</v>
      </c>
      <c r="C17" s="139"/>
      <c r="D17" s="28">
        <v>220</v>
      </c>
      <c r="E17" s="28">
        <v>80</v>
      </c>
      <c r="F17" s="227">
        <f>D3</f>
        <v>19</v>
      </c>
      <c r="G17" s="227">
        <f>E3</f>
        <v>10</v>
      </c>
      <c r="H17" s="28"/>
      <c r="I17" s="36"/>
      <c r="J17" s="36"/>
      <c r="K17" s="36"/>
      <c r="L17" s="28">
        <f>SUM(D17:K17)</f>
        <v>329</v>
      </c>
      <c r="M17" s="36"/>
      <c r="N17" s="36"/>
      <c r="O17" s="36"/>
      <c r="P17" s="36"/>
      <c r="Q17" s="28" t="s">
        <v>87</v>
      </c>
      <c r="R17" s="225">
        <f>L17*0.022</f>
        <v>7.2379999999999995</v>
      </c>
      <c r="S17" s="368"/>
      <c r="T17" s="295"/>
      <c r="U17" s="404"/>
      <c r="V17" s="295"/>
      <c r="W17" s="295"/>
      <c r="X17" s="295"/>
      <c r="Y17" s="295"/>
      <c r="Z17" s="295"/>
      <c r="AA17" s="404"/>
      <c r="AB17" s="385"/>
      <c r="AC17" s="222" t="s">
        <v>100</v>
      </c>
      <c r="AD17" s="225">
        <f>L17*0.007</f>
        <v>2.3029999999999999</v>
      </c>
      <c r="AE17" s="140"/>
      <c r="AF17" s="366"/>
      <c r="AG17" s="366"/>
    </row>
    <row r="18" spans="1:33" s="191" customFormat="1" ht="45.75" customHeight="1">
      <c r="A18" s="190"/>
      <c r="B18" s="209"/>
      <c r="F18" s="208"/>
      <c r="G18" s="208"/>
      <c r="H18" s="213"/>
      <c r="N18" s="192"/>
      <c r="O18" s="192"/>
      <c r="Q18" s="222" t="s">
        <v>240</v>
      </c>
      <c r="R18" s="225">
        <f>L17*0.051</f>
        <v>16.779</v>
      </c>
      <c r="S18" s="368"/>
      <c r="T18" s="439"/>
      <c r="U18" s="309"/>
      <c r="V18" s="385"/>
      <c r="W18" s="385"/>
      <c r="X18" s="385"/>
      <c r="Y18" s="385"/>
      <c r="Z18" s="385"/>
      <c r="AA18" s="310"/>
      <c r="AB18" s="385"/>
      <c r="AC18" s="222" t="s">
        <v>164</v>
      </c>
      <c r="AD18" s="225">
        <f>L17*0.0005</f>
        <v>0.16450000000000001</v>
      </c>
      <c r="AE18" s="193"/>
      <c r="AF18" s="97"/>
      <c r="AG18" s="97"/>
    </row>
    <row r="19" spans="1:33" s="191" customFormat="1" ht="35.1" customHeight="1">
      <c r="A19" s="190"/>
      <c r="B19" s="209"/>
      <c r="F19" s="208"/>
      <c r="G19" s="208"/>
      <c r="H19" s="213"/>
      <c r="N19" s="192"/>
      <c r="O19" s="192"/>
      <c r="Q19" s="222" t="s">
        <v>241</v>
      </c>
      <c r="R19" s="225">
        <f>L17*0.015</f>
        <v>4.9349999999999996</v>
      </c>
      <c r="S19" s="368"/>
      <c r="T19" s="439"/>
      <c r="U19" s="309"/>
      <c r="V19" s="385"/>
      <c r="W19" s="385"/>
      <c r="X19" s="385"/>
      <c r="Y19" s="385"/>
      <c r="Z19" s="385"/>
      <c r="AA19" s="310"/>
      <c r="AB19" s="385"/>
      <c r="AC19" s="221" t="s">
        <v>239</v>
      </c>
      <c r="AD19" s="225">
        <f>L17*0.003</f>
        <v>0.98699999999999999</v>
      </c>
      <c r="AE19" s="193"/>
      <c r="AF19" s="97"/>
      <c r="AG19" s="97"/>
    </row>
    <row r="20" spans="1:33" s="191" customFormat="1" ht="35.1" customHeight="1">
      <c r="A20" s="190"/>
      <c r="B20" s="209"/>
      <c r="F20" s="208"/>
      <c r="G20" s="208"/>
      <c r="H20" s="213"/>
      <c r="N20" s="192"/>
      <c r="O20" s="192"/>
      <c r="Q20" s="222" t="s">
        <v>167</v>
      </c>
      <c r="R20" s="225">
        <f>L17*0.015</f>
        <v>4.9349999999999996</v>
      </c>
      <c r="S20" s="385"/>
      <c r="T20" s="439"/>
      <c r="U20" s="309"/>
      <c r="V20" s="385"/>
      <c r="W20" s="385"/>
      <c r="X20" s="385"/>
      <c r="Y20" s="385"/>
      <c r="Z20" s="385"/>
      <c r="AA20" s="310"/>
      <c r="AB20" s="385"/>
      <c r="AC20" s="221" t="s">
        <v>215</v>
      </c>
      <c r="AD20" s="225">
        <f>L17*0.01</f>
        <v>3.29</v>
      </c>
      <c r="AE20" s="193"/>
      <c r="AF20" s="29"/>
      <c r="AG20" s="29"/>
    </row>
    <row r="21" spans="1:33" ht="35.1" customHeight="1">
      <c r="A21" s="19"/>
      <c r="B21" s="11" t="s">
        <v>22</v>
      </c>
      <c r="C21" s="5"/>
      <c r="D21" s="29"/>
      <c r="E21" s="29"/>
      <c r="F21" s="29"/>
      <c r="G21" s="29"/>
      <c r="H21" s="29"/>
      <c r="I21" s="32"/>
      <c r="J21" s="32"/>
      <c r="K21" s="32"/>
      <c r="L21" s="83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82"/>
      <c r="AE21" s="23"/>
    </row>
    <row r="22" spans="1:33" s="97" customFormat="1" ht="44.25" customHeight="1">
      <c r="A22" s="115"/>
      <c r="B22" s="116" t="s">
        <v>140</v>
      </c>
      <c r="C22" s="109"/>
      <c r="D22" s="28">
        <v>220</v>
      </c>
      <c r="E22" s="28">
        <v>20</v>
      </c>
      <c r="F22" s="85">
        <f>D4</f>
        <v>10</v>
      </c>
      <c r="G22" s="85">
        <f>E4</f>
        <v>10</v>
      </c>
      <c r="H22" s="85"/>
      <c r="I22" s="29"/>
      <c r="J22" s="29"/>
      <c r="K22" s="29"/>
      <c r="L22" s="28">
        <f>SUM(D22:K22)</f>
        <v>260</v>
      </c>
      <c r="M22" s="29"/>
      <c r="N22" s="118"/>
      <c r="O22" s="118"/>
      <c r="P22" s="29"/>
      <c r="Q22" s="347"/>
      <c r="R22" s="347"/>
      <c r="S22" s="347"/>
      <c r="T22" s="347"/>
      <c r="U22" s="347"/>
      <c r="V22" s="348"/>
      <c r="W22" s="121" t="s">
        <v>173</v>
      </c>
      <c r="X22" s="121">
        <f>L22*0.08</f>
        <v>20.8</v>
      </c>
      <c r="Y22" s="118"/>
      <c r="Z22" s="132"/>
      <c r="AA22" s="132"/>
      <c r="AB22" s="118"/>
      <c r="AC22" s="120" t="s">
        <v>99</v>
      </c>
      <c r="AD22" s="189">
        <f>L22*0.005</f>
        <v>1.3</v>
      </c>
      <c r="AE22" s="294"/>
    </row>
    <row r="23" spans="1:33" s="97" customFormat="1" ht="35.1" customHeight="1">
      <c r="A23" s="115"/>
      <c r="B23" s="29"/>
      <c r="C23" s="29"/>
      <c r="D23" s="36"/>
      <c r="E23" s="36"/>
      <c r="F23" s="100"/>
      <c r="G23" s="100"/>
      <c r="H23" s="100"/>
      <c r="I23" s="29"/>
      <c r="J23" s="29"/>
      <c r="K23" s="29"/>
      <c r="L23" s="36"/>
      <c r="M23" s="29"/>
      <c r="N23" s="118"/>
      <c r="O23" s="118"/>
      <c r="P23" s="29"/>
      <c r="Q23" s="349"/>
      <c r="R23" s="349"/>
      <c r="S23" s="349"/>
      <c r="T23" s="349"/>
      <c r="U23" s="349"/>
      <c r="V23" s="349"/>
      <c r="W23" s="109"/>
      <c r="Y23" s="118"/>
      <c r="Z23" s="118"/>
      <c r="AA23" s="118"/>
      <c r="AB23" s="118"/>
      <c r="AC23" s="122" t="s">
        <v>107</v>
      </c>
      <c r="AD23" s="189">
        <f>L22*0.015</f>
        <v>3.9</v>
      </c>
      <c r="AE23" s="294"/>
    </row>
    <row r="24" spans="1:33" s="97" customFormat="1" ht="35.1" customHeight="1">
      <c r="A24" s="115"/>
      <c r="B24" s="29"/>
      <c r="C24" s="29"/>
      <c r="D24" s="36"/>
      <c r="E24" s="36"/>
      <c r="F24" s="100"/>
      <c r="G24" s="100"/>
      <c r="H24" s="100"/>
      <c r="I24" s="29"/>
      <c r="J24" s="29"/>
      <c r="K24" s="29"/>
      <c r="L24" s="36"/>
      <c r="M24" s="29"/>
      <c r="N24" s="118"/>
      <c r="O24" s="118"/>
      <c r="P24" s="29"/>
      <c r="Q24" s="349"/>
      <c r="R24" s="349"/>
      <c r="S24" s="349"/>
      <c r="T24" s="349"/>
      <c r="U24" s="349"/>
      <c r="V24" s="349"/>
      <c r="W24" s="29"/>
      <c r="Y24" s="118"/>
      <c r="Z24" s="118"/>
      <c r="AA24" s="118"/>
      <c r="AB24" s="118"/>
      <c r="AC24" s="122" t="s">
        <v>90</v>
      </c>
      <c r="AD24" s="189" t="s">
        <v>125</v>
      </c>
      <c r="AE24" s="294"/>
    </row>
    <row r="25" spans="1:33" ht="35.1" customHeight="1">
      <c r="A25" s="19"/>
      <c r="B25" s="11" t="s">
        <v>22</v>
      </c>
      <c r="C25" s="5"/>
      <c r="D25" s="36"/>
      <c r="E25" s="36"/>
      <c r="F25" s="29"/>
      <c r="G25" s="29"/>
      <c r="H25" s="29"/>
      <c r="I25" s="32"/>
      <c r="J25" s="32"/>
      <c r="K25" s="32"/>
      <c r="L25" s="34"/>
      <c r="M25" s="26"/>
      <c r="N25" s="26"/>
      <c r="O25" s="26"/>
      <c r="P25" s="26"/>
      <c r="Q25" s="26"/>
      <c r="R25" s="26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82"/>
      <c r="AE25" s="23"/>
    </row>
    <row r="26" spans="1:33" s="97" customFormat="1" ht="35.1" customHeight="1">
      <c r="A26" s="115"/>
      <c r="B26" s="121" t="s">
        <v>119</v>
      </c>
      <c r="C26" s="109"/>
      <c r="D26" s="28">
        <v>240</v>
      </c>
      <c r="E26" s="28"/>
      <c r="F26" s="85">
        <f>+D4</f>
        <v>10</v>
      </c>
      <c r="G26" s="85">
        <f>E4</f>
        <v>10</v>
      </c>
      <c r="H26" s="85"/>
      <c r="I26" s="29"/>
      <c r="J26" s="29"/>
      <c r="K26" s="29"/>
      <c r="L26" s="28">
        <f>SUM(D26:K26)</f>
        <v>260</v>
      </c>
      <c r="M26" s="29"/>
      <c r="N26" s="118"/>
      <c r="O26" s="118"/>
      <c r="P26" s="29"/>
      <c r="Q26" s="121" t="str">
        <f>+B26</f>
        <v>carré président</v>
      </c>
      <c r="R26" s="122">
        <f>+L26</f>
        <v>260</v>
      </c>
      <c r="S26" s="29"/>
      <c r="T26" s="29"/>
      <c r="U26" s="29"/>
      <c r="V26" s="29"/>
      <c r="W26" s="118"/>
      <c r="X26" s="118"/>
      <c r="Y26" s="118"/>
      <c r="Z26" s="118"/>
      <c r="AA26" s="118"/>
      <c r="AB26" s="118"/>
      <c r="AC26" s="118"/>
      <c r="AD26" s="29"/>
      <c r="AE26" s="129"/>
    </row>
    <row r="27" spans="1:33" ht="35.1" customHeight="1" thickBot="1">
      <c r="A27" s="43"/>
      <c r="B27" s="44"/>
      <c r="C27" s="44"/>
      <c r="D27" s="44"/>
      <c r="E27" s="44"/>
      <c r="F27" s="44"/>
      <c r="G27" s="44"/>
      <c r="H27" s="44"/>
      <c r="I27" s="44"/>
      <c r="J27" s="44"/>
      <c r="K27" s="44"/>
      <c r="L27" s="45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6"/>
      <c r="AF27" s="19"/>
    </row>
    <row r="28" spans="1:33" ht="33.75" thickBot="1">
      <c r="A28" s="13"/>
      <c r="B28" s="14" t="s">
        <v>40</v>
      </c>
      <c r="C28" s="15"/>
      <c r="D28" s="15"/>
      <c r="E28" s="15"/>
      <c r="F28" s="15"/>
      <c r="G28" s="15"/>
      <c r="H28" s="15"/>
      <c r="I28" s="15"/>
      <c r="J28" s="15"/>
      <c r="K28" s="15"/>
      <c r="L28" s="16"/>
      <c r="M28" s="17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8"/>
      <c r="AF28" s="19"/>
    </row>
    <row r="29" spans="1:33" ht="21.75" thickBot="1">
      <c r="A29" s="19"/>
      <c r="B29" s="5" t="s">
        <v>8</v>
      </c>
      <c r="C29" s="5"/>
      <c r="D29" s="24" t="s">
        <v>9</v>
      </c>
      <c r="E29" s="24" t="s">
        <v>10</v>
      </c>
      <c r="F29" s="24" t="s">
        <v>34</v>
      </c>
      <c r="G29" s="24" t="s">
        <v>35</v>
      </c>
      <c r="H29" s="24" t="s">
        <v>0</v>
      </c>
      <c r="I29" s="5"/>
      <c r="J29" s="5"/>
      <c r="K29" s="5"/>
      <c r="L29" s="20"/>
      <c r="M29" s="21"/>
      <c r="N29" s="485" t="s">
        <v>2</v>
      </c>
      <c r="O29" s="486"/>
      <c r="P29" s="22"/>
      <c r="Q29" s="485" t="s">
        <v>3</v>
      </c>
      <c r="R29" s="486"/>
      <c r="S29" s="22"/>
      <c r="T29" s="485" t="s">
        <v>4</v>
      </c>
      <c r="U29" s="486"/>
      <c r="V29" s="22"/>
      <c r="W29" s="485" t="s">
        <v>5</v>
      </c>
      <c r="X29" s="486"/>
      <c r="Y29" s="22"/>
      <c r="Z29" s="485" t="s">
        <v>6</v>
      </c>
      <c r="AA29" s="486"/>
      <c r="AB29" s="22"/>
      <c r="AC29" s="485" t="s">
        <v>7</v>
      </c>
      <c r="AD29" s="486"/>
      <c r="AE29" s="23"/>
      <c r="AF29" s="19"/>
    </row>
    <row r="30" spans="1:33" ht="30" customHeight="1">
      <c r="A30" s="19"/>
      <c r="B30" s="25" t="s">
        <v>20</v>
      </c>
      <c r="C30" s="26"/>
      <c r="D30" s="26"/>
      <c r="E30" s="84"/>
      <c r="F30" s="26"/>
      <c r="G30" s="26"/>
      <c r="H30" s="200"/>
      <c r="I30" s="26"/>
      <c r="J30" s="26"/>
      <c r="K30" s="26"/>
      <c r="L30" s="27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30"/>
      <c r="AC30" s="218"/>
      <c r="AD30" s="218"/>
      <c r="AE30" s="23"/>
    </row>
    <row r="31" spans="1:33" s="33" customFormat="1" ht="41.25" customHeight="1">
      <c r="A31" s="138"/>
      <c r="B31" s="162" t="s">
        <v>242</v>
      </c>
      <c r="C31" s="155"/>
      <c r="D31" s="28">
        <v>220</v>
      </c>
      <c r="E31" s="28">
        <v>40</v>
      </c>
      <c r="F31" s="228">
        <f>D2</f>
        <v>10</v>
      </c>
      <c r="G31" s="228">
        <f>E2</f>
        <v>10</v>
      </c>
      <c r="H31" s="41"/>
      <c r="I31" s="36"/>
      <c r="J31" s="36"/>
      <c r="K31" s="36"/>
      <c r="L31" s="40">
        <f>SUM(D31:K31)</f>
        <v>280</v>
      </c>
      <c r="M31" s="36"/>
      <c r="N31" s="162" t="s">
        <v>105</v>
      </c>
      <c r="O31" s="122">
        <f>L31*0.13</f>
        <v>36.4</v>
      </c>
      <c r="P31" s="36"/>
      <c r="Q31" s="122" t="s">
        <v>85</v>
      </c>
      <c r="R31" s="122">
        <f>L31*0.0045</f>
        <v>1.26</v>
      </c>
      <c r="S31" s="118"/>
      <c r="T31" s="155"/>
      <c r="U31" s="161"/>
      <c r="V31" s="118"/>
      <c r="W31" s="36"/>
      <c r="X31" s="36"/>
      <c r="Y31" s="36"/>
      <c r="Z31" s="36"/>
      <c r="AA31" s="36"/>
      <c r="AB31" s="36"/>
      <c r="AC31" s="178" t="s">
        <v>178</v>
      </c>
      <c r="AD31" s="378">
        <f>L31*0.0012</f>
        <v>0.33599999999999997</v>
      </c>
      <c r="AE31" s="140"/>
    </row>
    <row r="32" spans="1:33" s="29" customFormat="1" ht="30" customHeight="1">
      <c r="A32" s="115"/>
      <c r="B32" s="147"/>
      <c r="D32" s="36"/>
      <c r="E32" s="36"/>
      <c r="F32" s="125"/>
      <c r="G32" s="125"/>
      <c r="H32" s="125"/>
      <c r="L32" s="36"/>
      <c r="O32" s="118"/>
      <c r="Q32" s="132"/>
      <c r="R32" s="160"/>
      <c r="S32" s="118"/>
      <c r="T32" s="36"/>
      <c r="U32" s="150"/>
      <c r="V32" s="118"/>
      <c r="W32" s="36"/>
      <c r="X32" s="36"/>
      <c r="Y32" s="36"/>
      <c r="Z32" s="36"/>
      <c r="AA32" s="36"/>
      <c r="AB32" s="36"/>
      <c r="AC32" s="28" t="s">
        <v>154</v>
      </c>
      <c r="AD32" s="163">
        <f>L31*0.0015</f>
        <v>0.42</v>
      </c>
      <c r="AE32" s="129"/>
    </row>
    <row r="33" spans="1:31" s="29" customFormat="1" ht="30" customHeight="1">
      <c r="A33" s="115"/>
      <c r="B33" s="147"/>
      <c r="D33" s="36"/>
      <c r="E33" s="36"/>
      <c r="F33" s="125"/>
      <c r="G33" s="125"/>
      <c r="H33" s="125"/>
      <c r="L33" s="36"/>
      <c r="O33" s="118"/>
      <c r="Q33" s="118"/>
      <c r="R33" s="118"/>
      <c r="S33" s="118"/>
      <c r="T33" s="36"/>
      <c r="U33" s="36"/>
      <c r="V33" s="118"/>
      <c r="W33" s="36"/>
      <c r="X33" s="36"/>
      <c r="Y33" s="36"/>
      <c r="Z33" s="36"/>
      <c r="AA33" s="36"/>
      <c r="AB33" s="36"/>
      <c r="AC33" s="28" t="s">
        <v>243</v>
      </c>
      <c r="AD33" s="163">
        <f>L31*0.0185/1.84</f>
        <v>2.8152173913043477</v>
      </c>
      <c r="AE33" s="129"/>
    </row>
    <row r="34" spans="1:31" s="29" customFormat="1" ht="30" customHeight="1">
      <c r="A34" s="115"/>
      <c r="B34" s="147"/>
      <c r="D34" s="36"/>
      <c r="E34" s="36"/>
      <c r="F34" s="125"/>
      <c r="G34" s="125"/>
      <c r="H34" s="125"/>
      <c r="L34" s="36"/>
      <c r="O34" s="118"/>
      <c r="Q34" s="118"/>
      <c r="R34" s="118"/>
      <c r="S34" s="118"/>
      <c r="T34" s="36"/>
      <c r="U34" s="179"/>
      <c r="V34" s="118"/>
      <c r="W34" s="36"/>
      <c r="X34" s="36"/>
      <c r="Y34" s="36"/>
      <c r="Z34" s="36"/>
      <c r="AA34" s="36"/>
      <c r="AB34" s="36"/>
      <c r="AC34" s="28" t="s">
        <v>244</v>
      </c>
      <c r="AD34" s="163">
        <f>L31*0.0015</f>
        <v>0.42</v>
      </c>
      <c r="AE34" s="129"/>
    </row>
    <row r="35" spans="1:31" s="29" customFormat="1" ht="30" customHeight="1">
      <c r="A35" s="115"/>
      <c r="B35" s="147"/>
      <c r="D35" s="36"/>
      <c r="E35" s="36"/>
      <c r="F35" s="125"/>
      <c r="G35" s="125"/>
      <c r="H35" s="125"/>
      <c r="L35" s="36"/>
      <c r="O35" s="118"/>
      <c r="Q35" s="118"/>
      <c r="R35" s="118"/>
      <c r="S35" s="118"/>
      <c r="T35" s="36"/>
      <c r="U35" s="179"/>
      <c r="V35" s="118"/>
      <c r="W35" s="36"/>
      <c r="X35" s="36"/>
      <c r="Y35" s="36"/>
      <c r="Z35" s="36"/>
      <c r="AA35" s="36"/>
      <c r="AB35" s="36"/>
      <c r="AC35" s="28" t="s">
        <v>100</v>
      </c>
      <c r="AD35" s="163">
        <f>L31*0.0015</f>
        <v>0.42</v>
      </c>
      <c r="AE35" s="129"/>
    </row>
    <row r="36" spans="1:31" s="29" customFormat="1" ht="30" customHeight="1">
      <c r="A36" s="115"/>
      <c r="B36" s="147"/>
      <c r="D36" s="36"/>
      <c r="E36" s="36"/>
      <c r="F36" s="125"/>
      <c r="G36" s="125"/>
      <c r="H36" s="125"/>
      <c r="L36" s="36"/>
      <c r="O36" s="118"/>
      <c r="Q36" s="118"/>
      <c r="R36" s="118"/>
      <c r="S36" s="118"/>
      <c r="T36" s="36"/>
      <c r="U36" s="179"/>
      <c r="V36" s="118"/>
      <c r="W36" s="36"/>
      <c r="X36" s="36"/>
      <c r="Y36" s="36"/>
      <c r="Z36" s="36"/>
      <c r="AA36" s="36"/>
      <c r="AB36" s="36"/>
      <c r="AC36" s="28" t="s">
        <v>90</v>
      </c>
      <c r="AD36" s="134" t="s">
        <v>125</v>
      </c>
      <c r="AE36" s="129"/>
    </row>
    <row r="37" spans="1:31" s="29" customFormat="1" ht="30" customHeight="1">
      <c r="A37" s="115"/>
      <c r="B37" s="147"/>
      <c r="D37" s="36"/>
      <c r="E37" s="36"/>
      <c r="F37" s="125"/>
      <c r="G37" s="125"/>
      <c r="H37" s="125"/>
      <c r="L37" s="36"/>
      <c r="O37" s="118"/>
      <c r="Q37" s="118"/>
      <c r="R37" s="118"/>
      <c r="S37" s="118"/>
      <c r="T37" s="36"/>
      <c r="U37" s="179"/>
      <c r="V37" s="118"/>
      <c r="W37" s="36"/>
      <c r="X37" s="36"/>
      <c r="Y37" s="36"/>
      <c r="Z37" s="36"/>
      <c r="AA37" s="36"/>
      <c r="AB37" s="36"/>
      <c r="AC37" s="28" t="s">
        <v>109</v>
      </c>
      <c r="AD37" s="163">
        <f>L31*0.005</f>
        <v>1.4000000000000001</v>
      </c>
      <c r="AE37" s="129"/>
    </row>
    <row r="38" spans="1:31" ht="30" customHeight="1">
      <c r="A38" s="19"/>
      <c r="B38" s="25" t="s">
        <v>20</v>
      </c>
      <c r="C38" s="26"/>
      <c r="D38" s="31"/>
      <c r="E38" s="84"/>
      <c r="F38" s="32"/>
      <c r="G38" s="32"/>
      <c r="I38" s="32"/>
      <c r="J38" s="32"/>
      <c r="K38" s="32"/>
      <c r="L38" s="34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30"/>
      <c r="AC38" s="30"/>
      <c r="AD38" s="30"/>
      <c r="AE38" s="23"/>
    </row>
    <row r="39" spans="1:31" s="97" customFormat="1" ht="30" customHeight="1">
      <c r="A39" s="115"/>
      <c r="B39" s="135" t="s">
        <v>83</v>
      </c>
      <c r="C39" s="29"/>
      <c r="D39" s="28">
        <v>240</v>
      </c>
      <c r="E39" s="28"/>
      <c r="F39" s="105">
        <f>D2</f>
        <v>10</v>
      </c>
      <c r="G39" s="105">
        <f>E2</f>
        <v>10</v>
      </c>
      <c r="H39" s="85"/>
      <c r="I39" s="29"/>
      <c r="J39" s="29"/>
      <c r="K39" s="29"/>
      <c r="L39" s="40">
        <f>SUM(D39:K39)</f>
        <v>260</v>
      </c>
      <c r="M39" s="29"/>
      <c r="N39" s="29"/>
      <c r="O39" s="29"/>
      <c r="P39" s="29"/>
      <c r="Q39" s="121" t="s">
        <v>85</v>
      </c>
      <c r="R39" s="121">
        <f>L39*0.002</f>
        <v>0.52</v>
      </c>
      <c r="S39" s="29"/>
      <c r="T39" s="29"/>
      <c r="U39" s="29"/>
      <c r="V39" s="29"/>
      <c r="Y39" s="29"/>
      <c r="Z39" s="29"/>
      <c r="AA39" s="29"/>
      <c r="AB39" s="29"/>
      <c r="AC39" s="119" t="s">
        <v>84</v>
      </c>
      <c r="AD39" s="119">
        <f>L39*0.07</f>
        <v>18.200000000000003</v>
      </c>
      <c r="AE39" s="129"/>
    </row>
    <row r="40" spans="1:31" ht="32.25" customHeight="1">
      <c r="A40" s="19"/>
      <c r="B40" s="6" t="s">
        <v>23</v>
      </c>
      <c r="C40" s="5"/>
      <c r="D40" s="36"/>
      <c r="E40" s="36"/>
      <c r="F40" s="29"/>
      <c r="G40" s="29"/>
      <c r="H40" s="29"/>
      <c r="I40" s="32"/>
      <c r="J40" s="32"/>
      <c r="K40" s="32"/>
      <c r="L40" s="34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5"/>
      <c r="AD40" s="82"/>
      <c r="AE40" s="23"/>
    </row>
    <row r="41" spans="1:31" s="97" customFormat="1" ht="41.25" customHeight="1">
      <c r="A41" s="115"/>
      <c r="B41" s="116" t="s">
        <v>245</v>
      </c>
      <c r="C41" s="109"/>
      <c r="D41" s="28">
        <v>220</v>
      </c>
      <c r="E41" s="28">
        <v>20</v>
      </c>
      <c r="F41" s="123">
        <f>+D3</f>
        <v>19</v>
      </c>
      <c r="G41" s="123">
        <f>E3</f>
        <v>10</v>
      </c>
      <c r="H41" s="123"/>
      <c r="I41" s="29"/>
      <c r="J41" s="29"/>
      <c r="K41" s="29"/>
      <c r="L41" s="40">
        <f>SUM(D41:K41)</f>
        <v>269</v>
      </c>
      <c r="M41" s="29"/>
      <c r="N41" s="121" t="s">
        <v>246</v>
      </c>
      <c r="O41" s="122">
        <f>L41*0.12</f>
        <v>32.28</v>
      </c>
      <c r="P41" s="29"/>
      <c r="Q41" s="132"/>
      <c r="R41" s="160"/>
      <c r="S41" s="109"/>
      <c r="T41" s="109"/>
      <c r="U41" s="161"/>
      <c r="V41" s="29"/>
      <c r="W41" s="29"/>
      <c r="X41" s="118"/>
      <c r="Y41" s="118"/>
      <c r="Z41" s="118"/>
      <c r="AA41" s="118"/>
      <c r="AB41" s="118"/>
      <c r="AC41" s="122" t="s">
        <v>72</v>
      </c>
      <c r="AD41" s="121">
        <f>L41*0.002</f>
        <v>0.53800000000000003</v>
      </c>
      <c r="AE41" s="129"/>
    </row>
    <row r="42" spans="1:31" s="29" customFormat="1" ht="30" customHeight="1">
      <c r="A42" s="115"/>
      <c r="B42" s="147"/>
      <c r="D42" s="36"/>
      <c r="E42" s="36"/>
      <c r="F42" s="125"/>
      <c r="G42" s="125"/>
      <c r="H42" s="125"/>
      <c r="L42" s="36"/>
      <c r="O42" s="118"/>
      <c r="Q42" s="118"/>
      <c r="R42" s="118"/>
      <c r="U42" s="219"/>
      <c r="X42" s="118"/>
      <c r="Y42" s="118"/>
      <c r="Z42" s="118"/>
      <c r="AA42" s="118"/>
      <c r="AB42" s="118"/>
      <c r="AC42" s="122" t="s">
        <v>247</v>
      </c>
      <c r="AD42" s="136">
        <f>L41*0.001</f>
        <v>0.26900000000000002</v>
      </c>
      <c r="AE42" s="129"/>
    </row>
    <row r="43" spans="1:31" s="29" customFormat="1" ht="30" customHeight="1">
      <c r="A43" s="115"/>
      <c r="B43" s="147"/>
      <c r="D43" s="36"/>
      <c r="E43" s="36"/>
      <c r="F43" s="125"/>
      <c r="G43" s="125"/>
      <c r="H43" s="125"/>
      <c r="L43" s="36"/>
      <c r="O43" s="118"/>
      <c r="Q43" s="118"/>
      <c r="R43" s="118"/>
      <c r="T43" s="147"/>
      <c r="U43" s="219"/>
      <c r="X43" s="118"/>
      <c r="Y43" s="118"/>
      <c r="Z43" s="118"/>
      <c r="AA43" s="118"/>
      <c r="AB43" s="118"/>
      <c r="AC43" s="122" t="s">
        <v>109</v>
      </c>
      <c r="AD43" s="136">
        <f>L41*0.01</f>
        <v>2.69</v>
      </c>
      <c r="AE43" s="129"/>
    </row>
    <row r="44" spans="1:31" s="29" customFormat="1" ht="30" customHeight="1">
      <c r="A44" s="115"/>
      <c r="B44" s="147"/>
      <c r="D44" s="36"/>
      <c r="E44" s="36"/>
      <c r="F44" s="125"/>
      <c r="G44" s="125"/>
      <c r="H44" s="125"/>
      <c r="L44" s="36"/>
      <c r="O44" s="118"/>
      <c r="Q44" s="118"/>
      <c r="R44" s="118"/>
      <c r="T44" s="147"/>
      <c r="U44" s="219"/>
      <c r="X44" s="118"/>
      <c r="Y44" s="118"/>
      <c r="Z44" s="118"/>
      <c r="AA44" s="118"/>
      <c r="AB44" s="118"/>
      <c r="AC44" s="122" t="s">
        <v>96</v>
      </c>
      <c r="AD44" s="121" t="s">
        <v>125</v>
      </c>
      <c r="AE44" s="129"/>
    </row>
    <row r="45" spans="1:31" ht="22.5" customHeight="1">
      <c r="A45" s="19"/>
      <c r="B45" s="6" t="s">
        <v>23</v>
      </c>
      <c r="C45" s="5"/>
      <c r="D45" s="36"/>
      <c r="E45" s="36"/>
      <c r="F45" s="29"/>
      <c r="G45" s="29"/>
      <c r="H45" s="200"/>
      <c r="I45" s="32"/>
      <c r="J45" s="32"/>
      <c r="K45" s="32"/>
      <c r="L45" s="34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92"/>
      <c r="AE45" s="23"/>
    </row>
    <row r="46" spans="1:31" s="97" customFormat="1" ht="30" customHeight="1">
      <c r="A46" s="115"/>
      <c r="B46" s="116" t="s">
        <v>248</v>
      </c>
      <c r="C46" s="109"/>
      <c r="D46" s="28">
        <v>240</v>
      </c>
      <c r="E46" s="28">
        <v>20</v>
      </c>
      <c r="F46" s="123">
        <f>D3</f>
        <v>19</v>
      </c>
      <c r="G46" s="123">
        <f>E3</f>
        <v>10</v>
      </c>
      <c r="H46" s="94"/>
      <c r="I46" s="29"/>
      <c r="J46" s="29"/>
      <c r="K46" s="29"/>
      <c r="L46" s="40">
        <f>SUM(D46:K46)</f>
        <v>289</v>
      </c>
      <c r="M46" s="29"/>
      <c r="P46" s="29"/>
      <c r="Q46" s="109"/>
      <c r="R46" s="298"/>
      <c r="S46" s="29"/>
      <c r="T46" s="119" t="s">
        <v>61</v>
      </c>
      <c r="U46" s="120">
        <f>L46*0.18</f>
        <v>52.019999999999996</v>
      </c>
      <c r="V46" s="29"/>
      <c r="W46" s="109"/>
      <c r="X46" s="109"/>
      <c r="Y46" s="118"/>
      <c r="Z46" s="118"/>
      <c r="AA46" s="118"/>
      <c r="AB46" s="118"/>
      <c r="AC46" s="135" t="s">
        <v>89</v>
      </c>
      <c r="AD46" s="136">
        <f>L46*0.0035</f>
        <v>1.0115000000000001</v>
      </c>
      <c r="AE46" s="129"/>
    </row>
    <row r="47" spans="1:31" s="97" customFormat="1" ht="30" customHeight="1">
      <c r="A47" s="115"/>
      <c r="B47" s="29"/>
      <c r="C47" s="29"/>
      <c r="D47" s="36"/>
      <c r="E47" s="36"/>
      <c r="F47" s="125"/>
      <c r="G47" s="125"/>
      <c r="H47" s="125"/>
      <c r="I47" s="29"/>
      <c r="J47" s="29"/>
      <c r="K47" s="29"/>
      <c r="L47" s="36"/>
      <c r="M47" s="29"/>
      <c r="P47" s="29"/>
      <c r="Q47" s="118"/>
      <c r="R47" s="118"/>
      <c r="S47" s="29"/>
      <c r="T47" s="121" t="s">
        <v>60</v>
      </c>
      <c r="U47" s="189">
        <f>L46*0.01</f>
        <v>2.89</v>
      </c>
      <c r="V47" s="29"/>
      <c r="W47" s="29"/>
      <c r="X47" s="29"/>
      <c r="Y47" s="118"/>
      <c r="Z47" s="118"/>
      <c r="AA47" s="118"/>
      <c r="AB47" s="118"/>
      <c r="AC47" s="116" t="s">
        <v>209</v>
      </c>
      <c r="AD47" s="136">
        <f>L46*0.0014</f>
        <v>0.40460000000000002</v>
      </c>
      <c r="AE47" s="129"/>
    </row>
    <row r="48" spans="1:31" s="97" customFormat="1" ht="39.75" customHeight="1">
      <c r="A48" s="115"/>
      <c r="B48" s="29"/>
      <c r="C48" s="29"/>
      <c r="D48" s="36"/>
      <c r="E48" s="36"/>
      <c r="F48" s="125"/>
      <c r="G48" s="125"/>
      <c r="H48" s="125"/>
      <c r="I48" s="29"/>
      <c r="J48" s="29"/>
      <c r="K48" s="29"/>
      <c r="L48" s="36"/>
      <c r="M48" s="29"/>
      <c r="P48" s="29"/>
      <c r="Q48" s="118"/>
      <c r="R48" s="118"/>
      <c r="S48" s="29"/>
      <c r="T48" s="116" t="s">
        <v>172</v>
      </c>
      <c r="U48" s="189">
        <f>L46*0.02</f>
        <v>5.78</v>
      </c>
      <c r="V48" s="29"/>
      <c r="W48" s="29"/>
      <c r="X48" s="29"/>
      <c r="Y48" s="118"/>
      <c r="Z48" s="118"/>
      <c r="AA48" s="118"/>
      <c r="AB48" s="118"/>
      <c r="AC48" s="116" t="s">
        <v>96</v>
      </c>
      <c r="AD48" s="136" t="s">
        <v>125</v>
      </c>
      <c r="AE48" s="129"/>
    </row>
    <row r="49" spans="1:32" s="97" customFormat="1" ht="30" customHeight="1">
      <c r="A49" s="115"/>
      <c r="B49" s="29"/>
      <c r="C49" s="29"/>
      <c r="D49" s="36"/>
      <c r="E49" s="36"/>
      <c r="F49" s="125"/>
      <c r="G49" s="125"/>
      <c r="H49" s="125"/>
      <c r="I49" s="29"/>
      <c r="J49" s="29"/>
      <c r="K49" s="29"/>
      <c r="L49" s="36"/>
      <c r="M49" s="29"/>
      <c r="P49" s="29"/>
      <c r="Q49" s="118"/>
      <c r="R49" s="118"/>
      <c r="S49" s="29"/>
      <c r="T49" s="116" t="s">
        <v>95</v>
      </c>
      <c r="U49" s="189">
        <f>L46*0.001</f>
        <v>0.28899999999999998</v>
      </c>
      <c r="V49" s="29"/>
      <c r="W49" s="29"/>
      <c r="X49" s="29"/>
      <c r="Y49" s="118"/>
      <c r="Z49" s="118"/>
      <c r="AA49" s="118"/>
      <c r="AB49" s="118"/>
      <c r="AC49" s="147"/>
      <c r="AD49" s="149"/>
      <c r="AE49" s="129"/>
    </row>
    <row r="50" spans="1:32" ht="21" customHeight="1">
      <c r="A50" s="19"/>
      <c r="B50" s="229" t="s">
        <v>22</v>
      </c>
      <c r="C50" s="26"/>
      <c r="D50" s="36"/>
      <c r="E50" s="36"/>
      <c r="F50" s="29"/>
      <c r="G50" s="29"/>
      <c r="H50" s="29"/>
      <c r="I50" s="32"/>
      <c r="J50" s="32"/>
      <c r="K50" s="32"/>
      <c r="L50" s="34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5"/>
      <c r="AD50" s="82"/>
      <c r="AE50" s="23"/>
    </row>
    <row r="51" spans="1:32" s="97" customFormat="1" ht="30" customHeight="1">
      <c r="A51" s="115"/>
      <c r="B51" s="135" t="s">
        <v>116</v>
      </c>
      <c r="C51" s="29"/>
      <c r="D51" s="28">
        <v>220</v>
      </c>
      <c r="E51" s="28"/>
      <c r="F51" s="230">
        <f>D4</f>
        <v>10</v>
      </c>
      <c r="G51" s="230">
        <f>E2</f>
        <v>10</v>
      </c>
      <c r="H51" s="230"/>
      <c r="I51" s="29"/>
      <c r="J51" s="29"/>
      <c r="K51" s="29"/>
      <c r="L51" s="40">
        <f>SUM(D51:K51)</f>
        <v>240</v>
      </c>
      <c r="M51" s="29"/>
      <c r="N51" s="29"/>
      <c r="O51" s="29"/>
      <c r="P51" s="29"/>
      <c r="Q51" s="29"/>
      <c r="R51" s="29"/>
      <c r="S51" s="29"/>
      <c r="T51" s="135" t="str">
        <f>B51</f>
        <v>tomate farcie 170g</v>
      </c>
      <c r="U51" s="119">
        <f>+L51</f>
        <v>240</v>
      </c>
      <c r="V51" s="144"/>
      <c r="W51" s="29"/>
      <c r="X51" s="29"/>
      <c r="Y51" s="29"/>
      <c r="Z51" s="29"/>
      <c r="AA51" s="29"/>
      <c r="AB51" s="29"/>
      <c r="AC51" s="121" t="s">
        <v>71</v>
      </c>
      <c r="AD51" s="136">
        <f>L51*0.05/4.05</f>
        <v>2.9629629629629632</v>
      </c>
      <c r="AE51" s="129"/>
    </row>
    <row r="52" spans="1:32" s="29" customFormat="1" ht="30" customHeight="1">
      <c r="A52" s="115"/>
      <c r="B52" s="147"/>
      <c r="D52" s="36"/>
      <c r="E52" s="36"/>
      <c r="F52" s="104"/>
      <c r="G52" s="104"/>
      <c r="H52" s="100"/>
      <c r="L52" s="36"/>
      <c r="T52" s="147"/>
      <c r="AC52" s="121" t="s">
        <v>72</v>
      </c>
      <c r="AD52" s="136">
        <v>1</v>
      </c>
      <c r="AE52" s="129"/>
    </row>
    <row r="53" spans="1:32" s="29" customFormat="1" ht="30" customHeight="1">
      <c r="A53" s="115"/>
      <c r="B53" s="147"/>
      <c r="D53" s="36"/>
      <c r="E53" s="36"/>
      <c r="F53" s="104"/>
      <c r="G53" s="104"/>
      <c r="H53" s="100"/>
      <c r="L53" s="36"/>
      <c r="T53" s="147"/>
      <c r="AC53" s="121" t="s">
        <v>96</v>
      </c>
      <c r="AD53" s="136" t="s">
        <v>125</v>
      </c>
      <c r="AE53" s="129"/>
    </row>
    <row r="54" spans="1:32" ht="20.25" customHeight="1">
      <c r="A54" s="19"/>
      <c r="B54" s="11" t="s">
        <v>22</v>
      </c>
      <c r="C54" s="5"/>
      <c r="D54" s="36"/>
      <c r="E54" s="84"/>
      <c r="F54" s="29"/>
      <c r="G54" s="29"/>
      <c r="H54" s="29"/>
      <c r="I54" s="32"/>
      <c r="J54" s="32"/>
      <c r="K54" s="32"/>
      <c r="L54" s="34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92"/>
      <c r="AE54" s="23"/>
    </row>
    <row r="55" spans="1:32" s="97" customFormat="1" ht="41.25" customHeight="1">
      <c r="A55" s="115"/>
      <c r="B55" s="116" t="s">
        <v>249</v>
      </c>
      <c r="C55" s="109"/>
      <c r="D55" s="28">
        <v>230</v>
      </c>
      <c r="E55" s="28"/>
      <c r="F55" s="85">
        <f>D4</f>
        <v>10</v>
      </c>
      <c r="G55" s="85">
        <f>E4</f>
        <v>10</v>
      </c>
      <c r="H55" s="85"/>
      <c r="I55" s="29"/>
      <c r="J55" s="29"/>
      <c r="K55" s="29"/>
      <c r="L55" s="40">
        <f>SUM(D55:K55)</f>
        <v>250</v>
      </c>
      <c r="M55" s="29"/>
      <c r="N55" s="132"/>
      <c r="O55" s="161"/>
      <c r="P55" s="109"/>
      <c r="Q55" s="122" t="s">
        <v>167</v>
      </c>
      <c r="R55" s="189">
        <f>L55*0.07</f>
        <v>17.5</v>
      </c>
      <c r="S55" s="29"/>
      <c r="T55" s="109"/>
      <c r="U55" s="132"/>
      <c r="V55" s="29"/>
      <c r="W55" s="116" t="s">
        <v>250</v>
      </c>
      <c r="X55" s="121">
        <f>L55*0.21</f>
        <v>52.5</v>
      </c>
      <c r="Y55" s="118"/>
      <c r="Z55" s="127"/>
      <c r="AA55" s="118"/>
      <c r="AB55" s="118"/>
      <c r="AC55" s="121" t="s">
        <v>106</v>
      </c>
      <c r="AD55" s="136" t="s">
        <v>125</v>
      </c>
      <c r="AE55" s="129"/>
    </row>
    <row r="56" spans="1:32" s="97" customFormat="1" ht="30" customHeight="1">
      <c r="A56" s="115"/>
      <c r="B56" s="147"/>
      <c r="C56" s="29"/>
      <c r="D56" s="36"/>
      <c r="E56" s="36"/>
      <c r="F56" s="100"/>
      <c r="G56" s="100"/>
      <c r="H56" s="100"/>
      <c r="I56" s="29"/>
      <c r="J56" s="29"/>
      <c r="K56" s="29"/>
      <c r="L56" s="36"/>
      <c r="M56" s="29"/>
      <c r="N56" s="118"/>
      <c r="O56" s="137"/>
      <c r="P56" s="29"/>
      <c r="Q56" s="122" t="s">
        <v>87</v>
      </c>
      <c r="R56" s="189">
        <f>L55*0.005</f>
        <v>1.25</v>
      </c>
      <c r="S56" s="29"/>
      <c r="T56" s="29"/>
      <c r="U56" s="118"/>
      <c r="V56" s="29"/>
      <c r="W56" s="147"/>
      <c r="X56" s="29"/>
      <c r="Y56" s="118"/>
      <c r="Z56" s="127"/>
      <c r="AA56" s="118"/>
      <c r="AB56" s="118"/>
      <c r="AC56" s="121" t="s">
        <v>96</v>
      </c>
      <c r="AD56" s="136" t="s">
        <v>125</v>
      </c>
      <c r="AE56" s="129"/>
    </row>
    <row r="57" spans="1:32" s="97" customFormat="1" ht="30" customHeight="1">
      <c r="A57" s="115"/>
      <c r="B57" s="147"/>
      <c r="C57" s="29"/>
      <c r="D57" s="36"/>
      <c r="E57" s="36"/>
      <c r="F57" s="100"/>
      <c r="G57" s="100"/>
      <c r="H57" s="100"/>
      <c r="I57" s="29"/>
      <c r="J57" s="29"/>
      <c r="K57" s="29"/>
      <c r="L57" s="36"/>
      <c r="M57" s="29"/>
      <c r="N57" s="118"/>
      <c r="O57" s="137"/>
      <c r="P57" s="29"/>
      <c r="Q57" s="122" t="s">
        <v>73</v>
      </c>
      <c r="R57" s="189">
        <f>L55*0.02</f>
        <v>5</v>
      </c>
      <c r="S57" s="29"/>
      <c r="T57" s="29"/>
      <c r="U57" s="118"/>
      <c r="V57" s="29"/>
      <c r="W57" s="147"/>
      <c r="X57" s="29"/>
      <c r="Y57" s="118"/>
      <c r="Z57" s="127"/>
      <c r="AA57" s="118"/>
      <c r="AB57" s="118"/>
      <c r="AC57" s="29"/>
      <c r="AD57" s="149"/>
      <c r="AE57" s="129"/>
    </row>
    <row r="58" spans="1:32" ht="20.25" customHeight="1" thickBot="1">
      <c r="A58" s="43"/>
      <c r="B58" s="44"/>
      <c r="C58" s="44"/>
      <c r="D58" s="44"/>
      <c r="E58" s="44"/>
      <c r="F58" s="44"/>
      <c r="G58" s="44"/>
      <c r="H58" s="44"/>
      <c r="I58" s="44"/>
      <c r="J58" s="44"/>
      <c r="K58" s="44"/>
      <c r="L58" s="45"/>
      <c r="M58" s="44"/>
      <c r="N58" s="44"/>
      <c r="O58" s="44"/>
      <c r="P58" s="44"/>
      <c r="Q58" s="44"/>
      <c r="R58" s="44"/>
      <c r="S58" s="44"/>
      <c r="T58" s="44"/>
      <c r="U58" s="44"/>
      <c r="V58" s="44"/>
      <c r="W58" s="44"/>
      <c r="X58" s="44"/>
      <c r="Y58" s="44"/>
      <c r="Z58" s="44"/>
      <c r="AA58" s="44"/>
      <c r="AB58" s="44"/>
      <c r="AC58" s="44"/>
      <c r="AD58" s="44"/>
      <c r="AE58" s="46"/>
      <c r="AF58" s="19"/>
    </row>
  </sheetData>
  <mergeCells count="13">
    <mergeCell ref="W7:X7"/>
    <mergeCell ref="Z7:AA7"/>
    <mergeCell ref="AC7:AD7"/>
    <mergeCell ref="N29:O29"/>
    <mergeCell ref="Q29:R29"/>
    <mergeCell ref="T29:U29"/>
    <mergeCell ref="W29:X29"/>
    <mergeCell ref="Z29:AA29"/>
    <mergeCell ref="AC29:AD29"/>
    <mergeCell ref="N7:O7"/>
    <mergeCell ref="Q7:R7"/>
    <mergeCell ref="T7:U7"/>
    <mergeCell ref="N11:O11"/>
  </mergeCells>
  <phoneticPr fontId="0" type="noConversion"/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59" fitToHeight="0" orientation="landscape" r:id="rId1"/>
  <headerFooter alignWithMargins="0">
    <oddHeader>&amp;A</oddHeader>
  </headerFooter>
  <rowBreaks count="1" manualBreakCount="1">
    <brk id="27" max="30" man="1"/>
  </rowBreak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AE41"/>
  <sheetViews>
    <sheetView showGridLines="0" showZeros="0" zoomScale="60" zoomScaleNormal="60" workbookViewId="0">
      <pane ySplit="4" topLeftCell="A5" activePane="bottomLeft" state="frozen"/>
      <selection activeCell="Y26" sqref="X26:Y26"/>
      <selection pane="bottomLeft" activeCell="O25" sqref="O25"/>
    </sheetView>
  </sheetViews>
  <sheetFormatPr baseColWidth="10" defaultRowHeight="21"/>
  <cols>
    <col min="1" max="1" width="1" style="1" customWidth="1"/>
    <col min="2" max="2" width="23" style="1" customWidth="1"/>
    <col min="3" max="3" width="0.85546875" style="1" customWidth="1"/>
    <col min="4" max="4" width="6.42578125" style="1" customWidth="1"/>
    <col min="5" max="5" width="5.140625" style="1" customWidth="1"/>
    <col min="6" max="8" width="5.42578125" style="1" customWidth="1"/>
    <col min="9" max="11" width="3.42578125" style="1" customWidth="1"/>
    <col min="12" max="12" width="6" style="2" customWidth="1"/>
    <col min="13" max="13" width="0.7109375" style="1" customWidth="1"/>
    <col min="14" max="14" width="19.5703125" style="1" customWidth="1"/>
    <col min="15" max="15" width="5.42578125" style="1" customWidth="1"/>
    <col min="16" max="16" width="0.5703125" style="1" customWidth="1"/>
    <col min="17" max="17" width="21.5703125" style="1" customWidth="1"/>
    <col min="18" max="18" width="6.7109375" style="1" customWidth="1"/>
    <col min="19" max="19" width="1" style="1" customWidth="1"/>
    <col min="20" max="20" width="20.42578125" style="1" customWidth="1"/>
    <col min="21" max="21" width="6.42578125" style="1" customWidth="1"/>
    <col min="22" max="22" width="0.7109375" style="1" customWidth="1"/>
    <col min="23" max="23" width="20.5703125" style="1" customWidth="1"/>
    <col min="24" max="24" width="5.42578125" style="1" customWidth="1"/>
    <col min="25" max="25" width="0.85546875" style="1" customWidth="1"/>
    <col min="26" max="26" width="19.140625" style="1" customWidth="1"/>
    <col min="27" max="27" width="6.28515625" style="1" customWidth="1"/>
    <col min="28" max="28" width="1" style="1" customWidth="1"/>
    <col min="29" max="29" width="23.85546875" style="1" bestFit="1" customWidth="1"/>
    <col min="30" max="30" width="6.7109375" style="1" customWidth="1"/>
    <col min="31" max="31" width="1.42578125" style="1" customWidth="1"/>
    <col min="32" max="16384" width="11.42578125" style="1"/>
  </cols>
  <sheetData>
    <row r="1" spans="1:31">
      <c r="D1" s="73" t="s">
        <v>34</v>
      </c>
      <c r="E1" s="73" t="s">
        <v>35</v>
      </c>
      <c r="F1" s="73" t="s">
        <v>0</v>
      </c>
    </row>
    <row r="2" spans="1:31" ht="20.25" customHeight="1">
      <c r="B2" s="76" t="s">
        <v>1</v>
      </c>
      <c r="C2" s="76"/>
      <c r="D2" s="3">
        <v>53</v>
      </c>
      <c r="E2" s="3">
        <v>12</v>
      </c>
      <c r="F2" s="3">
        <v>47</v>
      </c>
      <c r="G2" s="4"/>
      <c r="I2" s="8"/>
      <c r="J2" s="8"/>
      <c r="K2" s="8"/>
      <c r="L2" s="77"/>
      <c r="M2" s="8"/>
      <c r="N2" s="7"/>
      <c r="O2" s="9"/>
      <c r="P2" s="8"/>
      <c r="Q2" s="7"/>
      <c r="R2" s="47"/>
      <c r="S2" s="47"/>
      <c r="T2" s="47"/>
      <c r="U2" s="47"/>
      <c r="V2" s="47"/>
      <c r="W2" s="47"/>
      <c r="X2" s="47"/>
      <c r="Y2" s="47"/>
      <c r="Z2" s="47"/>
      <c r="AA2" s="4"/>
    </row>
    <row r="3" spans="1:31" ht="19.5" customHeight="1">
      <c r="B3" s="6" t="s">
        <v>11</v>
      </c>
      <c r="C3" s="6"/>
      <c r="D3" s="10">
        <v>20</v>
      </c>
      <c r="E3" s="10">
        <v>12</v>
      </c>
      <c r="F3" s="10"/>
      <c r="G3" s="4"/>
      <c r="I3" s="8"/>
      <c r="J3" s="8"/>
      <c r="K3" s="8"/>
      <c r="L3" s="77"/>
      <c r="M3" s="8"/>
      <c r="N3" s="8"/>
      <c r="O3" s="9"/>
      <c r="P3" s="8"/>
      <c r="Q3" s="8"/>
      <c r="R3" s="4"/>
      <c r="S3" s="4"/>
      <c r="T3" s="4"/>
      <c r="U3" s="4"/>
      <c r="V3" s="4"/>
      <c r="W3" s="4"/>
      <c r="X3" s="47"/>
      <c r="Y3" s="47"/>
      <c r="Z3" s="47"/>
      <c r="AA3" s="47"/>
    </row>
    <row r="4" spans="1:31" ht="18" customHeight="1" thickBot="1">
      <c r="B4" s="48"/>
      <c r="C4" s="5"/>
      <c r="J4" s="5"/>
      <c r="K4" s="5"/>
      <c r="L4" s="20"/>
      <c r="R4" s="5"/>
      <c r="T4" s="5"/>
      <c r="U4" s="78"/>
      <c r="V4" s="78"/>
      <c r="W4" s="78"/>
      <c r="X4" s="78"/>
      <c r="Y4" s="78"/>
      <c r="Z4" s="78"/>
      <c r="AA4" s="79"/>
      <c r="AB4" s="78"/>
      <c r="AC4" s="80"/>
      <c r="AD4" s="80"/>
    </row>
    <row r="5" spans="1:31" ht="33.75" thickBot="1">
      <c r="A5" s="13" t="s">
        <v>101</v>
      </c>
      <c r="B5" s="206" t="s">
        <v>102</v>
      </c>
      <c r="C5" s="15"/>
      <c r="D5" s="15"/>
      <c r="E5" s="15"/>
      <c r="F5" s="15"/>
      <c r="G5" s="15"/>
      <c r="H5" s="15"/>
      <c r="I5" s="15"/>
      <c r="J5" s="15"/>
      <c r="K5" s="15"/>
      <c r="L5" s="16"/>
      <c r="M5" s="17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8"/>
    </row>
    <row r="6" spans="1:31" ht="21.75" thickBot="1">
      <c r="A6" s="19"/>
      <c r="B6" s="5" t="s">
        <v>8</v>
      </c>
      <c r="C6" s="5"/>
      <c r="D6" s="5"/>
      <c r="E6" s="5"/>
      <c r="F6" s="5"/>
      <c r="G6" s="5"/>
      <c r="H6" s="5"/>
      <c r="I6" s="5"/>
      <c r="J6" s="5"/>
      <c r="K6" s="5"/>
      <c r="L6" s="20"/>
      <c r="M6" s="21"/>
      <c r="N6" s="485" t="s">
        <v>2</v>
      </c>
      <c r="O6" s="486"/>
      <c r="P6" s="22"/>
      <c r="Q6" s="485" t="s">
        <v>3</v>
      </c>
      <c r="R6" s="486"/>
      <c r="S6" s="22"/>
      <c r="T6" s="485" t="s">
        <v>4</v>
      </c>
      <c r="U6" s="486"/>
      <c r="V6" s="22"/>
      <c r="W6" s="485" t="s">
        <v>5</v>
      </c>
      <c r="X6" s="486"/>
      <c r="Y6" s="22"/>
      <c r="Z6" s="485" t="s">
        <v>6</v>
      </c>
      <c r="AA6" s="486"/>
      <c r="AB6" s="22"/>
      <c r="AC6" s="485" t="s">
        <v>7</v>
      </c>
      <c r="AD6" s="486"/>
      <c r="AE6" s="23"/>
    </row>
    <row r="7" spans="1:31">
      <c r="A7" s="19"/>
      <c r="B7" s="81">
        <f>LUNDI!B8+4</f>
        <v>43560</v>
      </c>
      <c r="C7" s="5"/>
      <c r="D7" s="24" t="s">
        <v>9</v>
      </c>
      <c r="E7" s="24" t="s">
        <v>10</v>
      </c>
      <c r="F7" s="24" t="s">
        <v>34</v>
      </c>
      <c r="G7" s="24" t="s">
        <v>35</v>
      </c>
      <c r="H7" s="24" t="s">
        <v>0</v>
      </c>
      <c r="I7" s="5"/>
      <c r="J7" s="5"/>
      <c r="K7" s="5"/>
      <c r="L7" s="20"/>
      <c r="M7" s="21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23"/>
    </row>
    <row r="8" spans="1:31" ht="35.1" customHeight="1">
      <c r="A8" s="19"/>
      <c r="B8" s="76" t="s">
        <v>1</v>
      </c>
      <c r="C8" s="5"/>
      <c r="D8" s="36"/>
      <c r="E8" s="36"/>
      <c r="F8" s="29"/>
      <c r="G8" s="195"/>
      <c r="H8" s="29"/>
      <c r="I8" s="32"/>
      <c r="J8" s="32"/>
      <c r="K8" s="32"/>
      <c r="L8" s="34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92"/>
      <c r="AE8" s="23"/>
    </row>
    <row r="9" spans="1:31" s="33" customFormat="1" ht="45.75" customHeight="1">
      <c r="A9" s="138"/>
      <c r="B9" s="28" t="s">
        <v>252</v>
      </c>
      <c r="C9" s="155"/>
      <c r="D9" s="28">
        <v>220</v>
      </c>
      <c r="E9" s="28">
        <v>20</v>
      </c>
      <c r="F9" s="128">
        <f>D2</f>
        <v>53</v>
      </c>
      <c r="G9" s="128">
        <f>E2</f>
        <v>12</v>
      </c>
      <c r="H9" s="128">
        <v>37</v>
      </c>
      <c r="I9" s="36"/>
      <c r="J9" s="36"/>
      <c r="K9" s="36"/>
      <c r="L9" s="40">
        <f>SUM(D9:K9)</f>
        <v>342</v>
      </c>
      <c r="M9" s="36"/>
      <c r="N9" s="28" t="s">
        <v>44</v>
      </c>
      <c r="O9" s="163">
        <f>L9*0.016</f>
        <v>5.4720000000000004</v>
      </c>
      <c r="P9" s="36"/>
      <c r="Q9" s="28" t="s">
        <v>88</v>
      </c>
      <c r="R9" s="163">
        <f>L9*0.015</f>
        <v>5.13</v>
      </c>
      <c r="S9" s="36"/>
      <c r="T9" s="36"/>
      <c r="U9" s="36"/>
      <c r="V9" s="36"/>
      <c r="W9" s="28" t="s">
        <v>64</v>
      </c>
      <c r="X9" s="134">
        <f>L9*0.035</f>
        <v>11.97</v>
      </c>
      <c r="Y9" s="36"/>
      <c r="Z9" s="162" t="s">
        <v>172</v>
      </c>
      <c r="AA9" s="126">
        <f>L9*0.015</f>
        <v>5.13</v>
      </c>
      <c r="AB9" s="36"/>
      <c r="AC9" s="28" t="s">
        <v>78</v>
      </c>
      <c r="AD9" s="28">
        <v>1</v>
      </c>
      <c r="AE9" s="140"/>
    </row>
    <row r="10" spans="1:31" s="36" customFormat="1" ht="35.1" customHeight="1">
      <c r="A10" s="138"/>
      <c r="F10" s="435"/>
      <c r="G10" s="435"/>
      <c r="H10" s="435"/>
      <c r="N10" s="488" t="s">
        <v>289</v>
      </c>
      <c r="O10" s="488"/>
      <c r="R10" s="150"/>
      <c r="X10" s="179"/>
      <c r="Z10" s="342"/>
      <c r="AA10" s="137"/>
      <c r="AC10" s="28" t="s">
        <v>96</v>
      </c>
      <c r="AD10" s="126" t="s">
        <v>125</v>
      </c>
      <c r="AE10" s="140"/>
    </row>
    <row r="11" spans="1:31" ht="35.1" customHeight="1">
      <c r="A11" s="19"/>
      <c r="B11" s="76" t="s">
        <v>1</v>
      </c>
      <c r="C11" s="5"/>
      <c r="D11" s="36"/>
      <c r="E11" s="36"/>
      <c r="F11" s="29"/>
      <c r="G11" s="87"/>
      <c r="H11" s="29"/>
      <c r="I11" s="32"/>
      <c r="J11" s="32"/>
      <c r="K11" s="32"/>
      <c r="L11" s="34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5"/>
      <c r="AD11" s="82"/>
      <c r="AE11" s="23"/>
    </row>
    <row r="12" spans="1:31" s="97" customFormat="1" ht="48" customHeight="1">
      <c r="A12" s="115"/>
      <c r="B12" s="116" t="s">
        <v>253</v>
      </c>
      <c r="C12" s="109"/>
      <c r="D12" s="28">
        <v>220</v>
      </c>
      <c r="E12" s="28"/>
      <c r="F12" s="105">
        <f>+D2</f>
        <v>53</v>
      </c>
      <c r="G12" s="105">
        <f>E2</f>
        <v>12</v>
      </c>
      <c r="H12" s="105"/>
      <c r="I12" s="29"/>
      <c r="J12" s="29"/>
      <c r="K12" s="29"/>
      <c r="L12" s="28">
        <f>SUM(D12:K12)</f>
        <v>285</v>
      </c>
      <c r="M12" s="29"/>
      <c r="N12" s="29" t="s">
        <v>101</v>
      </c>
      <c r="O12" s="118"/>
      <c r="P12" s="29"/>
      <c r="Q12" s="147"/>
      <c r="R12" s="118"/>
      <c r="S12" s="29"/>
      <c r="T12" s="29"/>
      <c r="U12" s="29"/>
      <c r="V12" s="29"/>
      <c r="W12" s="118"/>
      <c r="X12" s="118"/>
      <c r="Y12" s="118"/>
      <c r="Z12" s="122" t="s">
        <v>255</v>
      </c>
      <c r="AA12" s="122">
        <f>L12</f>
        <v>285</v>
      </c>
      <c r="AB12" s="118"/>
      <c r="AC12" s="116" t="s">
        <v>254</v>
      </c>
      <c r="AD12" s="122">
        <v>3</v>
      </c>
      <c r="AE12" s="129"/>
    </row>
    <row r="13" spans="1:31" ht="35.1" customHeight="1">
      <c r="A13" s="19"/>
      <c r="B13" s="6" t="s">
        <v>11</v>
      </c>
      <c r="C13" s="5"/>
      <c r="D13" s="36"/>
      <c r="E13" s="36"/>
      <c r="F13" s="29"/>
      <c r="G13" s="87"/>
      <c r="H13" s="196"/>
      <c r="I13" s="32"/>
      <c r="J13" s="32"/>
      <c r="K13" s="32"/>
      <c r="L13" s="34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82"/>
      <c r="AE13" s="23"/>
    </row>
    <row r="14" spans="1:31" s="97" customFormat="1" ht="35.25" customHeight="1">
      <c r="A14" s="115"/>
      <c r="B14" s="162" t="s">
        <v>256</v>
      </c>
      <c r="C14" s="109"/>
      <c r="D14" s="28">
        <v>210</v>
      </c>
      <c r="E14" s="28">
        <v>40</v>
      </c>
      <c r="F14" s="123">
        <f>D3</f>
        <v>20</v>
      </c>
      <c r="G14" s="123">
        <f>E3</f>
        <v>12</v>
      </c>
      <c r="H14" s="123"/>
      <c r="I14" s="29"/>
      <c r="J14" s="29"/>
      <c r="K14" s="29"/>
      <c r="L14" s="40">
        <f>SUM(D14:K14)</f>
        <v>282</v>
      </c>
      <c r="M14" s="29"/>
      <c r="N14" s="158"/>
      <c r="O14" s="142"/>
      <c r="P14" s="29"/>
      <c r="Q14" s="155"/>
      <c r="R14" s="181"/>
      <c r="S14" s="36"/>
      <c r="T14" s="155"/>
      <c r="U14" s="155"/>
      <c r="V14" s="36"/>
      <c r="W14" s="36"/>
      <c r="X14" s="179"/>
      <c r="Y14" s="118"/>
      <c r="Z14" s="28" t="s">
        <v>69</v>
      </c>
      <c r="AA14" s="126">
        <f>L14*0.02</f>
        <v>5.64</v>
      </c>
      <c r="AB14" s="118"/>
      <c r="AC14" s="28" t="s">
        <v>168</v>
      </c>
      <c r="AD14" s="189">
        <f>L14*0.03</f>
        <v>8.4599999999999991</v>
      </c>
      <c r="AE14" s="129"/>
    </row>
    <row r="15" spans="1:31" s="29" customFormat="1" ht="35.25" customHeight="1">
      <c r="A15" s="115"/>
      <c r="B15" s="194"/>
      <c r="D15" s="36"/>
      <c r="E15" s="36"/>
      <c r="F15" s="125"/>
      <c r="G15" s="104"/>
      <c r="H15" s="125"/>
      <c r="L15" s="36"/>
      <c r="N15" s="147"/>
      <c r="O15" s="133"/>
      <c r="Q15" s="342"/>
      <c r="R15" s="179"/>
      <c r="S15" s="36"/>
      <c r="T15" s="342"/>
      <c r="U15" s="36"/>
      <c r="V15" s="36"/>
      <c r="W15" s="36"/>
      <c r="X15" s="179"/>
      <c r="Y15" s="118"/>
      <c r="Z15" s="28" t="s">
        <v>159</v>
      </c>
      <c r="AA15" s="126">
        <f>L14*0.01</f>
        <v>2.82</v>
      </c>
      <c r="AB15" s="118"/>
      <c r="AC15" s="28" t="s">
        <v>107</v>
      </c>
      <c r="AD15" s="189">
        <f>L14*0.01</f>
        <v>2.82</v>
      </c>
      <c r="AE15" s="129"/>
    </row>
    <row r="16" spans="1:31" s="29" customFormat="1" ht="35.25" customHeight="1">
      <c r="A16" s="115"/>
      <c r="B16" s="194"/>
      <c r="D16" s="36"/>
      <c r="E16" s="36"/>
      <c r="F16" s="125"/>
      <c r="G16" s="104"/>
      <c r="H16" s="125"/>
      <c r="L16" s="36"/>
      <c r="N16" s="147"/>
      <c r="O16" s="133"/>
      <c r="Q16" s="194"/>
      <c r="R16" s="179"/>
      <c r="S16" s="36"/>
      <c r="T16" s="36"/>
      <c r="U16" s="36"/>
      <c r="V16" s="36"/>
      <c r="W16" s="36"/>
      <c r="X16" s="179"/>
      <c r="Y16" s="118"/>
      <c r="Z16" s="121" t="s">
        <v>60</v>
      </c>
      <c r="AA16" s="121">
        <f>L14*0.005</f>
        <v>1.41</v>
      </c>
      <c r="AB16" s="118"/>
      <c r="AC16" s="155"/>
      <c r="AD16" s="161"/>
      <c r="AE16" s="129"/>
    </row>
    <row r="17" spans="1:31" ht="35.1" customHeight="1">
      <c r="A17" s="19"/>
      <c r="B17" s="6" t="s">
        <v>11</v>
      </c>
      <c r="C17" s="5"/>
      <c r="D17" s="36"/>
      <c r="E17" s="36"/>
      <c r="F17" s="29"/>
      <c r="G17" s="196"/>
      <c r="H17" s="196"/>
      <c r="I17" s="32"/>
      <c r="J17" s="32"/>
      <c r="K17" s="32"/>
      <c r="L17" s="37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436"/>
      <c r="AE17" s="23"/>
    </row>
    <row r="18" spans="1:31" s="97" customFormat="1" ht="35.1" customHeight="1">
      <c r="A18" s="115"/>
      <c r="B18" s="116" t="s">
        <v>286</v>
      </c>
      <c r="C18" s="109"/>
      <c r="D18" s="28">
        <v>220</v>
      </c>
      <c r="E18" s="28">
        <v>80</v>
      </c>
      <c r="F18" s="123">
        <f>+D3</f>
        <v>20</v>
      </c>
      <c r="G18" s="123">
        <f>E3</f>
        <v>12</v>
      </c>
      <c r="H18" s="105">
        <v>35</v>
      </c>
      <c r="I18" s="29"/>
      <c r="J18" s="29"/>
      <c r="K18" s="29"/>
      <c r="L18" s="28">
        <f>SUM(D18:K18)</f>
        <v>367</v>
      </c>
      <c r="M18" s="29"/>
      <c r="N18" s="118"/>
      <c r="O18" s="118"/>
      <c r="P18" s="29"/>
      <c r="Q18" s="121" t="s">
        <v>287</v>
      </c>
      <c r="R18" s="124">
        <f>AD18*10</f>
        <v>36.700000000000003</v>
      </c>
      <c r="S18" s="144"/>
      <c r="T18" s="29"/>
      <c r="U18" s="29"/>
      <c r="V18" s="29"/>
      <c r="W18" s="118"/>
      <c r="X18" s="118"/>
      <c r="Y18" s="118"/>
      <c r="Z18" s="118"/>
      <c r="AA18" s="118"/>
      <c r="AB18" s="118"/>
      <c r="AC18" s="135" t="str">
        <f>B18</f>
        <v>entremets chocolat</v>
      </c>
      <c r="AD18" s="126">
        <f>L18/100</f>
        <v>3.67</v>
      </c>
      <c r="AE18" s="129"/>
    </row>
    <row r="19" spans="1:31" ht="35.1" customHeight="1" thickBot="1">
      <c r="A19" s="43"/>
      <c r="B19" s="44"/>
      <c r="C19" s="44"/>
      <c r="D19" s="44"/>
      <c r="E19" s="44"/>
      <c r="F19" s="44"/>
      <c r="G19" s="44"/>
      <c r="H19" s="44"/>
      <c r="I19" s="44"/>
      <c r="J19" s="44"/>
      <c r="K19" s="44"/>
      <c r="L19" s="45"/>
      <c r="M19" s="44"/>
      <c r="N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6"/>
    </row>
    <row r="20" spans="1:31" ht="33.75" thickBot="1">
      <c r="A20" s="13"/>
      <c r="B20" s="14" t="s">
        <v>36</v>
      </c>
      <c r="C20" s="15"/>
      <c r="D20" s="15"/>
      <c r="E20" s="15"/>
      <c r="F20" s="15"/>
      <c r="G20" s="15"/>
      <c r="H20" s="15"/>
      <c r="I20" s="15"/>
      <c r="J20" s="15"/>
      <c r="K20" s="15"/>
      <c r="L20" s="16"/>
      <c r="M20" s="17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8"/>
    </row>
    <row r="21" spans="1:31" ht="21.75" thickBot="1">
      <c r="A21" s="19"/>
      <c r="B21" s="5" t="s">
        <v>8</v>
      </c>
      <c r="C21" s="5"/>
      <c r="D21" s="24" t="s">
        <v>9</v>
      </c>
      <c r="E21" s="24" t="s">
        <v>10</v>
      </c>
      <c r="F21" s="24" t="s">
        <v>34</v>
      </c>
      <c r="G21" s="24" t="s">
        <v>35</v>
      </c>
      <c r="H21" s="24" t="s">
        <v>0</v>
      </c>
      <c r="I21" s="5"/>
      <c r="J21" s="5"/>
      <c r="K21" s="5"/>
      <c r="L21" s="20"/>
      <c r="M21" s="21"/>
      <c r="N21" s="485" t="s">
        <v>2</v>
      </c>
      <c r="O21" s="486"/>
      <c r="P21" s="22"/>
      <c r="Q21" s="485" t="s">
        <v>3</v>
      </c>
      <c r="R21" s="486"/>
      <c r="S21" s="22"/>
      <c r="T21" s="485" t="s">
        <v>4</v>
      </c>
      <c r="U21" s="486"/>
      <c r="V21" s="22"/>
      <c r="W21" s="485" t="s">
        <v>5</v>
      </c>
      <c r="X21" s="486"/>
      <c r="Y21" s="22"/>
      <c r="Z21" s="485" t="s">
        <v>6</v>
      </c>
      <c r="AA21" s="486"/>
      <c r="AB21" s="22"/>
      <c r="AC21" s="485" t="s">
        <v>7</v>
      </c>
      <c r="AD21" s="486"/>
      <c r="AE21" s="23"/>
    </row>
    <row r="22" spans="1:31" ht="35.1" customHeight="1">
      <c r="A22" s="19"/>
      <c r="B22" s="25" t="s">
        <v>1</v>
      </c>
      <c r="C22" s="26"/>
      <c r="D22" s="26"/>
      <c r="E22" s="50"/>
      <c r="F22" s="5"/>
      <c r="G22" s="195"/>
      <c r="H22" s="5"/>
      <c r="I22" s="26"/>
      <c r="J22" s="26"/>
      <c r="K22" s="26"/>
      <c r="L22" s="27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5"/>
      <c r="AD22" s="82"/>
      <c r="AE22" s="23"/>
    </row>
    <row r="23" spans="1:31" s="97" customFormat="1" ht="43.5" customHeight="1">
      <c r="A23" s="115"/>
      <c r="B23" s="116" t="s">
        <v>257</v>
      </c>
      <c r="C23" s="109"/>
      <c r="D23" s="28">
        <v>200</v>
      </c>
      <c r="E23" s="28">
        <v>40</v>
      </c>
      <c r="F23" s="105">
        <f>D2</f>
        <v>53</v>
      </c>
      <c r="G23" s="105">
        <f>E2</f>
        <v>12</v>
      </c>
      <c r="H23" s="105"/>
      <c r="I23" s="29"/>
      <c r="J23" s="29"/>
      <c r="K23" s="29"/>
      <c r="L23" s="28">
        <f>SUM(D23:K23)</f>
        <v>305</v>
      </c>
      <c r="M23" s="29"/>
      <c r="N23" s="158"/>
      <c r="O23" s="132"/>
      <c r="P23" s="29"/>
      <c r="Q23" s="109"/>
      <c r="R23" s="298"/>
      <c r="S23" s="29"/>
      <c r="T23" s="119" t="s">
        <v>258</v>
      </c>
      <c r="U23" s="122">
        <f>L23</f>
        <v>305</v>
      </c>
      <c r="V23" s="29"/>
      <c r="W23" s="29"/>
      <c r="X23" s="29"/>
      <c r="Y23" s="29"/>
      <c r="AB23" s="29"/>
      <c r="AC23" s="121" t="s">
        <v>76</v>
      </c>
      <c r="AD23" s="136">
        <f>+L23*0.00068</f>
        <v>0.20740000000000003</v>
      </c>
      <c r="AE23" s="129"/>
    </row>
    <row r="24" spans="1:31" s="97" customFormat="1" ht="42" customHeight="1">
      <c r="A24" s="115"/>
      <c r="B24" s="29"/>
      <c r="C24" s="29"/>
      <c r="D24" s="36"/>
      <c r="E24" s="36"/>
      <c r="F24" s="104"/>
      <c r="G24" s="104"/>
      <c r="H24" s="104"/>
      <c r="I24" s="29"/>
      <c r="J24" s="29"/>
      <c r="K24" s="29"/>
      <c r="L24" s="36"/>
      <c r="M24" s="29"/>
      <c r="N24" s="145"/>
      <c r="O24" s="118"/>
      <c r="P24" s="29"/>
      <c r="Q24" s="29"/>
      <c r="R24" s="29"/>
      <c r="S24" s="29"/>
      <c r="T24" s="116" t="s">
        <v>60</v>
      </c>
      <c r="U24" s="126">
        <f>L23*0.025</f>
        <v>7.625</v>
      </c>
      <c r="V24" s="29"/>
      <c r="W24" s="29"/>
      <c r="X24" s="29"/>
      <c r="Y24" s="29"/>
      <c r="Z24" s="29"/>
      <c r="AA24" s="29"/>
      <c r="AB24" s="29"/>
      <c r="AC24" s="121" t="s">
        <v>259</v>
      </c>
      <c r="AD24" s="124" t="s">
        <v>125</v>
      </c>
      <c r="AE24" s="129"/>
    </row>
    <row r="25" spans="1:31" s="97" customFormat="1" ht="35.1" customHeight="1">
      <c r="A25" s="115"/>
      <c r="B25" s="29"/>
      <c r="C25" s="29"/>
      <c r="D25" s="36"/>
      <c r="E25" s="36"/>
      <c r="F25" s="104"/>
      <c r="G25" s="104"/>
      <c r="H25" s="104"/>
      <c r="I25" s="29"/>
      <c r="J25" s="29"/>
      <c r="K25" s="29"/>
      <c r="L25" s="36"/>
      <c r="M25" s="29"/>
      <c r="N25" s="145"/>
      <c r="O25" s="118"/>
      <c r="P25" s="29"/>
      <c r="Q25" s="29"/>
      <c r="R25" s="29"/>
      <c r="S25" s="29"/>
      <c r="T25" s="121" t="s">
        <v>56</v>
      </c>
      <c r="U25" s="126">
        <f>L23*0.012</f>
        <v>3.66</v>
      </c>
      <c r="V25" s="29"/>
      <c r="W25" s="29"/>
      <c r="X25" s="29"/>
      <c r="Y25" s="29"/>
      <c r="Z25" s="29"/>
      <c r="AA25" s="29"/>
      <c r="AB25" s="29"/>
      <c r="AC25" s="116" t="s">
        <v>169</v>
      </c>
      <c r="AD25" s="136" t="s">
        <v>125</v>
      </c>
      <c r="AE25" s="129"/>
    </row>
    <row r="26" spans="1:31" s="97" customFormat="1" ht="35.1" customHeight="1">
      <c r="A26" s="115"/>
      <c r="B26" s="29"/>
      <c r="C26" s="29"/>
      <c r="D26" s="36"/>
      <c r="E26" s="36"/>
      <c r="F26" s="104"/>
      <c r="G26" s="104"/>
      <c r="H26" s="104"/>
      <c r="I26" s="29"/>
      <c r="J26" s="29"/>
      <c r="K26" s="29"/>
      <c r="L26" s="36"/>
      <c r="M26" s="29"/>
      <c r="N26" s="145"/>
      <c r="O26" s="118"/>
      <c r="P26" s="29"/>
      <c r="Q26" s="29"/>
      <c r="R26" s="29"/>
      <c r="S26" s="29"/>
      <c r="T26" s="121" t="s">
        <v>62</v>
      </c>
      <c r="U26" s="126">
        <f>L23*0.012</f>
        <v>3.66</v>
      </c>
      <c r="V26" s="29"/>
      <c r="Y26" s="29"/>
      <c r="Z26" s="29"/>
      <c r="AA26" s="29"/>
      <c r="AB26" s="29"/>
      <c r="AC26" s="121" t="s">
        <v>170</v>
      </c>
      <c r="AD26" s="136" t="s">
        <v>125</v>
      </c>
      <c r="AE26" s="129"/>
    </row>
    <row r="27" spans="1:31" s="97" customFormat="1" ht="35.1" customHeight="1">
      <c r="A27" s="115"/>
      <c r="B27" s="29"/>
      <c r="C27" s="29"/>
      <c r="D27" s="36"/>
      <c r="E27" s="36"/>
      <c r="F27" s="104"/>
      <c r="G27" s="104"/>
      <c r="H27" s="104"/>
      <c r="I27" s="29"/>
      <c r="J27" s="29"/>
      <c r="K27" s="29"/>
      <c r="L27" s="36"/>
      <c r="M27" s="29"/>
      <c r="N27" s="145"/>
      <c r="O27" s="118"/>
      <c r="P27" s="29"/>
      <c r="Q27" s="29"/>
      <c r="R27" s="29"/>
      <c r="S27" s="29"/>
      <c r="T27" s="121" t="s">
        <v>95</v>
      </c>
      <c r="U27" s="189">
        <f>L23*0.001</f>
        <v>0.30499999999999999</v>
      </c>
      <c r="V27" s="29"/>
      <c r="Y27" s="29"/>
      <c r="Z27" s="29"/>
      <c r="AA27" s="29"/>
      <c r="AB27" s="29"/>
      <c r="AC27" s="109"/>
      <c r="AD27" s="298"/>
      <c r="AE27" s="129"/>
    </row>
    <row r="28" spans="1:31" ht="35.1" customHeight="1">
      <c r="A28" s="19"/>
      <c r="B28" s="25" t="s">
        <v>1</v>
      </c>
      <c r="C28" s="26"/>
      <c r="D28" s="26"/>
      <c r="E28" s="50"/>
      <c r="F28" s="5"/>
      <c r="G28" s="195"/>
      <c r="H28" s="5"/>
      <c r="I28" s="26"/>
      <c r="J28" s="26"/>
      <c r="K28" s="26"/>
      <c r="L28" s="27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5"/>
      <c r="AD28" s="82"/>
      <c r="AE28" s="23"/>
    </row>
    <row r="29" spans="1:31" s="97" customFormat="1" ht="42" customHeight="1">
      <c r="A29" s="115"/>
      <c r="B29" s="116" t="s">
        <v>260</v>
      </c>
      <c r="C29" s="29"/>
      <c r="D29" s="28">
        <v>220</v>
      </c>
      <c r="E29" s="28"/>
      <c r="F29" s="105">
        <f>D2</f>
        <v>53</v>
      </c>
      <c r="G29" s="105">
        <f>E2</f>
        <v>12</v>
      </c>
      <c r="H29" s="105">
        <v>37</v>
      </c>
      <c r="I29" s="29"/>
      <c r="J29" s="29"/>
      <c r="K29" s="29"/>
      <c r="L29" s="28">
        <f>SUM(D29:K29)</f>
        <v>322</v>
      </c>
      <c r="M29" s="29"/>
      <c r="N29" s="145"/>
      <c r="O29" s="29"/>
      <c r="P29" s="29"/>
      <c r="Q29" s="122" t="s">
        <v>85</v>
      </c>
      <c r="R29" s="189">
        <f>L29*0.006</f>
        <v>1.9319999999999999</v>
      </c>
      <c r="S29" s="29"/>
      <c r="T29" s="121" t="s">
        <v>60</v>
      </c>
      <c r="U29" s="126">
        <f>L29*0.015</f>
        <v>4.83</v>
      </c>
      <c r="V29" s="29"/>
      <c r="Y29" s="118"/>
      <c r="Z29" s="109"/>
      <c r="AA29" s="142"/>
      <c r="AB29" s="118"/>
      <c r="AC29" s="121" t="s">
        <v>261</v>
      </c>
      <c r="AD29" s="122">
        <f>L29*0.05</f>
        <v>16.100000000000001</v>
      </c>
      <c r="AE29" s="129"/>
    </row>
    <row r="30" spans="1:31" s="29" customFormat="1" ht="35.1" customHeight="1">
      <c r="A30" s="115"/>
      <c r="D30" s="36"/>
      <c r="E30" s="36"/>
      <c r="F30" s="104"/>
      <c r="G30" s="104"/>
      <c r="H30" s="104"/>
      <c r="L30" s="36"/>
      <c r="N30" s="145"/>
      <c r="Q30" s="118"/>
      <c r="R30" s="219"/>
      <c r="T30" s="121" t="s">
        <v>56</v>
      </c>
      <c r="U30" s="126">
        <f>L29*0.015</f>
        <v>4.83</v>
      </c>
      <c r="Y30" s="118"/>
      <c r="Z30" s="118"/>
      <c r="AA30" s="118"/>
      <c r="AB30" s="118"/>
      <c r="AC30" s="121" t="s">
        <v>233</v>
      </c>
      <c r="AD30" s="122">
        <f>L29*0.0045</f>
        <v>1.4489999999999998</v>
      </c>
      <c r="AE30" s="129"/>
    </row>
    <row r="31" spans="1:31" s="29" customFormat="1" ht="35.1" customHeight="1">
      <c r="A31" s="115"/>
      <c r="D31" s="36"/>
      <c r="E31" s="36"/>
      <c r="F31" s="104"/>
      <c r="G31" s="104"/>
      <c r="H31" s="104"/>
      <c r="L31" s="36"/>
      <c r="N31" s="145"/>
      <c r="Q31" s="118"/>
      <c r="R31" s="219"/>
      <c r="T31" s="121" t="s">
        <v>62</v>
      </c>
      <c r="U31" s="126">
        <f>L29*0.015</f>
        <v>4.83</v>
      </c>
      <c r="Y31" s="118"/>
      <c r="Z31" s="118"/>
      <c r="AA31" s="118"/>
      <c r="AB31" s="118"/>
      <c r="AC31" s="121" t="s">
        <v>262</v>
      </c>
      <c r="AD31" s="122" t="s">
        <v>125</v>
      </c>
      <c r="AE31" s="129"/>
    </row>
    <row r="32" spans="1:31" s="29" customFormat="1" ht="35.1" customHeight="1">
      <c r="A32" s="115"/>
      <c r="D32" s="36"/>
      <c r="E32" s="36"/>
      <c r="F32" s="104"/>
      <c r="G32" s="104"/>
      <c r="H32" s="104"/>
      <c r="L32" s="36"/>
      <c r="N32" s="145"/>
      <c r="Q32" s="118"/>
      <c r="R32" s="219"/>
      <c r="U32" s="137"/>
      <c r="Y32" s="118"/>
      <c r="Z32" s="118"/>
      <c r="AA32" s="118"/>
      <c r="AB32" s="118"/>
      <c r="AC32" s="121" t="s">
        <v>263</v>
      </c>
      <c r="AD32" s="122">
        <v>2</v>
      </c>
      <c r="AE32" s="129"/>
    </row>
    <row r="33" spans="1:31" s="29" customFormat="1" ht="35.1" customHeight="1">
      <c r="A33" s="115"/>
      <c r="D33" s="36"/>
      <c r="E33" s="36"/>
      <c r="F33" s="104"/>
      <c r="G33" s="104"/>
      <c r="H33" s="104"/>
      <c r="L33" s="36"/>
      <c r="N33" s="145"/>
      <c r="Q33" s="118"/>
      <c r="R33" s="219"/>
      <c r="U33" s="137"/>
      <c r="Y33" s="118"/>
      <c r="Z33" s="118"/>
      <c r="AA33" s="118"/>
      <c r="AB33" s="118"/>
      <c r="AC33" s="121" t="s">
        <v>96</v>
      </c>
      <c r="AD33" s="122" t="s">
        <v>125</v>
      </c>
      <c r="AE33" s="129"/>
    </row>
    <row r="34" spans="1:31" ht="35.1" customHeight="1">
      <c r="A34" s="19"/>
      <c r="B34" s="35" t="s">
        <v>11</v>
      </c>
      <c r="C34" s="26"/>
      <c r="D34" s="31"/>
      <c r="E34" s="31"/>
      <c r="F34" s="31"/>
      <c r="G34" s="196"/>
      <c r="H34" s="76"/>
      <c r="I34" s="31"/>
      <c r="J34" s="31"/>
      <c r="K34" s="31"/>
      <c r="L34" s="34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92"/>
      <c r="AE34" s="23"/>
    </row>
    <row r="35" spans="1:31" s="97" customFormat="1" ht="44.25" customHeight="1">
      <c r="A35" s="115"/>
      <c r="B35" s="135" t="s">
        <v>264</v>
      </c>
      <c r="C35" s="119"/>
      <c r="D35" s="40">
        <v>220</v>
      </c>
      <c r="E35" s="40">
        <v>10</v>
      </c>
      <c r="F35" s="94">
        <f>D3</f>
        <v>20</v>
      </c>
      <c r="G35" s="123">
        <f>E3</f>
        <v>12</v>
      </c>
      <c r="H35" s="105"/>
      <c r="I35" s="29"/>
      <c r="J35" s="29"/>
      <c r="K35" s="29"/>
      <c r="L35" s="40">
        <f>SUM(D35:K35)</f>
        <v>262</v>
      </c>
      <c r="M35" s="29"/>
      <c r="N35" s="121" t="s">
        <v>265</v>
      </c>
      <c r="O35" s="119">
        <f>L35*0.1</f>
        <v>26.200000000000003</v>
      </c>
      <c r="P35" s="144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121" t="s">
        <v>266</v>
      </c>
      <c r="AD35" s="124">
        <v>2</v>
      </c>
      <c r="AE35" s="129"/>
    </row>
    <row r="36" spans="1:31" ht="35.1" customHeight="1">
      <c r="A36" s="19"/>
      <c r="B36" s="35" t="s">
        <v>11</v>
      </c>
      <c r="C36" s="26"/>
      <c r="D36" s="31"/>
      <c r="E36" s="31"/>
      <c r="F36" s="36"/>
      <c r="G36" s="196"/>
      <c r="H36" s="76"/>
      <c r="I36" s="32"/>
      <c r="J36" s="31"/>
      <c r="K36" s="31"/>
      <c r="L36" s="34"/>
      <c r="M36" s="26"/>
      <c r="N36" s="26"/>
      <c r="O36" s="26"/>
      <c r="P36" s="26"/>
      <c r="Q36" s="26"/>
      <c r="R36" s="26"/>
      <c r="S36" s="26"/>
      <c r="T36" s="26"/>
      <c r="U36" s="5"/>
      <c r="V36" s="26"/>
      <c r="W36" s="26"/>
      <c r="X36" s="26"/>
      <c r="Y36" s="26"/>
      <c r="Z36" s="26"/>
      <c r="AA36" s="26"/>
      <c r="AB36" s="26"/>
      <c r="AC36" s="5"/>
      <c r="AD36" s="82"/>
      <c r="AE36" s="23"/>
    </row>
    <row r="37" spans="1:31" s="97" customFormat="1" ht="45.75" customHeight="1">
      <c r="A37" s="115"/>
      <c r="B37" s="211" t="s">
        <v>111</v>
      </c>
      <c r="C37" s="29"/>
      <c r="D37" s="40">
        <v>240</v>
      </c>
      <c r="E37" s="40">
        <v>70</v>
      </c>
      <c r="F37" s="123">
        <f>+D3</f>
        <v>20</v>
      </c>
      <c r="G37" s="123">
        <f>E3</f>
        <v>12</v>
      </c>
      <c r="H37" s="105"/>
      <c r="I37" s="36"/>
      <c r="J37" s="36"/>
      <c r="K37" s="36"/>
      <c r="L37" s="28">
        <f>SUM(D37:K37)</f>
        <v>342</v>
      </c>
      <c r="M37" s="109"/>
      <c r="N37" s="29"/>
      <c r="O37" s="149"/>
      <c r="P37" s="109"/>
      <c r="Q37" s="29"/>
      <c r="R37" s="29"/>
      <c r="S37" s="109"/>
      <c r="T37" s="121" t="s">
        <v>57</v>
      </c>
      <c r="U37" s="122">
        <f>L37*0.085</f>
        <v>29.070000000000004</v>
      </c>
      <c r="V37" s="29"/>
      <c r="W37" s="29"/>
      <c r="X37" s="29"/>
      <c r="Y37" s="118"/>
      <c r="Z37" s="118"/>
      <c r="AA37" s="118"/>
      <c r="AB37" s="118"/>
      <c r="AC37" s="122" t="s">
        <v>96</v>
      </c>
      <c r="AD37" s="121" t="s">
        <v>125</v>
      </c>
      <c r="AE37" s="129"/>
    </row>
    <row r="38" spans="1:31" s="97" customFormat="1" ht="35.1" customHeight="1">
      <c r="A38" s="115"/>
      <c r="B38" s="29"/>
      <c r="C38" s="29"/>
      <c r="D38" s="36"/>
      <c r="E38" s="36"/>
      <c r="F38" s="125"/>
      <c r="G38" s="125"/>
      <c r="H38" s="125"/>
      <c r="I38" s="36"/>
      <c r="J38" s="36"/>
      <c r="K38" s="36"/>
      <c r="L38" s="36"/>
      <c r="M38" s="29"/>
      <c r="N38" s="29"/>
      <c r="O38" s="149"/>
      <c r="P38" s="29"/>
      <c r="Q38" s="29"/>
      <c r="R38" s="29"/>
      <c r="S38" s="29"/>
      <c r="T38" s="121" t="s">
        <v>112</v>
      </c>
      <c r="U38" s="122">
        <f>L37*0.085</f>
        <v>29.070000000000004</v>
      </c>
      <c r="V38" s="29"/>
      <c r="W38" s="29"/>
      <c r="X38" s="29"/>
      <c r="Y38" s="118"/>
      <c r="Z38" s="118"/>
      <c r="AA38" s="118"/>
      <c r="AB38" s="118"/>
      <c r="AC38" s="132"/>
      <c r="AD38" s="109"/>
      <c r="AE38" s="129"/>
    </row>
    <row r="39" spans="1:31" s="97" customFormat="1" ht="35.1" customHeight="1">
      <c r="A39" s="115"/>
      <c r="B39" s="29"/>
      <c r="C39" s="29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150"/>
      <c r="P39" s="29"/>
      <c r="Q39" s="29"/>
      <c r="R39" s="29"/>
      <c r="S39" s="29"/>
      <c r="T39" s="121" t="s">
        <v>56</v>
      </c>
      <c r="U39" s="122">
        <f>L37*0.075</f>
        <v>25.65</v>
      </c>
      <c r="V39" s="29"/>
      <c r="W39" s="29"/>
      <c r="X39" s="29"/>
      <c r="Y39" s="118"/>
      <c r="Z39" s="118"/>
      <c r="AA39" s="118"/>
      <c r="AB39" s="118"/>
      <c r="AC39" s="118"/>
      <c r="AD39" s="29"/>
      <c r="AE39" s="129"/>
    </row>
    <row r="40" spans="1:31" ht="35.1" customHeight="1" thickBot="1">
      <c r="A40" s="43"/>
      <c r="B40" s="44"/>
      <c r="C40" s="44"/>
      <c r="D40" s="44"/>
      <c r="E40" s="44"/>
      <c r="F40" s="44"/>
      <c r="G40" s="44"/>
      <c r="H40" s="44"/>
      <c r="I40" s="44"/>
      <c r="J40" s="44"/>
      <c r="K40" s="44"/>
      <c r="L40" s="45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6"/>
    </row>
    <row r="41" spans="1:31" ht="20.100000000000001" customHeight="1"/>
  </sheetData>
  <mergeCells count="13">
    <mergeCell ref="Z6:AA6"/>
    <mergeCell ref="AC6:AD6"/>
    <mergeCell ref="Z21:AA21"/>
    <mergeCell ref="AC21:AD21"/>
    <mergeCell ref="N21:O21"/>
    <mergeCell ref="Q21:R21"/>
    <mergeCell ref="T6:U6"/>
    <mergeCell ref="W6:X6"/>
    <mergeCell ref="N6:O6"/>
    <mergeCell ref="Q6:R6"/>
    <mergeCell ref="T21:U21"/>
    <mergeCell ref="W21:X21"/>
    <mergeCell ref="N10:O10"/>
  </mergeCells>
  <phoneticPr fontId="0" type="noConversion"/>
  <printOptions horizontalCentered="1" verticalCentered="1"/>
  <pageMargins left="0.39370078740157483" right="0.59055118110236227" top="0" bottom="0" header="0.31496062992125984" footer="0.31496062992125984"/>
  <pageSetup paperSize="9" scale="58" fitToHeight="0" orientation="landscape" r:id="rId1"/>
  <headerFooter alignWithMargins="0">
    <oddHeader>&amp;A</oddHeader>
  </headerFooter>
  <rowBreaks count="1" manualBreakCount="1">
    <brk id="19" max="30" man="1"/>
  </rowBreak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J33"/>
  <sheetViews>
    <sheetView showGridLines="0" showZeros="0" topLeftCell="A13" zoomScale="60" zoomScaleNormal="60" workbookViewId="0">
      <selection activeCell="G5" sqref="F5:G5"/>
    </sheetView>
  </sheetViews>
  <sheetFormatPr baseColWidth="10" defaultRowHeight="19.5"/>
  <cols>
    <col min="1" max="1" width="41.140625" style="54" customWidth="1"/>
    <col min="2" max="2" width="8.85546875" style="67" customWidth="1"/>
    <col min="3" max="3" width="12" style="441" bestFit="1" customWidth="1"/>
    <col min="4" max="6" width="11.42578125" style="441"/>
    <col min="7" max="7" width="11.140625" style="441" customWidth="1"/>
    <col min="8" max="8" width="1.140625" style="8" customWidth="1"/>
    <col min="9" max="9" width="10.42578125" style="54" customWidth="1"/>
    <col min="10" max="10" width="24.7109375" style="54" customWidth="1"/>
    <col min="11" max="16384" width="11.42578125" style="54"/>
  </cols>
  <sheetData>
    <row r="1" spans="1:10" ht="28.5" customHeight="1">
      <c r="A1" s="56" t="s">
        <v>2</v>
      </c>
      <c r="C1" s="57">
        <f>+LUNDI!B8</f>
        <v>43556</v>
      </c>
      <c r="D1" s="57">
        <f>+C1+1</f>
        <v>43557</v>
      </c>
      <c r="E1" s="57">
        <f>+D1+1</f>
        <v>43558</v>
      </c>
      <c r="F1" s="57">
        <f>+E1+1</f>
        <v>43559</v>
      </c>
      <c r="G1" s="57">
        <f>+F1+1</f>
        <v>43560</v>
      </c>
    </row>
    <row r="2" spans="1:10" ht="15">
      <c r="B2" s="156" t="s">
        <v>24</v>
      </c>
      <c r="C2" s="183" t="s">
        <v>25</v>
      </c>
      <c r="D2" s="184" t="s">
        <v>26</v>
      </c>
      <c r="E2" s="184" t="s">
        <v>27</v>
      </c>
      <c r="F2" s="184" t="s">
        <v>28</v>
      </c>
      <c r="G2" s="184" t="s">
        <v>29</v>
      </c>
      <c r="H2" s="59"/>
      <c r="I2" s="62" t="s">
        <v>42</v>
      </c>
    </row>
    <row r="3" spans="1:10" s="468" customFormat="1" ht="35.1" customHeight="1">
      <c r="A3" s="151" t="s">
        <v>279</v>
      </c>
      <c r="B3" s="71"/>
      <c r="C3" s="405"/>
      <c r="D3" s="406"/>
      <c r="E3" s="405"/>
      <c r="F3" s="462">
        <v>1</v>
      </c>
      <c r="G3" s="407"/>
      <c r="H3" s="69"/>
      <c r="I3" s="70">
        <f t="shared" ref="I3" si="0">SUM(B3:G3)</f>
        <v>1</v>
      </c>
      <c r="J3" s="327" t="s">
        <v>120</v>
      </c>
    </row>
    <row r="4" spans="1:10" s="233" customFormat="1" ht="35.1" customHeight="1">
      <c r="A4" s="151" t="s">
        <v>103</v>
      </c>
      <c r="B4" s="71"/>
      <c r="C4" s="462">
        <f>LUNDI!O29</f>
        <v>351</v>
      </c>
      <c r="D4" s="469">
        <v>40</v>
      </c>
      <c r="E4" s="405"/>
      <c r="F4" s="405"/>
      <c r="G4" s="474">
        <v>80</v>
      </c>
      <c r="H4" s="69"/>
      <c r="I4" s="70">
        <f t="shared" ref="I4:I21" si="1">SUM(B4:G4)</f>
        <v>471</v>
      </c>
      <c r="J4" s="197" t="s">
        <v>148</v>
      </c>
    </row>
    <row r="5" spans="1:10" ht="40.5" customHeight="1">
      <c r="A5" s="151" t="s">
        <v>44</v>
      </c>
      <c r="B5" s="71"/>
      <c r="C5" s="405"/>
      <c r="D5" s="406"/>
      <c r="E5" s="405">
        <f>MERCREDI!O16</f>
        <v>0</v>
      </c>
      <c r="F5" s="462">
        <f>JEUDI!O10-1</f>
        <v>4.2</v>
      </c>
      <c r="G5" s="474">
        <f>VENDREDI!O9-1</f>
        <v>4.4720000000000004</v>
      </c>
      <c r="H5" s="69"/>
      <c r="I5" s="70">
        <f t="shared" si="1"/>
        <v>8.6720000000000006</v>
      </c>
      <c r="J5" s="197" t="s">
        <v>120</v>
      </c>
    </row>
    <row r="6" spans="1:10" s="442" customFormat="1" ht="40.5" customHeight="1">
      <c r="A6" s="151" t="s">
        <v>105</v>
      </c>
      <c r="B6" s="71"/>
      <c r="C6" s="465">
        <v>10.4</v>
      </c>
      <c r="D6" s="406"/>
      <c r="E6" s="405">
        <f>MERCREDI!O42</f>
        <v>0</v>
      </c>
      <c r="F6" s="462">
        <f>JEUDI!O31</f>
        <v>36.4</v>
      </c>
      <c r="G6" s="407"/>
      <c r="H6" s="69"/>
      <c r="I6" s="70">
        <f t="shared" si="1"/>
        <v>46.8</v>
      </c>
      <c r="J6" s="327" t="s">
        <v>282</v>
      </c>
    </row>
    <row r="7" spans="1:10" s="442" customFormat="1" ht="40.5" customHeight="1">
      <c r="A7" s="151" t="str">
        <f>JEUDI!N41</f>
        <v>gigot d'agneau</v>
      </c>
      <c r="B7" s="71"/>
      <c r="C7" s="405"/>
      <c r="D7" s="406"/>
      <c r="E7" s="405"/>
      <c r="F7" s="462">
        <f>JEUDI!O41-2</f>
        <v>30.28</v>
      </c>
      <c r="G7" s="407"/>
      <c r="H7" s="69"/>
      <c r="I7" s="70">
        <f t="shared" si="1"/>
        <v>30.28</v>
      </c>
      <c r="J7" s="327" t="s">
        <v>120</v>
      </c>
    </row>
    <row r="8" spans="1:10" ht="35.1" customHeight="1">
      <c r="A8" s="151" t="s">
        <v>251</v>
      </c>
      <c r="B8" s="71"/>
      <c r="C8" s="405"/>
      <c r="D8" s="406"/>
      <c r="E8" s="405"/>
      <c r="F8" s="462">
        <v>2</v>
      </c>
      <c r="G8" s="407"/>
      <c r="H8" s="69"/>
      <c r="I8" s="70">
        <f t="shared" si="1"/>
        <v>2</v>
      </c>
      <c r="J8" s="327" t="s">
        <v>120</v>
      </c>
    </row>
    <row r="9" spans="1:10" s="252" customFormat="1" ht="35.1" customHeight="1">
      <c r="A9" s="151" t="s">
        <v>45</v>
      </c>
      <c r="B9" s="68"/>
      <c r="C9" s="413"/>
      <c r="D9" s="457">
        <v>3</v>
      </c>
      <c r="E9" s="466">
        <v>6.5</v>
      </c>
      <c r="F9" s="413"/>
      <c r="G9" s="410"/>
      <c r="H9" s="69"/>
      <c r="I9" s="70">
        <f t="shared" si="1"/>
        <v>9.5</v>
      </c>
      <c r="J9" s="197" t="s">
        <v>120</v>
      </c>
    </row>
    <row r="10" spans="1:10" s="325" customFormat="1" ht="35.1" customHeight="1">
      <c r="A10" s="151" t="s">
        <v>124</v>
      </c>
      <c r="B10" s="71"/>
      <c r="C10" s="462">
        <v>1</v>
      </c>
      <c r="D10" s="409"/>
      <c r="E10" s="406"/>
      <c r="F10" s="405"/>
      <c r="G10" s="407"/>
      <c r="H10" s="69"/>
      <c r="I10" s="70">
        <f t="shared" si="1"/>
        <v>1</v>
      </c>
      <c r="J10" s="197" t="s">
        <v>149</v>
      </c>
    </row>
    <row r="11" spans="1:10" s="382" customFormat="1" ht="35.1" customHeight="1">
      <c r="A11" s="154" t="str">
        <f>VENDREDI!N35</f>
        <v>jambonneau</v>
      </c>
      <c r="B11" s="187"/>
      <c r="C11" s="405"/>
      <c r="D11" s="409"/>
      <c r="E11" s="409"/>
      <c r="F11" s="409"/>
      <c r="G11" s="474">
        <f>VENDREDI!O35</f>
        <v>26.200000000000003</v>
      </c>
      <c r="H11" s="114"/>
      <c r="I11" s="70">
        <f t="shared" si="1"/>
        <v>26.200000000000003</v>
      </c>
      <c r="J11" s="197" t="s">
        <v>120</v>
      </c>
    </row>
    <row r="12" spans="1:10" ht="35.1" customHeight="1">
      <c r="A12" s="151" t="str">
        <f>MARDI!N42</f>
        <v>merguez</v>
      </c>
      <c r="B12" s="68"/>
      <c r="C12" s="408"/>
      <c r="D12" s="457">
        <f>MARDI!O42</f>
        <v>394</v>
      </c>
      <c r="E12" s="409"/>
      <c r="F12" s="409"/>
      <c r="G12" s="410"/>
      <c r="H12" s="69"/>
      <c r="I12" s="70">
        <f t="shared" si="1"/>
        <v>394</v>
      </c>
      <c r="J12" s="197" t="s">
        <v>148</v>
      </c>
    </row>
    <row r="13" spans="1:10" ht="35.1" customHeight="1">
      <c r="A13" s="154" t="str">
        <f>LUNDI!N17</f>
        <v>rosette</v>
      </c>
      <c r="B13" s="452"/>
      <c r="C13" s="457">
        <f>LUNDI!O17</f>
        <v>1053</v>
      </c>
      <c r="D13" s="409"/>
      <c r="E13" s="409"/>
      <c r="F13" s="409">
        <f>JEUDI!O15</f>
        <v>0</v>
      </c>
      <c r="G13" s="410"/>
      <c r="H13" s="114"/>
      <c r="I13" s="70">
        <f t="shared" si="1"/>
        <v>1053</v>
      </c>
      <c r="J13" s="197" t="s">
        <v>272</v>
      </c>
    </row>
    <row r="14" spans="1:10" s="437" customFormat="1" ht="35.1" customHeight="1">
      <c r="A14" s="152" t="s">
        <v>46</v>
      </c>
      <c r="B14" s="68"/>
      <c r="C14" s="458">
        <f>LUNDI!O33-2</f>
        <v>28.24</v>
      </c>
      <c r="D14" s="408"/>
      <c r="E14" s="457">
        <v>3</v>
      </c>
      <c r="F14" s="409"/>
      <c r="G14" s="455"/>
      <c r="H14" s="438"/>
      <c r="I14" s="70">
        <f t="shared" si="1"/>
        <v>31.24</v>
      </c>
      <c r="J14" s="197" t="s">
        <v>120</v>
      </c>
    </row>
    <row r="15" spans="1:10" s="437" customFormat="1" ht="35.1" customHeight="1">
      <c r="A15" s="152" t="s">
        <v>91</v>
      </c>
      <c r="B15" s="72"/>
      <c r="C15" s="458">
        <v>2</v>
      </c>
      <c r="D15" s="408"/>
      <c r="E15" s="457">
        <v>2</v>
      </c>
      <c r="F15" s="409"/>
      <c r="G15" s="455"/>
      <c r="H15" s="438"/>
      <c r="I15" s="70">
        <f t="shared" si="1"/>
        <v>4</v>
      </c>
      <c r="J15" s="197" t="s">
        <v>120</v>
      </c>
    </row>
    <row r="16" spans="1:10" ht="35.1" customHeight="1">
      <c r="A16" s="152" t="s">
        <v>181</v>
      </c>
      <c r="B16" s="68"/>
      <c r="C16" s="408"/>
      <c r="D16" s="453"/>
      <c r="E16" s="409"/>
      <c r="F16" s="409"/>
      <c r="G16" s="410">
        <f>VENDREDI!O23-2</f>
        <v>-2</v>
      </c>
      <c r="H16" s="69"/>
      <c r="I16" s="70">
        <f t="shared" si="1"/>
        <v>-2</v>
      </c>
      <c r="J16" s="197" t="s">
        <v>120</v>
      </c>
    </row>
    <row r="17" spans="1:10" ht="35.1" customHeight="1">
      <c r="A17" s="152" t="s">
        <v>182</v>
      </c>
      <c r="B17" s="72"/>
      <c r="C17" s="408"/>
      <c r="D17" s="408"/>
      <c r="E17" s="409"/>
      <c r="F17" s="454"/>
      <c r="G17" s="410">
        <v>2</v>
      </c>
      <c r="H17" s="69"/>
      <c r="I17" s="70">
        <f t="shared" si="1"/>
        <v>2</v>
      </c>
      <c r="J17" s="197" t="s">
        <v>120</v>
      </c>
    </row>
    <row r="18" spans="1:10" s="382" customFormat="1" ht="35.1" customHeight="1">
      <c r="A18" s="151" t="s">
        <v>114</v>
      </c>
      <c r="B18" s="68"/>
      <c r="C18" s="408"/>
      <c r="D18" s="412"/>
      <c r="E18" s="408"/>
      <c r="F18" s="457">
        <v>2</v>
      </c>
      <c r="G18" s="431"/>
      <c r="H18" s="69"/>
      <c r="I18" s="70">
        <f t="shared" si="1"/>
        <v>2</v>
      </c>
      <c r="J18" s="197" t="s">
        <v>120</v>
      </c>
    </row>
    <row r="19" spans="1:10" ht="35.1" customHeight="1">
      <c r="A19" s="151" t="s">
        <v>74</v>
      </c>
      <c r="B19" s="68"/>
      <c r="C19" s="408"/>
      <c r="D19" s="413"/>
      <c r="E19" s="408"/>
      <c r="F19" s="457">
        <v>2</v>
      </c>
      <c r="G19" s="431"/>
      <c r="H19" s="69"/>
      <c r="I19" s="70">
        <f t="shared" si="1"/>
        <v>2</v>
      </c>
      <c r="J19" s="197" t="s">
        <v>120</v>
      </c>
    </row>
    <row r="20" spans="1:10" s="456" customFormat="1" ht="35.1" customHeight="1">
      <c r="A20" s="151" t="s">
        <v>267</v>
      </c>
      <c r="B20" s="68"/>
      <c r="C20" s="458">
        <v>1</v>
      </c>
      <c r="D20" s="413"/>
      <c r="E20" s="408"/>
      <c r="F20" s="412"/>
      <c r="G20" s="431"/>
      <c r="H20" s="69"/>
      <c r="I20" s="70">
        <f t="shared" si="1"/>
        <v>1</v>
      </c>
      <c r="J20" s="197" t="s">
        <v>120</v>
      </c>
    </row>
    <row r="21" spans="1:10" s="382" customFormat="1" ht="35.1" customHeight="1">
      <c r="A21" s="151" t="s">
        <v>47</v>
      </c>
      <c r="B21" s="72"/>
      <c r="C21" s="409"/>
      <c r="D21" s="409"/>
      <c r="E21" s="457">
        <f>MERCREDI!O44</f>
        <v>53.1</v>
      </c>
      <c r="F21" s="413"/>
      <c r="G21" s="414"/>
      <c r="H21" s="69"/>
      <c r="I21" s="70">
        <f t="shared" si="1"/>
        <v>53.1</v>
      </c>
      <c r="J21" s="197" t="s">
        <v>120</v>
      </c>
    </row>
    <row r="22" spans="1:10" s="282" customFormat="1" ht="35.25" customHeight="1">
      <c r="A22" s="299" t="s">
        <v>129</v>
      </c>
      <c r="B22" s="279"/>
      <c r="C22" s="345"/>
      <c r="D22" s="188"/>
      <c r="E22" s="188"/>
      <c r="F22" s="188"/>
      <c r="G22" s="188"/>
      <c r="H22" s="188"/>
      <c r="I22" s="188"/>
      <c r="J22" s="281"/>
    </row>
    <row r="23" spans="1:10" s="332" customFormat="1" ht="35.1" customHeight="1">
      <c r="A23" s="329" t="s">
        <v>132</v>
      </c>
      <c r="B23" s="330"/>
      <c r="C23" s="463">
        <v>2</v>
      </c>
      <c r="D23" s="416"/>
      <c r="E23" s="416"/>
      <c r="F23" s="417"/>
      <c r="G23" s="418"/>
      <c r="H23" s="331"/>
      <c r="I23" s="70">
        <f t="shared" ref="I23:I28" si="2">SUM(B23:G23)</f>
        <v>2</v>
      </c>
      <c r="J23" s="197" t="s">
        <v>120</v>
      </c>
    </row>
    <row r="24" spans="1:10" s="332" customFormat="1" ht="34.5" customHeight="1">
      <c r="A24" s="329" t="s">
        <v>270</v>
      </c>
      <c r="B24" s="330"/>
      <c r="C24" s="464">
        <v>2</v>
      </c>
      <c r="D24" s="416"/>
      <c r="E24" s="416"/>
      <c r="F24" s="416"/>
      <c r="G24" s="418"/>
      <c r="H24" s="283"/>
      <c r="I24" s="70">
        <f t="shared" si="2"/>
        <v>2</v>
      </c>
      <c r="J24" s="197" t="s">
        <v>120</v>
      </c>
    </row>
    <row r="25" spans="1:10" s="332" customFormat="1" ht="35.1" customHeight="1">
      <c r="A25" s="329" t="s">
        <v>130</v>
      </c>
      <c r="B25" s="333"/>
      <c r="C25" s="416"/>
      <c r="D25" s="464">
        <v>2</v>
      </c>
      <c r="E25" s="416"/>
      <c r="F25" s="416"/>
      <c r="G25" s="476">
        <v>2</v>
      </c>
      <c r="H25" s="280"/>
      <c r="I25" s="70">
        <f t="shared" si="2"/>
        <v>4</v>
      </c>
      <c r="J25" s="197" t="s">
        <v>120</v>
      </c>
    </row>
    <row r="26" spans="1:10" s="332" customFormat="1" ht="35.1" customHeight="1">
      <c r="A26" s="329" t="s">
        <v>131</v>
      </c>
      <c r="B26" s="330"/>
      <c r="C26" s="415"/>
      <c r="D26" s="416"/>
      <c r="E26" s="464">
        <v>2</v>
      </c>
      <c r="F26" s="416"/>
      <c r="G26" s="418"/>
      <c r="H26" s="283"/>
      <c r="I26" s="70">
        <f t="shared" si="2"/>
        <v>2</v>
      </c>
      <c r="J26" s="197" t="s">
        <v>120</v>
      </c>
    </row>
    <row r="27" spans="1:10" s="332" customFormat="1" ht="35.1" customHeight="1">
      <c r="A27" s="329" t="s">
        <v>277</v>
      </c>
      <c r="B27" s="330"/>
      <c r="C27" s="415"/>
      <c r="D27" s="416"/>
      <c r="E27" s="464">
        <v>2</v>
      </c>
      <c r="F27" s="416"/>
      <c r="G27" s="418"/>
      <c r="H27" s="283"/>
      <c r="I27" s="70">
        <f t="shared" ref="I27" si="3">SUM(B27:G27)</f>
        <v>2</v>
      </c>
      <c r="J27" s="197" t="s">
        <v>120</v>
      </c>
    </row>
    <row r="28" spans="1:10" s="332" customFormat="1" ht="35.1" customHeight="1">
      <c r="A28" s="329" t="s">
        <v>136</v>
      </c>
      <c r="B28" s="330"/>
      <c r="C28" s="415"/>
      <c r="D28" s="416"/>
      <c r="E28" s="416"/>
      <c r="F28" s="464">
        <v>2</v>
      </c>
      <c r="G28" s="418"/>
      <c r="H28" s="334"/>
      <c r="I28" s="70">
        <f t="shared" si="2"/>
        <v>2</v>
      </c>
      <c r="J28" s="197" t="s">
        <v>120</v>
      </c>
    </row>
    <row r="29" spans="1:10" s="332" customFormat="1" ht="35.1" customHeight="1">
      <c r="A29" s="329" t="s">
        <v>135</v>
      </c>
      <c r="B29" s="330"/>
      <c r="C29" s="415"/>
      <c r="D29" s="416"/>
      <c r="E29" s="416"/>
      <c r="F29" s="464">
        <v>2</v>
      </c>
      <c r="G29" s="418"/>
      <c r="H29" s="334"/>
      <c r="I29" s="70">
        <f t="shared" ref="I29" si="4">SUM(B29:G29)</f>
        <v>2</v>
      </c>
      <c r="J29" s="197" t="s">
        <v>120</v>
      </c>
    </row>
    <row r="30" spans="1:10" s="332" customFormat="1" ht="35.1" customHeight="1">
      <c r="A30" s="329" t="s">
        <v>288</v>
      </c>
      <c r="B30" s="330"/>
      <c r="C30" s="415"/>
      <c r="D30" s="415"/>
      <c r="E30" s="416"/>
      <c r="F30" s="416"/>
      <c r="G30" s="476">
        <v>2</v>
      </c>
      <c r="H30" s="283"/>
      <c r="I30" s="70">
        <f>SUM(B30:G30)</f>
        <v>2</v>
      </c>
      <c r="J30" s="197" t="s">
        <v>120</v>
      </c>
    </row>
    <row r="31" spans="1:10" s="282" customFormat="1" ht="12.75" customHeight="1">
      <c r="A31" s="299"/>
      <c r="B31" s="279"/>
      <c r="C31" s="345"/>
      <c r="D31" s="188"/>
      <c r="E31" s="188"/>
      <c r="F31" s="188"/>
      <c r="G31" s="188"/>
      <c r="H31" s="280"/>
      <c r="I31" s="188"/>
      <c r="J31" s="281"/>
    </row>
    <row r="32" spans="1:10" s="281" customFormat="1" ht="39.950000000000003" customHeight="1">
      <c r="A32" s="291"/>
      <c r="B32" s="292"/>
      <c r="C32" s="345"/>
      <c r="D32" s="188"/>
      <c r="E32" s="188"/>
      <c r="F32" s="188"/>
      <c r="G32" s="188"/>
      <c r="H32" s="283"/>
      <c r="I32" s="188"/>
      <c r="J32" s="293"/>
    </row>
    <row r="33" spans="2:9" s="284" customFormat="1">
      <c r="B33" s="285"/>
      <c r="H33" s="286"/>
      <c r="I33" s="287"/>
    </row>
  </sheetData>
  <sortState ref="A3:J19">
    <sortCondition ref="A3"/>
  </sortState>
  <phoneticPr fontId="0" type="noConversion"/>
  <printOptions horizontalCentered="1" verticalCentered="1"/>
  <pageMargins left="0.19685039370078741" right="0.39370078740157483" top="0.19685039370078741" bottom="0.19685039370078741" header="0.31496062992125984" footer="0.11811023622047245"/>
  <pageSetup paperSize="9" scale="68" orientation="portrait" r:id="rId1"/>
  <headerFooter alignWithMargins="0">
    <oddHeader>&amp;A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O44"/>
  <sheetViews>
    <sheetView showGridLines="0" showZeros="0" topLeftCell="A13" zoomScale="60" zoomScaleNormal="60" workbookViewId="0">
      <selection activeCell="K29" sqref="K29"/>
    </sheetView>
  </sheetViews>
  <sheetFormatPr baseColWidth="10" defaultRowHeight="15"/>
  <cols>
    <col min="1" max="1" width="42.28515625" style="54" customWidth="1"/>
    <col min="2" max="2" width="9.5703125" style="54" customWidth="1"/>
    <col min="3" max="4" width="12.7109375" style="441" customWidth="1"/>
    <col min="5" max="5" width="12" style="441" customWidth="1"/>
    <col min="6" max="6" width="12.7109375" style="441" customWidth="1"/>
    <col min="7" max="7" width="11.5703125" style="441" customWidth="1"/>
    <col min="8" max="8" width="2" style="8" customWidth="1"/>
    <col min="9" max="9" width="12.7109375" style="54" customWidth="1"/>
    <col min="10" max="10" width="22.85546875" style="54" customWidth="1"/>
    <col min="11" max="16384" width="11.42578125" style="54"/>
  </cols>
  <sheetData>
    <row r="1" spans="1:10" ht="24.75">
      <c r="A1" s="56" t="s">
        <v>3</v>
      </c>
      <c r="B1" s="33"/>
      <c r="C1" s="57">
        <f>+LUNDI!$B$8</f>
        <v>43556</v>
      </c>
      <c r="D1" s="57">
        <f>+C1+1</f>
        <v>43557</v>
      </c>
      <c r="E1" s="57">
        <f>+D1+1</f>
        <v>43558</v>
      </c>
      <c r="F1" s="57">
        <f>+E1+1</f>
        <v>43559</v>
      </c>
      <c r="G1" s="57">
        <f>+F1+1</f>
        <v>43560</v>
      </c>
    </row>
    <row r="2" spans="1:10">
      <c r="B2" s="62" t="s">
        <v>24</v>
      </c>
      <c r="C2" s="63" t="s">
        <v>25</v>
      </c>
      <c r="D2" s="62" t="s">
        <v>26</v>
      </c>
      <c r="E2" s="62" t="s">
        <v>27</v>
      </c>
      <c r="F2" s="62" t="s">
        <v>28</v>
      </c>
      <c r="G2" s="62" t="s">
        <v>29</v>
      </c>
      <c r="H2" s="59"/>
      <c r="I2" s="59" t="s">
        <v>42</v>
      </c>
    </row>
    <row r="3" spans="1:10" s="8" customFormat="1" ht="19.5" customHeight="1">
      <c r="A3" s="64" t="s">
        <v>48</v>
      </c>
      <c r="B3" s="37"/>
      <c r="C3" s="37"/>
      <c r="D3" s="37"/>
      <c r="E3" s="37"/>
      <c r="F3" s="37"/>
      <c r="G3" s="37"/>
      <c r="H3" s="37"/>
      <c r="I3" s="60"/>
    </row>
    <row r="4" spans="1:10" ht="34.5" customHeight="1">
      <c r="A4" s="151" t="s">
        <v>142</v>
      </c>
      <c r="B4" s="185"/>
      <c r="C4" s="466">
        <f>LUNDI!R31+LUNDI!R38</f>
        <v>2.7560000000000002</v>
      </c>
      <c r="D4" s="413">
        <f>MARDI!R39</f>
        <v>0</v>
      </c>
      <c r="E4" s="466">
        <f>MERCREDI!R35+MERCREDI!R51</f>
        <v>1.9710000000000001</v>
      </c>
      <c r="F4" s="466">
        <f>JEUDI!R31+JEUDI!R39</f>
        <v>1.78</v>
      </c>
      <c r="G4" s="477">
        <f>VENDREDI!R29</f>
        <v>1.9319999999999999</v>
      </c>
      <c r="H4" s="289"/>
      <c r="I4" s="207">
        <f t="shared" ref="I4:I13" si="0">SUM(B4:G4)</f>
        <v>8.4390000000000001</v>
      </c>
      <c r="J4" s="212" t="s">
        <v>120</v>
      </c>
    </row>
    <row r="5" spans="1:10" s="326" customFormat="1" ht="34.5" customHeight="1">
      <c r="A5" s="151" t="s">
        <v>97</v>
      </c>
      <c r="B5" s="185"/>
      <c r="C5" s="457">
        <f>LUNDI!R21</f>
        <v>349</v>
      </c>
      <c r="D5" s="409">
        <f>MARDI!R41</f>
        <v>0</v>
      </c>
      <c r="E5" s="409">
        <f>MARDI!S41</f>
        <v>0</v>
      </c>
      <c r="F5" s="409"/>
      <c r="G5" s="410">
        <f>VENDREDI!R22</f>
        <v>0</v>
      </c>
      <c r="H5" s="289"/>
      <c r="I5" s="70">
        <f t="shared" si="0"/>
        <v>349</v>
      </c>
      <c r="J5" s="212" t="s">
        <v>148</v>
      </c>
    </row>
    <row r="6" spans="1:10" s="468" customFormat="1" ht="34.5" customHeight="1">
      <c r="A6" s="151" t="s">
        <v>275</v>
      </c>
      <c r="B6" s="185"/>
      <c r="C6" s="409"/>
      <c r="D6" s="457">
        <v>4</v>
      </c>
      <c r="F6" s="409"/>
      <c r="G6" s="410"/>
      <c r="H6" s="289"/>
      <c r="I6" s="70">
        <f t="shared" si="0"/>
        <v>4</v>
      </c>
      <c r="J6" s="212" t="s">
        <v>150</v>
      </c>
    </row>
    <row r="7" spans="1:10" s="442" customFormat="1" ht="34.5" customHeight="1">
      <c r="A7" s="151" t="str">
        <f>JEUDI!Q19</f>
        <v>crème épaisse</v>
      </c>
      <c r="B7" s="185"/>
      <c r="C7" s="409"/>
      <c r="D7" s="409"/>
      <c r="E7" s="409"/>
      <c r="F7" s="457">
        <f>JEUDI!R19</f>
        <v>4.9349999999999996</v>
      </c>
      <c r="G7" s="410"/>
      <c r="H7" s="289"/>
      <c r="I7" s="70">
        <f t="shared" si="0"/>
        <v>4.9349999999999996</v>
      </c>
      <c r="J7" s="212" t="s">
        <v>120</v>
      </c>
    </row>
    <row r="8" spans="1:10" ht="34.5" customHeight="1">
      <c r="A8" s="151" t="s">
        <v>49</v>
      </c>
      <c r="B8" s="185"/>
      <c r="C8" s="413"/>
      <c r="D8" s="413"/>
      <c r="E8" s="466">
        <f>MERCREDI!R36</f>
        <v>2.88</v>
      </c>
      <c r="F8" s="413"/>
      <c r="G8" s="411">
        <f>VENDREDI!R23</f>
        <v>0</v>
      </c>
      <c r="H8" s="289"/>
      <c r="I8" s="70">
        <f t="shared" si="0"/>
        <v>2.88</v>
      </c>
      <c r="J8" s="212" t="s">
        <v>150</v>
      </c>
    </row>
    <row r="9" spans="1:10" ht="34.5" customHeight="1">
      <c r="A9" s="151" t="s">
        <v>88</v>
      </c>
      <c r="B9" s="185"/>
      <c r="C9" s="409"/>
      <c r="D9" s="409"/>
      <c r="E9" s="409"/>
      <c r="F9" s="409"/>
      <c r="G9" s="477">
        <f>VENDREDI!R9</f>
        <v>5.13</v>
      </c>
      <c r="H9" s="289"/>
      <c r="I9" s="70">
        <f t="shared" si="0"/>
        <v>5.13</v>
      </c>
      <c r="J9" s="212" t="s">
        <v>120</v>
      </c>
    </row>
    <row r="10" spans="1:10" ht="34.5" customHeight="1">
      <c r="A10" s="151" t="s">
        <v>73</v>
      </c>
      <c r="B10" s="185"/>
      <c r="C10" s="413"/>
      <c r="D10" s="466">
        <f>MARDI!R55</f>
        <v>2.92</v>
      </c>
      <c r="E10" s="413">
        <f>MERCREDI!R42</f>
        <v>0</v>
      </c>
      <c r="F10" s="466">
        <f>JEUDI!R57</f>
        <v>5</v>
      </c>
      <c r="G10" s="410"/>
      <c r="H10" s="289"/>
      <c r="I10" s="70">
        <f t="shared" si="0"/>
        <v>7.92</v>
      </c>
      <c r="J10" s="212" t="s">
        <v>120</v>
      </c>
    </row>
    <row r="11" spans="1:10" s="442" customFormat="1" ht="34.5" customHeight="1">
      <c r="A11" s="151" t="str">
        <f>JEUDI!Q18</f>
        <v>fromage blanc seau</v>
      </c>
      <c r="B11" s="185"/>
      <c r="C11" s="413"/>
      <c r="D11" s="413"/>
      <c r="E11" s="413">
        <f>MERCREDI!R43</f>
        <v>0</v>
      </c>
      <c r="F11" s="457">
        <f>JEUDI!R18+8</f>
        <v>24.779</v>
      </c>
      <c r="G11" s="410"/>
      <c r="H11" s="289"/>
      <c r="I11" s="70">
        <f t="shared" si="0"/>
        <v>24.779</v>
      </c>
      <c r="J11" s="212" t="s">
        <v>120</v>
      </c>
    </row>
    <row r="12" spans="1:10" s="344" customFormat="1" ht="34.5" customHeight="1">
      <c r="A12" s="151" t="s">
        <v>151</v>
      </c>
      <c r="B12" s="185"/>
      <c r="C12" s="409"/>
      <c r="D12" s="409"/>
      <c r="E12" s="457">
        <f>MERCREDI!R39</f>
        <v>17.5</v>
      </c>
      <c r="F12" s="457">
        <f>JEUDI!R20+JEUDI!R55</f>
        <v>22.434999999999999</v>
      </c>
      <c r="G12" s="472">
        <f>VENDREDI!R18</f>
        <v>36.700000000000003</v>
      </c>
      <c r="H12" s="289"/>
      <c r="I12" s="70">
        <f t="shared" si="0"/>
        <v>76.635000000000005</v>
      </c>
      <c r="J12" s="212" t="s">
        <v>150</v>
      </c>
    </row>
    <row r="13" spans="1:10" s="382" customFormat="1" ht="34.5" customHeight="1">
      <c r="A13" s="151" t="str">
        <f>MARDI!Q21</f>
        <v>yaourt nature seau</v>
      </c>
      <c r="B13" s="185"/>
      <c r="C13" s="409"/>
      <c r="D13" s="457">
        <f>MARDI!R21+1</f>
        <v>4.8699999999999992</v>
      </c>
      <c r="E13" s="409"/>
      <c r="F13" s="409"/>
      <c r="G13" s="410"/>
      <c r="H13" s="289"/>
      <c r="I13" s="70">
        <f t="shared" si="0"/>
        <v>4.8699999999999992</v>
      </c>
      <c r="J13" s="212" t="s">
        <v>120</v>
      </c>
    </row>
    <row r="14" spans="1:10" s="8" customFormat="1" ht="28.5" customHeight="1">
      <c r="A14" s="65" t="s">
        <v>43</v>
      </c>
      <c r="B14" s="37"/>
      <c r="C14" s="37"/>
      <c r="D14" s="37"/>
      <c r="E14" s="37"/>
      <c r="F14" s="37"/>
      <c r="G14" s="37"/>
      <c r="H14" s="354"/>
      <c r="I14" s="60"/>
    </row>
    <row r="15" spans="1:10" ht="35.1" customHeight="1">
      <c r="A15" s="151" t="s">
        <v>70</v>
      </c>
      <c r="B15" s="185"/>
      <c r="C15" s="457">
        <v>240</v>
      </c>
      <c r="D15" s="460">
        <f>MARDI!R29</f>
        <v>272</v>
      </c>
      <c r="E15" s="419"/>
      <c r="F15" s="460">
        <v>30</v>
      </c>
      <c r="G15" s="410"/>
      <c r="H15" s="289"/>
      <c r="I15" s="70">
        <f t="shared" ref="I15:I23" si="1">SUM(B15:G15)</f>
        <v>542</v>
      </c>
      <c r="J15" s="212" t="s">
        <v>121</v>
      </c>
    </row>
    <row r="16" spans="1:10" ht="35.1" customHeight="1">
      <c r="A16" s="151" t="str">
        <f>JEUDI!Q26</f>
        <v>carré président</v>
      </c>
      <c r="B16" s="185"/>
      <c r="C16" s="409"/>
      <c r="D16" s="460">
        <v>50</v>
      </c>
      <c r="E16" s="412"/>
      <c r="F16" s="460">
        <f>JEUDI!R26</f>
        <v>260</v>
      </c>
      <c r="G16" s="411"/>
      <c r="H16" s="289"/>
      <c r="I16" s="70">
        <f t="shared" si="1"/>
        <v>310</v>
      </c>
      <c r="J16" s="212"/>
    </row>
    <row r="17" spans="1:15" ht="35.1" customHeight="1">
      <c r="A17" s="151" t="str">
        <f>LUNDI!Q15</f>
        <v>Edam</v>
      </c>
      <c r="B17" s="185"/>
      <c r="C17" s="457">
        <f>LUNDI!R15</f>
        <v>345</v>
      </c>
      <c r="D17" s="419"/>
      <c r="E17" s="420"/>
      <c r="F17" s="419"/>
      <c r="G17" s="411"/>
      <c r="H17" s="289"/>
      <c r="I17" s="70">
        <f t="shared" si="1"/>
        <v>345</v>
      </c>
      <c r="J17" s="212"/>
    </row>
    <row r="18" spans="1:15" s="255" customFormat="1" ht="35.1" customHeight="1">
      <c r="A18" s="151" t="s">
        <v>104</v>
      </c>
      <c r="B18" s="185"/>
      <c r="C18" s="419"/>
      <c r="D18" s="409"/>
      <c r="E18" s="457">
        <f>MERCREDI!R14</f>
        <v>271</v>
      </c>
      <c r="F18" s="409"/>
      <c r="G18" s="421"/>
      <c r="H18" s="289"/>
      <c r="I18" s="70">
        <f t="shared" si="1"/>
        <v>271</v>
      </c>
      <c r="J18" s="212"/>
    </row>
    <row r="19" spans="1:15" s="300" customFormat="1" ht="35.1" customHeight="1">
      <c r="A19" s="151" t="s">
        <v>268</v>
      </c>
      <c r="B19" s="185"/>
      <c r="C19" s="457">
        <v>80</v>
      </c>
      <c r="D19" s="419"/>
      <c r="E19" s="471">
        <v>20</v>
      </c>
      <c r="F19" s="419"/>
      <c r="G19" s="411"/>
      <c r="H19" s="289"/>
      <c r="I19" s="70">
        <f t="shared" si="1"/>
        <v>100</v>
      </c>
      <c r="J19" s="212" t="s">
        <v>144</v>
      </c>
    </row>
    <row r="20" spans="1:15" s="61" customFormat="1" ht="38.25" customHeight="1">
      <c r="A20" s="220" t="str">
        <f>MARDI!B13</f>
        <v>rondelé aux 3 poivres</v>
      </c>
      <c r="B20" s="185"/>
      <c r="C20" s="460">
        <v>80</v>
      </c>
      <c r="D20" s="457">
        <f>MARDI!R13</f>
        <v>272</v>
      </c>
      <c r="E20" s="419"/>
      <c r="F20" s="419"/>
      <c r="G20" s="421"/>
      <c r="H20" s="354"/>
      <c r="I20" s="70">
        <f t="shared" si="1"/>
        <v>352</v>
      </c>
      <c r="J20" s="212" t="s">
        <v>144</v>
      </c>
    </row>
    <row r="21" spans="1:15" s="61" customFormat="1" ht="34.5" customHeight="1">
      <c r="A21" s="151" t="str">
        <f>MERCREDI!Q30</f>
        <v>Saint-Nectaire</v>
      </c>
      <c r="B21" s="185"/>
      <c r="C21" s="419"/>
      <c r="D21" s="409"/>
      <c r="E21" s="457">
        <f>MERCREDI!R30</f>
        <v>297</v>
      </c>
      <c r="F21" s="409"/>
      <c r="G21" s="421"/>
      <c r="H21" s="289"/>
      <c r="I21" s="70">
        <f t="shared" si="1"/>
        <v>297</v>
      </c>
      <c r="J21" s="276"/>
    </row>
    <row r="22" spans="1:15" s="61" customFormat="1" ht="34.5" customHeight="1">
      <c r="A22" s="220" t="s">
        <v>143</v>
      </c>
      <c r="B22" s="185">
        <v>50</v>
      </c>
      <c r="C22" s="460">
        <v>20</v>
      </c>
      <c r="D22" s="457">
        <v>20</v>
      </c>
      <c r="E22" s="460">
        <v>20</v>
      </c>
      <c r="F22" s="460">
        <v>20</v>
      </c>
      <c r="G22" s="461">
        <v>20</v>
      </c>
      <c r="H22" s="354"/>
      <c r="I22" s="70">
        <f t="shared" si="1"/>
        <v>150</v>
      </c>
      <c r="J22" s="212"/>
    </row>
    <row r="23" spans="1:15" s="61" customFormat="1" ht="38.25" customHeight="1">
      <c r="A23" s="151" t="s">
        <v>180</v>
      </c>
      <c r="B23" s="185"/>
      <c r="C23" s="460">
        <v>10</v>
      </c>
      <c r="D23" s="409"/>
      <c r="E23" s="457">
        <v>20</v>
      </c>
      <c r="F23" s="409"/>
      <c r="G23" s="421"/>
      <c r="H23" s="289"/>
      <c r="I23" s="70">
        <f t="shared" si="1"/>
        <v>30</v>
      </c>
      <c r="J23" s="276"/>
    </row>
    <row r="24" spans="1:15" ht="39" customHeight="1">
      <c r="A24" s="65" t="s">
        <v>30</v>
      </c>
      <c r="B24" s="62" t="s">
        <v>24</v>
      </c>
      <c r="C24" s="63" t="s">
        <v>25</v>
      </c>
      <c r="D24" s="430" t="s">
        <v>26</v>
      </c>
      <c r="E24" s="62" t="s">
        <v>27</v>
      </c>
      <c r="F24" s="62" t="s">
        <v>28</v>
      </c>
      <c r="G24" s="62" t="s">
        <v>29</v>
      </c>
      <c r="H24" s="355"/>
      <c r="I24" s="59" t="s">
        <v>42</v>
      </c>
    </row>
    <row r="25" spans="1:15" s="61" customFormat="1" ht="38.25" customHeight="1">
      <c r="A25" s="151" t="str">
        <f>LUNDI!Q23</f>
        <v>crème dessert vanille</v>
      </c>
      <c r="B25" s="185"/>
      <c r="C25" s="457">
        <f>LUNDI!R23</f>
        <v>339</v>
      </c>
      <c r="D25" s="409"/>
      <c r="E25" s="409"/>
      <c r="F25" s="409"/>
      <c r="G25" s="425"/>
      <c r="H25" s="380"/>
      <c r="I25" s="70">
        <f t="shared" ref="I25:I32" si="2">SUM(B25:G25)</f>
        <v>339</v>
      </c>
      <c r="J25" s="276"/>
    </row>
    <row r="26" spans="1:15" s="328" customFormat="1" ht="35.1" customHeight="1">
      <c r="A26" s="151" t="s">
        <v>122</v>
      </c>
      <c r="B26" s="185"/>
      <c r="C26" s="422"/>
      <c r="D26" s="423"/>
      <c r="E26" s="460">
        <v>10</v>
      </c>
      <c r="F26" s="457">
        <v>20</v>
      </c>
      <c r="G26" s="424"/>
      <c r="H26" s="289"/>
      <c r="I26" s="70">
        <f t="shared" si="2"/>
        <v>30</v>
      </c>
      <c r="J26" s="276"/>
    </row>
    <row r="27" spans="1:15" ht="35.1" customHeight="1">
      <c r="A27" s="153" t="s">
        <v>93</v>
      </c>
      <c r="B27" s="185">
        <v>50</v>
      </c>
      <c r="C27" s="460">
        <v>10</v>
      </c>
      <c r="D27" s="460">
        <v>10</v>
      </c>
      <c r="E27" s="460">
        <v>20</v>
      </c>
      <c r="F27" s="460">
        <v>20</v>
      </c>
      <c r="G27" s="461">
        <v>10</v>
      </c>
      <c r="H27" s="289"/>
      <c r="I27" s="70">
        <f t="shared" si="2"/>
        <v>120</v>
      </c>
      <c r="J27" s="39"/>
    </row>
    <row r="28" spans="1:15" ht="35.1" customHeight="1">
      <c r="A28" s="153" t="s">
        <v>94</v>
      </c>
      <c r="B28" s="185">
        <v>140</v>
      </c>
      <c r="C28" s="459">
        <v>310</v>
      </c>
      <c r="D28" s="460">
        <v>10</v>
      </c>
      <c r="E28" s="460">
        <v>20</v>
      </c>
      <c r="F28" s="460">
        <v>20</v>
      </c>
      <c r="G28" s="472">
        <v>20</v>
      </c>
      <c r="H28" s="289"/>
      <c r="I28" s="70">
        <f t="shared" si="2"/>
        <v>520</v>
      </c>
      <c r="J28" s="39"/>
    </row>
    <row r="29" spans="1:15" ht="35.1" customHeight="1">
      <c r="A29" s="153" t="s">
        <v>86</v>
      </c>
      <c r="B29" s="185">
        <v>100</v>
      </c>
      <c r="C29" s="460">
        <v>32</v>
      </c>
      <c r="D29" s="459">
        <v>292</v>
      </c>
      <c r="E29" s="460">
        <v>10</v>
      </c>
      <c r="F29" s="460">
        <v>10</v>
      </c>
      <c r="G29" s="461">
        <v>10</v>
      </c>
      <c r="H29" s="289"/>
      <c r="I29" s="70">
        <f t="shared" si="2"/>
        <v>454</v>
      </c>
      <c r="J29" s="39"/>
    </row>
    <row r="30" spans="1:15" ht="35.1" customHeight="1">
      <c r="A30" s="151" t="s">
        <v>145</v>
      </c>
      <c r="B30" s="185"/>
      <c r="C30" s="460">
        <v>20</v>
      </c>
      <c r="D30" s="460">
        <v>20</v>
      </c>
      <c r="E30" s="460">
        <v>20</v>
      </c>
      <c r="F30" s="460">
        <v>10</v>
      </c>
      <c r="G30" s="461">
        <v>20</v>
      </c>
      <c r="H30" s="289"/>
      <c r="I30" s="70">
        <f t="shared" si="2"/>
        <v>90</v>
      </c>
      <c r="J30" s="39"/>
    </row>
    <row r="31" spans="1:15" ht="35.1" customHeight="1">
      <c r="A31" s="151" t="s">
        <v>50</v>
      </c>
      <c r="B31" s="185">
        <v>48</v>
      </c>
      <c r="C31" s="457">
        <v>40</v>
      </c>
      <c r="D31" s="457">
        <v>20</v>
      </c>
      <c r="E31" s="459">
        <v>300</v>
      </c>
      <c r="F31" s="422"/>
      <c r="G31" s="421"/>
      <c r="H31" s="289"/>
      <c r="I31" s="70">
        <f t="shared" si="2"/>
        <v>408</v>
      </c>
      <c r="J31" s="39"/>
      <c r="K31" s="489"/>
      <c r="L31" s="490"/>
      <c r="M31" s="490"/>
      <c r="N31" s="490"/>
      <c r="O31" s="490"/>
    </row>
    <row r="32" spans="1:15" ht="35.1" customHeight="1">
      <c r="A32" s="151" t="s">
        <v>51</v>
      </c>
      <c r="B32" s="185">
        <v>48</v>
      </c>
      <c r="C32" s="459">
        <v>240</v>
      </c>
      <c r="D32" s="419"/>
      <c r="E32" s="419"/>
      <c r="F32" s="419"/>
      <c r="G32" s="475">
        <v>275</v>
      </c>
      <c r="H32" s="380"/>
      <c r="I32" s="70">
        <f t="shared" si="2"/>
        <v>563</v>
      </c>
      <c r="J32" s="39"/>
      <c r="K32" s="489"/>
      <c r="L32" s="490"/>
      <c r="M32" s="490"/>
      <c r="N32" s="490"/>
      <c r="O32" s="490"/>
    </row>
    <row r="33" spans="1:10" s="8" customFormat="1" ht="22.5">
      <c r="A33" s="65" t="s">
        <v>31</v>
      </c>
      <c r="B33" s="37"/>
      <c r="C33" s="37"/>
      <c r="D33" s="37"/>
      <c r="E33" s="37"/>
      <c r="F33" s="37"/>
      <c r="G33" s="37"/>
      <c r="H33" s="354"/>
      <c r="I33" s="60"/>
    </row>
    <row r="34" spans="1:10" s="442" customFormat="1" ht="35.1" customHeight="1">
      <c r="A34" s="151" t="str">
        <f>MARDI!Q23</f>
        <v>jaunes d'œufs liquides</v>
      </c>
      <c r="B34" s="185"/>
      <c r="C34" s="409"/>
      <c r="D34" s="457">
        <f>MARDI!R23</f>
        <v>3.8699999999999997</v>
      </c>
      <c r="E34" s="409"/>
      <c r="F34" s="409"/>
      <c r="G34" s="410"/>
      <c r="H34" s="289"/>
      <c r="I34" s="70">
        <f>SUM(B34:G34)</f>
        <v>3.8699999999999997</v>
      </c>
      <c r="J34" s="212" t="s">
        <v>150</v>
      </c>
    </row>
    <row r="35" spans="1:10" s="251" customFormat="1" ht="35.1" customHeight="1">
      <c r="A35" s="151" t="s">
        <v>52</v>
      </c>
      <c r="B35" s="185"/>
      <c r="C35" s="457">
        <v>50</v>
      </c>
      <c r="D35" s="457">
        <f>MARDI!R54+30</f>
        <v>614</v>
      </c>
      <c r="E35" s="409"/>
      <c r="F35" s="409"/>
      <c r="G35" s="410"/>
      <c r="H35" s="289"/>
      <c r="I35" s="70">
        <f>SUM(B35:G35)</f>
        <v>664</v>
      </c>
      <c r="J35" s="212" t="s">
        <v>155</v>
      </c>
    </row>
    <row r="36" spans="1:10" ht="35.1" customHeight="1">
      <c r="A36" s="151" t="s">
        <v>87</v>
      </c>
      <c r="B36" s="185"/>
      <c r="C36" s="413"/>
      <c r="D36" s="466">
        <f>MARDI!R22</f>
        <v>13.76</v>
      </c>
      <c r="E36" s="413"/>
      <c r="F36" s="466">
        <f>JEUDI!R17+JEUDI!R56</f>
        <v>8.4879999999999995</v>
      </c>
      <c r="G36" s="410"/>
      <c r="H36" s="289"/>
      <c r="I36" s="207">
        <f>SUM(B36:G36)</f>
        <v>22.247999999999998</v>
      </c>
      <c r="J36" s="212" t="s">
        <v>150</v>
      </c>
    </row>
    <row r="37" spans="1:10">
      <c r="H37" s="301"/>
    </row>
    <row r="38" spans="1:10" ht="37.5">
      <c r="A38" s="199"/>
      <c r="B38" s="199"/>
      <c r="C38" s="199"/>
      <c r="D38" s="199"/>
      <c r="E38" s="199"/>
      <c r="H38" s="301"/>
    </row>
    <row r="39" spans="1:10">
      <c r="H39" s="301"/>
    </row>
    <row r="40" spans="1:10">
      <c r="H40" s="301"/>
    </row>
    <row r="41" spans="1:10">
      <c r="H41" s="301"/>
    </row>
    <row r="42" spans="1:10">
      <c r="H42" s="301"/>
    </row>
    <row r="43" spans="1:10">
      <c r="H43" s="301"/>
    </row>
    <row r="44" spans="1:10" ht="33">
      <c r="G44" s="198"/>
    </row>
  </sheetData>
  <sortState ref="A24:J32">
    <sortCondition ref="A24"/>
  </sortState>
  <mergeCells count="2">
    <mergeCell ref="K31:O31"/>
    <mergeCell ref="K32:O32"/>
  </mergeCells>
  <phoneticPr fontId="0" type="noConversion"/>
  <printOptions horizontalCentered="1" verticalCentered="1"/>
  <pageMargins left="0.19685039370078741" right="0.19685039370078741" top="0.19685039370078741" bottom="0.19685039370078741" header="0.31496062992125984" footer="0.11811023622047245"/>
  <pageSetup paperSize="9" scale="66" orientation="portrait" r:id="rId1"/>
  <headerFooter alignWithMargins="0">
    <oddHeader>&amp;A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J57"/>
  <sheetViews>
    <sheetView showGridLines="0" showZeros="0" topLeftCell="A31" zoomScale="60" zoomScaleNormal="60" workbookViewId="0">
      <selection activeCell="M17" sqref="M17"/>
    </sheetView>
  </sheetViews>
  <sheetFormatPr baseColWidth="10" defaultRowHeight="15"/>
  <cols>
    <col min="1" max="1" width="48.42578125" style="54" customWidth="1"/>
    <col min="2" max="2" width="6.85546875" style="54" customWidth="1"/>
    <col min="3" max="3" width="11.7109375" style="441" customWidth="1"/>
    <col min="4" max="7" width="12.7109375" style="441" customWidth="1"/>
    <col min="8" max="8" width="1.7109375" style="8" customWidth="1"/>
    <col min="9" max="9" width="12.7109375" style="54" customWidth="1"/>
    <col min="10" max="10" width="22.85546875" style="54" customWidth="1"/>
    <col min="11" max="16384" width="11.42578125" style="54"/>
  </cols>
  <sheetData>
    <row r="1" spans="1:10" s="33" customFormat="1" ht="26.25" customHeight="1">
      <c r="A1" s="56" t="s">
        <v>4</v>
      </c>
      <c r="B1" s="61"/>
      <c r="C1" s="57">
        <f>+LUNDI!$B$8</f>
        <v>43556</v>
      </c>
      <c r="D1" s="57">
        <f>+C1+1</f>
        <v>43557</v>
      </c>
      <c r="E1" s="57">
        <f>+D1+1</f>
        <v>43558</v>
      </c>
      <c r="F1" s="57">
        <f>+E1+1</f>
        <v>43559</v>
      </c>
      <c r="G1" s="57">
        <f>+F1+1</f>
        <v>43560</v>
      </c>
      <c r="H1" s="36"/>
    </row>
    <row r="2" spans="1:10" ht="26.25" customHeight="1">
      <c r="A2" s="65" t="s">
        <v>65</v>
      </c>
      <c r="B2" s="59" t="s">
        <v>24</v>
      </c>
      <c r="C2" s="59" t="s">
        <v>25</v>
      </c>
      <c r="D2" s="59" t="s">
        <v>26</v>
      </c>
      <c r="E2" s="59" t="s">
        <v>27</v>
      </c>
      <c r="F2" s="59" t="s">
        <v>28</v>
      </c>
      <c r="G2" s="59" t="s">
        <v>29</v>
      </c>
      <c r="H2" s="59"/>
      <c r="I2" s="59" t="s">
        <v>42</v>
      </c>
    </row>
    <row r="3" spans="1:10" s="468" customFormat="1" ht="39.950000000000003" customHeight="1">
      <c r="A3" s="154" t="s">
        <v>276</v>
      </c>
      <c r="B3" s="186"/>
      <c r="C3" s="409"/>
      <c r="D3" s="409"/>
      <c r="E3" s="457">
        <v>6</v>
      </c>
      <c r="F3" s="409"/>
      <c r="G3" s="410"/>
      <c r="H3" s="289"/>
      <c r="I3" s="356">
        <f>SUM(B3:H3)</f>
        <v>6</v>
      </c>
      <c r="J3" s="217" t="s">
        <v>120</v>
      </c>
    </row>
    <row r="4" spans="1:10" s="8" customFormat="1" ht="24">
      <c r="A4" s="65" t="s">
        <v>68</v>
      </c>
      <c r="B4" s="37"/>
      <c r="C4" s="37"/>
      <c r="D4" s="37"/>
      <c r="E4" s="37"/>
      <c r="F4" s="426"/>
      <c r="G4" s="37"/>
      <c r="H4" s="354"/>
      <c r="I4" s="280">
        <f t="shared" ref="I4" si="0">SUM(B4:H4)</f>
        <v>0</v>
      </c>
    </row>
    <row r="5" spans="1:10" s="316" customFormat="1" ht="39.950000000000003" customHeight="1">
      <c r="A5" s="317"/>
      <c r="B5" s="186"/>
      <c r="C5" s="419"/>
      <c r="D5" s="409"/>
      <c r="E5" s="409"/>
      <c r="F5" s="409"/>
      <c r="G5" s="421"/>
      <c r="H5" s="289"/>
      <c r="I5" s="357">
        <f>SUM(B5:H5)</f>
        <v>0</v>
      </c>
      <c r="J5" s="217"/>
    </row>
    <row r="6" spans="1:10" s="8" customFormat="1" ht="22.5">
      <c r="A6" s="65" t="s">
        <v>66</v>
      </c>
      <c r="G6" s="427"/>
      <c r="H6" s="301"/>
      <c r="I6" s="358" t="str">
        <f>IF(SUM(B6:G6)=0,"  ",SUM(B6:G6))</f>
        <v/>
      </c>
    </row>
    <row r="7" spans="1:10" s="277" customFormat="1" ht="39.950000000000003" customHeight="1">
      <c r="A7" s="154" t="s">
        <v>53</v>
      </c>
      <c r="B7" s="186"/>
      <c r="C7" s="460">
        <v>0.5</v>
      </c>
      <c r="D7" s="419"/>
      <c r="E7" s="460">
        <v>0.5</v>
      </c>
      <c r="F7" s="419"/>
      <c r="G7" s="428"/>
      <c r="H7" s="289"/>
      <c r="I7" s="356">
        <f t="shared" ref="I7:I10" si="1">SUM(B7:H7)</f>
        <v>1</v>
      </c>
      <c r="J7" s="217" t="s">
        <v>120</v>
      </c>
    </row>
    <row r="8" spans="1:10" s="351" customFormat="1" ht="39.950000000000003" customHeight="1">
      <c r="A8" s="154" t="s">
        <v>146</v>
      </c>
      <c r="B8" s="186"/>
      <c r="C8" s="460">
        <v>42</v>
      </c>
      <c r="D8" s="419"/>
      <c r="E8" s="460">
        <v>30</v>
      </c>
      <c r="F8" s="419"/>
      <c r="G8" s="428"/>
      <c r="H8" s="289"/>
      <c r="I8" s="356">
        <f t="shared" si="1"/>
        <v>72</v>
      </c>
      <c r="J8" s="217" t="s">
        <v>148</v>
      </c>
    </row>
    <row r="9" spans="1:10" s="252" customFormat="1" ht="39.950000000000003" customHeight="1">
      <c r="A9" s="154" t="str">
        <f>MERCREDI!T35</f>
        <v>paupiette de poisson</v>
      </c>
      <c r="B9" s="186"/>
      <c r="C9" s="419"/>
      <c r="D9" s="419"/>
      <c r="E9" s="457">
        <f>MERCREDI!U35</f>
        <v>288</v>
      </c>
      <c r="F9" s="419"/>
      <c r="G9" s="467">
        <v>60</v>
      </c>
      <c r="H9" s="289"/>
      <c r="I9" s="356">
        <f t="shared" si="1"/>
        <v>348</v>
      </c>
      <c r="J9" s="217" t="s">
        <v>148</v>
      </c>
    </row>
    <row r="10" spans="1:10" ht="39.950000000000003" customHeight="1">
      <c r="A10" s="154" t="s">
        <v>54</v>
      </c>
      <c r="B10" s="186"/>
      <c r="C10" s="460">
        <v>0.5</v>
      </c>
      <c r="D10" s="409"/>
      <c r="E10" s="460">
        <v>0.5</v>
      </c>
      <c r="F10" s="460">
        <v>0.5</v>
      </c>
      <c r="G10" s="411">
        <f>VENDREDI!U14</f>
        <v>0</v>
      </c>
      <c r="H10" s="289"/>
      <c r="I10" s="359">
        <f t="shared" si="1"/>
        <v>1.5</v>
      </c>
      <c r="J10" s="217" t="s">
        <v>120</v>
      </c>
    </row>
    <row r="11" spans="1:10" s="8" customFormat="1" ht="22.5">
      <c r="A11" s="65" t="s">
        <v>2</v>
      </c>
      <c r="B11" s="37"/>
      <c r="C11" s="37"/>
      <c r="D11" s="37"/>
      <c r="E11" s="429"/>
      <c r="F11" s="37"/>
      <c r="G11" s="37"/>
      <c r="H11" s="354"/>
      <c r="I11" s="360"/>
    </row>
    <row r="12" spans="1:10" s="341" customFormat="1" ht="39.950000000000003" customHeight="1">
      <c r="A12" s="154" t="s">
        <v>137</v>
      </c>
      <c r="B12" s="288"/>
      <c r="C12" s="419"/>
      <c r="D12" s="457">
        <f>MARDI!U43*0.03</f>
        <v>14.82</v>
      </c>
      <c r="E12" s="409"/>
      <c r="F12" s="419"/>
      <c r="G12" s="421"/>
      <c r="H12" s="289"/>
      <c r="I12" s="356">
        <f t="shared" ref="I12:I17" si="2">SUM(B12:H12)</f>
        <v>14.82</v>
      </c>
      <c r="J12" s="217" t="s">
        <v>120</v>
      </c>
    </row>
    <row r="13" spans="1:10" s="277" customFormat="1" ht="39.950000000000003" customHeight="1">
      <c r="A13" s="154" t="s">
        <v>127</v>
      </c>
      <c r="B13" s="288"/>
      <c r="C13" s="419"/>
      <c r="D13" s="457">
        <v>5</v>
      </c>
      <c r="E13" s="419"/>
      <c r="F13" s="419"/>
      <c r="G13" s="461">
        <v>15</v>
      </c>
      <c r="H13" s="289"/>
      <c r="I13" s="356">
        <f t="shared" si="2"/>
        <v>20</v>
      </c>
      <c r="J13" s="217" t="s">
        <v>148</v>
      </c>
    </row>
    <row r="14" spans="1:10" ht="39.950000000000003" customHeight="1">
      <c r="A14" s="154" t="s">
        <v>55</v>
      </c>
      <c r="B14" s="186"/>
      <c r="C14" s="460">
        <v>50</v>
      </c>
      <c r="D14" s="409"/>
      <c r="E14" s="457">
        <f>MERCREDI!U42</f>
        <v>230</v>
      </c>
      <c r="F14" s="419"/>
      <c r="G14" s="421"/>
      <c r="H14" s="289"/>
      <c r="I14" s="356">
        <f t="shared" si="2"/>
        <v>280</v>
      </c>
      <c r="J14" s="217" t="s">
        <v>148</v>
      </c>
    </row>
    <row r="15" spans="1:10" ht="39.950000000000003" customHeight="1">
      <c r="A15" s="154" t="str">
        <f>MARDI!T34</f>
        <v>palette de porc à la diable</v>
      </c>
      <c r="B15" s="186"/>
      <c r="C15" s="409"/>
      <c r="D15" s="457">
        <f>MARDI!U34</f>
        <v>39.299999999999997</v>
      </c>
      <c r="E15" s="409"/>
      <c r="F15" s="419"/>
      <c r="G15" s="428"/>
      <c r="H15" s="289"/>
      <c r="I15" s="356">
        <f t="shared" si="2"/>
        <v>39.299999999999997</v>
      </c>
      <c r="J15" s="217" t="s">
        <v>120</v>
      </c>
    </row>
    <row r="16" spans="1:10" s="290" customFormat="1" ht="39.950000000000003" customHeight="1">
      <c r="A16" s="154" t="s">
        <v>92</v>
      </c>
      <c r="B16" s="186"/>
      <c r="C16" s="460">
        <v>30</v>
      </c>
      <c r="D16" s="457">
        <v>30</v>
      </c>
      <c r="E16" s="460">
        <v>5</v>
      </c>
      <c r="F16" s="419"/>
      <c r="G16" s="467">
        <v>30</v>
      </c>
      <c r="H16" s="289"/>
      <c r="I16" s="356">
        <f t="shared" si="2"/>
        <v>95</v>
      </c>
      <c r="J16" s="217" t="s">
        <v>148</v>
      </c>
    </row>
    <row r="17" spans="1:10" ht="39.950000000000003" customHeight="1">
      <c r="A17" s="154" t="s">
        <v>113</v>
      </c>
      <c r="B17" s="186"/>
      <c r="C17" s="419"/>
      <c r="D17" s="409"/>
      <c r="E17" s="419"/>
      <c r="F17" s="460">
        <f>JEUDI!U51</f>
        <v>240</v>
      </c>
      <c r="G17" s="428"/>
      <c r="H17" s="289"/>
      <c r="I17" s="356">
        <f t="shared" si="2"/>
        <v>240</v>
      </c>
      <c r="J17" s="217" t="s">
        <v>148</v>
      </c>
    </row>
    <row r="18" spans="1:10" s="258" customFormat="1" ht="26.25" customHeight="1">
      <c r="A18" s="65" t="s">
        <v>67</v>
      </c>
      <c r="B18" s="59" t="s">
        <v>24</v>
      </c>
      <c r="C18" s="59" t="s">
        <v>25</v>
      </c>
      <c r="D18" s="59" t="s">
        <v>26</v>
      </c>
      <c r="E18" s="59" t="s">
        <v>27</v>
      </c>
      <c r="F18" s="59" t="s">
        <v>28</v>
      </c>
      <c r="G18" s="59" t="s">
        <v>29</v>
      </c>
      <c r="H18" s="355"/>
      <c r="I18" s="355" t="s">
        <v>42</v>
      </c>
    </row>
    <row r="19" spans="1:10" s="8" customFormat="1" ht="39.950000000000003" customHeight="1">
      <c r="A19" s="154" t="str">
        <f>VENDREDI!T23</f>
        <v>cuisse de poule</v>
      </c>
      <c r="B19" s="186"/>
      <c r="C19" s="419"/>
      <c r="D19" s="419"/>
      <c r="E19" s="419"/>
      <c r="F19" s="419"/>
      <c r="G19" s="472">
        <f>VENDREDI!U23</f>
        <v>305</v>
      </c>
      <c r="H19" s="289"/>
      <c r="I19" s="356">
        <f>SUM(B19:H19)</f>
        <v>305</v>
      </c>
      <c r="J19" s="217" t="s">
        <v>148</v>
      </c>
    </row>
    <row r="20" spans="1:10" s="8" customFormat="1" ht="39.950000000000003" customHeight="1">
      <c r="A20" s="154" t="s">
        <v>103</v>
      </c>
      <c r="B20" s="186"/>
      <c r="C20" s="419"/>
      <c r="D20" s="419"/>
      <c r="E20" s="419"/>
      <c r="F20" s="419"/>
      <c r="G20" s="472">
        <v>60</v>
      </c>
      <c r="H20" s="289"/>
      <c r="I20" s="356">
        <f>SUM(B20:H20)</f>
        <v>60</v>
      </c>
      <c r="J20" s="217" t="s">
        <v>281</v>
      </c>
    </row>
    <row r="21" spans="1:10" s="8" customFormat="1" ht="39.950000000000003" customHeight="1">
      <c r="A21" s="154" t="str">
        <f>MARDI!T42</f>
        <v>pilon de poulet</v>
      </c>
      <c r="B21" s="186"/>
      <c r="C21" s="419"/>
      <c r="D21" s="457">
        <f>MARDI!U42</f>
        <v>394</v>
      </c>
      <c r="E21" s="419"/>
      <c r="F21" s="419"/>
      <c r="G21" s="410"/>
      <c r="H21" s="289"/>
      <c r="I21" s="356">
        <f>SUM(B21:H21)</f>
        <v>394</v>
      </c>
      <c r="J21" s="217" t="s">
        <v>148</v>
      </c>
    </row>
    <row r="22" spans="1:10" s="33" customFormat="1" ht="26.25" customHeight="1">
      <c r="A22" s="56" t="s">
        <v>4</v>
      </c>
      <c r="B22" s="61"/>
      <c r="C22" s="57">
        <f>+LUNDI!$B$8</f>
        <v>43556</v>
      </c>
      <c r="D22" s="57">
        <f>+C22+1</f>
        <v>43557</v>
      </c>
      <c r="E22" s="57">
        <f>+D22+1</f>
        <v>43558</v>
      </c>
      <c r="F22" s="57">
        <f>+E22+1</f>
        <v>43559</v>
      </c>
      <c r="G22" s="57">
        <f>+F22+1</f>
        <v>43560</v>
      </c>
      <c r="H22" s="223"/>
      <c r="I22" s="297"/>
    </row>
    <row r="23" spans="1:10" ht="22.5">
      <c r="A23" s="65" t="s">
        <v>32</v>
      </c>
      <c r="B23" s="8" t="s">
        <v>24</v>
      </c>
      <c r="C23" s="8" t="s">
        <v>25</v>
      </c>
      <c r="D23" s="8" t="s">
        <v>26</v>
      </c>
      <c r="E23" s="8" t="s">
        <v>27</v>
      </c>
      <c r="F23" s="8" t="s">
        <v>28</v>
      </c>
      <c r="G23" s="8" t="s">
        <v>29</v>
      </c>
      <c r="H23" s="301"/>
      <c r="I23" s="301" t="s">
        <v>42</v>
      </c>
      <c r="J23" s="8"/>
    </row>
    <row r="24" spans="1:10" s="367" customFormat="1" ht="39.950000000000003" customHeight="1">
      <c r="A24" s="154" t="s">
        <v>95</v>
      </c>
      <c r="B24" s="186"/>
      <c r="C24" s="466">
        <f>LUNDI!U10+LUNDI!U39</f>
        <v>0.39200000000000002</v>
      </c>
      <c r="D24" s="413"/>
      <c r="E24" s="413"/>
      <c r="F24" s="466">
        <f>JEUDI!U15+JEUDI!U49</f>
        <v>0.56800000000000006</v>
      </c>
      <c r="G24" s="477">
        <f>VENDREDI!U27</f>
        <v>0.30499999999999999</v>
      </c>
      <c r="H24" s="289"/>
      <c r="I24" s="356">
        <f t="shared" ref="I24:I42" si="3">SUM(B24:H24)</f>
        <v>1.2650000000000001</v>
      </c>
      <c r="J24" s="39"/>
    </row>
    <row r="25" spans="1:10" s="382" customFormat="1" ht="39.950000000000003" customHeight="1">
      <c r="A25" s="154" t="s">
        <v>112</v>
      </c>
      <c r="B25" s="186"/>
      <c r="C25" s="409"/>
      <c r="D25" s="409"/>
      <c r="E25" s="413"/>
      <c r="F25" s="419"/>
      <c r="G25" s="472">
        <f>VENDREDI!U38</f>
        <v>29.070000000000004</v>
      </c>
      <c r="H25" s="289"/>
      <c r="I25" s="356">
        <f t="shared" si="3"/>
        <v>29.070000000000004</v>
      </c>
      <c r="J25" s="39"/>
    </row>
    <row r="26" spans="1:10" s="382" customFormat="1" ht="39.950000000000003" customHeight="1">
      <c r="A26" s="154" t="s">
        <v>56</v>
      </c>
      <c r="B26" s="186"/>
      <c r="C26" s="412"/>
      <c r="D26" s="457">
        <f>MARDI!U40</f>
        <v>63.919999999999995</v>
      </c>
      <c r="E26" s="457">
        <f>MERCREDI!U37+3</f>
        <v>11.64</v>
      </c>
      <c r="F26" s="409">
        <f>JEUDI!U32</f>
        <v>0</v>
      </c>
      <c r="G26" s="472">
        <f>VENDREDI!U25+VENDREDI!U30+VENDREDI!U39</f>
        <v>34.14</v>
      </c>
      <c r="H26" s="289"/>
      <c r="I26" s="356">
        <f t="shared" si="3"/>
        <v>109.7</v>
      </c>
      <c r="J26" s="39"/>
    </row>
    <row r="27" spans="1:10" s="353" customFormat="1" ht="39.950000000000003" customHeight="1">
      <c r="A27" s="154" t="str">
        <f>JEUDI!T48</f>
        <v>champignons de Paris</v>
      </c>
      <c r="B27" s="186"/>
      <c r="C27" s="419"/>
      <c r="D27" s="409"/>
      <c r="E27" s="409">
        <f>MERCREDI!U39</f>
        <v>0</v>
      </c>
      <c r="F27" s="457">
        <f>JEUDI!U48</f>
        <v>5.78</v>
      </c>
      <c r="G27" s="421"/>
      <c r="H27" s="289"/>
      <c r="I27" s="356">
        <f t="shared" si="3"/>
        <v>5.78</v>
      </c>
      <c r="J27" s="39"/>
    </row>
    <row r="28" spans="1:10" s="367" customFormat="1" ht="39.950000000000003" customHeight="1">
      <c r="A28" s="154" t="s">
        <v>57</v>
      </c>
      <c r="B28" s="186"/>
      <c r="C28" s="457">
        <f>LUNDI!U35</f>
        <v>47.84</v>
      </c>
      <c r="D28" s="409"/>
      <c r="E28" s="413"/>
      <c r="F28" s="460">
        <v>3</v>
      </c>
      <c r="G28" s="472">
        <f>+VENDREDI!U37</f>
        <v>29.070000000000004</v>
      </c>
      <c r="H28" s="289"/>
      <c r="I28" s="356">
        <f t="shared" si="3"/>
        <v>79.910000000000011</v>
      </c>
      <c r="J28" s="39"/>
    </row>
    <row r="29" spans="1:10" s="367" customFormat="1" ht="39.950000000000003" customHeight="1">
      <c r="A29" s="154" t="s">
        <v>162</v>
      </c>
      <c r="B29" s="186"/>
      <c r="C29" s="409"/>
      <c r="D29" s="409"/>
      <c r="E29" s="457">
        <v>15</v>
      </c>
      <c r="F29" s="419"/>
      <c r="G29" s="410"/>
      <c r="H29" s="289"/>
      <c r="I29" s="356">
        <f t="shared" si="3"/>
        <v>15</v>
      </c>
      <c r="J29" s="39"/>
    </row>
    <row r="30" spans="1:10" ht="39.950000000000003" customHeight="1">
      <c r="A30" s="154" t="s">
        <v>163</v>
      </c>
      <c r="B30" s="186"/>
      <c r="C30" s="466">
        <f>LUNDI!U39</f>
        <v>0.39200000000000002</v>
      </c>
      <c r="D30" s="409"/>
      <c r="E30" s="466">
        <f>MERCREDI!U44</f>
        <v>1.3274999999999999</v>
      </c>
      <c r="F30" s="419"/>
      <c r="G30" s="410"/>
      <c r="H30" s="289"/>
      <c r="I30" s="356">
        <f t="shared" si="3"/>
        <v>1.7195</v>
      </c>
      <c r="J30" s="39"/>
    </row>
    <row r="31" spans="1:10" s="252" customFormat="1" ht="39.950000000000003" customHeight="1">
      <c r="A31" s="154" t="s">
        <v>147</v>
      </c>
      <c r="B31" s="186"/>
      <c r="C31" s="419"/>
      <c r="D31" s="457">
        <f>MARDI!U54+13</f>
        <v>88.92</v>
      </c>
      <c r="E31" s="419"/>
      <c r="F31" s="409"/>
      <c r="G31" s="421"/>
      <c r="H31" s="289"/>
      <c r="I31" s="356">
        <f t="shared" si="3"/>
        <v>88.92</v>
      </c>
      <c r="J31" s="39"/>
    </row>
    <row r="32" spans="1:10" s="339" customFormat="1" ht="39.950000000000003" customHeight="1">
      <c r="A32" s="154" t="s">
        <v>59</v>
      </c>
      <c r="B32" s="186"/>
      <c r="C32" s="460">
        <v>20</v>
      </c>
      <c r="D32" s="460">
        <v>20</v>
      </c>
      <c r="E32" s="460">
        <v>30</v>
      </c>
      <c r="F32" s="460">
        <v>20</v>
      </c>
      <c r="G32" s="461">
        <v>20</v>
      </c>
      <c r="H32" s="289"/>
      <c r="I32" s="356">
        <f t="shared" si="3"/>
        <v>110</v>
      </c>
      <c r="J32" s="39"/>
    </row>
    <row r="33" spans="1:10" s="336" customFormat="1" ht="39.950000000000003" customHeight="1">
      <c r="A33" s="154" t="s">
        <v>80</v>
      </c>
      <c r="B33" s="186"/>
      <c r="C33" s="419"/>
      <c r="D33" s="409"/>
      <c r="E33" s="457">
        <f>MERCREDI!U51</f>
        <v>65.52</v>
      </c>
      <c r="F33" s="419"/>
      <c r="G33" s="421"/>
      <c r="H33" s="289"/>
      <c r="I33" s="356">
        <f t="shared" si="3"/>
        <v>65.52</v>
      </c>
      <c r="J33" s="39"/>
    </row>
    <row r="34" spans="1:10" s="353" customFormat="1" ht="39.950000000000003" customHeight="1">
      <c r="A34" s="154" t="s">
        <v>123</v>
      </c>
      <c r="B34" s="186"/>
      <c r="C34" s="460">
        <v>3</v>
      </c>
      <c r="D34" s="457">
        <f>MARDI!U17</f>
        <v>18.899999999999999</v>
      </c>
      <c r="E34" s="409"/>
      <c r="F34" s="419"/>
      <c r="G34" s="421"/>
      <c r="H34" s="289"/>
      <c r="I34" s="356">
        <f t="shared" si="3"/>
        <v>21.9</v>
      </c>
      <c r="J34" s="39"/>
    </row>
    <row r="35" spans="1:10" ht="39.950000000000003" customHeight="1">
      <c r="A35" s="154" t="str">
        <f>MARDI!T44</f>
        <v>légumes couscous</v>
      </c>
      <c r="B35" s="186"/>
      <c r="C35" s="419"/>
      <c r="D35" s="457">
        <f>MARDI!U44+15</f>
        <v>68.819999999999993</v>
      </c>
      <c r="E35" s="409">
        <f>MERCREDI!U45</f>
        <v>0</v>
      </c>
      <c r="F35" s="419"/>
      <c r="G35" s="421"/>
      <c r="H35" s="289"/>
      <c r="I35" s="356">
        <f t="shared" si="3"/>
        <v>68.819999999999993</v>
      </c>
      <c r="J35" s="39"/>
    </row>
    <row r="36" spans="1:10" ht="39.950000000000003" customHeight="1">
      <c r="A36" s="350" t="str">
        <f>MARDI!T27</f>
        <v>macédoine de légumes</v>
      </c>
      <c r="B36" s="186"/>
      <c r="C36" s="419"/>
      <c r="D36" s="457">
        <f>MARDI!U27</f>
        <v>33.22</v>
      </c>
      <c r="E36" s="419"/>
      <c r="F36" s="460">
        <v>3</v>
      </c>
      <c r="G36" s="421"/>
      <c r="H36" s="289"/>
      <c r="I36" s="356">
        <f t="shared" si="3"/>
        <v>36.22</v>
      </c>
      <c r="J36" s="39"/>
    </row>
    <row r="37" spans="1:10" ht="39.950000000000003" customHeight="1">
      <c r="A37" s="154" t="s">
        <v>152</v>
      </c>
      <c r="B37" s="186"/>
      <c r="C37" s="409"/>
      <c r="D37" s="409"/>
      <c r="E37" s="413"/>
      <c r="F37" s="460">
        <v>15</v>
      </c>
      <c r="G37" s="407"/>
      <c r="H37" s="289"/>
      <c r="I37" s="356">
        <f t="shared" si="3"/>
        <v>15</v>
      </c>
      <c r="J37" s="39"/>
    </row>
    <row r="38" spans="1:10" ht="39.950000000000003" customHeight="1">
      <c r="A38" s="154" t="s">
        <v>60</v>
      </c>
      <c r="B38" s="186"/>
      <c r="C38" s="457">
        <f>LUNDI!U38</f>
        <v>3.92</v>
      </c>
      <c r="D38" s="457">
        <f>MARDI!U39</f>
        <v>2.72</v>
      </c>
      <c r="E38" s="409"/>
      <c r="F38" s="457">
        <f>JEUDI!U47</f>
        <v>2.89</v>
      </c>
      <c r="G38" s="472">
        <f>VENDREDI!U24+VENDREDI!U29</f>
        <v>12.455</v>
      </c>
      <c r="H38" s="289"/>
      <c r="I38" s="356">
        <f t="shared" si="3"/>
        <v>21.984999999999999</v>
      </c>
      <c r="J38" s="39"/>
    </row>
    <row r="39" spans="1:10" s="344" customFormat="1" ht="39.950000000000003" customHeight="1">
      <c r="A39" s="154" t="s">
        <v>61</v>
      </c>
      <c r="B39" s="186"/>
      <c r="C39" s="409"/>
      <c r="D39" s="409"/>
      <c r="E39" s="409"/>
      <c r="F39" s="457">
        <f>JEUDI!U46</f>
        <v>52.019999999999996</v>
      </c>
      <c r="G39" s="410"/>
      <c r="H39" s="289"/>
      <c r="I39" s="356">
        <f t="shared" si="3"/>
        <v>52.019999999999996</v>
      </c>
      <c r="J39" s="39"/>
    </row>
    <row r="40" spans="1:10" s="382" customFormat="1" ht="39.950000000000003" customHeight="1">
      <c r="A40" s="154" t="s">
        <v>62</v>
      </c>
      <c r="B40" s="186"/>
      <c r="C40" s="409"/>
      <c r="D40" s="409"/>
      <c r="E40" s="457">
        <f>MERCREDI!U36+6</f>
        <v>17.52</v>
      </c>
      <c r="F40" s="457">
        <v>32</v>
      </c>
      <c r="G40" s="472">
        <f>VENDREDI!U26+VENDREDI!U31</f>
        <v>8.49</v>
      </c>
      <c r="H40" s="289"/>
      <c r="I40" s="356">
        <f t="shared" si="3"/>
        <v>58.01</v>
      </c>
      <c r="J40" s="39"/>
    </row>
    <row r="41" spans="1:10" s="456" customFormat="1" ht="39.950000000000003" customHeight="1">
      <c r="A41" s="154" t="s">
        <v>271</v>
      </c>
      <c r="B41" s="186"/>
      <c r="C41" s="457">
        <v>32</v>
      </c>
      <c r="D41" s="409"/>
      <c r="E41" s="409"/>
      <c r="F41" s="409"/>
      <c r="G41" s="410"/>
      <c r="H41" s="289"/>
      <c r="I41" s="356">
        <f t="shared" si="3"/>
        <v>32</v>
      </c>
      <c r="J41" s="39"/>
    </row>
    <row r="42" spans="1:10" ht="39.950000000000003" customHeight="1">
      <c r="A42" s="154" t="s">
        <v>110</v>
      </c>
      <c r="B42" s="186"/>
      <c r="C42" s="409"/>
      <c r="D42" s="409"/>
      <c r="E42" s="457">
        <v>20</v>
      </c>
      <c r="F42" s="419"/>
      <c r="G42" s="472">
        <v>15</v>
      </c>
      <c r="H42" s="289"/>
      <c r="I42" s="356">
        <f t="shared" si="3"/>
        <v>35</v>
      </c>
      <c r="J42" s="39"/>
    </row>
    <row r="43" spans="1:10">
      <c r="H43" s="301"/>
      <c r="I43" s="290"/>
    </row>
    <row r="44" spans="1:10">
      <c r="H44" s="301"/>
      <c r="I44" s="290"/>
    </row>
    <row r="45" spans="1:10">
      <c r="H45" s="301"/>
      <c r="I45" s="290"/>
    </row>
    <row r="46" spans="1:10" ht="36" customHeight="1">
      <c r="H46" s="301"/>
      <c r="I46" s="290"/>
    </row>
    <row r="47" spans="1:10">
      <c r="H47" s="301"/>
      <c r="I47" s="290"/>
    </row>
    <row r="53" spans="1:1">
      <c r="A53" s="8"/>
    </row>
    <row r="54" spans="1:1">
      <c r="A54" s="8"/>
    </row>
    <row r="55" spans="1:1">
      <c r="A55" s="8"/>
    </row>
    <row r="56" spans="1:1">
      <c r="A56" s="8"/>
    </row>
    <row r="57" spans="1:1">
      <c r="A57" s="8"/>
    </row>
  </sheetData>
  <sortState ref="A26:J43">
    <sortCondition ref="A26"/>
  </sortState>
  <phoneticPr fontId="0" type="noConversion"/>
  <printOptions horizontalCentered="1" verticalCentered="1"/>
  <pageMargins left="0.19685039370078741" right="0.19685039370078741" top="0.19685039370078741" bottom="0.19685039370078741" header="0.31496062992125984" footer="0.11811023622047245"/>
  <pageSetup paperSize="9" scale="66" fitToHeight="4" orientation="portrait" r:id="rId1"/>
  <headerFooter alignWithMargins="0">
    <oddHeader>&amp;A</oddHeader>
  </headerFooter>
  <rowBreaks count="1" manualBreakCount="1">
    <brk id="21" max="9" man="1"/>
  </rowBreak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O22"/>
  <sheetViews>
    <sheetView showGridLines="0" showZeros="0" tabSelected="1" workbookViewId="0">
      <selection activeCell="B3" sqref="B3"/>
    </sheetView>
  </sheetViews>
  <sheetFormatPr baseColWidth="10" defaultRowHeight="15"/>
  <cols>
    <col min="1" max="1" width="11.42578125" style="478"/>
    <col min="2" max="2" width="39" style="54" customWidth="1"/>
    <col min="3" max="3" width="11.7109375" style="58" customWidth="1"/>
    <col min="4" max="8" width="11.7109375" style="441" customWidth="1"/>
    <col min="9" max="9" width="1.7109375" style="8" customWidth="1"/>
    <col min="10" max="10" width="11.5703125" style="54" bestFit="1" customWidth="1"/>
    <col min="11" max="11" width="22.85546875" style="54" customWidth="1"/>
    <col min="12" max="16384" width="11.42578125" style="54"/>
  </cols>
  <sheetData>
    <row r="1" spans="1:15" s="33" customFormat="1" ht="24.75">
      <c r="B1" s="56" t="s">
        <v>33</v>
      </c>
      <c r="D1" s="57">
        <f>+LUNDI!$B$8</f>
        <v>43556</v>
      </c>
      <c r="E1" s="57">
        <f>+D1+1</f>
        <v>43557</v>
      </c>
      <c r="F1" s="57">
        <f>+E1+1</f>
        <v>43558</v>
      </c>
      <c r="G1" s="57">
        <f>+F1+1</f>
        <v>43559</v>
      </c>
      <c r="H1" s="57">
        <f>+G1+1</f>
        <v>43560</v>
      </c>
      <c r="I1" s="36"/>
    </row>
    <row r="2" spans="1:15">
      <c r="C2" s="184" t="s">
        <v>24</v>
      </c>
      <c r="D2" s="184" t="s">
        <v>25</v>
      </c>
      <c r="E2" s="184" t="s">
        <v>26</v>
      </c>
      <c r="F2" s="184" t="s">
        <v>27</v>
      </c>
      <c r="G2" s="184" t="s">
        <v>28</v>
      </c>
      <c r="H2" s="184" t="s">
        <v>29</v>
      </c>
      <c r="I2" s="59"/>
      <c r="J2" s="59" t="s">
        <v>42</v>
      </c>
    </row>
    <row r="3" spans="1:15" s="468" customFormat="1" ht="45" customHeight="1">
      <c r="A3" s="478"/>
      <c r="B3" s="154" t="s">
        <v>280</v>
      </c>
      <c r="C3" s="187"/>
      <c r="D3" s="405"/>
      <c r="E3" s="405"/>
      <c r="F3" s="406"/>
      <c r="G3" s="462">
        <f>JEUDI!X15</f>
        <v>27.900000000000002</v>
      </c>
      <c r="H3" s="407"/>
      <c r="I3" s="289"/>
      <c r="J3" s="70">
        <f>SUM(C3:H3)</f>
        <v>27.900000000000002</v>
      </c>
      <c r="K3" s="39"/>
    </row>
    <row r="4" spans="1:15" s="336" customFormat="1" ht="45" customHeight="1">
      <c r="A4" s="478"/>
      <c r="B4" s="154" t="s">
        <v>280</v>
      </c>
      <c r="C4" s="187"/>
      <c r="D4" s="462">
        <v>3</v>
      </c>
      <c r="E4" s="405"/>
      <c r="F4" s="406"/>
      <c r="G4" s="462">
        <v>4</v>
      </c>
      <c r="H4" s="474">
        <v>3</v>
      </c>
      <c r="I4" s="289"/>
      <c r="J4" s="70">
        <f t="shared" ref="J4:J11" si="0">SUM(C4:H4)</f>
        <v>10</v>
      </c>
      <c r="K4" s="39"/>
    </row>
    <row r="5" spans="1:15" s="351" customFormat="1" ht="45" customHeight="1">
      <c r="A5" s="478"/>
      <c r="B5" s="154" t="s">
        <v>133</v>
      </c>
      <c r="C5" s="187"/>
      <c r="D5" s="462">
        <v>2</v>
      </c>
      <c r="E5" s="405"/>
      <c r="F5" s="462">
        <f>MERCREDI!X11</f>
        <v>24.360000000000003</v>
      </c>
      <c r="G5" s="462">
        <f>JEUDI!X11</f>
        <v>7.8</v>
      </c>
      <c r="H5" s="407"/>
      <c r="I5" s="289"/>
      <c r="J5" s="70">
        <f t="shared" si="0"/>
        <v>34.160000000000004</v>
      </c>
      <c r="K5" s="39"/>
    </row>
    <row r="6" spans="1:15" s="278" customFormat="1" ht="45" customHeight="1">
      <c r="A6" s="478"/>
      <c r="B6" s="154" t="s">
        <v>173</v>
      </c>
      <c r="C6" s="187"/>
      <c r="D6" s="405"/>
      <c r="E6" s="462">
        <v>5</v>
      </c>
      <c r="F6" s="405"/>
      <c r="G6" s="462">
        <f>JEUDI!X22</f>
        <v>20.8</v>
      </c>
      <c r="H6" s="407"/>
      <c r="I6" s="289"/>
      <c r="J6" s="70">
        <f t="shared" si="0"/>
        <v>25.8</v>
      </c>
      <c r="K6" s="39"/>
    </row>
    <row r="7" spans="1:15" s="386" customFormat="1" ht="45" customHeight="1">
      <c r="A7" s="478"/>
      <c r="B7" s="154" t="s">
        <v>174</v>
      </c>
      <c r="C7" s="187"/>
      <c r="D7" s="405"/>
      <c r="E7" s="405"/>
      <c r="F7" s="405"/>
      <c r="G7" s="469">
        <f>JEUDI!X10</f>
        <v>13</v>
      </c>
      <c r="H7" s="407"/>
      <c r="I7" s="289"/>
      <c r="J7" s="70">
        <f t="shared" si="0"/>
        <v>13</v>
      </c>
      <c r="K7" s="39"/>
    </row>
    <row r="8" spans="1:15" ht="45" customHeight="1">
      <c r="B8" s="154" t="s">
        <v>278</v>
      </c>
      <c r="C8" s="187">
        <v>10</v>
      </c>
      <c r="D8" s="405"/>
      <c r="E8" s="405"/>
      <c r="F8" s="462">
        <v>3</v>
      </c>
      <c r="G8" s="462">
        <f>JEUDI!X55+4</f>
        <v>56.5</v>
      </c>
      <c r="H8" s="407"/>
      <c r="I8" s="289"/>
      <c r="J8" s="70">
        <f t="shared" si="0"/>
        <v>69.5</v>
      </c>
      <c r="K8" s="39"/>
    </row>
    <row r="9" spans="1:15" ht="45" customHeight="1">
      <c r="B9" s="154" t="s">
        <v>63</v>
      </c>
      <c r="C9" s="187">
        <v>10</v>
      </c>
      <c r="D9" s="405"/>
      <c r="E9" s="405"/>
      <c r="F9" s="406"/>
      <c r="G9" s="405"/>
      <c r="H9" s="407"/>
      <c r="I9" s="289"/>
      <c r="J9" s="70">
        <f t="shared" si="0"/>
        <v>10</v>
      </c>
      <c r="K9" s="39"/>
    </row>
    <row r="10" spans="1:15" s="316" customFormat="1" ht="45" customHeight="1">
      <c r="A10" s="478"/>
      <c r="B10" s="154" t="s">
        <v>126</v>
      </c>
      <c r="C10" s="187"/>
      <c r="D10" s="462">
        <f>LUNDI!X21</f>
        <v>29.665000000000003</v>
      </c>
      <c r="E10" s="405"/>
      <c r="F10" s="406"/>
      <c r="G10" s="405"/>
      <c r="H10" s="407"/>
      <c r="I10" s="289"/>
      <c r="J10" s="70">
        <f t="shared" si="0"/>
        <v>29.665000000000003</v>
      </c>
      <c r="K10" s="39"/>
    </row>
    <row r="11" spans="1:15" ht="45" customHeight="1">
      <c r="B11" s="154" t="s">
        <v>153</v>
      </c>
      <c r="C11" s="187"/>
      <c r="D11" s="462">
        <v>3</v>
      </c>
      <c r="E11" s="462">
        <f>MARDI!X17+3</f>
        <v>7.41</v>
      </c>
      <c r="F11" s="462">
        <f>MERCREDI!X16+MERCREDI!X20</f>
        <v>13.380000000000003</v>
      </c>
      <c r="G11" s="462">
        <v>3</v>
      </c>
      <c r="H11" s="474">
        <f>VENDREDI!X9+3</f>
        <v>14.97</v>
      </c>
      <c r="I11" s="280"/>
      <c r="J11" s="70">
        <f t="shared" si="0"/>
        <v>41.760000000000005</v>
      </c>
      <c r="K11" s="39"/>
    </row>
    <row r="13" spans="1:15" ht="30" customHeight="1">
      <c r="B13" s="492"/>
      <c r="C13" s="492"/>
      <c r="D13" s="492"/>
      <c r="E13" s="492"/>
      <c r="F13" s="492"/>
      <c r="G13" s="492"/>
      <c r="H13" s="492"/>
      <c r="I13" s="492"/>
      <c r="J13" s="492"/>
      <c r="K13" s="492"/>
    </row>
    <row r="14" spans="1:15" ht="123" customHeight="1">
      <c r="B14" s="491" t="s">
        <v>283</v>
      </c>
      <c r="C14" s="491"/>
      <c r="D14" s="491"/>
      <c r="E14" s="491"/>
      <c r="F14" s="491"/>
      <c r="G14" s="491"/>
      <c r="H14" s="491"/>
      <c r="I14" s="491"/>
      <c r="J14" s="491"/>
      <c r="K14" s="491"/>
    </row>
    <row r="15" spans="1:15" ht="69" customHeight="1">
      <c r="B15" s="491" t="s">
        <v>274</v>
      </c>
      <c r="C15" s="491"/>
      <c r="D15" s="491"/>
      <c r="E15" s="491"/>
      <c r="F15" s="491"/>
      <c r="G15" s="491"/>
      <c r="H15" s="491"/>
      <c r="I15" s="491"/>
      <c r="J15" s="491"/>
      <c r="K15" s="491"/>
    </row>
    <row r="16" spans="1:15" ht="117" customHeight="1">
      <c r="B16" s="493" t="s">
        <v>284</v>
      </c>
      <c r="C16" s="493"/>
      <c r="D16" s="493"/>
      <c r="E16" s="493"/>
      <c r="F16" s="493"/>
      <c r="G16" s="493"/>
      <c r="H16" s="493"/>
      <c r="I16" s="493"/>
      <c r="J16" s="493"/>
      <c r="K16" s="493"/>
      <c r="O16" s="54" t="s">
        <v>141</v>
      </c>
    </row>
    <row r="17" spans="1:11" s="251" customFormat="1" ht="87.75" customHeight="1">
      <c r="A17" s="478"/>
      <c r="B17" s="491" t="s">
        <v>285</v>
      </c>
      <c r="C17" s="491"/>
      <c r="D17" s="491"/>
      <c r="E17" s="491"/>
      <c r="F17" s="491"/>
      <c r="G17" s="491"/>
      <c r="H17" s="491"/>
      <c r="I17" s="491"/>
      <c r="J17" s="491"/>
      <c r="K17" s="491"/>
    </row>
    <row r="18" spans="1:11" ht="59.25" customHeight="1">
      <c r="B18" s="491" t="s">
        <v>290</v>
      </c>
      <c r="C18" s="491"/>
      <c r="D18" s="491"/>
      <c r="E18" s="491"/>
      <c r="F18" s="491"/>
      <c r="G18" s="491"/>
      <c r="H18" s="491"/>
      <c r="I18" s="491"/>
      <c r="J18" s="491"/>
      <c r="K18" s="491"/>
    </row>
    <row r="22" spans="1:11" ht="11.25" customHeight="1"/>
  </sheetData>
  <sortState ref="B3:K11">
    <sortCondition ref="B3"/>
  </sortState>
  <mergeCells count="6">
    <mergeCell ref="B18:K18"/>
    <mergeCell ref="B13:K13"/>
    <mergeCell ref="B14:K14"/>
    <mergeCell ref="B15:K15"/>
    <mergeCell ref="B16:K16"/>
    <mergeCell ref="B17:K17"/>
  </mergeCells>
  <phoneticPr fontId="0" type="noConversion"/>
  <dataValidations count="2">
    <dataValidation type="list" allowBlank="1" showInputMessage="1" showErrorMessage="1" sqref="B4:B11">
      <formula1>formule</formula1>
    </dataValidation>
    <dataValidation type="list" allowBlank="1" showInputMessage="1" sqref="B3">
      <formula1>IF(B3&lt;&gt;"",OFFSET(formule,MATCH(B3&amp;"*",formule,0)-1,,COUNTIF(formule,B3&amp;"*"),1),formule)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11811023622047245"/>
  <pageSetup paperSize="9" scale="70"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dimension ref="A1:E327"/>
  <sheetViews>
    <sheetView topLeftCell="A151" workbookViewId="0">
      <selection activeCell="A7" sqref="A7"/>
    </sheetView>
  </sheetViews>
  <sheetFormatPr baseColWidth="10" defaultColWidth="36.5703125" defaultRowHeight="27" customHeight="1"/>
  <sheetData>
    <row r="1" spans="1:5" ht="27" customHeight="1">
      <c r="A1" s="494" t="s">
        <v>291</v>
      </c>
      <c r="B1" s="495" t="s">
        <v>292</v>
      </c>
      <c r="C1" s="496" t="s">
        <v>293</v>
      </c>
      <c r="D1" s="497" t="s">
        <v>294</v>
      </c>
      <c r="E1" s="498" t="s">
        <v>295</v>
      </c>
    </row>
    <row r="2" spans="1:5" ht="27" customHeight="1" thickBot="1">
      <c r="A2" s="499"/>
      <c r="B2" s="500"/>
      <c r="C2" s="501"/>
      <c r="D2" s="502"/>
      <c r="E2" s="503"/>
    </row>
    <row r="3" spans="1:5" ht="27" customHeight="1">
      <c r="A3" s="504" t="s">
        <v>296</v>
      </c>
      <c r="B3" s="505">
        <v>22728</v>
      </c>
      <c r="C3" s="506"/>
      <c r="D3" s="506">
        <v>49178</v>
      </c>
      <c r="E3" s="507" t="s">
        <v>297</v>
      </c>
    </row>
    <row r="4" spans="1:5" ht="27" customHeight="1">
      <c r="A4" s="508" t="s">
        <v>95</v>
      </c>
      <c r="B4" s="509">
        <v>71520</v>
      </c>
      <c r="C4" s="510"/>
      <c r="D4" s="511">
        <v>3213</v>
      </c>
      <c r="E4" s="512" t="s">
        <v>298</v>
      </c>
    </row>
    <row r="5" spans="1:5" ht="27" customHeight="1">
      <c r="A5" s="513" t="s">
        <v>299</v>
      </c>
      <c r="B5" s="514">
        <v>8818</v>
      </c>
      <c r="C5" s="515"/>
      <c r="D5" s="516">
        <v>3213</v>
      </c>
      <c r="E5" s="517" t="s">
        <v>300</v>
      </c>
    </row>
    <row r="6" spans="1:5" ht="27" customHeight="1">
      <c r="A6" s="513" t="s">
        <v>301</v>
      </c>
      <c r="B6" s="514">
        <v>71610</v>
      </c>
      <c r="C6" s="518"/>
      <c r="D6" s="516">
        <v>1036</v>
      </c>
      <c r="E6" s="517" t="s">
        <v>302</v>
      </c>
    </row>
    <row r="7" spans="1:5" ht="27" customHeight="1">
      <c r="A7" s="513" t="s">
        <v>303</v>
      </c>
      <c r="B7" s="509">
        <v>84260</v>
      </c>
      <c r="C7" s="516"/>
      <c r="D7" s="516">
        <v>49178</v>
      </c>
      <c r="E7" s="519" t="s">
        <v>304</v>
      </c>
    </row>
    <row r="8" spans="1:5" ht="27" customHeight="1">
      <c r="A8" s="520" t="s">
        <v>305</v>
      </c>
      <c r="B8" s="514">
        <v>77</v>
      </c>
      <c r="C8" s="516"/>
      <c r="D8" s="516" t="s">
        <v>306</v>
      </c>
      <c r="E8" s="517" t="s">
        <v>307</v>
      </c>
    </row>
    <row r="9" spans="1:5" ht="27" customHeight="1" thickBot="1">
      <c r="A9" s="521" t="s">
        <v>308</v>
      </c>
      <c r="B9" s="522">
        <v>84984</v>
      </c>
      <c r="C9" s="523"/>
      <c r="D9" s="524">
        <v>3213</v>
      </c>
      <c r="E9" s="525" t="s">
        <v>309</v>
      </c>
    </row>
    <row r="10" spans="1:5" ht="27" customHeight="1">
      <c r="A10" s="504" t="s">
        <v>310</v>
      </c>
      <c r="B10" s="526">
        <v>65287</v>
      </c>
      <c r="C10" s="527"/>
      <c r="D10" s="528">
        <v>3213</v>
      </c>
      <c r="E10" s="529" t="s">
        <v>311</v>
      </c>
    </row>
    <row r="11" spans="1:5" ht="27" customHeight="1">
      <c r="A11" s="530" t="s">
        <v>312</v>
      </c>
      <c r="B11" s="514">
        <v>55782</v>
      </c>
      <c r="C11" s="516"/>
      <c r="D11" s="516">
        <v>576</v>
      </c>
      <c r="E11" s="517" t="s">
        <v>313</v>
      </c>
    </row>
    <row r="12" spans="1:5" ht="27" customHeight="1">
      <c r="A12" s="530" t="s">
        <v>314</v>
      </c>
      <c r="B12" s="514">
        <v>29910</v>
      </c>
      <c r="C12" s="516" t="s">
        <v>148</v>
      </c>
      <c r="D12" s="516">
        <v>576</v>
      </c>
      <c r="E12" s="517" t="s">
        <v>313</v>
      </c>
    </row>
    <row r="13" spans="1:5" ht="27" customHeight="1">
      <c r="A13" s="513" t="s">
        <v>315</v>
      </c>
      <c r="B13" s="531">
        <v>84292</v>
      </c>
      <c r="C13" s="516"/>
      <c r="D13" s="516">
        <v>46464</v>
      </c>
      <c r="E13" s="532" t="s">
        <v>316</v>
      </c>
    </row>
    <row r="14" spans="1:5" ht="27" customHeight="1" thickBot="1">
      <c r="A14" s="533" t="s">
        <v>317</v>
      </c>
      <c r="B14" s="534">
        <v>44436</v>
      </c>
      <c r="C14" s="523"/>
      <c r="D14" s="523">
        <v>46464</v>
      </c>
      <c r="E14" s="532" t="s">
        <v>318</v>
      </c>
    </row>
    <row r="15" spans="1:5" ht="27" customHeight="1">
      <c r="A15" s="504" t="s">
        <v>319</v>
      </c>
      <c r="B15" s="535">
        <v>84281</v>
      </c>
      <c r="C15" s="506"/>
      <c r="D15" s="506">
        <v>46464</v>
      </c>
      <c r="E15" s="536" t="s">
        <v>318</v>
      </c>
    </row>
    <row r="16" spans="1:5" ht="27" customHeight="1">
      <c r="A16" s="537" t="s">
        <v>142</v>
      </c>
      <c r="B16" s="538">
        <v>452</v>
      </c>
      <c r="C16" s="518"/>
      <c r="D16" s="539">
        <v>849</v>
      </c>
      <c r="E16" s="540" t="s">
        <v>320</v>
      </c>
    </row>
    <row r="17" spans="1:5" ht="27" customHeight="1">
      <c r="A17" s="541" t="s">
        <v>321</v>
      </c>
      <c r="B17" s="538">
        <v>463</v>
      </c>
      <c r="C17" s="518"/>
      <c r="D17" s="539">
        <v>849</v>
      </c>
      <c r="E17" s="540" t="s">
        <v>322</v>
      </c>
    </row>
    <row r="18" spans="1:5" ht="27" customHeight="1">
      <c r="A18" s="542" t="s">
        <v>323</v>
      </c>
      <c r="B18" s="538">
        <v>45563</v>
      </c>
      <c r="C18" s="543"/>
      <c r="D18" s="539">
        <v>849</v>
      </c>
      <c r="E18" s="540" t="s">
        <v>324</v>
      </c>
    </row>
    <row r="19" spans="1:5" ht="27" customHeight="1">
      <c r="A19" s="542" t="s">
        <v>325</v>
      </c>
      <c r="B19" s="544">
        <v>84204</v>
      </c>
      <c r="C19" s="518"/>
      <c r="D19" s="539">
        <v>849</v>
      </c>
      <c r="E19" s="540" t="s">
        <v>326</v>
      </c>
    </row>
    <row r="20" spans="1:5" ht="27" customHeight="1">
      <c r="A20" s="542" t="s">
        <v>327</v>
      </c>
      <c r="B20" s="545">
        <v>20449</v>
      </c>
      <c r="C20" s="518"/>
      <c r="D20" s="539">
        <v>2630</v>
      </c>
      <c r="E20" s="540">
        <v>2</v>
      </c>
    </row>
    <row r="21" spans="1:5" ht="27" customHeight="1">
      <c r="A21" s="546" t="s">
        <v>328</v>
      </c>
      <c r="B21" s="545">
        <v>57540</v>
      </c>
      <c r="C21" s="518"/>
      <c r="D21" s="539">
        <v>2630</v>
      </c>
      <c r="E21" s="540">
        <v>80</v>
      </c>
    </row>
    <row r="22" spans="1:5" ht="27" customHeight="1">
      <c r="A22" s="520" t="s">
        <v>329</v>
      </c>
      <c r="B22" s="509">
        <v>88</v>
      </c>
      <c r="C22" s="516"/>
      <c r="D22" s="516">
        <v>49178</v>
      </c>
      <c r="E22" s="547" t="s">
        <v>330</v>
      </c>
    </row>
    <row r="23" spans="1:5" ht="27" customHeight="1">
      <c r="A23" s="513" t="s">
        <v>137</v>
      </c>
      <c r="B23" s="514">
        <v>46191</v>
      </c>
      <c r="C23" s="548"/>
      <c r="D23" s="516">
        <v>3031</v>
      </c>
      <c r="E23" s="517" t="s">
        <v>331</v>
      </c>
    </row>
    <row r="24" spans="1:5" ht="27" customHeight="1">
      <c r="A24" s="513" t="s">
        <v>332</v>
      </c>
      <c r="B24" s="549">
        <v>67894</v>
      </c>
      <c r="C24" s="548"/>
      <c r="D24" s="516">
        <v>3031</v>
      </c>
      <c r="E24" s="517" t="s">
        <v>331</v>
      </c>
    </row>
    <row r="25" spans="1:5" ht="27" customHeight="1">
      <c r="A25" s="513" t="s">
        <v>333</v>
      </c>
      <c r="B25" s="514">
        <v>92031</v>
      </c>
      <c r="C25" s="516"/>
      <c r="D25" s="516">
        <v>3213</v>
      </c>
      <c r="E25" s="517" t="s">
        <v>334</v>
      </c>
    </row>
    <row r="26" spans="1:5" ht="27" customHeight="1">
      <c r="A26" s="513" t="s">
        <v>335</v>
      </c>
      <c r="B26" s="514">
        <v>741417</v>
      </c>
      <c r="C26" s="516"/>
      <c r="D26" s="516">
        <v>66075</v>
      </c>
      <c r="E26" s="517" t="s">
        <v>336</v>
      </c>
    </row>
    <row r="27" spans="1:5" ht="27" customHeight="1">
      <c r="A27" s="513" t="s">
        <v>337</v>
      </c>
      <c r="B27" s="514">
        <v>23017</v>
      </c>
      <c r="C27" s="515"/>
      <c r="D27" s="516">
        <v>3213</v>
      </c>
      <c r="E27" s="517" t="s">
        <v>338</v>
      </c>
    </row>
    <row r="28" spans="1:5" ht="27" customHeight="1">
      <c r="A28" s="550" t="s">
        <v>339</v>
      </c>
      <c r="B28" s="514">
        <v>74007</v>
      </c>
      <c r="C28" s="518"/>
      <c r="D28" s="516" t="s">
        <v>340</v>
      </c>
      <c r="E28" s="517" t="s">
        <v>341</v>
      </c>
    </row>
    <row r="29" spans="1:5" ht="27" customHeight="1">
      <c r="A29" s="508" t="s">
        <v>112</v>
      </c>
      <c r="B29" s="509">
        <v>37587</v>
      </c>
      <c r="C29" s="516"/>
      <c r="D29" s="511">
        <v>3213</v>
      </c>
      <c r="E29" s="512" t="s">
        <v>309</v>
      </c>
    </row>
    <row r="30" spans="1:5" ht="27" customHeight="1">
      <c r="A30" s="508" t="s">
        <v>342</v>
      </c>
      <c r="B30" s="509">
        <v>41370</v>
      </c>
      <c r="C30" s="516"/>
      <c r="D30" s="511">
        <v>3213</v>
      </c>
      <c r="E30" s="512" t="s">
        <v>309</v>
      </c>
    </row>
    <row r="31" spans="1:5" ht="27" customHeight="1">
      <c r="A31" s="530" t="s">
        <v>343</v>
      </c>
      <c r="B31" s="549">
        <v>67952</v>
      </c>
      <c r="C31" s="516" t="s">
        <v>344</v>
      </c>
      <c r="D31" s="516">
        <v>3013</v>
      </c>
      <c r="E31" s="517" t="s">
        <v>345</v>
      </c>
    </row>
    <row r="32" spans="1:5" ht="27" customHeight="1">
      <c r="A32" s="551" t="s">
        <v>127</v>
      </c>
      <c r="B32" s="514">
        <v>41890</v>
      </c>
      <c r="C32" s="518"/>
      <c r="D32" s="516">
        <v>1036</v>
      </c>
      <c r="E32" s="517" t="s">
        <v>346</v>
      </c>
    </row>
    <row r="33" spans="1:5" ht="27" customHeight="1">
      <c r="A33" s="542" t="s">
        <v>70</v>
      </c>
      <c r="B33" s="545">
        <v>32222</v>
      </c>
      <c r="C33" s="518"/>
      <c r="D33" s="539">
        <v>2630</v>
      </c>
      <c r="E33" s="540">
        <v>96</v>
      </c>
    </row>
    <row r="34" spans="1:5" ht="27" customHeight="1">
      <c r="A34" s="530" t="s">
        <v>347</v>
      </c>
      <c r="B34" s="514">
        <v>50268</v>
      </c>
      <c r="C34" s="516" t="s">
        <v>148</v>
      </c>
      <c r="D34" s="516">
        <v>576</v>
      </c>
      <c r="E34" s="517" t="s">
        <v>313</v>
      </c>
    </row>
    <row r="35" spans="1:5" ht="27" customHeight="1">
      <c r="A35" s="542" t="s">
        <v>348</v>
      </c>
      <c r="B35" s="545">
        <v>17091</v>
      </c>
      <c r="C35" s="518"/>
      <c r="D35" s="539">
        <v>2630</v>
      </c>
      <c r="E35" s="540">
        <v>100</v>
      </c>
    </row>
    <row r="36" spans="1:5" ht="27" customHeight="1">
      <c r="A36" s="513" t="s">
        <v>210</v>
      </c>
      <c r="B36" s="531">
        <v>30045</v>
      </c>
      <c r="C36" s="516"/>
      <c r="D36" s="516">
        <v>46464</v>
      </c>
      <c r="E36" s="532" t="s">
        <v>300</v>
      </c>
    </row>
    <row r="37" spans="1:5" ht="27" customHeight="1">
      <c r="A37" s="513" t="s">
        <v>349</v>
      </c>
      <c r="B37" s="531">
        <v>88250</v>
      </c>
      <c r="C37" s="516"/>
      <c r="D37" s="516">
        <v>46464</v>
      </c>
      <c r="E37" s="532" t="s">
        <v>316</v>
      </c>
    </row>
    <row r="38" spans="1:5" ht="27" customHeight="1">
      <c r="A38" s="508" t="s">
        <v>56</v>
      </c>
      <c r="B38" s="509">
        <v>14876</v>
      </c>
      <c r="C38" s="516"/>
      <c r="D38" s="511">
        <v>3213</v>
      </c>
      <c r="E38" s="512" t="s">
        <v>309</v>
      </c>
    </row>
    <row r="39" spans="1:5" ht="27" customHeight="1">
      <c r="A39" s="552" t="s">
        <v>350</v>
      </c>
      <c r="B39" s="514">
        <v>30078</v>
      </c>
      <c r="C39" s="515"/>
      <c r="D39" s="516">
        <v>3213</v>
      </c>
      <c r="E39" s="553" t="s">
        <v>351</v>
      </c>
    </row>
    <row r="40" spans="1:5" ht="27" customHeight="1">
      <c r="A40" s="542" t="s">
        <v>352</v>
      </c>
      <c r="B40" s="545">
        <v>510</v>
      </c>
      <c r="C40" s="518"/>
      <c r="D40" s="539">
        <v>2630</v>
      </c>
      <c r="E40" s="512" t="s">
        <v>353</v>
      </c>
    </row>
    <row r="41" spans="1:5" ht="27" customHeight="1">
      <c r="A41" s="513" t="s">
        <v>354</v>
      </c>
      <c r="B41" s="531">
        <v>84306</v>
      </c>
      <c r="C41" s="516"/>
      <c r="D41" s="516">
        <v>46464</v>
      </c>
      <c r="E41" s="532" t="s">
        <v>316</v>
      </c>
    </row>
    <row r="42" spans="1:5" ht="27" customHeight="1">
      <c r="A42" s="513" t="s">
        <v>355</v>
      </c>
      <c r="B42" s="531">
        <v>71530</v>
      </c>
      <c r="C42" s="516"/>
      <c r="D42" s="516">
        <v>46464</v>
      </c>
      <c r="E42" s="532" t="s">
        <v>316</v>
      </c>
    </row>
    <row r="43" spans="1:5" ht="27" customHeight="1" thickBot="1">
      <c r="A43" s="533" t="s">
        <v>356</v>
      </c>
      <c r="B43" s="534">
        <v>86800</v>
      </c>
      <c r="C43" s="523"/>
      <c r="D43" s="523">
        <v>46464</v>
      </c>
      <c r="E43" s="554" t="s">
        <v>316</v>
      </c>
    </row>
    <row r="44" spans="1:5" ht="27" customHeight="1">
      <c r="A44" s="555" t="s">
        <v>357</v>
      </c>
      <c r="B44" s="556">
        <v>71530</v>
      </c>
      <c r="C44" s="506"/>
      <c r="D44" s="557">
        <v>3213</v>
      </c>
      <c r="E44" s="558" t="s">
        <v>309</v>
      </c>
    </row>
    <row r="45" spans="1:5" ht="27" customHeight="1">
      <c r="A45" s="513" t="s">
        <v>358</v>
      </c>
      <c r="B45" s="514">
        <v>32925</v>
      </c>
      <c r="C45" s="516"/>
      <c r="D45" s="516">
        <v>2630</v>
      </c>
      <c r="E45" s="517" t="s">
        <v>359</v>
      </c>
    </row>
    <row r="46" spans="1:5" ht="27" customHeight="1">
      <c r="A46" s="508" t="s">
        <v>360</v>
      </c>
      <c r="B46" s="509">
        <v>36391</v>
      </c>
      <c r="C46" s="516"/>
      <c r="D46" s="511">
        <v>3213</v>
      </c>
      <c r="E46" s="512" t="s">
        <v>309</v>
      </c>
    </row>
    <row r="47" spans="1:5" ht="27" customHeight="1">
      <c r="A47" s="559" t="s">
        <v>361</v>
      </c>
      <c r="B47" s="545">
        <v>70990</v>
      </c>
      <c r="C47" s="518"/>
      <c r="D47" s="539">
        <v>2630</v>
      </c>
      <c r="E47" s="560">
        <v>144</v>
      </c>
    </row>
    <row r="48" spans="1:5" ht="27" customHeight="1">
      <c r="A48" s="520" t="s">
        <v>362</v>
      </c>
      <c r="B48" s="514">
        <v>23287</v>
      </c>
      <c r="C48" s="516"/>
      <c r="D48" s="516" t="s">
        <v>306</v>
      </c>
      <c r="E48" s="517" t="s">
        <v>363</v>
      </c>
    </row>
    <row r="49" spans="1:5" ht="27" customHeight="1">
      <c r="A49" s="513" t="s">
        <v>364</v>
      </c>
      <c r="B49" s="509">
        <v>54860</v>
      </c>
      <c r="C49" s="516"/>
      <c r="D49" s="516">
        <v>49178</v>
      </c>
      <c r="E49" s="561" t="s">
        <v>365</v>
      </c>
    </row>
    <row r="50" spans="1:5" ht="27" customHeight="1">
      <c r="A50" s="513" t="s">
        <v>366</v>
      </c>
      <c r="B50" s="562">
        <v>88034</v>
      </c>
      <c r="C50" s="516"/>
      <c r="D50" s="516">
        <v>49178</v>
      </c>
      <c r="E50" s="561" t="s">
        <v>367</v>
      </c>
    </row>
    <row r="51" spans="1:5" ht="27" customHeight="1">
      <c r="A51" s="513" t="s">
        <v>368</v>
      </c>
      <c r="B51" s="514">
        <v>20471</v>
      </c>
      <c r="C51" s="516"/>
      <c r="D51" s="516">
        <v>2630</v>
      </c>
      <c r="E51" s="517" t="s">
        <v>369</v>
      </c>
    </row>
    <row r="52" spans="1:5" ht="27" customHeight="1">
      <c r="A52" s="513" t="s">
        <v>370</v>
      </c>
      <c r="B52" s="509">
        <v>1309</v>
      </c>
      <c r="C52" s="516"/>
      <c r="D52" s="516">
        <v>49178</v>
      </c>
      <c r="E52" s="547" t="s">
        <v>309</v>
      </c>
    </row>
    <row r="53" spans="1:5" ht="27" customHeight="1">
      <c r="A53" s="513" t="s">
        <v>371</v>
      </c>
      <c r="B53" s="531">
        <v>30056</v>
      </c>
      <c r="C53" s="516"/>
      <c r="D53" s="516">
        <v>46464</v>
      </c>
      <c r="E53" s="532" t="s">
        <v>316</v>
      </c>
    </row>
    <row r="54" spans="1:5" ht="27" customHeight="1">
      <c r="A54" s="530" t="s">
        <v>372</v>
      </c>
      <c r="B54" s="514">
        <v>37237</v>
      </c>
      <c r="C54" s="516" t="s">
        <v>148</v>
      </c>
      <c r="D54" s="516">
        <v>576</v>
      </c>
      <c r="E54" s="517" t="s">
        <v>313</v>
      </c>
    </row>
    <row r="55" spans="1:5" ht="27" customHeight="1">
      <c r="A55" s="508" t="s">
        <v>373</v>
      </c>
      <c r="B55" s="509">
        <v>690</v>
      </c>
      <c r="C55" s="516"/>
      <c r="D55" s="511">
        <v>3213</v>
      </c>
      <c r="E55" s="512" t="s">
        <v>309</v>
      </c>
    </row>
    <row r="56" spans="1:5" ht="27" customHeight="1" thickBot="1">
      <c r="A56" s="563" t="s">
        <v>374</v>
      </c>
      <c r="B56" s="564">
        <v>30056</v>
      </c>
      <c r="C56" s="516"/>
      <c r="D56" s="516">
        <v>46464</v>
      </c>
      <c r="E56" s="532" t="s">
        <v>316</v>
      </c>
    </row>
    <row r="57" spans="1:5" ht="27" customHeight="1">
      <c r="A57" s="565" t="s">
        <v>375</v>
      </c>
      <c r="B57" s="556">
        <v>703</v>
      </c>
      <c r="C57" s="566"/>
      <c r="D57" s="511">
        <v>3213</v>
      </c>
      <c r="E57" s="512" t="s">
        <v>309</v>
      </c>
    </row>
    <row r="58" spans="1:5" ht="27" customHeight="1" thickBot="1">
      <c r="A58" s="567" t="s">
        <v>376</v>
      </c>
      <c r="B58" s="568">
        <v>39345</v>
      </c>
      <c r="C58" s="569"/>
      <c r="D58" s="516">
        <v>3213</v>
      </c>
      <c r="E58" s="517" t="s">
        <v>320</v>
      </c>
    </row>
    <row r="59" spans="1:5" ht="27" customHeight="1">
      <c r="A59" s="570" t="s">
        <v>377</v>
      </c>
      <c r="B59" s="526">
        <v>22422</v>
      </c>
      <c r="C59" s="571"/>
      <c r="D59" s="516">
        <v>3031</v>
      </c>
      <c r="E59" s="517" t="s">
        <v>316</v>
      </c>
    </row>
    <row r="60" spans="1:5" ht="27" customHeight="1" thickBot="1">
      <c r="A60" s="572" t="s">
        <v>378</v>
      </c>
      <c r="B60" s="573">
        <v>67464</v>
      </c>
      <c r="C60" s="571"/>
      <c r="D60" s="539">
        <v>2630</v>
      </c>
      <c r="E60" s="540">
        <v>100</v>
      </c>
    </row>
    <row r="61" spans="1:5" ht="27" customHeight="1">
      <c r="A61" s="574" t="s">
        <v>379</v>
      </c>
      <c r="B61" s="575">
        <v>90262</v>
      </c>
      <c r="C61" s="516"/>
      <c r="D61" s="516">
        <v>46464</v>
      </c>
      <c r="E61" s="532" t="s">
        <v>316</v>
      </c>
    </row>
    <row r="62" spans="1:5" ht="27" customHeight="1">
      <c r="A62" s="551" t="s">
        <v>380</v>
      </c>
      <c r="B62" s="514">
        <v>23028</v>
      </c>
      <c r="C62" s="516"/>
      <c r="D62" s="516">
        <v>2630</v>
      </c>
      <c r="E62" s="517" t="s">
        <v>381</v>
      </c>
    </row>
    <row r="63" spans="1:5" ht="27" customHeight="1" thickBot="1">
      <c r="A63" s="576" t="s">
        <v>382</v>
      </c>
      <c r="B63" s="577">
        <v>42441</v>
      </c>
      <c r="C63" s="516"/>
      <c r="D63" s="516">
        <v>2630</v>
      </c>
      <c r="E63" s="517" t="s">
        <v>383</v>
      </c>
    </row>
    <row r="64" spans="1:5" ht="27" customHeight="1">
      <c r="A64" s="565" t="s">
        <v>384</v>
      </c>
      <c r="B64" s="556">
        <v>84350</v>
      </c>
      <c r="C64" s="566"/>
      <c r="D64" s="511">
        <v>3213</v>
      </c>
      <c r="E64" s="512" t="s">
        <v>309</v>
      </c>
    </row>
    <row r="65" spans="1:5" ht="27" customHeight="1" thickBot="1">
      <c r="A65" s="578" t="s">
        <v>162</v>
      </c>
      <c r="B65" s="522">
        <v>22626</v>
      </c>
      <c r="C65" s="566"/>
      <c r="D65" s="511">
        <v>3213</v>
      </c>
      <c r="E65" s="512" t="s">
        <v>309</v>
      </c>
    </row>
    <row r="66" spans="1:5" ht="27" customHeight="1">
      <c r="A66" s="579" t="s">
        <v>385</v>
      </c>
      <c r="B66" s="580">
        <v>45574</v>
      </c>
      <c r="C66" s="543"/>
      <c r="D66" s="539">
        <v>849</v>
      </c>
      <c r="E66" s="540" t="s">
        <v>386</v>
      </c>
    </row>
    <row r="67" spans="1:5" ht="27" customHeight="1">
      <c r="A67" s="550" t="s">
        <v>387</v>
      </c>
      <c r="B67" s="538">
        <v>74812</v>
      </c>
      <c r="C67" s="543"/>
      <c r="D67" s="539">
        <v>849</v>
      </c>
      <c r="E67" s="540" t="s">
        <v>388</v>
      </c>
    </row>
    <row r="68" spans="1:5" ht="27" customHeight="1">
      <c r="A68" s="550" t="s">
        <v>389</v>
      </c>
      <c r="B68" s="538">
        <v>74812</v>
      </c>
      <c r="C68" s="543"/>
      <c r="D68" s="539">
        <v>849</v>
      </c>
      <c r="E68" s="540" t="s">
        <v>388</v>
      </c>
    </row>
    <row r="69" spans="1:5" ht="27" customHeight="1">
      <c r="A69" s="550" t="s">
        <v>390</v>
      </c>
      <c r="B69" s="538">
        <v>74812</v>
      </c>
      <c r="C69" s="543"/>
      <c r="D69" s="539">
        <v>849</v>
      </c>
      <c r="E69" s="540" t="s">
        <v>388</v>
      </c>
    </row>
    <row r="70" spans="1:5" ht="27" customHeight="1">
      <c r="A70" s="581" t="s">
        <v>391</v>
      </c>
      <c r="B70" s="514">
        <v>57518</v>
      </c>
      <c r="C70" s="518"/>
      <c r="D70" s="539">
        <v>849</v>
      </c>
      <c r="E70" s="517" t="s">
        <v>392</v>
      </c>
    </row>
    <row r="71" spans="1:5" ht="27" customHeight="1">
      <c r="A71" s="537" t="s">
        <v>393</v>
      </c>
      <c r="B71" s="538">
        <v>474</v>
      </c>
      <c r="C71" s="518"/>
      <c r="D71" s="539">
        <v>849</v>
      </c>
      <c r="E71" s="540" t="s">
        <v>386</v>
      </c>
    </row>
    <row r="72" spans="1:5" ht="27" customHeight="1">
      <c r="A72" s="550" t="s">
        <v>394</v>
      </c>
      <c r="B72" s="538">
        <v>74812</v>
      </c>
      <c r="C72" s="543"/>
      <c r="D72" s="539">
        <v>849</v>
      </c>
      <c r="E72" s="540" t="s">
        <v>388</v>
      </c>
    </row>
    <row r="73" spans="1:5" ht="27" customHeight="1">
      <c r="A73" s="513" t="s">
        <v>395</v>
      </c>
      <c r="B73" s="514">
        <v>55920</v>
      </c>
      <c r="C73" s="516"/>
      <c r="D73" s="516">
        <v>2630</v>
      </c>
      <c r="E73" s="517" t="s">
        <v>396</v>
      </c>
    </row>
    <row r="74" spans="1:5" ht="27" customHeight="1">
      <c r="A74" s="582" t="s">
        <v>397</v>
      </c>
      <c r="B74" s="514">
        <v>67930</v>
      </c>
      <c r="C74" s="511"/>
      <c r="D74" s="511">
        <v>2630</v>
      </c>
      <c r="E74" s="512" t="s">
        <v>398</v>
      </c>
    </row>
    <row r="75" spans="1:5" ht="27" customHeight="1">
      <c r="A75" s="513" t="s">
        <v>399</v>
      </c>
      <c r="B75" s="514">
        <v>55931</v>
      </c>
      <c r="C75" s="516"/>
      <c r="D75" s="516">
        <v>2630</v>
      </c>
      <c r="E75" s="517" t="s">
        <v>396</v>
      </c>
    </row>
    <row r="76" spans="1:5" ht="27" customHeight="1">
      <c r="A76" s="582" t="s">
        <v>400</v>
      </c>
      <c r="B76" s="514">
        <v>28098</v>
      </c>
      <c r="C76" s="511"/>
      <c r="D76" s="511">
        <v>2630</v>
      </c>
      <c r="E76" s="512" t="s">
        <v>398</v>
      </c>
    </row>
    <row r="77" spans="1:5" ht="27" customHeight="1" thickBot="1">
      <c r="A77" s="563" t="s">
        <v>401</v>
      </c>
      <c r="B77" s="577">
        <v>42510</v>
      </c>
      <c r="C77" s="583"/>
      <c r="D77" s="583">
        <v>2630</v>
      </c>
      <c r="E77" s="584" t="s">
        <v>396</v>
      </c>
    </row>
    <row r="78" spans="1:5" ht="27" customHeight="1" thickBot="1">
      <c r="A78" s="585" t="s">
        <v>402</v>
      </c>
      <c r="B78" s="586">
        <v>71745</v>
      </c>
      <c r="C78" s="587"/>
      <c r="D78" s="587">
        <v>2630</v>
      </c>
      <c r="E78" s="588" t="s">
        <v>398</v>
      </c>
    </row>
    <row r="79" spans="1:5" ht="27" customHeight="1">
      <c r="A79" s="589" t="s">
        <v>403</v>
      </c>
      <c r="B79" s="590">
        <v>33258</v>
      </c>
      <c r="C79" s="591"/>
      <c r="D79" s="592">
        <v>3213</v>
      </c>
      <c r="E79" s="593" t="s">
        <v>320</v>
      </c>
    </row>
    <row r="80" spans="1:5" ht="27" customHeight="1">
      <c r="A80" s="513" t="s">
        <v>404</v>
      </c>
      <c r="B80" s="514">
        <v>22637</v>
      </c>
      <c r="C80" s="515"/>
      <c r="D80" s="511">
        <v>3213</v>
      </c>
      <c r="E80" s="553" t="s">
        <v>300</v>
      </c>
    </row>
    <row r="81" spans="1:5" ht="27" customHeight="1">
      <c r="A81" s="542" t="s">
        <v>405</v>
      </c>
      <c r="B81" s="545">
        <v>17127</v>
      </c>
      <c r="C81" s="518"/>
      <c r="D81" s="539">
        <v>2630</v>
      </c>
      <c r="E81" s="512" t="s">
        <v>313</v>
      </c>
    </row>
    <row r="82" spans="1:5" ht="27" customHeight="1">
      <c r="A82" s="530" t="s">
        <v>406</v>
      </c>
      <c r="B82" s="514">
        <v>22499</v>
      </c>
      <c r="C82" s="516" t="s">
        <v>148</v>
      </c>
      <c r="D82" s="516">
        <v>576</v>
      </c>
      <c r="E82" s="517" t="s">
        <v>407</v>
      </c>
    </row>
    <row r="83" spans="1:5" ht="27" customHeight="1">
      <c r="A83" s="513" t="s">
        <v>55</v>
      </c>
      <c r="B83" s="514">
        <v>36766</v>
      </c>
      <c r="C83" s="594"/>
      <c r="D83" s="516">
        <v>2630</v>
      </c>
      <c r="E83" s="517" t="s">
        <v>408</v>
      </c>
    </row>
    <row r="84" spans="1:5" ht="27" customHeight="1">
      <c r="A84" s="513" t="s">
        <v>409</v>
      </c>
      <c r="B84" s="514">
        <v>42430</v>
      </c>
      <c r="C84" s="515"/>
      <c r="D84" s="516">
        <v>3213</v>
      </c>
      <c r="E84" s="517" t="s">
        <v>300</v>
      </c>
    </row>
    <row r="85" spans="1:5" ht="27" customHeight="1" thickBot="1">
      <c r="A85" s="533" t="s">
        <v>410</v>
      </c>
      <c r="B85" s="568">
        <v>23210</v>
      </c>
      <c r="C85" s="595"/>
      <c r="D85" s="523" t="s">
        <v>340</v>
      </c>
      <c r="E85" s="596" t="s">
        <v>411</v>
      </c>
    </row>
    <row r="86" spans="1:5" ht="27" customHeight="1">
      <c r="A86" s="504" t="s">
        <v>412</v>
      </c>
      <c r="B86" s="597">
        <v>15595</v>
      </c>
      <c r="C86" s="598"/>
      <c r="D86" s="599" t="s">
        <v>340</v>
      </c>
      <c r="E86" s="600" t="s">
        <v>413</v>
      </c>
    </row>
    <row r="87" spans="1:5" ht="27" customHeight="1">
      <c r="A87" s="513" t="s">
        <v>258</v>
      </c>
      <c r="B87" s="601">
        <v>21882</v>
      </c>
      <c r="C87" s="594"/>
      <c r="D87" s="602" t="s">
        <v>340</v>
      </c>
      <c r="E87" s="517" t="s">
        <v>414</v>
      </c>
    </row>
    <row r="88" spans="1:5" ht="27" customHeight="1">
      <c r="A88" s="552" t="s">
        <v>103</v>
      </c>
      <c r="B88" s="514">
        <v>71428</v>
      </c>
      <c r="C88" s="518"/>
      <c r="D88" s="516">
        <v>66075</v>
      </c>
      <c r="E88" s="517" t="s">
        <v>415</v>
      </c>
    </row>
    <row r="89" spans="1:5" ht="27" customHeight="1">
      <c r="A89" s="513" t="s">
        <v>416</v>
      </c>
      <c r="B89" s="514">
        <v>339</v>
      </c>
      <c r="C89" s="594"/>
      <c r="D89" s="516" t="s">
        <v>340</v>
      </c>
      <c r="E89" s="517" t="s">
        <v>417</v>
      </c>
    </row>
    <row r="90" spans="1:5" ht="27" customHeight="1">
      <c r="A90" s="513" t="s">
        <v>418</v>
      </c>
      <c r="B90" s="549">
        <v>71698</v>
      </c>
      <c r="C90" s="594"/>
      <c r="D90" s="603" t="s">
        <v>340</v>
      </c>
      <c r="E90" s="517" t="s">
        <v>419</v>
      </c>
    </row>
    <row r="91" spans="1:5" ht="27" customHeight="1" thickBot="1">
      <c r="A91" s="533" t="s">
        <v>146</v>
      </c>
      <c r="B91" s="568">
        <v>74131</v>
      </c>
      <c r="C91" s="604"/>
      <c r="D91" s="523">
        <v>3213</v>
      </c>
      <c r="E91" s="517" t="s">
        <v>359</v>
      </c>
    </row>
    <row r="92" spans="1:5" ht="27" customHeight="1">
      <c r="A92" s="555" t="s">
        <v>420</v>
      </c>
      <c r="B92" s="556">
        <v>37576</v>
      </c>
      <c r="C92" s="506"/>
      <c r="D92" s="557">
        <v>3213</v>
      </c>
      <c r="E92" s="512" t="s">
        <v>421</v>
      </c>
    </row>
    <row r="93" spans="1:5" ht="27" customHeight="1">
      <c r="A93" s="508" t="s">
        <v>422</v>
      </c>
      <c r="B93" s="509">
        <v>84361</v>
      </c>
      <c r="C93" s="510"/>
      <c r="D93" s="511">
        <v>3213</v>
      </c>
      <c r="E93" s="512" t="s">
        <v>298</v>
      </c>
    </row>
    <row r="94" spans="1:5" ht="27" customHeight="1" thickBot="1">
      <c r="A94" s="605" t="s">
        <v>423</v>
      </c>
      <c r="B94" s="568">
        <v>37204</v>
      </c>
      <c r="C94" s="523" t="s">
        <v>148</v>
      </c>
      <c r="D94" s="523">
        <v>576</v>
      </c>
      <c r="E94" s="596" t="s">
        <v>424</v>
      </c>
    </row>
    <row r="95" spans="1:5" ht="27" customHeight="1">
      <c r="A95" s="606" t="s">
        <v>425</v>
      </c>
      <c r="B95" s="526">
        <v>37204</v>
      </c>
      <c r="C95" s="506" t="s">
        <v>148</v>
      </c>
      <c r="D95" s="506">
        <v>576</v>
      </c>
      <c r="E95" s="600" t="s">
        <v>424</v>
      </c>
    </row>
    <row r="96" spans="1:5" ht="27" customHeight="1">
      <c r="A96" s="530" t="s">
        <v>426</v>
      </c>
      <c r="B96" s="514">
        <v>37204</v>
      </c>
      <c r="C96" s="516" t="s">
        <v>148</v>
      </c>
      <c r="D96" s="516">
        <v>576</v>
      </c>
      <c r="E96" s="517" t="s">
        <v>424</v>
      </c>
    </row>
    <row r="97" spans="1:5" ht="27" customHeight="1">
      <c r="A97" s="607" t="s">
        <v>427</v>
      </c>
      <c r="B97" s="545">
        <v>71009</v>
      </c>
      <c r="C97" s="518"/>
      <c r="D97" s="539">
        <v>2630</v>
      </c>
      <c r="E97" s="560">
        <v>102</v>
      </c>
    </row>
    <row r="98" spans="1:5" ht="27" customHeight="1">
      <c r="A98" s="513" t="s">
        <v>428</v>
      </c>
      <c r="B98" s="514">
        <v>36926</v>
      </c>
      <c r="C98" s="548"/>
      <c r="D98" s="516">
        <v>3031</v>
      </c>
      <c r="E98" s="517" t="s">
        <v>429</v>
      </c>
    </row>
    <row r="99" spans="1:5" ht="27" customHeight="1">
      <c r="A99" s="550" t="s">
        <v>430</v>
      </c>
      <c r="B99" s="514">
        <v>74561</v>
      </c>
      <c r="C99" s="518"/>
      <c r="D99" s="516">
        <v>66075</v>
      </c>
      <c r="E99" s="517" t="s">
        <v>431</v>
      </c>
    </row>
    <row r="100" spans="1:5" ht="27" customHeight="1" thickBot="1">
      <c r="A100" s="608" t="s">
        <v>104</v>
      </c>
      <c r="B100" s="573">
        <v>21893</v>
      </c>
      <c r="C100" s="609"/>
      <c r="D100" s="610">
        <v>2630</v>
      </c>
      <c r="E100" s="596">
        <v>102</v>
      </c>
    </row>
    <row r="101" spans="1:5" ht="27" customHeight="1">
      <c r="A101" s="611" t="s">
        <v>88</v>
      </c>
      <c r="B101" s="612">
        <v>46249</v>
      </c>
      <c r="C101" s="613"/>
      <c r="D101" s="528">
        <v>2630</v>
      </c>
      <c r="E101" s="600" t="s">
        <v>324</v>
      </c>
    </row>
    <row r="102" spans="1:5" ht="27" customHeight="1">
      <c r="A102" s="542" t="s">
        <v>432</v>
      </c>
      <c r="B102" s="545">
        <v>17036</v>
      </c>
      <c r="C102" s="518"/>
      <c r="D102" s="539">
        <v>2630</v>
      </c>
      <c r="E102" s="517" t="s">
        <v>320</v>
      </c>
    </row>
    <row r="103" spans="1:5" ht="27" customHeight="1">
      <c r="A103" s="513" t="s">
        <v>433</v>
      </c>
      <c r="B103" s="514">
        <v>40628</v>
      </c>
      <c r="C103" s="515"/>
      <c r="D103" s="511">
        <v>3213</v>
      </c>
      <c r="E103" s="517" t="s">
        <v>316</v>
      </c>
    </row>
    <row r="104" spans="1:5" ht="27" customHeight="1" thickBot="1">
      <c r="A104" s="563" t="s">
        <v>434</v>
      </c>
      <c r="B104" s="614">
        <v>40990</v>
      </c>
      <c r="C104" s="583"/>
      <c r="D104" s="583">
        <v>49178</v>
      </c>
      <c r="E104" s="615" t="s">
        <v>435</v>
      </c>
    </row>
    <row r="105" spans="1:5" ht="27" customHeight="1">
      <c r="A105" s="555" t="s">
        <v>436</v>
      </c>
      <c r="B105" s="556">
        <v>714</v>
      </c>
      <c r="C105" s="506"/>
      <c r="D105" s="557">
        <v>3213</v>
      </c>
      <c r="E105" s="558" t="s">
        <v>309</v>
      </c>
    </row>
    <row r="106" spans="1:5" ht="27" customHeight="1">
      <c r="A106" s="508" t="s">
        <v>437</v>
      </c>
      <c r="B106" s="509">
        <v>714</v>
      </c>
      <c r="C106" s="516"/>
      <c r="D106" s="511">
        <v>3213</v>
      </c>
      <c r="E106" s="512" t="s">
        <v>309</v>
      </c>
    </row>
    <row r="107" spans="1:5" ht="27" customHeight="1">
      <c r="A107" s="513" t="s">
        <v>105</v>
      </c>
      <c r="B107" s="514">
        <v>71439</v>
      </c>
      <c r="C107" s="516"/>
      <c r="D107" s="516">
        <v>66075</v>
      </c>
      <c r="E107" s="517" t="s">
        <v>438</v>
      </c>
    </row>
    <row r="108" spans="1:5" ht="27" customHeight="1">
      <c r="A108" s="552" t="s">
        <v>439</v>
      </c>
      <c r="B108" s="616">
        <v>780</v>
      </c>
      <c r="C108" s="518"/>
      <c r="D108" s="603" t="s">
        <v>340</v>
      </c>
      <c r="E108" s="517" t="s">
        <v>440</v>
      </c>
    </row>
    <row r="109" spans="1:5" ht="27" customHeight="1">
      <c r="A109" s="513" t="s">
        <v>441</v>
      </c>
      <c r="B109" s="514">
        <v>54826</v>
      </c>
      <c r="C109" s="516"/>
      <c r="D109" s="516">
        <v>3213</v>
      </c>
      <c r="E109" s="617" t="s">
        <v>311</v>
      </c>
    </row>
    <row r="110" spans="1:5" ht="27" customHeight="1" thickBot="1">
      <c r="A110" s="533" t="s">
        <v>442</v>
      </c>
      <c r="B110" s="568">
        <v>39414</v>
      </c>
      <c r="C110" s="618"/>
      <c r="D110" s="523">
        <v>3031</v>
      </c>
      <c r="E110" s="525" t="s">
        <v>443</v>
      </c>
    </row>
    <row r="111" spans="1:5" ht="27" customHeight="1">
      <c r="A111" s="574" t="s">
        <v>190</v>
      </c>
      <c r="B111" s="590">
        <v>32787</v>
      </c>
      <c r="C111" s="619"/>
      <c r="D111" s="619">
        <v>2630</v>
      </c>
      <c r="E111" s="620" t="s">
        <v>351</v>
      </c>
    </row>
    <row r="112" spans="1:5" ht="27" customHeight="1" thickBot="1">
      <c r="A112" s="533" t="s">
        <v>444</v>
      </c>
      <c r="B112" s="621">
        <v>84463</v>
      </c>
      <c r="C112" s="604"/>
      <c r="D112" s="524">
        <v>3213</v>
      </c>
      <c r="E112" s="596" t="s">
        <v>445</v>
      </c>
    </row>
    <row r="113" spans="1:5" ht="27" customHeight="1">
      <c r="A113" s="504" t="s">
        <v>446</v>
      </c>
      <c r="B113" s="526">
        <v>84474</v>
      </c>
      <c r="C113" s="622"/>
      <c r="D113" s="506">
        <v>3213</v>
      </c>
      <c r="E113" s="600" t="s">
        <v>359</v>
      </c>
    </row>
    <row r="114" spans="1:5" ht="27" customHeight="1">
      <c r="A114" s="530" t="s">
        <v>447</v>
      </c>
      <c r="B114" s="514">
        <v>270</v>
      </c>
      <c r="C114" s="623" t="s">
        <v>448</v>
      </c>
      <c r="D114" s="623">
        <v>576</v>
      </c>
      <c r="E114" s="624" t="s">
        <v>449</v>
      </c>
    </row>
    <row r="115" spans="1:5" ht="27" customHeight="1">
      <c r="A115" s="508" t="s">
        <v>450</v>
      </c>
      <c r="B115" s="509">
        <v>725</v>
      </c>
      <c r="C115" s="516"/>
      <c r="D115" s="511">
        <v>3213</v>
      </c>
      <c r="E115" s="512" t="s">
        <v>309</v>
      </c>
    </row>
    <row r="116" spans="1:5" ht="27" customHeight="1">
      <c r="A116" s="550" t="s">
        <v>451</v>
      </c>
      <c r="B116" s="538">
        <v>30839</v>
      </c>
      <c r="C116" s="543"/>
      <c r="D116" s="539">
        <v>849</v>
      </c>
      <c r="E116" s="540" t="s">
        <v>388</v>
      </c>
    </row>
    <row r="117" spans="1:5" ht="27" customHeight="1">
      <c r="A117" s="530" t="s">
        <v>452</v>
      </c>
      <c r="B117" s="514">
        <v>50042</v>
      </c>
      <c r="C117" s="516" t="s">
        <v>453</v>
      </c>
      <c r="D117" s="516">
        <v>1036</v>
      </c>
      <c r="E117" s="517" t="s">
        <v>454</v>
      </c>
    </row>
    <row r="118" spans="1:5" ht="27" customHeight="1" thickBot="1">
      <c r="A118" s="625" t="s">
        <v>455</v>
      </c>
      <c r="B118" s="626">
        <v>30839</v>
      </c>
      <c r="C118" s="627"/>
      <c r="D118" s="610">
        <v>849</v>
      </c>
      <c r="E118" s="628" t="s">
        <v>388</v>
      </c>
    </row>
    <row r="119" spans="1:5" ht="27" customHeight="1">
      <c r="A119" s="629" t="s">
        <v>456</v>
      </c>
      <c r="B119" s="630">
        <v>30839</v>
      </c>
      <c r="C119" s="631"/>
      <c r="D119" s="528">
        <v>849</v>
      </c>
      <c r="E119" s="632" t="s">
        <v>388</v>
      </c>
    </row>
    <row r="120" spans="1:5" ht="27" customHeight="1">
      <c r="A120" s="513" t="s">
        <v>457</v>
      </c>
      <c r="B120" s="514">
        <v>84430</v>
      </c>
      <c r="C120" s="548"/>
      <c r="D120" s="516">
        <v>3031</v>
      </c>
      <c r="E120" s="517" t="s">
        <v>458</v>
      </c>
    </row>
    <row r="121" spans="1:5" ht="27" customHeight="1">
      <c r="A121" s="513" t="s">
        <v>459</v>
      </c>
      <c r="B121" s="514">
        <v>43863</v>
      </c>
      <c r="C121" s="516"/>
      <c r="D121" s="516">
        <v>66075</v>
      </c>
      <c r="E121" s="517" t="s">
        <v>334</v>
      </c>
    </row>
    <row r="122" spans="1:5" ht="27" customHeight="1">
      <c r="A122" s="530" t="s">
        <v>460</v>
      </c>
      <c r="B122" s="514">
        <v>74991</v>
      </c>
      <c r="C122" s="516" t="s">
        <v>453</v>
      </c>
      <c r="D122" s="516">
        <v>1036</v>
      </c>
      <c r="E122" s="517" t="s">
        <v>454</v>
      </c>
    </row>
    <row r="123" spans="1:5" ht="27" customHeight="1">
      <c r="A123" s="508" t="s">
        <v>461</v>
      </c>
      <c r="B123" s="633">
        <v>84372</v>
      </c>
      <c r="C123" s="516"/>
      <c r="D123" s="511">
        <v>3213</v>
      </c>
      <c r="E123" s="512" t="s">
        <v>316</v>
      </c>
    </row>
    <row r="124" spans="1:5" ht="27" customHeight="1">
      <c r="A124" s="542" t="s">
        <v>462</v>
      </c>
      <c r="B124" s="545">
        <v>17127</v>
      </c>
      <c r="C124" s="518"/>
      <c r="D124" s="539">
        <v>2630</v>
      </c>
      <c r="E124" s="512" t="s">
        <v>398</v>
      </c>
    </row>
    <row r="125" spans="1:5" ht="27" customHeight="1">
      <c r="A125" s="530" t="s">
        <v>463</v>
      </c>
      <c r="B125" s="549">
        <v>71621</v>
      </c>
      <c r="C125" s="518"/>
      <c r="D125" s="516">
        <v>1036</v>
      </c>
      <c r="E125" s="517" t="s">
        <v>302</v>
      </c>
    </row>
    <row r="126" spans="1:5" ht="27" customHeight="1">
      <c r="A126" s="513" t="s">
        <v>464</v>
      </c>
      <c r="B126" s="514">
        <v>23709</v>
      </c>
      <c r="C126" s="516"/>
      <c r="D126" s="516">
        <v>2630</v>
      </c>
      <c r="E126" s="517" t="s">
        <v>465</v>
      </c>
    </row>
    <row r="127" spans="1:5" ht="27" customHeight="1">
      <c r="A127" s="508" t="s">
        <v>466</v>
      </c>
      <c r="B127" s="509">
        <v>58066</v>
      </c>
      <c r="C127" s="516"/>
      <c r="D127" s="511">
        <v>3213</v>
      </c>
      <c r="E127" s="512" t="s">
        <v>309</v>
      </c>
    </row>
    <row r="128" spans="1:5" ht="27" customHeight="1">
      <c r="A128" s="582" t="s">
        <v>59</v>
      </c>
      <c r="B128" s="514">
        <v>36493</v>
      </c>
      <c r="C128" s="516"/>
      <c r="D128" s="511">
        <v>3213</v>
      </c>
      <c r="E128" s="512" t="s">
        <v>309</v>
      </c>
    </row>
    <row r="129" spans="1:5" ht="27" customHeight="1">
      <c r="A129" s="542" t="s">
        <v>93</v>
      </c>
      <c r="B129" s="514">
        <v>17150</v>
      </c>
      <c r="C129" s="543"/>
      <c r="D129" s="539">
        <v>849</v>
      </c>
      <c r="E129" s="517" t="s">
        <v>388</v>
      </c>
    </row>
    <row r="130" spans="1:5" ht="27" customHeight="1">
      <c r="A130" s="542" t="s">
        <v>94</v>
      </c>
      <c r="B130" s="514">
        <v>17160</v>
      </c>
      <c r="C130" s="543"/>
      <c r="D130" s="539">
        <v>849</v>
      </c>
      <c r="E130" s="517" t="s">
        <v>388</v>
      </c>
    </row>
    <row r="131" spans="1:5" ht="27" customHeight="1">
      <c r="A131" s="542" t="s">
        <v>467</v>
      </c>
      <c r="B131" s="514">
        <v>36777</v>
      </c>
      <c r="C131" s="543"/>
      <c r="D131" s="539">
        <v>849</v>
      </c>
      <c r="E131" s="517" t="s">
        <v>300</v>
      </c>
    </row>
    <row r="132" spans="1:5" ht="27" customHeight="1">
      <c r="A132" s="542" t="s">
        <v>468</v>
      </c>
      <c r="B132" s="549">
        <v>85740</v>
      </c>
      <c r="C132" s="543"/>
      <c r="D132" s="539">
        <v>849</v>
      </c>
      <c r="E132" s="517" t="s">
        <v>300</v>
      </c>
    </row>
    <row r="133" spans="1:5" ht="27" customHeight="1">
      <c r="A133" s="634" t="s">
        <v>469</v>
      </c>
      <c r="B133" s="545">
        <v>37146</v>
      </c>
      <c r="C133" s="635"/>
      <c r="D133" s="539">
        <v>2630</v>
      </c>
      <c r="E133" s="517" t="s">
        <v>470</v>
      </c>
    </row>
    <row r="134" spans="1:5" ht="27" customHeight="1">
      <c r="A134" s="582" t="s">
        <v>471</v>
      </c>
      <c r="B134" s="509">
        <v>88205</v>
      </c>
      <c r="C134" s="516"/>
      <c r="D134" s="511">
        <v>3213</v>
      </c>
      <c r="E134" s="512" t="s">
        <v>309</v>
      </c>
    </row>
    <row r="135" spans="1:5" ht="27" customHeight="1">
      <c r="A135" s="582" t="s">
        <v>472</v>
      </c>
      <c r="B135" s="509">
        <v>22455</v>
      </c>
      <c r="C135" s="516"/>
      <c r="D135" s="511">
        <v>3213</v>
      </c>
      <c r="E135" s="512" t="s">
        <v>309</v>
      </c>
    </row>
    <row r="136" spans="1:5" ht="27" customHeight="1">
      <c r="A136" s="582" t="s">
        <v>473</v>
      </c>
      <c r="B136" s="509">
        <v>55964</v>
      </c>
      <c r="C136" s="516"/>
      <c r="D136" s="511">
        <v>3213</v>
      </c>
      <c r="E136" s="512" t="s">
        <v>309</v>
      </c>
    </row>
    <row r="137" spans="1:5" ht="27" customHeight="1">
      <c r="A137" s="582" t="s">
        <v>474</v>
      </c>
      <c r="B137" s="509">
        <v>88420</v>
      </c>
      <c r="C137" s="516"/>
      <c r="D137" s="511">
        <v>3213</v>
      </c>
      <c r="E137" s="512" t="s">
        <v>309</v>
      </c>
    </row>
    <row r="138" spans="1:5" ht="27" customHeight="1" thickBot="1">
      <c r="A138" s="605" t="s">
        <v>475</v>
      </c>
      <c r="B138" s="621">
        <v>67963</v>
      </c>
      <c r="C138" s="523" t="s">
        <v>453</v>
      </c>
      <c r="D138" s="523">
        <v>1036</v>
      </c>
      <c r="E138" s="596" t="s">
        <v>345</v>
      </c>
    </row>
    <row r="139" spans="1:5" ht="27" customHeight="1">
      <c r="A139" s="606" t="s">
        <v>476</v>
      </c>
      <c r="B139" s="526">
        <v>50111</v>
      </c>
      <c r="C139" s="506" t="s">
        <v>453</v>
      </c>
      <c r="D139" s="506">
        <v>1036</v>
      </c>
      <c r="E139" s="600" t="s">
        <v>477</v>
      </c>
    </row>
    <row r="140" spans="1:5" ht="27" customHeight="1">
      <c r="A140" s="513" t="s">
        <v>478</v>
      </c>
      <c r="B140" s="514">
        <v>32288</v>
      </c>
      <c r="C140" s="516"/>
      <c r="D140" s="516">
        <v>57824</v>
      </c>
      <c r="E140" s="517" t="s">
        <v>334</v>
      </c>
    </row>
    <row r="141" spans="1:5" ht="27" customHeight="1" thickBot="1">
      <c r="A141" s="533" t="s">
        <v>479</v>
      </c>
      <c r="B141" s="568">
        <v>71450</v>
      </c>
      <c r="C141" s="523"/>
      <c r="D141" s="523">
        <v>57824</v>
      </c>
      <c r="E141" s="596" t="s">
        <v>334</v>
      </c>
    </row>
    <row r="142" spans="1:5" ht="27" customHeight="1">
      <c r="A142" s="636" t="s">
        <v>480</v>
      </c>
      <c r="B142" s="637">
        <v>52627</v>
      </c>
      <c r="C142" s="638"/>
      <c r="D142" s="639">
        <v>2630</v>
      </c>
      <c r="E142" s="640" t="s">
        <v>481</v>
      </c>
    </row>
    <row r="143" spans="1:5" ht="27" customHeight="1">
      <c r="A143" s="542" t="s">
        <v>482</v>
      </c>
      <c r="B143" s="641">
        <v>37113</v>
      </c>
      <c r="C143" s="518"/>
      <c r="D143" s="539">
        <v>2630</v>
      </c>
      <c r="E143" s="642" t="s">
        <v>483</v>
      </c>
    </row>
    <row r="144" spans="1:5" ht="27" customHeight="1">
      <c r="A144" s="508" t="s">
        <v>80</v>
      </c>
      <c r="B144" s="643">
        <v>88056</v>
      </c>
      <c r="C144" s="516"/>
      <c r="D144" s="511">
        <v>3213</v>
      </c>
      <c r="E144" s="511" t="s">
        <v>309</v>
      </c>
    </row>
    <row r="145" spans="1:5" ht="27" customHeight="1">
      <c r="A145" s="508" t="s">
        <v>484</v>
      </c>
      <c r="B145" s="643">
        <v>71541</v>
      </c>
      <c r="C145" s="516"/>
      <c r="D145" s="511">
        <v>3213</v>
      </c>
      <c r="E145" s="511" t="s">
        <v>320</v>
      </c>
    </row>
    <row r="146" spans="1:5" ht="27" customHeight="1">
      <c r="A146" s="508" t="s">
        <v>123</v>
      </c>
      <c r="B146" s="643">
        <v>84383</v>
      </c>
      <c r="C146" s="516"/>
      <c r="D146" s="511">
        <v>3213</v>
      </c>
      <c r="E146" s="511" t="s">
        <v>309</v>
      </c>
    </row>
    <row r="147" spans="1:5" ht="27" customHeight="1">
      <c r="A147" s="552" t="s">
        <v>485</v>
      </c>
      <c r="B147" s="644">
        <v>67919</v>
      </c>
      <c r="C147" s="594"/>
      <c r="D147" s="516" t="s">
        <v>340</v>
      </c>
      <c r="E147" s="516" t="s">
        <v>341</v>
      </c>
    </row>
    <row r="148" spans="1:5" ht="27" customHeight="1">
      <c r="A148" s="513" t="s">
        <v>45</v>
      </c>
      <c r="B148" s="645">
        <v>23447</v>
      </c>
      <c r="C148" s="516"/>
      <c r="D148" s="510">
        <v>3213</v>
      </c>
      <c r="E148" s="635" t="s">
        <v>486</v>
      </c>
    </row>
    <row r="149" spans="1:5" ht="27" customHeight="1" thickBot="1">
      <c r="A149" s="563" t="s">
        <v>487</v>
      </c>
      <c r="B149" s="646">
        <v>71494</v>
      </c>
      <c r="C149" s="511"/>
      <c r="D149" s="510">
        <v>3213</v>
      </c>
      <c r="E149" s="510" t="s">
        <v>488</v>
      </c>
    </row>
    <row r="150" spans="1:5" ht="27" customHeight="1">
      <c r="A150" s="647" t="s">
        <v>489</v>
      </c>
      <c r="B150" s="556">
        <v>65312</v>
      </c>
      <c r="C150" s="566"/>
      <c r="D150" s="516">
        <v>49178</v>
      </c>
      <c r="E150" s="648" t="s">
        <v>490</v>
      </c>
    </row>
    <row r="151" spans="1:5" ht="27" customHeight="1" thickBot="1">
      <c r="A151" s="567" t="s">
        <v>491</v>
      </c>
      <c r="B151" s="522">
        <v>22466</v>
      </c>
      <c r="C151" s="566"/>
      <c r="D151" s="516">
        <v>49178</v>
      </c>
      <c r="E151" s="648" t="s">
        <v>316</v>
      </c>
    </row>
    <row r="152" spans="1:5" ht="27" customHeight="1">
      <c r="A152" s="649" t="s">
        <v>265</v>
      </c>
      <c r="B152" s="650">
        <v>34400</v>
      </c>
      <c r="C152" s="516"/>
      <c r="D152" s="516">
        <v>49178</v>
      </c>
      <c r="E152" s="510" t="s">
        <v>316</v>
      </c>
    </row>
    <row r="153" spans="1:5" ht="27" customHeight="1">
      <c r="A153" s="651" t="s">
        <v>203</v>
      </c>
      <c r="B153" s="641">
        <v>78245</v>
      </c>
      <c r="C153" s="518"/>
      <c r="D153" s="539">
        <v>849</v>
      </c>
      <c r="E153" s="642" t="s">
        <v>326</v>
      </c>
    </row>
    <row r="154" spans="1:5" ht="27" customHeight="1">
      <c r="A154" s="652" t="s">
        <v>492</v>
      </c>
      <c r="B154" s="643">
        <v>22750</v>
      </c>
      <c r="C154" s="516"/>
      <c r="D154" s="511">
        <v>3213</v>
      </c>
      <c r="E154" s="511" t="s">
        <v>309</v>
      </c>
    </row>
    <row r="155" spans="1:5" ht="27" customHeight="1">
      <c r="A155" s="653" t="s">
        <v>493</v>
      </c>
      <c r="B155" s="645">
        <v>20020</v>
      </c>
      <c r="C155" s="518"/>
      <c r="D155" s="516">
        <v>3031</v>
      </c>
      <c r="E155" s="516" t="s">
        <v>494</v>
      </c>
    </row>
    <row r="156" spans="1:5" ht="27" customHeight="1">
      <c r="A156" s="513" t="s">
        <v>495</v>
      </c>
      <c r="B156" s="516">
        <v>84441</v>
      </c>
      <c r="C156" s="518"/>
      <c r="D156" s="516">
        <v>3031</v>
      </c>
      <c r="E156" s="516" t="s">
        <v>496</v>
      </c>
    </row>
    <row r="157" spans="1:5" ht="27" customHeight="1" thickBot="1">
      <c r="A157" s="654" t="s">
        <v>497</v>
      </c>
      <c r="B157" s="655">
        <v>42383</v>
      </c>
      <c r="C157" s="516"/>
      <c r="D157" s="511">
        <v>3213</v>
      </c>
      <c r="E157" s="511" t="s">
        <v>309</v>
      </c>
    </row>
    <row r="158" spans="1:5" ht="27" customHeight="1">
      <c r="A158" s="656" t="s">
        <v>498</v>
      </c>
      <c r="B158" s="630">
        <v>543</v>
      </c>
      <c r="C158" s="571"/>
      <c r="D158" s="539">
        <v>849</v>
      </c>
      <c r="E158" s="642" t="s">
        <v>499</v>
      </c>
    </row>
    <row r="159" spans="1:5" ht="27" customHeight="1">
      <c r="A159" s="657" t="s">
        <v>151</v>
      </c>
      <c r="B159" s="538">
        <v>70957</v>
      </c>
      <c r="C159" s="571"/>
      <c r="D159" s="539">
        <v>849</v>
      </c>
      <c r="E159" s="642" t="s">
        <v>500</v>
      </c>
    </row>
    <row r="160" spans="1:5" ht="27" customHeight="1" thickBot="1">
      <c r="A160" s="658" t="s">
        <v>501</v>
      </c>
      <c r="B160" s="534">
        <v>86232</v>
      </c>
      <c r="C160" s="659"/>
      <c r="D160" s="516">
        <v>46464</v>
      </c>
      <c r="E160" s="660" t="s">
        <v>367</v>
      </c>
    </row>
    <row r="161" spans="1:5" ht="27" customHeight="1">
      <c r="A161" s="661" t="s">
        <v>502</v>
      </c>
      <c r="B161" s="526">
        <v>55910</v>
      </c>
      <c r="C161" s="566"/>
      <c r="D161" s="516">
        <v>2630</v>
      </c>
      <c r="E161" s="516" t="s">
        <v>316</v>
      </c>
    </row>
    <row r="162" spans="1:5" ht="27" customHeight="1">
      <c r="A162" s="662" t="s">
        <v>503</v>
      </c>
      <c r="B162" s="514">
        <v>67861</v>
      </c>
      <c r="C162" s="566"/>
      <c r="D162" s="516" t="s">
        <v>306</v>
      </c>
      <c r="E162" s="516" t="s">
        <v>504</v>
      </c>
    </row>
    <row r="163" spans="1:5" ht="27" customHeight="1" thickBot="1">
      <c r="A163" s="663" t="s">
        <v>505</v>
      </c>
      <c r="B163" s="573">
        <v>67475</v>
      </c>
      <c r="C163" s="571"/>
      <c r="D163" s="539">
        <v>2630</v>
      </c>
      <c r="E163" s="642" t="s">
        <v>424</v>
      </c>
    </row>
    <row r="164" spans="1:5" ht="27" customHeight="1">
      <c r="A164" s="664" t="s">
        <v>506</v>
      </c>
      <c r="B164" s="650">
        <v>46205</v>
      </c>
      <c r="C164" s="516"/>
      <c r="D164" s="511">
        <v>3213</v>
      </c>
      <c r="E164" s="511" t="s">
        <v>309</v>
      </c>
    </row>
    <row r="165" spans="1:5" ht="27" customHeight="1">
      <c r="A165" s="665" t="s">
        <v>507</v>
      </c>
      <c r="B165" s="643">
        <v>35854</v>
      </c>
      <c r="C165" s="516"/>
      <c r="D165" s="511">
        <v>3213</v>
      </c>
      <c r="E165" s="511" t="s">
        <v>309</v>
      </c>
    </row>
    <row r="166" spans="1:5" ht="27" customHeight="1">
      <c r="A166" s="653" t="s">
        <v>508</v>
      </c>
      <c r="B166" s="666">
        <v>49305</v>
      </c>
      <c r="C166" s="516"/>
      <c r="D166" s="516">
        <v>46464</v>
      </c>
      <c r="E166" s="660" t="s">
        <v>509</v>
      </c>
    </row>
    <row r="167" spans="1:5" ht="27" customHeight="1">
      <c r="A167" s="550" t="s">
        <v>510</v>
      </c>
      <c r="B167" s="645">
        <v>52591</v>
      </c>
      <c r="C167" s="543"/>
      <c r="D167" s="539">
        <v>849</v>
      </c>
      <c r="E167" s="516" t="s">
        <v>388</v>
      </c>
    </row>
    <row r="168" spans="1:5" ht="27" customHeight="1">
      <c r="A168" s="550" t="s">
        <v>511</v>
      </c>
      <c r="B168" s="645">
        <v>52591</v>
      </c>
      <c r="C168" s="543"/>
      <c r="D168" s="539">
        <v>849</v>
      </c>
      <c r="E168" s="516" t="s">
        <v>388</v>
      </c>
    </row>
    <row r="169" spans="1:5" ht="27" customHeight="1">
      <c r="A169" s="550" t="s">
        <v>512</v>
      </c>
      <c r="B169" s="645">
        <v>52591</v>
      </c>
      <c r="C169" s="543"/>
      <c r="D169" s="539">
        <v>849</v>
      </c>
      <c r="E169" s="516" t="s">
        <v>388</v>
      </c>
    </row>
    <row r="170" spans="1:5" ht="27" customHeight="1">
      <c r="A170" s="667" t="s">
        <v>513</v>
      </c>
      <c r="B170" s="643">
        <v>89525</v>
      </c>
      <c r="C170" s="510"/>
      <c r="D170" s="511">
        <v>3213</v>
      </c>
      <c r="E170" s="511" t="s">
        <v>421</v>
      </c>
    </row>
    <row r="171" spans="1:5" ht="27" customHeight="1">
      <c r="A171" s="513" t="s">
        <v>514</v>
      </c>
      <c r="B171" s="666">
        <v>86243</v>
      </c>
      <c r="C171" s="668"/>
      <c r="D171" s="516">
        <v>46464</v>
      </c>
      <c r="E171" s="660" t="s">
        <v>515</v>
      </c>
    </row>
    <row r="172" spans="1:5" ht="27" customHeight="1">
      <c r="A172" s="581" t="s">
        <v>516</v>
      </c>
      <c r="B172" s="516">
        <v>20416</v>
      </c>
      <c r="C172" s="518"/>
      <c r="D172" s="539">
        <v>849</v>
      </c>
      <c r="E172" s="516" t="s">
        <v>334</v>
      </c>
    </row>
    <row r="173" spans="1:5" ht="27" customHeight="1">
      <c r="A173" s="530" t="s">
        <v>517</v>
      </c>
      <c r="B173" s="645">
        <v>71632</v>
      </c>
      <c r="C173" s="518"/>
      <c r="D173" s="516">
        <v>1036</v>
      </c>
      <c r="E173" s="516" t="s">
        <v>302</v>
      </c>
    </row>
    <row r="174" spans="1:5" ht="27" customHeight="1">
      <c r="A174" s="520" t="s">
        <v>213</v>
      </c>
      <c r="B174" s="645">
        <v>25078</v>
      </c>
      <c r="C174" s="516"/>
      <c r="D174" s="516" t="s">
        <v>306</v>
      </c>
      <c r="E174" s="516" t="s">
        <v>518</v>
      </c>
    </row>
    <row r="175" spans="1:5" ht="27" customHeight="1">
      <c r="A175" s="546" t="s">
        <v>519</v>
      </c>
      <c r="B175" s="641">
        <v>20380</v>
      </c>
      <c r="C175" s="518"/>
      <c r="D175" s="539">
        <v>2630</v>
      </c>
      <c r="E175" s="642" t="s">
        <v>520</v>
      </c>
    </row>
    <row r="176" spans="1:5" ht="27" customHeight="1">
      <c r="A176" s="530" t="s">
        <v>521</v>
      </c>
      <c r="B176" s="645">
        <v>37190</v>
      </c>
      <c r="C176" s="518" t="s">
        <v>148</v>
      </c>
      <c r="D176" s="516">
        <v>576</v>
      </c>
      <c r="E176" s="516" t="s">
        <v>522</v>
      </c>
    </row>
    <row r="177" spans="1:5" ht="27" customHeight="1">
      <c r="A177" s="542" t="s">
        <v>523</v>
      </c>
      <c r="B177" s="641">
        <v>17069</v>
      </c>
      <c r="C177" s="518"/>
      <c r="D177" s="539">
        <v>2630</v>
      </c>
      <c r="E177" s="642" t="s">
        <v>481</v>
      </c>
    </row>
    <row r="178" spans="1:5" ht="27" customHeight="1">
      <c r="A178" s="542" t="s">
        <v>524</v>
      </c>
      <c r="B178" s="641">
        <v>37124</v>
      </c>
      <c r="C178" s="518"/>
      <c r="D178" s="539">
        <v>2630</v>
      </c>
      <c r="E178" s="642" t="s">
        <v>483</v>
      </c>
    </row>
    <row r="179" spans="1:5" ht="27" customHeight="1">
      <c r="A179" s="546" t="s">
        <v>525</v>
      </c>
      <c r="B179" s="641">
        <v>84180</v>
      </c>
      <c r="C179" s="518"/>
      <c r="D179" s="539">
        <v>2630</v>
      </c>
      <c r="E179" s="669" t="s">
        <v>424</v>
      </c>
    </row>
    <row r="180" spans="1:5" ht="27" customHeight="1">
      <c r="A180" s="530" t="s">
        <v>526</v>
      </c>
      <c r="B180" s="645">
        <v>71836</v>
      </c>
      <c r="C180" s="516" t="s">
        <v>148</v>
      </c>
      <c r="D180" s="516">
        <v>576</v>
      </c>
      <c r="E180" s="516" t="s">
        <v>527</v>
      </c>
    </row>
    <row r="181" spans="1:5" ht="27" customHeight="1">
      <c r="A181" s="530" t="s">
        <v>528</v>
      </c>
      <c r="B181" s="645">
        <v>71847</v>
      </c>
      <c r="C181" s="516" t="s">
        <v>148</v>
      </c>
      <c r="D181" s="516">
        <v>576</v>
      </c>
      <c r="E181" s="516" t="s">
        <v>527</v>
      </c>
    </row>
    <row r="182" spans="1:5" ht="27" customHeight="1">
      <c r="A182" s="530" t="s">
        <v>529</v>
      </c>
      <c r="B182" s="645">
        <v>71858</v>
      </c>
      <c r="C182" s="516" t="s">
        <v>148</v>
      </c>
      <c r="D182" s="516">
        <v>576</v>
      </c>
      <c r="E182" s="516" t="s">
        <v>527</v>
      </c>
    </row>
    <row r="183" spans="1:5" ht="27" customHeight="1">
      <c r="A183" s="513" t="s">
        <v>530</v>
      </c>
      <c r="B183" s="643">
        <v>54837</v>
      </c>
      <c r="C183" s="516"/>
      <c r="D183" s="516">
        <v>49178</v>
      </c>
      <c r="E183" s="510" t="s">
        <v>316</v>
      </c>
    </row>
    <row r="184" spans="1:5" ht="27" customHeight="1">
      <c r="A184" s="513" t="s">
        <v>531</v>
      </c>
      <c r="B184" s="645">
        <v>55829</v>
      </c>
      <c r="C184" s="515"/>
      <c r="D184" s="516">
        <v>3213</v>
      </c>
      <c r="E184" s="602" t="s">
        <v>320</v>
      </c>
    </row>
    <row r="185" spans="1:5" ht="27" customHeight="1">
      <c r="A185" s="552" t="s">
        <v>532</v>
      </c>
      <c r="B185" s="645">
        <v>39323</v>
      </c>
      <c r="C185" s="515"/>
      <c r="D185" s="511">
        <v>3213</v>
      </c>
      <c r="E185" s="516" t="s">
        <v>300</v>
      </c>
    </row>
    <row r="186" spans="1:5" ht="27" customHeight="1">
      <c r="A186" s="542" t="s">
        <v>533</v>
      </c>
      <c r="B186" s="645">
        <v>52570</v>
      </c>
      <c r="C186" s="543"/>
      <c r="D186" s="539">
        <v>849</v>
      </c>
      <c r="E186" s="516" t="s">
        <v>388</v>
      </c>
    </row>
    <row r="187" spans="1:5" ht="27" customHeight="1">
      <c r="A187" s="542" t="s">
        <v>534</v>
      </c>
      <c r="B187" s="645">
        <v>52570</v>
      </c>
      <c r="C187" s="543"/>
      <c r="D187" s="539">
        <v>849</v>
      </c>
      <c r="E187" s="516" t="s">
        <v>388</v>
      </c>
    </row>
    <row r="188" spans="1:5" ht="27" customHeight="1">
      <c r="A188" s="542" t="s">
        <v>535</v>
      </c>
      <c r="B188" s="645">
        <v>70979</v>
      </c>
      <c r="C188" s="543"/>
      <c r="D188" s="539">
        <v>849</v>
      </c>
      <c r="E188" s="516" t="s">
        <v>388</v>
      </c>
    </row>
    <row r="189" spans="1:5" ht="27" customHeight="1">
      <c r="A189" s="542" t="s">
        <v>536</v>
      </c>
      <c r="B189" s="516">
        <v>70980</v>
      </c>
      <c r="C189" s="543"/>
      <c r="D189" s="539">
        <v>849</v>
      </c>
      <c r="E189" s="516" t="s">
        <v>388</v>
      </c>
    </row>
    <row r="190" spans="1:5" ht="27" customHeight="1">
      <c r="A190" s="542" t="s">
        <v>537</v>
      </c>
      <c r="B190" s="641">
        <v>42317</v>
      </c>
      <c r="C190" s="518"/>
      <c r="D190" s="539">
        <v>2630</v>
      </c>
      <c r="E190" s="642" t="s">
        <v>316</v>
      </c>
    </row>
    <row r="191" spans="1:5" ht="27" customHeight="1">
      <c r="A191" s="513" t="s">
        <v>538</v>
      </c>
      <c r="B191" s="643">
        <v>113</v>
      </c>
      <c r="C191" s="516"/>
      <c r="D191" s="516">
        <v>49178</v>
      </c>
      <c r="E191" s="510" t="s">
        <v>334</v>
      </c>
    </row>
    <row r="192" spans="1:5" ht="27" customHeight="1">
      <c r="A192" s="530" t="s">
        <v>539</v>
      </c>
      <c r="B192" s="516">
        <v>84419</v>
      </c>
      <c r="C192" s="518"/>
      <c r="D192" s="516">
        <v>1036</v>
      </c>
      <c r="E192" s="516" t="s">
        <v>302</v>
      </c>
    </row>
    <row r="193" spans="1:5" ht="27" customHeight="1">
      <c r="A193" s="513" t="s">
        <v>540</v>
      </c>
      <c r="B193" s="666">
        <v>84317</v>
      </c>
      <c r="C193" s="516"/>
      <c r="D193" s="516">
        <v>46464</v>
      </c>
      <c r="E193" s="660" t="s">
        <v>316</v>
      </c>
    </row>
    <row r="194" spans="1:5" ht="27" customHeight="1">
      <c r="A194" s="513" t="s">
        <v>152</v>
      </c>
      <c r="B194" s="666">
        <v>84317</v>
      </c>
      <c r="C194" s="516"/>
      <c r="D194" s="516">
        <v>46464</v>
      </c>
      <c r="E194" s="660" t="s">
        <v>316</v>
      </c>
    </row>
    <row r="195" spans="1:5" ht="27" customHeight="1" thickBot="1">
      <c r="A195" s="654" t="s">
        <v>152</v>
      </c>
      <c r="B195" s="655">
        <v>71563</v>
      </c>
      <c r="C195" s="516"/>
      <c r="D195" s="511">
        <v>3213</v>
      </c>
      <c r="E195" s="511" t="s">
        <v>309</v>
      </c>
    </row>
    <row r="196" spans="1:5" ht="27" customHeight="1">
      <c r="A196" s="670" t="s">
        <v>541</v>
      </c>
      <c r="B196" s="612">
        <v>20347</v>
      </c>
      <c r="C196" s="571"/>
      <c r="D196" s="539">
        <v>849</v>
      </c>
      <c r="E196" s="642" t="s">
        <v>542</v>
      </c>
    </row>
    <row r="197" spans="1:5" ht="27" customHeight="1" thickBot="1">
      <c r="A197" s="663" t="s">
        <v>541</v>
      </c>
      <c r="B197" s="573">
        <v>70902</v>
      </c>
      <c r="C197" s="571"/>
      <c r="D197" s="539">
        <v>849</v>
      </c>
      <c r="E197" s="642" t="s">
        <v>543</v>
      </c>
    </row>
    <row r="198" spans="1:5" ht="27" customHeight="1">
      <c r="A198" s="579" t="s">
        <v>544</v>
      </c>
      <c r="B198" s="637">
        <v>554</v>
      </c>
      <c r="C198" s="518"/>
      <c r="D198" s="539">
        <v>849</v>
      </c>
      <c r="E198" s="642" t="s">
        <v>424</v>
      </c>
    </row>
    <row r="199" spans="1:5" ht="27" customHeight="1">
      <c r="A199" s="542" t="s">
        <v>545</v>
      </c>
      <c r="B199" s="641">
        <v>30012</v>
      </c>
      <c r="C199" s="518"/>
      <c r="D199" s="539">
        <v>849</v>
      </c>
      <c r="E199" s="642" t="s">
        <v>386</v>
      </c>
    </row>
    <row r="200" spans="1:5" ht="27" customHeight="1">
      <c r="A200" s="546" t="s">
        <v>546</v>
      </c>
      <c r="B200" s="641">
        <v>84215</v>
      </c>
      <c r="C200" s="518"/>
      <c r="D200" s="539">
        <v>849</v>
      </c>
      <c r="E200" s="642" t="s">
        <v>388</v>
      </c>
    </row>
    <row r="201" spans="1:5" ht="27" customHeight="1">
      <c r="A201" s="546" t="s">
        <v>546</v>
      </c>
      <c r="B201" s="641">
        <v>70913</v>
      </c>
      <c r="C201" s="518"/>
      <c r="D201" s="539">
        <v>849</v>
      </c>
      <c r="E201" s="642" t="s">
        <v>547</v>
      </c>
    </row>
    <row r="202" spans="1:5" ht="27" customHeight="1">
      <c r="A202" s="508" t="s">
        <v>60</v>
      </c>
      <c r="B202" s="643">
        <v>19993</v>
      </c>
      <c r="C202" s="516"/>
      <c r="D202" s="511">
        <v>3213</v>
      </c>
      <c r="E202" s="511" t="s">
        <v>309</v>
      </c>
    </row>
    <row r="203" spans="1:5" ht="27" customHeight="1">
      <c r="A203" s="508" t="s">
        <v>548</v>
      </c>
      <c r="B203" s="643">
        <v>71574</v>
      </c>
      <c r="C203" s="516"/>
      <c r="D203" s="511">
        <v>3213</v>
      </c>
      <c r="E203" s="511" t="s">
        <v>320</v>
      </c>
    </row>
    <row r="204" spans="1:5" ht="27" customHeight="1">
      <c r="A204" s="513" t="s">
        <v>549</v>
      </c>
      <c r="B204" s="645">
        <v>67828</v>
      </c>
      <c r="C204" s="518"/>
      <c r="D204" s="539">
        <v>3213</v>
      </c>
      <c r="E204" s="671" t="s">
        <v>334</v>
      </c>
    </row>
    <row r="205" spans="1:5" ht="27" customHeight="1">
      <c r="A205" s="582" t="s">
        <v>550</v>
      </c>
      <c r="B205" s="645">
        <v>22965</v>
      </c>
      <c r="C205" s="594"/>
      <c r="D205" s="516">
        <v>576</v>
      </c>
      <c r="E205" s="516" t="s">
        <v>316</v>
      </c>
    </row>
    <row r="206" spans="1:5" ht="27" customHeight="1">
      <c r="A206" s="513" t="s">
        <v>551</v>
      </c>
      <c r="B206" s="645">
        <v>52638</v>
      </c>
      <c r="C206" s="594"/>
      <c r="D206" s="516">
        <v>576</v>
      </c>
      <c r="E206" s="516" t="s">
        <v>316</v>
      </c>
    </row>
    <row r="207" spans="1:5" ht="27" customHeight="1">
      <c r="A207" s="530" t="s">
        <v>552</v>
      </c>
      <c r="B207" s="645">
        <v>37215</v>
      </c>
      <c r="C207" s="516" t="s">
        <v>148</v>
      </c>
      <c r="D207" s="516">
        <v>576</v>
      </c>
      <c r="E207" s="516" t="s">
        <v>522</v>
      </c>
    </row>
    <row r="208" spans="1:5" ht="27" customHeight="1">
      <c r="A208" s="513" t="s">
        <v>553</v>
      </c>
      <c r="B208" s="643">
        <v>24097</v>
      </c>
      <c r="C208" s="516"/>
      <c r="D208" s="516">
        <v>49178</v>
      </c>
      <c r="E208" s="510" t="s">
        <v>334</v>
      </c>
    </row>
    <row r="209" spans="1:5" ht="27" customHeight="1">
      <c r="A209" s="513" t="s">
        <v>554</v>
      </c>
      <c r="B209" s="643">
        <v>146</v>
      </c>
      <c r="C209" s="516"/>
      <c r="D209" s="516">
        <v>49178</v>
      </c>
      <c r="E209" s="510" t="s">
        <v>555</v>
      </c>
    </row>
    <row r="210" spans="1:5" ht="27" customHeight="1">
      <c r="A210" s="672" t="s">
        <v>556</v>
      </c>
      <c r="B210" s="673">
        <v>73059</v>
      </c>
      <c r="C210" s="510"/>
      <c r="D210" s="510">
        <v>3213</v>
      </c>
      <c r="E210" s="510" t="s">
        <v>557</v>
      </c>
    </row>
    <row r="211" spans="1:5" ht="27" customHeight="1">
      <c r="A211" s="672" t="s">
        <v>558</v>
      </c>
      <c r="B211" s="673">
        <v>52795</v>
      </c>
      <c r="C211" s="510"/>
      <c r="D211" s="510">
        <v>3213</v>
      </c>
      <c r="E211" s="510" t="s">
        <v>557</v>
      </c>
    </row>
    <row r="212" spans="1:5" ht="27" customHeight="1">
      <c r="A212" s="672" t="s">
        <v>559</v>
      </c>
      <c r="B212" s="673">
        <v>52809</v>
      </c>
      <c r="C212" s="518"/>
      <c r="D212" s="510">
        <v>3213</v>
      </c>
      <c r="E212" s="510" t="s">
        <v>557</v>
      </c>
    </row>
    <row r="213" spans="1:5" ht="27" customHeight="1">
      <c r="A213" s="513" t="s">
        <v>560</v>
      </c>
      <c r="B213" s="648">
        <v>71508</v>
      </c>
      <c r="C213" s="516"/>
      <c r="D213" s="516">
        <v>49178</v>
      </c>
      <c r="E213" s="510" t="s">
        <v>561</v>
      </c>
    </row>
    <row r="214" spans="1:5" ht="27" customHeight="1">
      <c r="A214" s="530" t="s">
        <v>562</v>
      </c>
      <c r="B214" s="645">
        <v>71891</v>
      </c>
      <c r="C214" s="516" t="s">
        <v>563</v>
      </c>
      <c r="D214" s="516">
        <v>1036</v>
      </c>
      <c r="E214" s="516" t="s">
        <v>564</v>
      </c>
    </row>
    <row r="215" spans="1:5" ht="27" customHeight="1">
      <c r="A215" s="513" t="s">
        <v>229</v>
      </c>
      <c r="B215" s="645">
        <v>84496</v>
      </c>
      <c r="C215" s="516"/>
      <c r="D215" s="516">
        <v>3213</v>
      </c>
      <c r="E215" s="516" t="s">
        <v>565</v>
      </c>
    </row>
    <row r="216" spans="1:5" ht="27" customHeight="1">
      <c r="A216" s="513" t="s">
        <v>566</v>
      </c>
      <c r="B216" s="645">
        <v>71712</v>
      </c>
      <c r="C216" s="516"/>
      <c r="D216" s="516">
        <v>3213</v>
      </c>
      <c r="E216" s="516" t="s">
        <v>565</v>
      </c>
    </row>
    <row r="217" spans="1:5" ht="27" customHeight="1">
      <c r="A217" s="551" t="s">
        <v>567</v>
      </c>
      <c r="B217" s="645">
        <v>40763</v>
      </c>
      <c r="C217" s="516"/>
      <c r="D217" s="516">
        <v>2630</v>
      </c>
      <c r="E217" s="516" t="s">
        <v>359</v>
      </c>
    </row>
    <row r="218" spans="1:5" ht="27" customHeight="1">
      <c r="A218" s="551" t="s">
        <v>568</v>
      </c>
      <c r="B218" s="516">
        <v>816</v>
      </c>
      <c r="C218" s="516"/>
      <c r="D218" s="516">
        <v>2630</v>
      </c>
      <c r="E218" s="516" t="s">
        <v>351</v>
      </c>
    </row>
    <row r="219" spans="1:5" ht="27" customHeight="1">
      <c r="A219" s="546" t="s">
        <v>569</v>
      </c>
      <c r="B219" s="641">
        <v>37135</v>
      </c>
      <c r="C219" s="518"/>
      <c r="D219" s="539">
        <v>2630</v>
      </c>
      <c r="E219" s="669" t="s">
        <v>570</v>
      </c>
    </row>
    <row r="220" spans="1:5" ht="27" customHeight="1">
      <c r="A220" s="513" t="s">
        <v>571</v>
      </c>
      <c r="B220" s="645">
        <v>73988</v>
      </c>
      <c r="C220" s="515"/>
      <c r="D220" s="516">
        <v>3213</v>
      </c>
      <c r="E220" s="516" t="s">
        <v>445</v>
      </c>
    </row>
    <row r="221" spans="1:5" ht="27" customHeight="1">
      <c r="A221" s="674" t="s">
        <v>572</v>
      </c>
      <c r="B221" s="641">
        <v>17105</v>
      </c>
      <c r="C221" s="518"/>
      <c r="D221" s="539">
        <v>2630</v>
      </c>
      <c r="E221" s="511" t="s">
        <v>396</v>
      </c>
    </row>
    <row r="222" spans="1:5" ht="27" customHeight="1">
      <c r="A222" s="513" t="s">
        <v>573</v>
      </c>
      <c r="B222" s="645">
        <v>74120</v>
      </c>
      <c r="C222" s="518"/>
      <c r="D222" s="516">
        <v>3213</v>
      </c>
      <c r="E222" s="516" t="s">
        <v>334</v>
      </c>
    </row>
    <row r="223" spans="1:5" ht="27" customHeight="1">
      <c r="A223" s="546" t="s">
        <v>574</v>
      </c>
      <c r="B223" s="645">
        <v>84860</v>
      </c>
      <c r="C223" s="543"/>
      <c r="D223" s="539">
        <v>849</v>
      </c>
      <c r="E223" s="511" t="s">
        <v>575</v>
      </c>
    </row>
    <row r="224" spans="1:5" ht="27" customHeight="1">
      <c r="A224" s="542" t="s">
        <v>576</v>
      </c>
      <c r="B224" s="645">
        <v>565</v>
      </c>
      <c r="C224" s="543"/>
      <c r="D224" s="539">
        <v>849</v>
      </c>
      <c r="E224" s="511" t="s">
        <v>575</v>
      </c>
    </row>
    <row r="225" spans="1:5" ht="27" customHeight="1">
      <c r="A225" s="674" t="s">
        <v>577</v>
      </c>
      <c r="B225" s="641">
        <v>22943</v>
      </c>
      <c r="C225" s="518"/>
      <c r="D225" s="539">
        <v>2630</v>
      </c>
      <c r="E225" s="511" t="s">
        <v>578</v>
      </c>
    </row>
    <row r="226" spans="1:5" ht="27" customHeight="1">
      <c r="A226" s="652" t="s">
        <v>61</v>
      </c>
      <c r="B226" s="643">
        <v>36948</v>
      </c>
      <c r="C226" s="516"/>
      <c r="D226" s="511">
        <v>3213</v>
      </c>
      <c r="E226" s="511" t="s">
        <v>309</v>
      </c>
    </row>
    <row r="227" spans="1:5" ht="27" customHeight="1">
      <c r="A227" s="552" t="s">
        <v>212</v>
      </c>
      <c r="B227" s="644">
        <v>84452</v>
      </c>
      <c r="C227" s="594"/>
      <c r="D227" s="516" t="s">
        <v>340</v>
      </c>
      <c r="E227" s="516" t="s">
        <v>579</v>
      </c>
    </row>
    <row r="228" spans="1:5" ht="27" customHeight="1">
      <c r="A228" s="675" t="s">
        <v>580</v>
      </c>
      <c r="B228" s="516">
        <v>36992</v>
      </c>
      <c r="C228" s="516"/>
      <c r="D228" s="516">
        <v>2630</v>
      </c>
      <c r="E228" s="516" t="s">
        <v>454</v>
      </c>
    </row>
    <row r="229" spans="1:5" ht="27" customHeight="1">
      <c r="A229" s="676" t="s">
        <v>581</v>
      </c>
      <c r="B229" s="643">
        <v>42554</v>
      </c>
      <c r="C229" s="516"/>
      <c r="D229" s="511">
        <v>3213</v>
      </c>
      <c r="E229" s="511" t="s">
        <v>309</v>
      </c>
    </row>
    <row r="230" spans="1:5" ht="27" customHeight="1">
      <c r="A230" s="677" t="s">
        <v>582</v>
      </c>
      <c r="B230" s="643">
        <v>42554</v>
      </c>
      <c r="C230" s="516"/>
      <c r="D230" s="511">
        <v>3213</v>
      </c>
      <c r="E230" s="511" t="s">
        <v>309</v>
      </c>
    </row>
    <row r="231" spans="1:5" ht="27" customHeight="1">
      <c r="A231" s="530" t="s">
        <v>583</v>
      </c>
      <c r="B231" s="645">
        <v>55862</v>
      </c>
      <c r="C231" s="516" t="s">
        <v>584</v>
      </c>
      <c r="D231" s="516">
        <v>3031</v>
      </c>
      <c r="E231" s="516" t="s">
        <v>396</v>
      </c>
    </row>
    <row r="232" spans="1:5" ht="27" customHeight="1">
      <c r="A232" s="678" t="s">
        <v>585</v>
      </c>
      <c r="B232" s="645">
        <v>55873</v>
      </c>
      <c r="C232" s="516" t="s">
        <v>584</v>
      </c>
      <c r="D232" s="516">
        <v>3013</v>
      </c>
      <c r="E232" s="516" t="s">
        <v>396</v>
      </c>
    </row>
    <row r="233" spans="1:5" ht="27" customHeight="1">
      <c r="A233" s="679" t="s">
        <v>62</v>
      </c>
      <c r="B233" s="643">
        <v>14865</v>
      </c>
      <c r="C233" s="516"/>
      <c r="D233" s="511">
        <v>3213</v>
      </c>
      <c r="E233" s="511" t="s">
        <v>421</v>
      </c>
    </row>
    <row r="234" spans="1:5" ht="27" customHeight="1">
      <c r="A234" s="550" t="s">
        <v>586</v>
      </c>
      <c r="B234" s="645">
        <v>36427</v>
      </c>
      <c r="C234" s="518"/>
      <c r="D234" s="516" t="s">
        <v>340</v>
      </c>
      <c r="E234" s="516" t="s">
        <v>587</v>
      </c>
    </row>
    <row r="235" spans="1:5" ht="27" customHeight="1">
      <c r="A235" s="550" t="s">
        <v>588</v>
      </c>
      <c r="B235" s="645">
        <v>34068</v>
      </c>
      <c r="C235" s="518"/>
      <c r="D235" s="516" t="s">
        <v>340</v>
      </c>
      <c r="E235" s="516" t="s">
        <v>589</v>
      </c>
    </row>
    <row r="236" spans="1:5" ht="27" customHeight="1">
      <c r="A236" s="551" t="s">
        <v>590</v>
      </c>
      <c r="B236" s="516">
        <v>41880</v>
      </c>
      <c r="C236" s="516"/>
      <c r="D236" s="516" t="s">
        <v>340</v>
      </c>
      <c r="E236" s="516" t="s">
        <v>591</v>
      </c>
    </row>
    <row r="237" spans="1:5" ht="27" customHeight="1">
      <c r="A237" s="513" t="s">
        <v>592</v>
      </c>
      <c r="B237" s="516">
        <v>21850</v>
      </c>
      <c r="C237" s="516"/>
      <c r="D237" s="516" t="s">
        <v>306</v>
      </c>
      <c r="E237" s="516" t="s">
        <v>316</v>
      </c>
    </row>
    <row r="238" spans="1:5" ht="27" customHeight="1">
      <c r="A238" s="508" t="s">
        <v>593</v>
      </c>
      <c r="B238" s="680">
        <v>84394</v>
      </c>
      <c r="C238" s="516"/>
      <c r="D238" s="511">
        <v>3213</v>
      </c>
      <c r="E238" s="511" t="s">
        <v>421</v>
      </c>
    </row>
    <row r="239" spans="1:5" ht="27" customHeight="1">
      <c r="A239" s="582" t="s">
        <v>594</v>
      </c>
      <c r="B239" s="645">
        <v>71723</v>
      </c>
      <c r="C239" s="516"/>
      <c r="D239" s="516">
        <v>2630</v>
      </c>
      <c r="E239" s="516" t="s">
        <v>595</v>
      </c>
    </row>
    <row r="240" spans="1:5" ht="27" customHeight="1">
      <c r="A240" s="582" t="s">
        <v>596</v>
      </c>
      <c r="B240" s="645">
        <v>41380</v>
      </c>
      <c r="C240" s="516"/>
      <c r="D240" s="511">
        <v>3213</v>
      </c>
      <c r="E240" s="511" t="s">
        <v>309</v>
      </c>
    </row>
    <row r="241" spans="1:5" ht="27" customHeight="1">
      <c r="A241" s="508" t="s">
        <v>597</v>
      </c>
      <c r="B241" s="643">
        <v>71585</v>
      </c>
      <c r="C241" s="516"/>
      <c r="D241" s="511">
        <v>3213</v>
      </c>
      <c r="E241" s="511" t="s">
        <v>320</v>
      </c>
    </row>
    <row r="242" spans="1:5" ht="27" customHeight="1">
      <c r="A242" s="551" t="s">
        <v>278</v>
      </c>
      <c r="B242" s="666">
        <v>15777</v>
      </c>
      <c r="C242" s="623"/>
      <c r="D242" s="623">
        <v>46464</v>
      </c>
      <c r="E242" s="681" t="s">
        <v>509</v>
      </c>
    </row>
    <row r="243" spans="1:5" ht="27" customHeight="1">
      <c r="A243" s="551" t="s">
        <v>598</v>
      </c>
      <c r="B243" s="666">
        <v>84339</v>
      </c>
      <c r="C243" s="623"/>
      <c r="D243" s="623">
        <v>46464</v>
      </c>
      <c r="E243" s="681" t="s">
        <v>599</v>
      </c>
    </row>
    <row r="244" spans="1:5" ht="27" customHeight="1">
      <c r="A244" s="508" t="s">
        <v>600</v>
      </c>
      <c r="B244" s="643">
        <v>71600</v>
      </c>
      <c r="C244" s="516"/>
      <c r="D244" s="511">
        <v>3213</v>
      </c>
      <c r="E244" s="511" t="s">
        <v>309</v>
      </c>
    </row>
    <row r="245" spans="1:5" ht="27" customHeight="1">
      <c r="A245" s="551" t="s">
        <v>601</v>
      </c>
      <c r="B245" s="666">
        <v>15777</v>
      </c>
      <c r="C245" s="623"/>
      <c r="D245" s="623">
        <v>46464</v>
      </c>
      <c r="E245" s="681" t="s">
        <v>509</v>
      </c>
    </row>
    <row r="246" spans="1:5" ht="27" customHeight="1">
      <c r="A246" s="551" t="s">
        <v>602</v>
      </c>
      <c r="B246" s="666">
        <v>84339</v>
      </c>
      <c r="C246" s="623"/>
      <c r="D246" s="623">
        <v>46464</v>
      </c>
      <c r="E246" s="681" t="s">
        <v>599</v>
      </c>
    </row>
    <row r="247" spans="1:5" ht="27" customHeight="1">
      <c r="A247" s="551" t="s">
        <v>63</v>
      </c>
      <c r="B247" s="666">
        <v>15777</v>
      </c>
      <c r="C247" s="623"/>
      <c r="D247" s="623">
        <v>46464</v>
      </c>
      <c r="E247" s="681" t="s">
        <v>509</v>
      </c>
    </row>
    <row r="248" spans="1:5" ht="27" customHeight="1">
      <c r="A248" s="551" t="s">
        <v>603</v>
      </c>
      <c r="B248" s="666">
        <v>84339</v>
      </c>
      <c r="C248" s="623"/>
      <c r="D248" s="623">
        <v>46464</v>
      </c>
      <c r="E248" s="681" t="s">
        <v>599</v>
      </c>
    </row>
    <row r="249" spans="1:5" ht="27" customHeight="1">
      <c r="A249" s="508" t="s">
        <v>604</v>
      </c>
      <c r="B249" s="643">
        <v>71596</v>
      </c>
      <c r="C249" s="516"/>
      <c r="D249" s="511">
        <v>3213</v>
      </c>
      <c r="E249" s="511" t="s">
        <v>309</v>
      </c>
    </row>
    <row r="250" spans="1:5" ht="27" customHeight="1">
      <c r="A250" s="508" t="s">
        <v>605</v>
      </c>
      <c r="B250" s="643">
        <v>23356</v>
      </c>
      <c r="C250" s="516"/>
      <c r="D250" s="511">
        <v>3213</v>
      </c>
      <c r="E250" s="511" t="s">
        <v>309</v>
      </c>
    </row>
    <row r="251" spans="1:5" ht="27" customHeight="1">
      <c r="A251" s="582" t="s">
        <v>606</v>
      </c>
      <c r="B251" s="643">
        <v>41493</v>
      </c>
      <c r="C251" s="516"/>
      <c r="D251" s="511">
        <v>3213</v>
      </c>
      <c r="E251" s="511" t="s">
        <v>309</v>
      </c>
    </row>
    <row r="252" spans="1:5" ht="27" customHeight="1">
      <c r="A252" s="542" t="s">
        <v>607</v>
      </c>
      <c r="B252" s="641">
        <v>57551</v>
      </c>
      <c r="C252" s="518"/>
      <c r="D252" s="539">
        <v>2630</v>
      </c>
      <c r="E252" s="642" t="s">
        <v>465</v>
      </c>
    </row>
    <row r="253" spans="1:5" ht="27" customHeight="1">
      <c r="A253" s="508" t="s">
        <v>608</v>
      </c>
      <c r="B253" s="643">
        <v>17230</v>
      </c>
      <c r="C253" s="516"/>
      <c r="D253" s="511">
        <v>3213</v>
      </c>
      <c r="E253" s="511" t="s">
        <v>309</v>
      </c>
    </row>
    <row r="254" spans="1:5" ht="27" customHeight="1">
      <c r="A254" s="582" t="s">
        <v>609</v>
      </c>
      <c r="B254" s="680">
        <v>89536</v>
      </c>
      <c r="C254" s="516"/>
      <c r="D254" s="511">
        <v>3213</v>
      </c>
      <c r="E254" s="511" t="s">
        <v>309</v>
      </c>
    </row>
    <row r="255" spans="1:5" ht="27" customHeight="1">
      <c r="A255" s="582" t="s">
        <v>610</v>
      </c>
      <c r="B255" s="645">
        <v>55818</v>
      </c>
      <c r="C255" s="516"/>
      <c r="D255" s="516">
        <v>2630</v>
      </c>
      <c r="E255" s="516" t="s">
        <v>611</v>
      </c>
    </row>
    <row r="256" spans="1:5" ht="27" customHeight="1">
      <c r="A256" s="551" t="s">
        <v>612</v>
      </c>
      <c r="B256" s="645">
        <v>54768</v>
      </c>
      <c r="C256" s="516"/>
      <c r="D256" s="516">
        <v>3213</v>
      </c>
      <c r="E256" s="516" t="s">
        <v>613</v>
      </c>
    </row>
    <row r="257" spans="1:5" ht="27" customHeight="1">
      <c r="A257" s="513" t="s">
        <v>614</v>
      </c>
      <c r="B257" s="645">
        <v>38499</v>
      </c>
      <c r="C257" s="516"/>
      <c r="D257" s="516">
        <v>2630</v>
      </c>
      <c r="E257" s="516" t="s">
        <v>615</v>
      </c>
    </row>
    <row r="258" spans="1:5" ht="27" customHeight="1">
      <c r="A258" s="513" t="s">
        <v>616</v>
      </c>
      <c r="B258" s="645">
        <v>65334</v>
      </c>
      <c r="C258" s="516"/>
      <c r="D258" s="516">
        <v>2630</v>
      </c>
      <c r="E258" s="516" t="s">
        <v>617</v>
      </c>
    </row>
    <row r="259" spans="1:5" ht="27" customHeight="1">
      <c r="A259" s="582" t="s">
        <v>98</v>
      </c>
      <c r="B259" s="666">
        <v>28316</v>
      </c>
      <c r="C259" s="516"/>
      <c r="D259" s="516">
        <v>46464</v>
      </c>
      <c r="E259" s="660" t="s">
        <v>316</v>
      </c>
    </row>
    <row r="260" spans="1:5" ht="27" customHeight="1">
      <c r="A260" s="508" t="s">
        <v>271</v>
      </c>
      <c r="B260" s="643">
        <v>71552</v>
      </c>
      <c r="C260" s="516"/>
      <c r="D260" s="511">
        <v>3213</v>
      </c>
      <c r="E260" s="511" t="s">
        <v>309</v>
      </c>
    </row>
    <row r="261" spans="1:5" ht="27" customHeight="1">
      <c r="A261" s="513" t="s">
        <v>618</v>
      </c>
      <c r="B261" s="648">
        <v>25089</v>
      </c>
      <c r="C261" s="516"/>
      <c r="D261" s="516">
        <v>49178</v>
      </c>
      <c r="E261" s="510" t="s">
        <v>334</v>
      </c>
    </row>
    <row r="262" spans="1:5" ht="27" customHeight="1">
      <c r="A262" s="542" t="s">
        <v>619</v>
      </c>
      <c r="B262" s="645">
        <v>37157</v>
      </c>
      <c r="C262" s="543"/>
      <c r="D262" s="539">
        <v>849</v>
      </c>
      <c r="E262" s="516" t="s">
        <v>388</v>
      </c>
    </row>
    <row r="263" spans="1:5" ht="27" customHeight="1">
      <c r="A263" s="682" t="s">
        <v>620</v>
      </c>
      <c r="B263" s="516">
        <v>71665</v>
      </c>
      <c r="C263" s="548"/>
      <c r="D263" s="516">
        <v>3031</v>
      </c>
      <c r="E263" s="516" t="s">
        <v>300</v>
      </c>
    </row>
    <row r="264" spans="1:5" ht="27" customHeight="1">
      <c r="A264" s="683" t="s">
        <v>621</v>
      </c>
      <c r="B264" s="641">
        <v>22943</v>
      </c>
      <c r="C264" s="518"/>
      <c r="D264" s="539">
        <v>2630</v>
      </c>
      <c r="E264" s="511" t="s">
        <v>313</v>
      </c>
    </row>
    <row r="265" spans="1:5" ht="27" customHeight="1">
      <c r="A265" s="684" t="s">
        <v>622</v>
      </c>
      <c r="B265" s="641">
        <v>52616</v>
      </c>
      <c r="C265" s="518"/>
      <c r="D265" s="539">
        <v>2630</v>
      </c>
      <c r="E265" s="669" t="s">
        <v>623</v>
      </c>
    </row>
    <row r="266" spans="1:5" ht="27" customHeight="1">
      <c r="A266" s="682" t="s">
        <v>624</v>
      </c>
      <c r="B266" s="643">
        <v>85488</v>
      </c>
      <c r="C266" s="516"/>
      <c r="D266" s="516">
        <v>49178</v>
      </c>
      <c r="E266" s="510" t="s">
        <v>625</v>
      </c>
    </row>
    <row r="267" spans="1:5" ht="27" customHeight="1">
      <c r="A267" s="685" t="s">
        <v>626</v>
      </c>
      <c r="B267" s="645">
        <v>32018</v>
      </c>
      <c r="C267" s="516"/>
      <c r="D267" s="516">
        <v>60590</v>
      </c>
      <c r="E267" s="516" t="s">
        <v>316</v>
      </c>
    </row>
    <row r="268" spans="1:5" ht="27" customHeight="1">
      <c r="A268" s="685" t="s">
        <v>627</v>
      </c>
      <c r="B268" s="645">
        <v>52503</v>
      </c>
      <c r="C268" s="516"/>
      <c r="D268" s="516">
        <v>60590</v>
      </c>
      <c r="E268" s="516" t="s">
        <v>316</v>
      </c>
    </row>
    <row r="269" spans="1:5" ht="27" customHeight="1">
      <c r="A269" s="682" t="s">
        <v>628</v>
      </c>
      <c r="B269" s="645">
        <v>44378</v>
      </c>
      <c r="C269" s="516"/>
      <c r="D269" s="516">
        <v>57824</v>
      </c>
      <c r="E269" s="516" t="s">
        <v>334</v>
      </c>
    </row>
    <row r="270" spans="1:5" ht="27" customHeight="1">
      <c r="A270" s="682" t="s">
        <v>629</v>
      </c>
      <c r="B270" s="645">
        <v>67840</v>
      </c>
      <c r="C270" s="516"/>
      <c r="D270" s="516">
        <v>57824</v>
      </c>
      <c r="E270" s="516" t="s">
        <v>334</v>
      </c>
    </row>
    <row r="271" spans="1:5" ht="27" customHeight="1">
      <c r="A271" s="686" t="s">
        <v>630</v>
      </c>
      <c r="B271" s="645">
        <v>47106</v>
      </c>
      <c r="C271" s="516"/>
      <c r="D271" s="516" t="s">
        <v>340</v>
      </c>
      <c r="E271" s="516" t="s">
        <v>631</v>
      </c>
    </row>
    <row r="272" spans="1:5" ht="27" customHeight="1">
      <c r="A272" s="682" t="s">
        <v>632</v>
      </c>
      <c r="B272" s="645">
        <v>71472</v>
      </c>
      <c r="C272" s="516"/>
      <c r="D272" s="516">
        <v>57824</v>
      </c>
      <c r="E272" s="516" t="s">
        <v>334</v>
      </c>
    </row>
    <row r="273" spans="1:5" ht="27" customHeight="1">
      <c r="A273" s="682" t="s">
        <v>633</v>
      </c>
      <c r="B273" s="645">
        <v>33790</v>
      </c>
      <c r="C273" s="516"/>
      <c r="D273" s="516">
        <v>57824</v>
      </c>
      <c r="E273" s="516" t="s">
        <v>334</v>
      </c>
    </row>
    <row r="274" spans="1:5" ht="27" customHeight="1">
      <c r="A274" s="687" t="s">
        <v>634</v>
      </c>
      <c r="B274" s="645">
        <v>44389</v>
      </c>
      <c r="C274" s="516"/>
      <c r="D274" s="516">
        <v>60590</v>
      </c>
      <c r="E274" s="516" t="s">
        <v>316</v>
      </c>
    </row>
    <row r="275" spans="1:5" ht="27" customHeight="1">
      <c r="A275" s="687" t="s">
        <v>635</v>
      </c>
      <c r="B275" s="645">
        <v>67850</v>
      </c>
      <c r="C275" s="516"/>
      <c r="D275" s="516">
        <v>60590</v>
      </c>
      <c r="E275" s="516" t="s">
        <v>316</v>
      </c>
    </row>
    <row r="276" spans="1:5" ht="27" customHeight="1">
      <c r="A276" s="674" t="s">
        <v>636</v>
      </c>
      <c r="B276" s="641">
        <v>37146</v>
      </c>
      <c r="C276" s="518"/>
      <c r="D276" s="539">
        <v>2630</v>
      </c>
      <c r="E276" s="669" t="s">
        <v>578</v>
      </c>
    </row>
    <row r="277" spans="1:5" ht="27" customHeight="1">
      <c r="A277" s="542" t="s">
        <v>637</v>
      </c>
      <c r="B277" s="641">
        <v>32379</v>
      </c>
      <c r="C277" s="518"/>
      <c r="D277" s="539">
        <v>2630</v>
      </c>
      <c r="E277" s="642" t="s">
        <v>638</v>
      </c>
    </row>
    <row r="278" spans="1:5" ht="27" customHeight="1">
      <c r="A278" s="546" t="s">
        <v>639</v>
      </c>
      <c r="B278" s="641">
        <v>31911</v>
      </c>
      <c r="C278" s="518"/>
      <c r="D278" s="539">
        <v>2630</v>
      </c>
      <c r="E278" s="688" t="s">
        <v>638</v>
      </c>
    </row>
    <row r="279" spans="1:5" ht="27" customHeight="1">
      <c r="A279" s="513" t="s">
        <v>640</v>
      </c>
      <c r="B279" s="645">
        <v>22648</v>
      </c>
      <c r="C279" s="518"/>
      <c r="D279" s="516">
        <v>1036</v>
      </c>
      <c r="E279" s="516" t="s">
        <v>302</v>
      </c>
    </row>
    <row r="280" spans="1:5" ht="27" customHeight="1">
      <c r="A280" s="513" t="s">
        <v>641</v>
      </c>
      <c r="B280" s="666">
        <v>14093</v>
      </c>
      <c r="C280" s="668"/>
      <c r="D280" s="516">
        <v>46464</v>
      </c>
      <c r="E280" s="660" t="s">
        <v>367</v>
      </c>
    </row>
    <row r="281" spans="1:5" ht="27" customHeight="1">
      <c r="A281" s="513" t="s">
        <v>642</v>
      </c>
      <c r="B281" s="643">
        <v>86039</v>
      </c>
      <c r="C281" s="516"/>
      <c r="D281" s="516">
        <v>49178</v>
      </c>
      <c r="E281" s="510" t="s">
        <v>643</v>
      </c>
    </row>
    <row r="282" spans="1:5" ht="27" customHeight="1">
      <c r="A282" s="508" t="s">
        <v>110</v>
      </c>
      <c r="B282" s="643">
        <v>758</v>
      </c>
      <c r="C282" s="516"/>
      <c r="D282" s="511">
        <v>3213</v>
      </c>
      <c r="E282" s="511" t="s">
        <v>309</v>
      </c>
    </row>
    <row r="283" spans="1:5" ht="27" customHeight="1">
      <c r="A283" s="520" t="s">
        <v>644</v>
      </c>
      <c r="B283" s="645">
        <v>179</v>
      </c>
      <c r="C283" s="516"/>
      <c r="D283" s="516" t="s">
        <v>306</v>
      </c>
      <c r="E283" s="516" t="s">
        <v>645</v>
      </c>
    </row>
    <row r="284" spans="1:5" ht="27" customHeight="1">
      <c r="A284" s="520" t="s">
        <v>646</v>
      </c>
      <c r="B284" s="645">
        <v>84237</v>
      </c>
      <c r="C284" s="516"/>
      <c r="D284" s="516" t="s">
        <v>306</v>
      </c>
      <c r="E284" s="516" t="s">
        <v>647</v>
      </c>
    </row>
    <row r="285" spans="1:5" ht="27" customHeight="1">
      <c r="A285" s="513" t="s">
        <v>648</v>
      </c>
      <c r="B285" s="643">
        <v>23957</v>
      </c>
      <c r="C285" s="516"/>
      <c r="D285" s="516">
        <v>49178</v>
      </c>
      <c r="E285" s="648" t="s">
        <v>649</v>
      </c>
    </row>
    <row r="286" spans="1:5" ht="27" customHeight="1">
      <c r="A286" s="513" t="s">
        <v>650</v>
      </c>
      <c r="B286" s="643">
        <v>180</v>
      </c>
      <c r="C286" s="516"/>
      <c r="D286" s="516">
        <v>49178</v>
      </c>
      <c r="E286" s="648" t="s">
        <v>316</v>
      </c>
    </row>
    <row r="287" spans="1:5" ht="27" customHeight="1">
      <c r="A287" s="672" t="s">
        <v>651</v>
      </c>
      <c r="B287" s="643">
        <v>15019</v>
      </c>
      <c r="C287" s="516"/>
      <c r="D287" s="516">
        <v>49178</v>
      </c>
      <c r="E287" s="648" t="s">
        <v>652</v>
      </c>
    </row>
    <row r="288" spans="1:5" ht="27" customHeight="1">
      <c r="A288" s="513" t="s">
        <v>653</v>
      </c>
      <c r="B288" s="645">
        <v>8807</v>
      </c>
      <c r="C288" s="515"/>
      <c r="D288" s="516">
        <v>3213</v>
      </c>
      <c r="E288" s="516" t="s">
        <v>654</v>
      </c>
    </row>
    <row r="289" spans="1:5" ht="27" customHeight="1">
      <c r="A289" s="513" t="s">
        <v>655</v>
      </c>
      <c r="B289" s="689">
        <v>32620</v>
      </c>
      <c r="C289" s="594"/>
      <c r="D289" s="690">
        <v>3213</v>
      </c>
      <c r="E289" s="690" t="s">
        <v>334</v>
      </c>
    </row>
    <row r="290" spans="1:5" ht="27" customHeight="1">
      <c r="A290" s="672" t="s">
        <v>655</v>
      </c>
      <c r="B290" s="645">
        <v>84893</v>
      </c>
      <c r="C290" s="518"/>
      <c r="D290" s="516">
        <v>3031</v>
      </c>
      <c r="E290" s="516" t="s">
        <v>494</v>
      </c>
    </row>
    <row r="291" spans="1:5" ht="27" customHeight="1">
      <c r="A291" s="513" t="s">
        <v>656</v>
      </c>
      <c r="B291" s="645">
        <v>31999</v>
      </c>
      <c r="C291" s="518"/>
      <c r="D291" s="539">
        <v>3213</v>
      </c>
      <c r="E291" s="539" t="s">
        <v>334</v>
      </c>
    </row>
    <row r="292" spans="1:5" ht="27" customHeight="1">
      <c r="A292" s="513" t="s">
        <v>657</v>
      </c>
      <c r="B292" s="645">
        <v>47536</v>
      </c>
      <c r="C292" s="516"/>
      <c r="D292" s="516">
        <v>66075</v>
      </c>
      <c r="E292" s="516" t="s">
        <v>431</v>
      </c>
    </row>
    <row r="293" spans="1:5" ht="27" customHeight="1">
      <c r="A293" s="513" t="s">
        <v>658</v>
      </c>
      <c r="B293" s="645">
        <v>20391</v>
      </c>
      <c r="C293" s="516"/>
      <c r="D293" s="516">
        <v>3213</v>
      </c>
      <c r="E293" s="516" t="s">
        <v>334</v>
      </c>
    </row>
    <row r="294" spans="1:5" ht="27" customHeight="1">
      <c r="A294" s="513" t="s">
        <v>659</v>
      </c>
      <c r="B294" s="645">
        <v>32492</v>
      </c>
      <c r="C294" s="518"/>
      <c r="D294" s="539">
        <v>3213</v>
      </c>
      <c r="E294" s="690" t="s">
        <v>334</v>
      </c>
    </row>
    <row r="295" spans="1:5" ht="27" customHeight="1">
      <c r="A295" s="513" t="s">
        <v>660</v>
      </c>
      <c r="B295" s="666">
        <v>86254</v>
      </c>
      <c r="C295" s="668"/>
      <c r="D295" s="516">
        <v>46464</v>
      </c>
      <c r="E295" s="660" t="s">
        <v>367</v>
      </c>
    </row>
    <row r="296" spans="1:5" ht="27" customHeight="1">
      <c r="A296" s="542" t="s">
        <v>661</v>
      </c>
      <c r="B296" s="645">
        <v>37168</v>
      </c>
      <c r="C296" s="543"/>
      <c r="D296" s="539">
        <v>849</v>
      </c>
      <c r="E296" s="516" t="s">
        <v>388</v>
      </c>
    </row>
    <row r="297" spans="1:5" ht="27" customHeight="1">
      <c r="A297" s="513" t="s">
        <v>662</v>
      </c>
      <c r="B297" s="645">
        <v>31751</v>
      </c>
      <c r="C297" s="518"/>
      <c r="D297" s="516">
        <v>3213</v>
      </c>
      <c r="E297" s="671" t="s">
        <v>311</v>
      </c>
    </row>
    <row r="298" spans="1:5" ht="27" customHeight="1">
      <c r="A298" s="513" t="s">
        <v>663</v>
      </c>
      <c r="B298" s="645">
        <v>47456</v>
      </c>
      <c r="C298" s="516"/>
      <c r="D298" s="516">
        <v>1036</v>
      </c>
      <c r="E298" s="516" t="s">
        <v>346</v>
      </c>
    </row>
    <row r="299" spans="1:5" ht="27" customHeight="1">
      <c r="A299" s="530" t="s">
        <v>54</v>
      </c>
      <c r="B299" s="645">
        <v>22488</v>
      </c>
      <c r="C299" s="516"/>
      <c r="D299" s="516">
        <v>3213</v>
      </c>
      <c r="E299" s="516" t="s">
        <v>664</v>
      </c>
    </row>
    <row r="300" spans="1:5" ht="27" customHeight="1">
      <c r="A300" s="513" t="s">
        <v>665</v>
      </c>
      <c r="B300" s="516">
        <v>84500</v>
      </c>
      <c r="C300" s="516"/>
      <c r="D300" s="516">
        <v>3213</v>
      </c>
      <c r="E300" s="516" t="s">
        <v>316</v>
      </c>
    </row>
    <row r="301" spans="1:5" ht="27" customHeight="1">
      <c r="A301" s="674" t="s">
        <v>666</v>
      </c>
      <c r="B301" s="641">
        <v>17105</v>
      </c>
      <c r="C301" s="518"/>
      <c r="D301" s="539">
        <v>2630</v>
      </c>
      <c r="E301" s="511" t="s">
        <v>396</v>
      </c>
    </row>
    <row r="302" spans="1:5" ht="27" customHeight="1">
      <c r="A302" s="530" t="s">
        <v>667</v>
      </c>
      <c r="B302" s="645">
        <v>55895</v>
      </c>
      <c r="C302" s="516" t="s">
        <v>453</v>
      </c>
      <c r="D302" s="516">
        <v>1036</v>
      </c>
      <c r="E302" s="516" t="s">
        <v>668</v>
      </c>
    </row>
    <row r="303" spans="1:5" ht="27" customHeight="1" thickBot="1">
      <c r="A303" s="530" t="s">
        <v>669</v>
      </c>
      <c r="B303" s="646">
        <v>50100</v>
      </c>
      <c r="C303" s="516" t="s">
        <v>453</v>
      </c>
      <c r="D303" s="516">
        <v>1036</v>
      </c>
      <c r="E303" s="516" t="s">
        <v>670</v>
      </c>
    </row>
    <row r="304" spans="1:5" ht="27" customHeight="1">
      <c r="A304" s="530" t="s">
        <v>671</v>
      </c>
      <c r="B304" s="526">
        <v>36937</v>
      </c>
      <c r="C304" s="566" t="s">
        <v>453</v>
      </c>
      <c r="D304" s="516">
        <v>1036</v>
      </c>
      <c r="E304" s="516" t="s">
        <v>672</v>
      </c>
    </row>
    <row r="305" spans="1:5" ht="27" customHeight="1">
      <c r="A305" s="513" t="s">
        <v>276</v>
      </c>
      <c r="B305" s="514">
        <v>71778</v>
      </c>
      <c r="C305" s="566"/>
      <c r="D305" s="516">
        <v>2630</v>
      </c>
      <c r="E305" s="516" t="s">
        <v>615</v>
      </c>
    </row>
    <row r="306" spans="1:5" ht="27" customHeight="1" thickBot="1">
      <c r="A306" s="513" t="s">
        <v>673</v>
      </c>
      <c r="B306" s="621">
        <v>84521</v>
      </c>
      <c r="C306" s="566"/>
      <c r="D306" s="516">
        <v>2630</v>
      </c>
      <c r="E306" s="516" t="s">
        <v>617</v>
      </c>
    </row>
    <row r="307" spans="1:5" ht="27" customHeight="1">
      <c r="A307" s="513" t="s">
        <v>674</v>
      </c>
      <c r="B307" s="691">
        <v>42066</v>
      </c>
      <c r="C307" s="516"/>
      <c r="D307" s="516">
        <v>2630</v>
      </c>
      <c r="E307" s="516" t="s">
        <v>615</v>
      </c>
    </row>
    <row r="308" spans="1:5" ht="27" customHeight="1">
      <c r="A308" s="530" t="s">
        <v>675</v>
      </c>
      <c r="B308" s="645">
        <v>50133</v>
      </c>
      <c r="C308" s="516" t="s">
        <v>453</v>
      </c>
      <c r="D308" s="516">
        <v>1036</v>
      </c>
      <c r="E308" s="516" t="s">
        <v>676</v>
      </c>
    </row>
    <row r="309" spans="1:5" ht="27" customHeight="1">
      <c r="A309" s="530" t="s">
        <v>677</v>
      </c>
      <c r="B309" s="645">
        <v>84645</v>
      </c>
      <c r="C309" s="516" t="s">
        <v>453</v>
      </c>
      <c r="D309" s="516">
        <v>1036</v>
      </c>
      <c r="E309" s="516" t="s">
        <v>672</v>
      </c>
    </row>
    <row r="310" spans="1:5" ht="27" customHeight="1">
      <c r="A310" s="530" t="s">
        <v>678</v>
      </c>
      <c r="B310" s="516">
        <v>50166</v>
      </c>
      <c r="C310" s="516" t="s">
        <v>453</v>
      </c>
      <c r="D310" s="516">
        <v>1036</v>
      </c>
      <c r="E310" s="516" t="s">
        <v>668</v>
      </c>
    </row>
    <row r="311" spans="1:5" ht="27" customHeight="1">
      <c r="A311" s="530" t="s">
        <v>679</v>
      </c>
      <c r="B311" s="645">
        <v>71869</v>
      </c>
      <c r="C311" s="516" t="s">
        <v>453</v>
      </c>
      <c r="D311" s="516">
        <v>1036</v>
      </c>
      <c r="E311" s="516" t="s">
        <v>676</v>
      </c>
    </row>
    <row r="312" spans="1:5" ht="27" customHeight="1">
      <c r="A312" s="530" t="s">
        <v>680</v>
      </c>
      <c r="B312" s="645">
        <v>71756</v>
      </c>
      <c r="C312" s="516" t="s">
        <v>453</v>
      </c>
      <c r="D312" s="516">
        <v>1036</v>
      </c>
      <c r="E312" s="516" t="s">
        <v>676</v>
      </c>
    </row>
    <row r="313" spans="1:5" ht="27" customHeight="1">
      <c r="A313" s="582" t="s">
        <v>681</v>
      </c>
      <c r="B313" s="645">
        <v>22761</v>
      </c>
      <c r="C313" s="516"/>
      <c r="D313" s="516">
        <v>2630</v>
      </c>
      <c r="E313" s="511" t="s">
        <v>682</v>
      </c>
    </row>
    <row r="314" spans="1:5" ht="27" customHeight="1">
      <c r="A314" s="582" t="s">
        <v>116</v>
      </c>
      <c r="B314" s="645">
        <v>83675</v>
      </c>
      <c r="C314" s="516"/>
      <c r="D314" s="516">
        <v>2630</v>
      </c>
      <c r="E314" s="516" t="s">
        <v>683</v>
      </c>
    </row>
    <row r="315" spans="1:5" ht="27" customHeight="1">
      <c r="A315" s="542" t="s">
        <v>143</v>
      </c>
      <c r="B315" s="641">
        <v>17070</v>
      </c>
      <c r="C315" s="518"/>
      <c r="D315" s="539">
        <v>2630</v>
      </c>
      <c r="E315" s="642" t="s">
        <v>638</v>
      </c>
    </row>
    <row r="316" spans="1:5" ht="27" customHeight="1">
      <c r="A316" s="513" t="s">
        <v>684</v>
      </c>
      <c r="B316" s="648">
        <v>65254</v>
      </c>
      <c r="C316" s="516"/>
      <c r="D316" s="516">
        <v>49178</v>
      </c>
      <c r="E316" s="648" t="s">
        <v>334</v>
      </c>
    </row>
    <row r="317" spans="1:5" ht="27" customHeight="1">
      <c r="A317" s="542" t="s">
        <v>685</v>
      </c>
      <c r="B317" s="641">
        <v>510</v>
      </c>
      <c r="C317" s="518"/>
      <c r="D317" s="539">
        <v>2630</v>
      </c>
      <c r="E317" s="511" t="s">
        <v>353</v>
      </c>
    </row>
    <row r="318" spans="1:5" ht="27" customHeight="1">
      <c r="A318" s="542" t="s">
        <v>86</v>
      </c>
      <c r="B318" s="645">
        <v>17171</v>
      </c>
      <c r="C318" s="543"/>
      <c r="D318" s="539">
        <v>849</v>
      </c>
      <c r="E318" s="516" t="s">
        <v>388</v>
      </c>
    </row>
    <row r="319" spans="1:5" ht="27" customHeight="1">
      <c r="A319" s="692" t="s">
        <v>686</v>
      </c>
      <c r="B319" s="645">
        <v>86185</v>
      </c>
      <c r="C319" s="543"/>
      <c r="D319" s="516">
        <v>71100</v>
      </c>
      <c r="E319" s="516">
        <v>50</v>
      </c>
    </row>
    <row r="320" spans="1:5" ht="27" customHeight="1">
      <c r="A320" s="542" t="s">
        <v>687</v>
      </c>
      <c r="B320" s="645">
        <v>86196</v>
      </c>
      <c r="C320" s="543"/>
      <c r="D320" s="516">
        <v>71100</v>
      </c>
      <c r="E320" s="516" t="s">
        <v>688</v>
      </c>
    </row>
    <row r="321" spans="1:5" ht="27" customHeight="1">
      <c r="A321" s="542" t="s">
        <v>689</v>
      </c>
      <c r="B321" s="645">
        <v>86141</v>
      </c>
      <c r="C321" s="543"/>
      <c r="D321" s="516">
        <v>71100</v>
      </c>
      <c r="E321" s="516">
        <v>50</v>
      </c>
    </row>
    <row r="322" spans="1:5" ht="27" customHeight="1">
      <c r="A322" s="542" t="s">
        <v>690</v>
      </c>
      <c r="B322" s="645">
        <v>86163</v>
      </c>
      <c r="C322" s="543"/>
      <c r="D322" s="516">
        <v>71100</v>
      </c>
      <c r="E322" s="516" t="s">
        <v>688</v>
      </c>
    </row>
    <row r="323" spans="1:5" ht="27" customHeight="1">
      <c r="A323" s="542" t="s">
        <v>691</v>
      </c>
      <c r="B323" s="645">
        <v>86174</v>
      </c>
      <c r="C323" s="543"/>
      <c r="D323" s="516">
        <v>71100</v>
      </c>
      <c r="E323" s="516">
        <v>50</v>
      </c>
    </row>
    <row r="324" spans="1:5" ht="27" customHeight="1">
      <c r="A324" s="550" t="s">
        <v>145</v>
      </c>
      <c r="B324" s="645">
        <v>20370</v>
      </c>
      <c r="C324" s="543"/>
      <c r="D324" s="539">
        <v>849</v>
      </c>
      <c r="E324" s="516" t="s">
        <v>388</v>
      </c>
    </row>
    <row r="325" spans="1:5" ht="27" customHeight="1">
      <c r="A325" s="550" t="s">
        <v>692</v>
      </c>
      <c r="B325" s="645">
        <v>52605</v>
      </c>
      <c r="C325" s="693"/>
      <c r="D325" s="539">
        <v>849</v>
      </c>
      <c r="E325" s="516" t="s">
        <v>388</v>
      </c>
    </row>
    <row r="326" spans="1:5" ht="27" customHeight="1">
      <c r="A326" s="542" t="s">
        <v>50</v>
      </c>
      <c r="B326" s="645">
        <v>576</v>
      </c>
      <c r="C326" s="543"/>
      <c r="D326" s="539">
        <v>849</v>
      </c>
      <c r="E326" s="516" t="s">
        <v>388</v>
      </c>
    </row>
    <row r="327" spans="1:5" ht="27" customHeight="1">
      <c r="A327" s="542" t="s">
        <v>693</v>
      </c>
      <c r="B327" s="645">
        <v>20369</v>
      </c>
      <c r="C327" s="543"/>
      <c r="D327" s="539">
        <v>849</v>
      </c>
      <c r="E327" s="516" t="s">
        <v>388</v>
      </c>
    </row>
  </sheetData>
  <mergeCells count="5">
    <mergeCell ref="A1:A2"/>
    <mergeCell ref="B1:B2"/>
    <mergeCell ref="C1:C2"/>
    <mergeCell ref="D1:D2"/>
    <mergeCell ref="E1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11</vt:i4>
      </vt:variant>
    </vt:vector>
  </HeadingPairs>
  <TitlesOfParts>
    <vt:vector size="21" baseType="lpstr">
      <vt:lpstr>LUNDI</vt:lpstr>
      <vt:lpstr>MARDI</vt:lpstr>
      <vt:lpstr>MERCREDI</vt:lpstr>
      <vt:lpstr>JEUDI</vt:lpstr>
      <vt:lpstr>VENDREDI</vt:lpstr>
      <vt:lpstr>VIANDE</vt:lpstr>
      <vt:lpstr>P. LAITIERS</vt:lpstr>
      <vt:lpstr>SURGELES</vt:lpstr>
      <vt:lpstr>S. VIDE</vt:lpstr>
      <vt:lpstr>Feuil1</vt:lpstr>
      <vt:lpstr>produit</vt:lpstr>
      <vt:lpstr>produitliste</vt:lpstr>
      <vt:lpstr>JEUDI!Zone_d_impression</vt:lpstr>
      <vt:lpstr>LUNDI!Zone_d_impression</vt:lpstr>
      <vt:lpstr>MARDI!Zone_d_impression</vt:lpstr>
      <vt:lpstr>MERCREDI!Zone_d_impression</vt:lpstr>
      <vt:lpstr>'P. LAITIERS'!Zone_d_impression</vt:lpstr>
      <vt:lpstr>'S. VIDE'!Zone_d_impression</vt:lpstr>
      <vt:lpstr>SURGELES!Zone_d_impression</vt:lpstr>
      <vt:lpstr>VENDREDI!Zone_d_impression</vt:lpstr>
      <vt:lpstr>VIANDE!Zone_d_impression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CUISINE CENTRALE</dc:creator>
  <cp:lastModifiedBy>youssef</cp:lastModifiedBy>
  <cp:lastPrinted>2019-03-18T07:01:59Z</cp:lastPrinted>
  <dcterms:created xsi:type="dcterms:W3CDTF">2014-02-12T06:36:28Z</dcterms:created>
  <dcterms:modified xsi:type="dcterms:W3CDTF">2019-03-18T18:45:24Z</dcterms:modified>
</cp:coreProperties>
</file>